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codeName="ThisWorkbook" defaultThemeVersion="124226"/>
  <mc:AlternateContent xmlns:mc="http://schemas.openxmlformats.org/markup-compatibility/2006">
    <mc:Choice Requires="x15">
      <x15ac:absPath xmlns:x15ac="http://schemas.microsoft.com/office/spreadsheetml/2010/11/ac" url="C:\My files\Documents\UNFCCC\Post Kyoto\Pipelines\"/>
    </mc:Choice>
  </mc:AlternateContent>
  <xr:revisionPtr revIDLastSave="0" documentId="13_ncr:1_{BAD6AA2A-9808-4D5E-B22B-DB3953813B44}" xr6:coauthVersionLast="47" xr6:coauthVersionMax="47" xr10:uidLastSave="{00000000-0000-0000-0000-000000000000}"/>
  <bookViews>
    <workbookView xWindow="-120" yWindow="-120" windowWidth="29040" windowHeight="17640" activeTab="1" xr2:uid="{00000000-000D-0000-FFFF-FFFF00000000}"/>
  </bookViews>
  <sheets>
    <sheet name="Guidance" sheetId="5" r:id="rId1"/>
    <sheet name="Cities and regions" sheetId="4" r:id="rId2"/>
    <sheet name="Analysis" sheetId="6" r:id="rId3"/>
  </sheets>
  <definedNames>
    <definedName name="Baseyear2020">'Cities and regions'!$Y$693</definedName>
    <definedName name="Baseyear2030">'Cities and regions'!$AQ$693</definedName>
    <definedName name="BAU_2020">'Cities and regions'!$AA$693</definedName>
    <definedName name="BAU_2020LU">'Cities and regions'!$Z$693</definedName>
    <definedName name="BAU_2030">'Cities and regions'!$AS$693</definedName>
    <definedName name="BAU_2030LU">'Cities and regions'!$AR$693</definedName>
    <definedName name="BAU_2050">'Cities and regions'!$BT$693</definedName>
    <definedName name="BAU_2050LU">'Cities and regions'!$BS$693</definedName>
    <definedName name="City">'Cities and regions'!$C$693</definedName>
    <definedName name="Country">'Cities and regions'!$A$693</definedName>
    <definedName name="Goal2020">'Cities and regions'!$AB$693</definedName>
    <definedName name="Goal2020High">'Cities and regions'!$AC$693</definedName>
    <definedName name="Goal2025">'Cities and regions'!$AK$693</definedName>
    <definedName name="Goal2030">'Cities and regions'!$AT$693</definedName>
    <definedName name="Goal2050">'Cities and regions'!$BU$693</definedName>
    <definedName name="Lastline">'Cities and regions'!$A$2680</definedName>
    <definedName name="Mt_1990">'Cities and regions'!$H$693</definedName>
    <definedName name="Mt_2005">'Cities and regions'!$K$693</definedName>
    <definedName name="Mt_2010">'Cities and regions'!$N$693</definedName>
    <definedName name="Population">'Cities and regions'!$D$693</definedName>
    <definedName name="Region">'Cities and regions'!$B$693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681" i="4" l="1"/>
  <c r="T655" i="4" l="1"/>
  <c r="AU88" i="4"/>
  <c r="AM88" i="4"/>
  <c r="AR88" i="4" s="1"/>
  <c r="AR28" i="4"/>
  <c r="AO28" i="4" s="1"/>
  <c r="AU28" i="4"/>
  <c r="AO72" i="4"/>
  <c r="AP72" i="4" s="1"/>
  <c r="AM72" i="4"/>
  <c r="AR72" i="4" s="1"/>
  <c r="AT72" i="4" s="1"/>
  <c r="AU72" i="4" s="1"/>
  <c r="AR78" i="4"/>
  <c r="AO78" i="4" s="1"/>
  <c r="H15" i="4"/>
  <c r="AP19" i="4"/>
  <c r="AO19" i="4"/>
  <c r="AN19" i="4"/>
  <c r="AG19" i="4"/>
  <c r="AF19" i="4"/>
  <c r="AE19" i="4"/>
  <c r="M19" i="4"/>
  <c r="AP88" i="4" l="1"/>
  <c r="AO88" i="4"/>
  <c r="AP28" i="4"/>
  <c r="AP78" i="4"/>
  <c r="Q364" i="4"/>
  <c r="T85" i="4"/>
  <c r="Q85" i="4"/>
  <c r="N85" i="4"/>
  <c r="K85" i="4"/>
  <c r="H85" i="4"/>
  <c r="AF53" i="4" l="1"/>
  <c r="AK53" i="4" s="1"/>
  <c r="AL53" i="4" s="1"/>
  <c r="AP23" i="4"/>
  <c r="AO23" i="4"/>
  <c r="AM23" i="4"/>
  <c r="Q166" i="4"/>
  <c r="AG53" i="4" l="1"/>
  <c r="T202" i="4"/>
  <c r="Q202" i="4"/>
  <c r="N202" i="4"/>
  <c r="K202" i="4"/>
  <c r="T29" i="4"/>
  <c r="Q29" i="4"/>
  <c r="N29" i="4"/>
  <c r="K29" i="4"/>
  <c r="H46" i="4"/>
  <c r="T417" i="4" l="1"/>
  <c r="T75" i="4"/>
  <c r="Q75" i="4"/>
  <c r="N75" i="4"/>
  <c r="K75" i="4"/>
  <c r="H75" i="4"/>
  <c r="G688" i="4"/>
  <c r="T2530" i="4" l="1"/>
  <c r="AG55" i="4"/>
  <c r="AF55" i="4"/>
  <c r="AE55" i="4"/>
  <c r="AJ55" i="4" s="1"/>
  <c r="AP55" i="4"/>
  <c r="AO55" i="4"/>
  <c r="AN55" i="4"/>
  <c r="AU55" i="4" s="1"/>
  <c r="AC55" i="4"/>
  <c r="AB55" i="4"/>
  <c r="X55" i="4"/>
  <c r="W55" i="4"/>
  <c r="V55" i="4"/>
  <c r="AA55" i="4" s="1"/>
  <c r="Q55" i="4"/>
  <c r="N55" i="4"/>
  <c r="K55" i="4"/>
  <c r="H55" i="4"/>
  <c r="AK55" i="4" l="1"/>
  <c r="AL55" i="4"/>
  <c r="AS55" i="4"/>
  <c r="AT55" i="4"/>
  <c r="N26" i="4"/>
  <c r="M26" i="4" s="1"/>
  <c r="Z11" i="4" l="1"/>
  <c r="X11" i="4"/>
  <c r="T39" i="4" l="1"/>
  <c r="Q39" i="4"/>
  <c r="N39" i="4"/>
  <c r="AN21" i="4" l="1"/>
  <c r="AS21" i="4" s="1"/>
  <c r="AO21" i="4" l="1"/>
  <c r="AP21" i="4"/>
  <c r="AS2406" i="4"/>
  <c r="AO2406" i="4" s="1"/>
  <c r="AU2406" i="4"/>
  <c r="AP2406" i="4" s="1"/>
  <c r="AS2552" i="4"/>
  <c r="AO2552" i="4" s="1"/>
  <c r="AU2552" i="4"/>
  <c r="AS2551" i="4"/>
  <c r="AS2543" i="4"/>
  <c r="AU2543" i="4"/>
  <c r="AJ684" i="4"/>
  <c r="AG684" i="4" s="1"/>
  <c r="AL684" i="4"/>
  <c r="AP2543" i="4" l="1"/>
  <c r="AP2552" i="4"/>
  <c r="AO2543" i="4"/>
  <c r="AF684" i="4"/>
  <c r="AU673" i="4"/>
  <c r="AR673" i="4"/>
  <c r="AP673" i="4"/>
  <c r="AO673" i="4"/>
  <c r="BT2376" i="4"/>
  <c r="BP2376" i="4" s="1"/>
  <c r="BV2376" i="4"/>
  <c r="BK2376" i="4"/>
  <c r="BM2376" i="4"/>
  <c r="AU2376" i="4"/>
  <c r="AS2376" i="4"/>
  <c r="AP2376" i="4"/>
  <c r="AO2376" i="4"/>
  <c r="AS2385" i="4"/>
  <c r="AO2385" i="4" s="1"/>
  <c r="AU2385" i="4"/>
  <c r="AP2385" i="4" s="1"/>
  <c r="AS2384" i="4"/>
  <c r="AU2384" i="4"/>
  <c r="AJ2384" i="4"/>
  <c r="AL2384" i="4"/>
  <c r="AF2384" i="4"/>
  <c r="AP2349" i="4"/>
  <c r="AR2349" i="4"/>
  <c r="AO2349" i="4" s="1"/>
  <c r="AS2526" i="4"/>
  <c r="AU2526" i="4"/>
  <c r="AO2526" i="4"/>
  <c r="AG2384" i="4" l="1"/>
  <c r="BQ2376" i="4"/>
  <c r="BH2376" i="4"/>
  <c r="BG2376" i="4"/>
  <c r="AP2384" i="4"/>
  <c r="AO2384" i="4"/>
  <c r="AP2526" i="4"/>
  <c r="AP34" i="4"/>
  <c r="AO34" i="4"/>
  <c r="AM34" i="4"/>
  <c r="T34" i="4"/>
  <c r="AU197" i="4" l="1"/>
  <c r="AS197" i="4"/>
  <c r="AO197" i="4" s="1"/>
  <c r="AU2522" i="4"/>
  <c r="AS2522" i="4"/>
  <c r="AP2522" i="4" s="1"/>
  <c r="AS2524" i="4"/>
  <c r="AS2520" i="4"/>
  <c r="BK2517" i="4"/>
  <c r="BV641" i="4"/>
  <c r="BT641" i="4"/>
  <c r="BP641" i="4" s="1"/>
  <c r="BT189" i="4"/>
  <c r="AU189" i="4"/>
  <c r="AS189" i="4"/>
  <c r="AO189" i="4"/>
  <c r="BT188" i="4"/>
  <c r="AS626" i="4"/>
  <c r="AO626" i="4" s="1"/>
  <c r="AU626" i="4"/>
  <c r="AU627" i="4"/>
  <c r="AS627" i="4"/>
  <c r="AO627" i="4" s="1"/>
  <c r="AS624" i="4"/>
  <c r="AO624" i="4" s="1"/>
  <c r="AU624" i="4"/>
  <c r="AP624" i="4"/>
  <c r="AS587" i="4"/>
  <c r="AU587" i="4"/>
  <c r="AO587" i="4"/>
  <c r="AJ555" i="4"/>
  <c r="AG555" i="4" s="1"/>
  <c r="AL555" i="4"/>
  <c r="AF555" i="4"/>
  <c r="AO2522" i="4" l="1"/>
  <c r="AP587" i="4"/>
  <c r="BQ641" i="4"/>
  <c r="AP197" i="4"/>
  <c r="AP189" i="4"/>
  <c r="AP626" i="4"/>
  <c r="AP627" i="4"/>
  <c r="AS542" i="4"/>
  <c r="AU542" i="4"/>
  <c r="AS600" i="4"/>
  <c r="AR2485" i="4"/>
  <c r="AP2485" i="4" s="1"/>
  <c r="AS821" i="4"/>
  <c r="AU821" i="4"/>
  <c r="AS105" i="4"/>
  <c r="AP105" i="4" s="1"/>
  <c r="AU105" i="4"/>
  <c r="AP821" i="4" l="1"/>
  <c r="AP542" i="4"/>
  <c r="AO105" i="4"/>
  <c r="AO542" i="4"/>
  <c r="AO2485" i="4"/>
  <c r="AO821" i="4"/>
  <c r="AR637" i="4"/>
  <c r="AP637" i="4" s="1"/>
  <c r="AU637" i="4"/>
  <c r="AO637" i="4" l="1"/>
  <c r="AR368" i="4"/>
  <c r="AP368" i="4" s="1"/>
  <c r="AO368" i="4" l="1"/>
  <c r="AU2551" i="4"/>
  <c r="AP2551" i="4"/>
  <c r="AO2551" i="4"/>
  <c r="BT1016" i="4"/>
  <c r="BP1016" i="4" s="1"/>
  <c r="BV1016" i="4"/>
  <c r="AU707" i="4"/>
  <c r="AS707" i="4"/>
  <c r="AP707" i="4" s="1"/>
  <c r="BQ1016" i="4" l="1"/>
  <c r="AO707" i="4"/>
  <c r="AS198" i="4"/>
  <c r="AP198" i="4" s="1"/>
  <c r="K198" i="4"/>
  <c r="J198" i="4" s="1"/>
  <c r="AO198" i="4" l="1"/>
  <c r="AM199" i="4"/>
  <c r="T199" i="4"/>
  <c r="Q199" i="4"/>
  <c r="N199" i="4"/>
  <c r="K199" i="4"/>
  <c r="AR199" i="4" s="1"/>
  <c r="AO199" i="4" s="1"/>
  <c r="AP199" i="4" s="1"/>
  <c r="H199" i="4"/>
  <c r="AM645" i="4" l="1"/>
  <c r="AR645" i="4" s="1"/>
  <c r="Q645" i="4"/>
  <c r="N645" i="4"/>
  <c r="K645" i="4"/>
  <c r="H645" i="4"/>
  <c r="T2676" i="4"/>
  <c r="S2676" i="4" s="1"/>
  <c r="AP645" i="4" l="1"/>
  <c r="AO645" i="4"/>
  <c r="AM20" i="4"/>
  <c r="AN20" i="4" s="1"/>
  <c r="AD20" i="4"/>
  <c r="AE20" i="4" s="1"/>
  <c r="T20" i="4"/>
  <c r="Q20" i="4"/>
  <c r="N20" i="4"/>
  <c r="AR20" i="4" l="1"/>
  <c r="AO20" i="4" s="1"/>
  <c r="AI20" i="4"/>
  <c r="AP20" i="4"/>
  <c r="K2426" i="4"/>
  <c r="H2426" i="4"/>
  <c r="AG20" i="4" l="1"/>
  <c r="AF20" i="4"/>
  <c r="P634" i="4" l="1"/>
  <c r="AU2426" i="4"/>
  <c r="AR2426" i="4"/>
  <c r="AP2426" i="4" s="1"/>
  <c r="AR75" i="4"/>
  <c r="AP75" i="4"/>
  <c r="AO75" i="4"/>
  <c r="T2659" i="4"/>
  <c r="Q2659" i="4"/>
  <c r="N2659" i="4"/>
  <c r="K2659" i="4"/>
  <c r="AD2659" i="4"/>
  <c r="AM2659" i="4"/>
  <c r="AO2659" i="4" s="1"/>
  <c r="AM73" i="4"/>
  <c r="AR73" i="4" s="1"/>
  <c r="AP73" i="4" s="1"/>
  <c r="M73" i="4"/>
  <c r="AS2540" i="4"/>
  <c r="AO2540" i="4" s="1"/>
  <c r="Q78" i="4"/>
  <c r="K78" i="4"/>
  <c r="AR36" i="4"/>
  <c r="AP36" i="4"/>
  <c r="AO36" i="4"/>
  <c r="AM45" i="4"/>
  <c r="AR45" i="4" s="1"/>
  <c r="N45" i="4"/>
  <c r="K45" i="4"/>
  <c r="H45" i="4"/>
  <c r="AN12" i="4"/>
  <c r="AS12" i="4" s="1"/>
  <c r="AO2426" i="4" l="1"/>
  <c r="AR2659" i="4"/>
  <c r="AP2659" i="4" s="1"/>
  <c r="AO73" i="4"/>
  <c r="AP2540" i="4"/>
  <c r="AO45" i="4"/>
  <c r="AP45" i="4"/>
  <c r="AO12" i="4"/>
  <c r="AP12" i="4"/>
  <c r="AS2440" i="4" l="1"/>
  <c r="AO2440" i="4" s="1"/>
  <c r="AR16" i="4"/>
  <c r="AO16" i="4" s="1"/>
  <c r="AI16" i="4"/>
  <c r="AO44" i="4"/>
  <c r="AM44" i="4"/>
  <c r="AF44" i="4"/>
  <c r="AD44" i="4"/>
  <c r="AP16" i="4" l="1"/>
  <c r="AP2440" i="4"/>
  <c r="AP76" i="4"/>
  <c r="AO76" i="4"/>
  <c r="AM76" i="4"/>
  <c r="AR76" i="4" s="1"/>
  <c r="AG76" i="4"/>
  <c r="AF76" i="4"/>
  <c r="AD76" i="4"/>
  <c r="AI76" i="4" s="1"/>
  <c r="BH2670" i="4"/>
  <c r="BG2670" i="4"/>
  <c r="Q14" i="4"/>
  <c r="J14" i="4"/>
  <c r="K14" i="4" s="1"/>
  <c r="H14" i="4"/>
  <c r="AM14" i="4"/>
  <c r="AO14" i="4" s="1"/>
  <c r="AP14" i="4" s="1"/>
  <c r="AD14" i="4"/>
  <c r="AF14" i="4" s="1"/>
  <c r="AG14" i="4" s="1"/>
  <c r="AM2489" i="4"/>
  <c r="AR2489" i="4" s="1"/>
  <c r="AI2489" i="4"/>
  <c r="AF2489" i="4" s="1"/>
  <c r="S2489" i="4"/>
  <c r="P2489" i="4"/>
  <c r="M2489" i="4"/>
  <c r="J2489" i="4"/>
  <c r="G2489" i="4"/>
  <c r="AG2489" i="4" l="1"/>
  <c r="AK76" i="4"/>
  <c r="AL76" i="4"/>
  <c r="AU76" i="4"/>
  <c r="AT76" i="4"/>
  <c r="AE14" i="4"/>
  <c r="AN14" i="4"/>
  <c r="AO2489" i="4"/>
  <c r="AP2489" i="4"/>
  <c r="T47" i="4"/>
  <c r="AU46" i="4" l="1"/>
  <c r="AR46" i="4"/>
  <c r="AO46" i="4"/>
  <c r="AR15" i="4"/>
  <c r="AO15" i="4" s="1"/>
  <c r="AI15" i="4"/>
  <c r="AG15" i="4" s="1"/>
  <c r="AP46" i="4" l="1"/>
  <c r="AP15" i="4"/>
  <c r="AF15" i="4"/>
  <c r="AU82" i="4" l="1"/>
  <c r="AM82" i="4"/>
  <c r="AR82" i="4" s="1"/>
  <c r="AO82" i="4" s="1"/>
  <c r="AP82" i="4" s="1"/>
  <c r="AI82" i="4"/>
  <c r="AG82" i="4"/>
  <c r="V32" i="4" l="1"/>
  <c r="AU32" i="4"/>
  <c r="AN32" i="4"/>
  <c r="AS32" i="4" s="1"/>
  <c r="AF32" i="4"/>
  <c r="AG32" i="4" s="1"/>
  <c r="AE32" i="4"/>
  <c r="AO32" i="4" l="1"/>
  <c r="AP32" i="4"/>
  <c r="AK32" i="4"/>
  <c r="AL32" i="4" s="1"/>
  <c r="AJ32" i="4"/>
  <c r="AP90" i="4"/>
  <c r="AO90" i="4"/>
  <c r="T195" i="4" l="1"/>
  <c r="Q195" i="4"/>
  <c r="N195" i="4"/>
  <c r="K195" i="4"/>
  <c r="H195" i="4"/>
  <c r="AM633" i="4" l="1"/>
  <c r="AR633" i="4" s="1"/>
  <c r="AO633" i="4" l="1"/>
  <c r="AT633" i="4" s="1"/>
  <c r="AP633" i="4"/>
  <c r="AU633" i="4" s="1"/>
  <c r="AU2675" i="4"/>
  <c r="BD323" i="4" l="1"/>
  <c r="BB323" i="4"/>
  <c r="AX323" i="4"/>
  <c r="BK301" i="4"/>
  <c r="BM301" i="4"/>
  <c r="AS301" i="4"/>
  <c r="AO301" i="4" s="1"/>
  <c r="AU301" i="4"/>
  <c r="AP301" i="4" s="1"/>
  <c r="AL347" i="4"/>
  <c r="AJ347" i="4"/>
  <c r="AF347" i="4" s="1"/>
  <c r="AS282" i="4"/>
  <c r="AO282" i="4" s="1"/>
  <c r="AU282" i="4"/>
  <c r="AS278" i="4"/>
  <c r="AP278" i="4" s="1"/>
  <c r="AJ278" i="4"/>
  <c r="AG278" i="4" s="1"/>
  <c r="AF278" i="4"/>
  <c r="AJ241" i="4"/>
  <c r="AL241" i="4"/>
  <c r="AU298" i="4"/>
  <c r="AS298" i="4"/>
  <c r="AO298" i="4"/>
  <c r="AJ298" i="4"/>
  <c r="AL298" i="4"/>
  <c r="BT298" i="4"/>
  <c r="BK355" i="4"/>
  <c r="BM355" i="4"/>
  <c r="AS355" i="4"/>
  <c r="AU355" i="4"/>
  <c r="AY323" i="4" l="1"/>
  <c r="AP298" i="4"/>
  <c r="AP355" i="4"/>
  <c r="AG347" i="4"/>
  <c r="BH301" i="4"/>
  <c r="BG301" i="4"/>
  <c r="AP282" i="4"/>
  <c r="AO278" i="4"/>
  <c r="AG241" i="4"/>
  <c r="AF241" i="4"/>
  <c r="AG298" i="4"/>
  <c r="AF298" i="4"/>
  <c r="BH355" i="4"/>
  <c r="BG355" i="4"/>
  <c r="AO355" i="4"/>
  <c r="AN40" i="4"/>
  <c r="AS40" i="4" s="1"/>
  <c r="AP22" i="4"/>
  <c r="AO22" i="4"/>
  <c r="AM22" i="4"/>
  <c r="AG22" i="4"/>
  <c r="AF22" i="4"/>
  <c r="AD22" i="4"/>
  <c r="AK22" i="4" s="1"/>
  <c r="AU64" i="4"/>
  <c r="AS64" i="4"/>
  <c r="AN64" i="4"/>
  <c r="AO64" i="4" s="1"/>
  <c r="AU2559" i="4"/>
  <c r="AU63" i="4"/>
  <c r="AM63" i="4"/>
  <c r="AR63" i="4" s="1"/>
  <c r="AP63" i="4" s="1"/>
  <c r="AL63" i="4"/>
  <c r="AD63" i="4"/>
  <c r="AI63" i="4" s="1"/>
  <c r="AR89" i="4"/>
  <c r="AO89" i="4" s="1"/>
  <c r="AN89" i="4"/>
  <c r="AE89" i="4"/>
  <c r="AI89" i="4" s="1"/>
  <c r="AU22" i="4" l="1"/>
  <c r="AP64" i="4"/>
  <c r="AP40" i="4"/>
  <c r="AO40" i="4"/>
  <c r="AN22" i="4"/>
  <c r="AL22" i="4"/>
  <c r="AE22" i="4"/>
  <c r="AR22" i="4"/>
  <c r="AI22" i="4"/>
  <c r="AT22" i="4"/>
  <c r="AF63" i="4"/>
  <c r="AG63" i="4"/>
  <c r="AO63" i="4"/>
  <c r="AG89" i="4"/>
  <c r="AF89" i="4"/>
  <c r="AP89" i="4"/>
  <c r="AM670" i="4" l="1"/>
  <c r="AR670" i="4" s="1"/>
  <c r="AS654" i="4"/>
  <c r="AU654" i="4"/>
  <c r="AP654" i="4"/>
  <c r="AO654" i="4"/>
  <c r="BE43" i="4"/>
  <c r="BJ43" i="4" s="1"/>
  <c r="BG43" i="4" s="1"/>
  <c r="N43" i="4"/>
  <c r="K43" i="4"/>
  <c r="H43" i="4"/>
  <c r="AM54" i="4"/>
  <c r="AR54" i="4" s="1"/>
  <c r="AO54" i="4" s="1"/>
  <c r="AM62" i="4"/>
  <c r="AR62" i="4" s="1"/>
  <c r="AO62" i="4" s="1"/>
  <c r="AP62" i="4" s="1"/>
  <c r="AR74" i="4"/>
  <c r="AP74" i="4" s="1"/>
  <c r="AU60" i="4"/>
  <c r="AS60" i="4"/>
  <c r="AP60" i="4" s="1"/>
  <c r="AO60" i="4" s="1"/>
  <c r="AR2669" i="4"/>
  <c r="AP2669" i="4" s="1"/>
  <c r="AO2669" i="4"/>
  <c r="AN2669" i="4"/>
  <c r="BH43" i="4" l="1"/>
  <c r="AO670" i="4"/>
  <c r="AP670" i="4"/>
  <c r="AP54" i="4"/>
  <c r="AO74" i="4"/>
  <c r="AS111" i="4" l="1"/>
  <c r="AP111" i="4" s="1"/>
  <c r="AO111" i="4" l="1"/>
  <c r="AR47" i="4"/>
  <c r="AO47" i="4" s="1"/>
  <c r="AU2508" i="4"/>
  <c r="T2508" i="4"/>
  <c r="Q2508" i="4"/>
  <c r="N2508" i="4"/>
  <c r="K2508" i="4"/>
  <c r="H2508" i="4"/>
  <c r="AS2508" i="4" s="1"/>
  <c r="AI11" i="4"/>
  <c r="AG11" i="4"/>
  <c r="AF11" i="4"/>
  <c r="AP47" i="4" l="1"/>
  <c r="AP2508" i="4"/>
  <c r="AO2508" i="4" s="1"/>
  <c r="AP622" i="4"/>
  <c r="AO622" i="4"/>
  <c r="AN622" i="4"/>
  <c r="X622" i="4"/>
  <c r="V622" i="4"/>
  <c r="AU171" i="4"/>
  <c r="AS171" i="4"/>
  <c r="AO171" i="4"/>
  <c r="AP171" i="4" s="1"/>
  <c r="AR56" i="4"/>
  <c r="AO56" i="4" l="1"/>
  <c r="AP56" i="4"/>
  <c r="AS304" i="4"/>
  <c r="AU304" i="4"/>
  <c r="AP304" i="4" s="1"/>
  <c r="AS281" i="4"/>
  <c r="AO281" i="4" s="1"/>
  <c r="AU281" i="4"/>
  <c r="AO304" i="4" l="1"/>
  <c r="AP281" i="4"/>
  <c r="BV322" i="4"/>
  <c r="BT322" i="4"/>
  <c r="BQ322" i="4" s="1"/>
  <c r="BT346" i="4"/>
  <c r="BQ346" i="4" s="1"/>
  <c r="BV346" i="4"/>
  <c r="AS236" i="4"/>
  <c r="AO236" i="4" s="1"/>
  <c r="AU236" i="4"/>
  <c r="AS349" i="4"/>
  <c r="AO349" i="4" s="1"/>
  <c r="AU349" i="4"/>
  <c r="C2681" i="4"/>
  <c r="BP322" i="4" l="1"/>
  <c r="BP346" i="4"/>
  <c r="AP236" i="4"/>
  <c r="AP349" i="4"/>
  <c r="AS322" i="4" l="1"/>
  <c r="AO322" i="4" s="1"/>
  <c r="AU322" i="4"/>
  <c r="BM304" i="4"/>
  <c r="BK304" i="4"/>
  <c r="BT293" i="4"/>
  <c r="BQ293" i="4" s="1"/>
  <c r="BV293" i="4"/>
  <c r="AL269" i="4"/>
  <c r="AJ269" i="4"/>
  <c r="AG269" i="4" s="1"/>
  <c r="AJ261" i="4"/>
  <c r="AJ248" i="4"/>
  <c r="AF248" i="4" s="1"/>
  <c r="AL248" i="4"/>
  <c r="AS235" i="4"/>
  <c r="AU235" i="4"/>
  <c r="BT235" i="4"/>
  <c r="BV235" i="4"/>
  <c r="AS341" i="4"/>
  <c r="AU341" i="4"/>
  <c r="AS354" i="4"/>
  <c r="AU354" i="4"/>
  <c r="AO354" i="4"/>
  <c r="AP322" i="4" l="1"/>
  <c r="BP235" i="4"/>
  <c r="BH304" i="4"/>
  <c r="BG304" i="4"/>
  <c r="BP293" i="4"/>
  <c r="AF269" i="4"/>
  <c r="AG248" i="4"/>
  <c r="AP235" i="4"/>
  <c r="AO235" i="4"/>
  <c r="BQ235" i="4"/>
  <c r="AP341" i="4"/>
  <c r="AO341" i="4"/>
  <c r="AP354" i="4"/>
  <c r="AR208" i="4"/>
  <c r="AO208" i="4" s="1"/>
  <c r="AU208" i="4"/>
  <c r="BT339" i="4"/>
  <c r="BQ339" i="4" s="1"/>
  <c r="BV339" i="4"/>
  <c r="Q295" i="4"/>
  <c r="AC226" i="4"/>
  <c r="AA226" i="4"/>
  <c r="X226" i="4" s="1"/>
  <c r="BB225" i="4"/>
  <c r="BD225" i="4"/>
  <c r="BT288" i="4"/>
  <c r="BQ288" i="4" s="1"/>
  <c r="BV288" i="4"/>
  <c r="BT300" i="4"/>
  <c r="BP300" i="4" s="1"/>
  <c r="BV300" i="4"/>
  <c r="BV337" i="4"/>
  <c r="BT337" i="4"/>
  <c r="BQ337" i="4" s="1"/>
  <c r="BT342" i="4"/>
  <c r="BQ342" i="4" s="1"/>
  <c r="BV342" i="4"/>
  <c r="BP342" i="4" s="1"/>
  <c r="BT343" i="4"/>
  <c r="BK342" i="4"/>
  <c r="BG342" i="4" s="1"/>
  <c r="BM342" i="4"/>
  <c r="AS342" i="4"/>
  <c r="AO342" i="4" s="1"/>
  <c r="AU342" i="4"/>
  <c r="AP342" i="4"/>
  <c r="BV257" i="4"/>
  <c r="BT257" i="4"/>
  <c r="AU257" i="4"/>
  <c r="AS257" i="4"/>
  <c r="BP288" i="4" l="1"/>
  <c r="AP208" i="4"/>
  <c r="BP339" i="4"/>
  <c r="W226" i="4"/>
  <c r="AY225" i="4"/>
  <c r="AX225" i="4"/>
  <c r="BQ300" i="4"/>
  <c r="BP337" i="4"/>
  <c r="BH342" i="4"/>
  <c r="AP257" i="4"/>
  <c r="AO257" i="4"/>
  <c r="AA221" i="4"/>
  <c r="AC221" i="4"/>
  <c r="X221" i="4" l="1"/>
  <c r="W221" i="4"/>
  <c r="AS317" i="4"/>
  <c r="AO317" i="4" s="1"/>
  <c r="AU317" i="4"/>
  <c r="AJ325" i="4"/>
  <c r="AL325" i="4"/>
  <c r="AG325" i="4" s="1"/>
  <c r="AU249" i="4"/>
  <c r="AS249" i="4"/>
  <c r="AA320" i="4"/>
  <c r="K265" i="4"/>
  <c r="AP317" i="4" l="1"/>
  <c r="AF325" i="4"/>
  <c r="AP249" i="4"/>
  <c r="AO249" i="4"/>
  <c r="AS287" i="4"/>
  <c r="AO287" i="4"/>
  <c r="AU287" i="4"/>
  <c r="AP287" i="4" s="1"/>
  <c r="BT287" i="4"/>
  <c r="AJ302" i="4"/>
  <c r="AL302" i="4"/>
  <c r="AA302" i="4"/>
  <c r="BT256" i="4"/>
  <c r="AA256" i="4"/>
  <c r="BB255" i="4"/>
  <c r="AX255" i="4" s="1"/>
  <c r="BD255" i="4"/>
  <c r="AJ273" i="4"/>
  <c r="AF273" i="4" s="1"/>
  <c r="AL273" i="4"/>
  <c r="AA283" i="4"/>
  <c r="BT315" i="4"/>
  <c r="BV315" i="4"/>
  <c r="AG302" i="4" l="1"/>
  <c r="AF302" i="4"/>
  <c r="AY255" i="4"/>
  <c r="AG273" i="4"/>
  <c r="BP315" i="4"/>
  <c r="BQ315" i="4"/>
  <c r="BQ204" i="4"/>
  <c r="BP204" i="4"/>
  <c r="BT204" i="4"/>
  <c r="N2491" i="4" l="1"/>
  <c r="AP2429" i="4" l="1"/>
  <c r="AO2429" i="4"/>
  <c r="AS2473" i="4"/>
  <c r="AU2473" i="4"/>
  <c r="AT2473" i="4"/>
  <c r="AO2473" i="4" s="1"/>
  <c r="AP2473" i="4" l="1"/>
  <c r="BV142" i="4"/>
  <c r="BT142" i="4"/>
  <c r="BP142" i="4" s="1"/>
  <c r="BQ142" i="4" l="1"/>
  <c r="AM18" i="4"/>
  <c r="AO18" i="4" s="1"/>
  <c r="AF18" i="4"/>
  <c r="AG18" i="4" s="1"/>
  <c r="AD18" i="4"/>
  <c r="AE18" i="4" s="1"/>
  <c r="W18" i="4"/>
  <c r="X18" i="4" s="1"/>
  <c r="V18" i="4"/>
  <c r="Q18" i="4"/>
  <c r="AS648" i="4"/>
  <c r="AP648" i="4" s="1"/>
  <c r="AR2491" i="4"/>
  <c r="AU2491" i="4"/>
  <c r="AN18" i="4" l="1"/>
  <c r="AP18" i="4"/>
  <c r="AP2491" i="4"/>
  <c r="AO648" i="4"/>
  <c r="AO2491" i="4"/>
  <c r="BV123" i="4"/>
  <c r="BT123" i="4"/>
  <c r="BP123" i="4" s="1"/>
  <c r="AS122" i="4"/>
  <c r="AU122" i="4"/>
  <c r="AA143" i="4"/>
  <c r="AA141" i="4"/>
  <c r="AC141" i="4"/>
  <c r="X141" i="4" s="1"/>
  <c r="BV140" i="4"/>
  <c r="BT140" i="4"/>
  <c r="BQ140" i="4" s="1"/>
  <c r="AU140" i="4"/>
  <c r="AS140" i="4"/>
  <c r="AC140" i="4"/>
  <c r="AA140" i="4"/>
  <c r="X140" i="4" s="1"/>
  <c r="BK119" i="4"/>
  <c r="BM119" i="4"/>
  <c r="AS17" i="4"/>
  <c r="AU17" i="4"/>
  <c r="AS109" i="4"/>
  <c r="AO109" i="4" s="1"/>
  <c r="AU109" i="4"/>
  <c r="T109" i="4"/>
  <c r="BK380" i="4"/>
  <c r="BM380" i="4"/>
  <c r="BK376" i="4"/>
  <c r="BM376" i="4"/>
  <c r="AS376" i="4"/>
  <c r="AU376" i="4"/>
  <c r="BQ123" i="4" l="1"/>
  <c r="AP17" i="4"/>
  <c r="AP140" i="4"/>
  <c r="AP122" i="4"/>
  <c r="AO122" i="4"/>
  <c r="W141" i="4"/>
  <c r="BP140" i="4"/>
  <c r="AO140" i="4"/>
  <c r="W140" i="4"/>
  <c r="BH119" i="4"/>
  <c r="BG119" i="4"/>
  <c r="AP109" i="4"/>
  <c r="AO17" i="4"/>
  <c r="AP376" i="4"/>
  <c r="BH380" i="4"/>
  <c r="BG380" i="4"/>
  <c r="BH376" i="4"/>
  <c r="BG376" i="4"/>
  <c r="AO376" i="4"/>
  <c r="P149" i="4"/>
  <c r="AU2678" i="4" l="1"/>
  <c r="AR2678" i="4"/>
  <c r="AS2530" i="4"/>
  <c r="AO2530" i="4" s="1"/>
  <c r="AJ2530" i="4"/>
  <c r="AG2530" i="4"/>
  <c r="AS2512" i="4"/>
  <c r="AR2507" i="4"/>
  <c r="AP2507" i="4" s="1"/>
  <c r="AR2397" i="4"/>
  <c r="AO2397" i="4" s="1"/>
  <c r="AP2397" i="4" s="1"/>
  <c r="AU2397" i="4"/>
  <c r="AS2424" i="4"/>
  <c r="AO2424" i="4" s="1"/>
  <c r="AU2424" i="4"/>
  <c r="AU385" i="4"/>
  <c r="AR385" i="4"/>
  <c r="AP385" i="4" s="1"/>
  <c r="AR167" i="4"/>
  <c r="AR657" i="4"/>
  <c r="AO657" i="4" s="1"/>
  <c r="AP657" i="4" s="1"/>
  <c r="AU657" i="4"/>
  <c r="BA630" i="4"/>
  <c r="BD630" i="4"/>
  <c r="AM629" i="4"/>
  <c r="AN629" i="4" s="1"/>
  <c r="AS412" i="4"/>
  <c r="AP412" i="4" s="1"/>
  <c r="AU384" i="4"/>
  <c r="AR384" i="4"/>
  <c r="AN196" i="4"/>
  <c r="AM196" i="4"/>
  <c r="AR196" i="4" s="1"/>
  <c r="AP2530" i="4" l="1"/>
  <c r="AP2678" i="4"/>
  <c r="AP384" i="4"/>
  <c r="AY630" i="4"/>
  <c r="AO385" i="4"/>
  <c r="AO2678" i="4"/>
  <c r="AF2530" i="4"/>
  <c r="AO2507" i="4"/>
  <c r="AP2424" i="4"/>
  <c r="AX630" i="4"/>
  <c r="AR629" i="4"/>
  <c r="AO412" i="4"/>
  <c r="AO384" i="4"/>
  <c r="AP196" i="4"/>
  <c r="AO196" i="4"/>
  <c r="AO629" i="4" l="1"/>
  <c r="AP629" i="4"/>
  <c r="AR161" i="4" l="1"/>
  <c r="AP161" i="4" s="1"/>
  <c r="AO158" i="4"/>
  <c r="AP158" i="4" s="1"/>
  <c r="AM152" i="4"/>
  <c r="AP152" i="4" s="1"/>
  <c r="AI152" i="4"/>
  <c r="AF152" i="4"/>
  <c r="U152" i="4"/>
  <c r="AP81" i="4"/>
  <c r="AO81" i="4"/>
  <c r="AN61" i="4"/>
  <c r="AS61" i="4" s="1"/>
  <c r="AE61" i="4"/>
  <c r="AJ61" i="4" s="1"/>
  <c r="AU37" i="4"/>
  <c r="AR37" i="4"/>
  <c r="AP37" i="4" s="1"/>
  <c r="AO37" i="4"/>
  <c r="AR30" i="4"/>
  <c r="AP30" i="4" s="1"/>
  <c r="AN30" i="4"/>
  <c r="AO161" i="4" l="1"/>
  <c r="AO152" i="4"/>
  <c r="AG61" i="4"/>
  <c r="AF61" i="4"/>
  <c r="AP61" i="4"/>
  <c r="AO61" i="4"/>
  <c r="AO30" i="4"/>
  <c r="T92" i="4"/>
  <c r="P92" i="4"/>
  <c r="Q92" i="4" s="1"/>
  <c r="M92" i="4"/>
  <c r="N92" i="4" s="1"/>
  <c r="K92" i="4"/>
  <c r="H92" i="4"/>
  <c r="AC2423" i="4" l="1"/>
  <c r="AA2423" i="4"/>
  <c r="W2423" i="4"/>
  <c r="AA2413" i="4"/>
  <c r="W2413" i="4" s="1"/>
  <c r="AC2413" i="4"/>
  <c r="AA2410" i="4"/>
  <c r="W2410" i="4" s="1"/>
  <c r="AC2410" i="4"/>
  <c r="AA2408" i="4"/>
  <c r="W2408" i="4" s="1"/>
  <c r="AC2408" i="4"/>
  <c r="AU2405" i="4"/>
  <c r="AS2405" i="4"/>
  <c r="AO2405" i="4"/>
  <c r="AC2679" i="4"/>
  <c r="AA2679" i="4"/>
  <c r="AS2550" i="4"/>
  <c r="AO2550" i="4" s="1"/>
  <c r="AU2550" i="4"/>
  <c r="BS676" i="4"/>
  <c r="AR676" i="4"/>
  <c r="AA674" i="4"/>
  <c r="BV674" i="4"/>
  <c r="BS674" i="4"/>
  <c r="BP674" i="4" s="1"/>
  <c r="AR678" i="4"/>
  <c r="AO678" i="4" s="1"/>
  <c r="AU678" i="4"/>
  <c r="AS2359" i="4"/>
  <c r="AU2387" i="4"/>
  <c r="AS2387" i="4"/>
  <c r="AC2363" i="4"/>
  <c r="AA2363" i="4"/>
  <c r="AS2238" i="4"/>
  <c r="AO2238" i="4" s="1"/>
  <c r="AU2238" i="4"/>
  <c r="AP2238" i="4" s="1"/>
  <c r="AS2012" i="4"/>
  <c r="BK68" i="4"/>
  <c r="BG68" i="4" s="1"/>
  <c r="BM68" i="4"/>
  <c r="AS68" i="4"/>
  <c r="AA68" i="4"/>
  <c r="BV666" i="4"/>
  <c r="BV661" i="4"/>
  <c r="AS651" i="4"/>
  <c r="AO651" i="4" s="1"/>
  <c r="AU651" i="4"/>
  <c r="AS649" i="4"/>
  <c r="AS2519" i="4"/>
  <c r="AO2519" i="4" s="1"/>
  <c r="AU2519" i="4"/>
  <c r="AP2519" i="4"/>
  <c r="AS638" i="4"/>
  <c r="AU638" i="4"/>
  <c r="AU1935" i="4"/>
  <c r="AS1935" i="4"/>
  <c r="AO1935" i="4"/>
  <c r="BT1926" i="4"/>
  <c r="BP1926" i="4" s="1"/>
  <c r="AU1926" i="4"/>
  <c r="AS1926" i="4"/>
  <c r="AP1926" i="4" s="1"/>
  <c r="AL625" i="4"/>
  <c r="N625" i="4"/>
  <c r="AJ625" i="4" s="1"/>
  <c r="AS499" i="4"/>
  <c r="AS1703" i="4"/>
  <c r="AU1703" i="4"/>
  <c r="AU1205" i="4"/>
  <c r="AS1205" i="4"/>
  <c r="AO1205" i="4"/>
  <c r="BH68" i="4" l="1"/>
  <c r="AP678" i="4"/>
  <c r="AP638" i="4"/>
  <c r="AP2405" i="4"/>
  <c r="AP1205" i="4"/>
  <c r="AP651" i="4"/>
  <c r="AP2387" i="4"/>
  <c r="AO638" i="4"/>
  <c r="X2423" i="4"/>
  <c r="AP1935" i="4"/>
  <c r="AO1926" i="4"/>
  <c r="AP1703" i="4"/>
  <c r="AG625" i="4"/>
  <c r="AF625" i="4"/>
  <c r="X2363" i="4"/>
  <c r="AO68" i="4"/>
  <c r="AO1703" i="4"/>
  <c r="AO2387" i="4"/>
  <c r="X2679" i="4"/>
  <c r="X2413" i="4"/>
  <c r="X2410" i="4"/>
  <c r="X2408" i="4"/>
  <c r="W2679" i="4"/>
  <c r="AP2550" i="4"/>
  <c r="BQ674" i="4"/>
  <c r="W2363" i="4"/>
  <c r="BQ1926" i="4"/>
  <c r="AS421" i="4"/>
  <c r="AU414" i="4"/>
  <c r="AS414" i="4"/>
  <c r="BK2485" i="4"/>
  <c r="BG2485" i="4" s="1"/>
  <c r="BM2485" i="4"/>
  <c r="BT905" i="4"/>
  <c r="AS866" i="4"/>
  <c r="AO866" i="4" s="1"/>
  <c r="AU866" i="4"/>
  <c r="AJ845" i="4"/>
  <c r="AF845" i="4" s="1"/>
  <c r="AL845" i="4"/>
  <c r="BV31" i="4"/>
  <c r="BS31" i="4"/>
  <c r="AU165" i="4"/>
  <c r="AS165" i="4"/>
  <c r="AP165" i="4" s="1"/>
  <c r="BK164" i="4"/>
  <c r="BM164" i="4"/>
  <c r="AU822" i="4"/>
  <c r="AS822" i="4"/>
  <c r="AO822" i="4"/>
  <c r="BB821" i="4"/>
  <c r="BD821" i="4"/>
  <c r="AS816" i="4"/>
  <c r="AO816" i="4" s="1"/>
  <c r="AU816" i="4"/>
  <c r="AC816" i="4"/>
  <c r="AA816" i="4"/>
  <c r="W816" i="4" s="1"/>
  <c r="AS815" i="4"/>
  <c r="AO815" i="4" s="1"/>
  <c r="AU815" i="4"/>
  <c r="AA815" i="4"/>
  <c r="AR25" i="4"/>
  <c r="AL153" i="4"/>
  <c r="AJ153" i="4"/>
  <c r="AF153" i="4" s="1"/>
  <c r="AU395" i="4"/>
  <c r="AS395" i="4"/>
  <c r="AP395" i="4" s="1"/>
  <c r="BT120" i="4"/>
  <c r="BP120" i="4" s="1"/>
  <c r="BV120" i="4"/>
  <c r="BT139" i="4"/>
  <c r="BP139" i="4" s="1"/>
  <c r="BV139" i="4"/>
  <c r="AS139" i="4"/>
  <c r="AU139" i="4"/>
  <c r="BK132" i="4"/>
  <c r="BG132" i="4" s="1"/>
  <c r="BM132" i="4"/>
  <c r="AS132" i="4"/>
  <c r="AO132" i="4" s="1"/>
  <c r="AU132" i="4"/>
  <c r="BT136" i="4"/>
  <c r="BP136" i="4" s="1"/>
  <c r="BV136" i="4"/>
  <c r="AS129" i="4"/>
  <c r="BT129" i="4"/>
  <c r="AU129" i="4"/>
  <c r="AS762" i="4"/>
  <c r="AU762" i="4"/>
  <c r="AS103" i="4"/>
  <c r="AU103" i="4"/>
  <c r="AO395" i="4" l="1"/>
  <c r="AP822" i="4"/>
  <c r="AP815" i="4"/>
  <c r="BQ31" i="4"/>
  <c r="BH2485" i="4"/>
  <c r="BH164" i="4"/>
  <c r="AO165" i="4"/>
  <c r="AP762" i="4"/>
  <c r="AY821" i="4"/>
  <c r="BQ120" i="4"/>
  <c r="BH132" i="4"/>
  <c r="AG845" i="4"/>
  <c r="AP414" i="4"/>
  <c r="BP31" i="4"/>
  <c r="X816" i="4"/>
  <c r="AP103" i="4"/>
  <c r="AG153" i="4"/>
  <c r="AX821" i="4"/>
  <c r="AP129" i="4"/>
  <c r="AO129" i="4"/>
  <c r="AO414" i="4"/>
  <c r="AP866" i="4"/>
  <c r="BG164" i="4"/>
  <c r="AP816" i="4"/>
  <c r="AO762" i="4"/>
  <c r="BQ139" i="4"/>
  <c r="AP139" i="4"/>
  <c r="AO139" i="4"/>
  <c r="AP132" i="4"/>
  <c r="BQ136" i="4"/>
  <c r="AO103" i="4"/>
  <c r="AN87" i="4"/>
  <c r="AS87" i="4"/>
  <c r="AO87" i="4" s="1"/>
  <c r="AU87" i="4"/>
  <c r="AP87" i="4" l="1"/>
  <c r="S81" i="4"/>
  <c r="P81" i="4"/>
  <c r="M81" i="4"/>
  <c r="J81" i="4"/>
  <c r="G81" i="4"/>
  <c r="AJ228" i="4" l="1"/>
  <c r="AL228" i="4"/>
  <c r="AL309" i="4"/>
  <c r="AJ309" i="4"/>
  <c r="BK268" i="4"/>
  <c r="BG268" i="4" s="1"/>
  <c r="BM268" i="4"/>
  <c r="AU361" i="4"/>
  <c r="AS361" i="4"/>
  <c r="BD260" i="4"/>
  <c r="BB260" i="4"/>
  <c r="AG309" i="4" l="1"/>
  <c r="AY260" i="4"/>
  <c r="BH268" i="4"/>
  <c r="AP361" i="4"/>
  <c r="AG228" i="4"/>
  <c r="AX260" i="4"/>
  <c r="AF228" i="4"/>
  <c r="AF309" i="4"/>
  <c r="AO361" i="4"/>
  <c r="K332" i="4"/>
  <c r="BT230" i="4" l="1"/>
  <c r="BQ230" i="4" s="1"/>
  <c r="BV230" i="4"/>
  <c r="BP230" i="4" l="1"/>
  <c r="BT289" i="4"/>
  <c r="BQ289" i="4" s="1"/>
  <c r="BV289" i="4"/>
  <c r="BP289" i="4" s="1"/>
  <c r="BT338" i="4"/>
  <c r="BV338" i="4"/>
  <c r="BB338" i="4"/>
  <c r="AX338" i="4" s="1"/>
  <c r="BD338" i="4"/>
  <c r="AL225" i="4"/>
  <c r="AJ225" i="4"/>
  <c r="AF225" i="4" s="1"/>
  <c r="AS267" i="4"/>
  <c r="AU267" i="4"/>
  <c r="Q267" i="4"/>
  <c r="AL318" i="4"/>
  <c r="AJ318" i="4"/>
  <c r="AF318" i="4" s="1"/>
  <c r="AR207" i="4"/>
  <c r="AO207" i="4" s="1"/>
  <c r="AU207" i="4"/>
  <c r="AJ207" i="4"/>
  <c r="AL207" i="4"/>
  <c r="BT207" i="4"/>
  <c r="BP207" i="4" s="1"/>
  <c r="BV207" i="4"/>
  <c r="BT206" i="4"/>
  <c r="BV206" i="4"/>
  <c r="AS221" i="4"/>
  <c r="AO221" i="4" s="1"/>
  <c r="AU221" i="4"/>
  <c r="BT330" i="4"/>
  <c r="AY338" i="4" l="1"/>
  <c r="AG225" i="4"/>
  <c r="BP338" i="4"/>
  <c r="BQ207" i="4"/>
  <c r="AG318" i="4"/>
  <c r="BQ338" i="4"/>
  <c r="BQ206" i="4"/>
  <c r="AG207" i="4"/>
  <c r="AP267" i="4"/>
  <c r="AO267" i="4"/>
  <c r="BP206" i="4"/>
  <c r="AF207" i="4"/>
  <c r="AP207" i="4"/>
  <c r="AP221" i="4"/>
  <c r="BV586" i="4"/>
  <c r="BV585" i="4"/>
  <c r="BV584" i="4"/>
  <c r="BV583" i="4"/>
  <c r="BV582" i="4"/>
  <c r="BV581" i="4"/>
  <c r="BV580" i="4"/>
  <c r="BV579" i="4"/>
  <c r="BV578" i="4"/>
  <c r="BV577" i="4"/>
  <c r="BV576" i="4"/>
  <c r="BV575" i="4"/>
  <c r="BV574" i="4"/>
  <c r="BV573" i="4"/>
  <c r="BV572" i="4"/>
  <c r="BV571" i="4"/>
  <c r="BV570" i="4"/>
  <c r="BV569" i="4"/>
  <c r="BV568" i="4"/>
  <c r="BV567" i="4"/>
  <c r="BV566" i="4"/>
  <c r="BV565" i="4"/>
  <c r="BV564" i="4"/>
  <c r="BV563" i="4"/>
  <c r="BV562" i="4"/>
  <c r="BV561" i="4"/>
  <c r="BV560" i="4"/>
  <c r="BV559" i="4"/>
  <c r="BV558" i="4"/>
  <c r="BV557" i="4"/>
  <c r="BV556" i="4"/>
  <c r="BV554" i="4"/>
  <c r="BV553" i="4"/>
  <c r="BV552" i="4"/>
  <c r="BV551" i="4"/>
  <c r="BV550" i="4"/>
  <c r="BV549" i="4"/>
  <c r="BV548" i="4"/>
  <c r="BV547" i="4"/>
  <c r="BV546" i="4"/>
  <c r="BV545" i="4"/>
  <c r="BV544" i="4"/>
  <c r="BV543" i="4"/>
  <c r="BV542" i="4"/>
  <c r="BV541" i="4"/>
  <c r="BV540" i="4"/>
  <c r="BV539" i="4"/>
  <c r="BV538" i="4"/>
  <c r="BV537" i="4"/>
  <c r="BV536" i="4"/>
  <c r="BV535" i="4"/>
  <c r="BV534" i="4"/>
  <c r="BV533" i="4"/>
  <c r="BV532" i="4"/>
  <c r="BV531" i="4"/>
  <c r="BV530" i="4"/>
  <c r="BV529" i="4"/>
  <c r="BV528" i="4"/>
  <c r="BV527" i="4"/>
  <c r="BV526" i="4"/>
  <c r="BV525" i="4"/>
  <c r="BV524" i="4"/>
  <c r="BV523" i="4"/>
  <c r="BV522" i="4"/>
  <c r="BV521" i="4"/>
  <c r="BV520" i="4"/>
  <c r="BV519" i="4"/>
  <c r="BV518" i="4"/>
  <c r="BV517" i="4"/>
  <c r="BV516" i="4"/>
  <c r="BV515" i="4"/>
  <c r="BV514" i="4"/>
  <c r="BV513" i="4"/>
  <c r="BV512" i="4"/>
  <c r="BV511" i="4"/>
  <c r="BV510" i="4"/>
  <c r="BV509" i="4"/>
  <c r="BV508" i="4"/>
  <c r="BV507" i="4"/>
  <c r="BV506" i="4"/>
  <c r="BV505" i="4"/>
  <c r="BV504" i="4"/>
  <c r="BV503" i="4"/>
  <c r="BV502" i="4"/>
  <c r="BV501" i="4"/>
  <c r="BV500" i="4"/>
  <c r="BV499" i="4"/>
  <c r="BV498" i="4"/>
  <c r="BV497" i="4"/>
  <c r="BV496" i="4"/>
  <c r="BV495" i="4"/>
  <c r="BV494" i="4"/>
  <c r="BV493" i="4"/>
  <c r="BV492" i="4"/>
  <c r="BV491" i="4"/>
  <c r="BV490" i="4"/>
  <c r="BV489" i="4"/>
  <c r="BV488" i="4"/>
  <c r="BV487" i="4"/>
  <c r="BV486" i="4"/>
  <c r="BV485" i="4"/>
  <c r="BV484" i="4"/>
  <c r="BV483" i="4"/>
  <c r="BV482" i="4"/>
  <c r="BV481" i="4"/>
  <c r="BV480" i="4"/>
  <c r="BV479" i="4"/>
  <c r="BV478" i="4"/>
  <c r="BV477" i="4"/>
  <c r="BV475" i="4"/>
  <c r="BV474" i="4"/>
  <c r="BV476" i="4" l="1"/>
  <c r="BV473" i="4"/>
  <c r="BV472" i="4"/>
  <c r="BV471" i="4"/>
  <c r="BV470" i="4"/>
  <c r="BV469" i="4"/>
  <c r="BV468" i="4"/>
  <c r="BV467" i="4"/>
  <c r="BV466" i="4"/>
  <c r="BV465" i="4"/>
  <c r="BV464" i="4"/>
  <c r="BV463" i="4"/>
  <c r="BV462" i="4"/>
  <c r="BV461" i="4"/>
  <c r="BV460" i="4"/>
  <c r="BV459" i="4"/>
  <c r="BV458" i="4"/>
  <c r="BV457" i="4"/>
  <c r="BV456" i="4"/>
  <c r="BV455" i="4"/>
  <c r="BV454" i="4"/>
  <c r="BV453" i="4"/>
  <c r="BV452" i="4"/>
  <c r="BV451" i="4"/>
  <c r="BV450" i="4"/>
  <c r="BV449" i="4"/>
  <c r="BV448" i="4"/>
  <c r="BV447" i="4"/>
  <c r="BV446" i="4"/>
  <c r="BV445" i="4"/>
  <c r="BV444" i="4"/>
  <c r="BV443" i="4"/>
  <c r="BV442" i="4"/>
  <c r="BV441" i="4"/>
  <c r="BV440" i="4"/>
  <c r="BV439" i="4"/>
  <c r="BV438" i="4"/>
  <c r="BV437" i="4"/>
  <c r="BV436" i="4"/>
  <c r="BV435" i="4"/>
  <c r="BV434" i="4"/>
  <c r="BV433" i="4"/>
  <c r="BV432" i="4"/>
  <c r="BV431" i="4"/>
  <c r="BV430" i="4"/>
  <c r="BV429" i="4"/>
  <c r="BV287" i="4" l="1"/>
  <c r="AU246" i="4"/>
  <c r="AS246" i="4"/>
  <c r="AO246" i="4" s="1"/>
  <c r="AA242" i="4"/>
  <c r="W242" i="4" s="1"/>
  <c r="AC242" i="4"/>
  <c r="AL292" i="4"/>
  <c r="AJ292" i="4"/>
  <c r="AF292" i="4" s="1"/>
  <c r="BK2417" i="4"/>
  <c r="BG2417" i="4" s="1"/>
  <c r="BM2417" i="4"/>
  <c r="AU2416" i="4"/>
  <c r="AS2416" i="4"/>
  <c r="AA2416" i="4"/>
  <c r="W2416" i="4" s="1"/>
  <c r="AC2416" i="4"/>
  <c r="AJ2416" i="4"/>
  <c r="AF2416" i="4" s="1"/>
  <c r="AL2416" i="4"/>
  <c r="P79" i="4"/>
  <c r="AR79" i="4" s="1"/>
  <c r="AO79" i="4" s="1"/>
  <c r="AU79" i="4"/>
  <c r="AU2547" i="4"/>
  <c r="AS2547" i="4"/>
  <c r="AO2547" i="4" s="1"/>
  <c r="AU2549" i="4"/>
  <c r="AS2549" i="4"/>
  <c r="AO2549" i="4" s="1"/>
  <c r="AP2416" i="4" l="1"/>
  <c r="AP2547" i="4"/>
  <c r="AP246" i="4"/>
  <c r="AP2549" i="4"/>
  <c r="AO2416" i="4"/>
  <c r="BH2417" i="4"/>
  <c r="Q79" i="4"/>
  <c r="AG292" i="4"/>
  <c r="BP287" i="4"/>
  <c r="BQ287" i="4"/>
  <c r="X242" i="4"/>
  <c r="X2416" i="4"/>
  <c r="AG2416" i="4"/>
  <c r="AP79" i="4"/>
  <c r="K2677" i="4"/>
  <c r="H2677" i="4"/>
  <c r="T2664" i="4"/>
  <c r="Q2664" i="4"/>
  <c r="K2664" i="4"/>
  <c r="H2664" i="4"/>
  <c r="Q2654" i="4"/>
  <c r="N2654" i="4"/>
  <c r="AR2654" i="4" s="1"/>
  <c r="AM2654" i="4" s="1"/>
  <c r="AI2652" i="4"/>
  <c r="AG2652" i="4" s="1"/>
  <c r="N2652" i="4"/>
  <c r="K2652" i="4"/>
  <c r="AO2512" i="4"/>
  <c r="G2473" i="4"/>
  <c r="AP2428" i="4"/>
  <c r="AO2428" i="4" s="1"/>
  <c r="S2428" i="4"/>
  <c r="P2428" i="4"/>
  <c r="AM689" i="4"/>
  <c r="AR689" i="4" s="1"/>
  <c r="H689" i="4"/>
  <c r="K689" i="4"/>
  <c r="N689" i="4"/>
  <c r="N686" i="4"/>
  <c r="J686" i="4"/>
  <c r="G686" i="4"/>
  <c r="Q685" i="4"/>
  <c r="N685" i="4"/>
  <c r="K685" i="4"/>
  <c r="G685" i="4"/>
  <c r="H685" i="4" s="1"/>
  <c r="AN681" i="4"/>
  <c r="AS681" i="4" s="1"/>
  <c r="N643" i="4"/>
  <c r="M643" i="4"/>
  <c r="H643" i="4"/>
  <c r="G643" i="4"/>
  <c r="AN632" i="4"/>
  <c r="AS632" i="4" s="1"/>
  <c r="P622" i="4"/>
  <c r="K622" i="4"/>
  <c r="Q411" i="4"/>
  <c r="N411" i="4"/>
  <c r="J411" i="4"/>
  <c r="G411" i="4"/>
  <c r="AP159" i="4"/>
  <c r="AG159" i="4"/>
  <c r="AF159" i="4"/>
  <c r="M201" i="4"/>
  <c r="J201" i="4"/>
  <c r="G201" i="4"/>
  <c r="N192" i="4"/>
  <c r="K192" i="4"/>
  <c r="AR172" i="4"/>
  <c r="AO172" i="4" s="1"/>
  <c r="H172" i="4"/>
  <c r="AU167" i="4"/>
  <c r="AN167" i="4"/>
  <c r="N159" i="4"/>
  <c r="K159" i="4"/>
  <c r="H159" i="4"/>
  <c r="M91" i="4"/>
  <c r="N91" i="4" s="1"/>
  <c r="J91" i="4"/>
  <c r="K91" i="4" s="1"/>
  <c r="Q89" i="4"/>
  <c r="K89" i="4"/>
  <c r="P76" i="4"/>
  <c r="M76" i="4"/>
  <c r="J76" i="4"/>
  <c r="G76" i="4"/>
  <c r="P64" i="4"/>
  <c r="Q64" i="4" s="1"/>
  <c r="N64" i="4"/>
  <c r="K64" i="4"/>
  <c r="H64" i="4"/>
  <c r="AP59" i="4"/>
  <c r="AO59" i="4"/>
  <c r="AN59" i="4"/>
  <c r="AG59" i="4"/>
  <c r="AF59" i="4"/>
  <c r="AE59" i="4"/>
  <c r="AP2654" i="4" l="1"/>
  <c r="AO2654" i="4"/>
  <c r="M686" i="4"/>
  <c r="AR686" i="4"/>
  <c r="AO686" i="4" s="1"/>
  <c r="AP686" i="4" s="1"/>
  <c r="AP2512" i="4"/>
  <c r="AF2652" i="4"/>
  <c r="AP167" i="4"/>
  <c r="AP172" i="4"/>
  <c r="AO689" i="4"/>
  <c r="AP689" i="4"/>
  <c r="AO167" i="4"/>
  <c r="AP681" i="4"/>
  <c r="AO681" i="4"/>
  <c r="AP632" i="4"/>
  <c r="AO632" i="4"/>
  <c r="Q47" i="4" l="1"/>
  <c r="N47" i="4"/>
  <c r="K47" i="4"/>
  <c r="H47" i="4"/>
  <c r="M35" i="4"/>
  <c r="K35" i="4"/>
  <c r="H35" i="4"/>
  <c r="Q34" i="4"/>
  <c r="M18" i="4"/>
  <c r="N18" i="4" s="1"/>
  <c r="J18" i="4"/>
  <c r="K18" i="4" s="1"/>
  <c r="G18" i="4"/>
  <c r="H18" i="4" s="1"/>
  <c r="P171" i="4" l="1"/>
  <c r="M171" i="4"/>
  <c r="J171" i="4"/>
  <c r="H171" i="4"/>
  <c r="Q385" i="4" l="1"/>
  <c r="N385" i="4"/>
  <c r="K385" i="4"/>
  <c r="H385" i="4"/>
  <c r="N95" i="4" l="1"/>
  <c r="Q95" i="4"/>
  <c r="AS2493" i="4" l="1"/>
  <c r="AO2493" i="4" s="1"/>
  <c r="AP2493" i="4" l="1"/>
  <c r="K160" i="4"/>
  <c r="T809" i="4" l="1"/>
  <c r="Q926" i="4"/>
  <c r="AC2354" i="4" l="1"/>
  <c r="AA2354" i="4"/>
  <c r="W2354" i="4" s="1"/>
  <c r="N175" i="4"/>
  <c r="T901" i="4"/>
  <c r="N1006" i="4"/>
  <c r="X2354" i="4" l="1"/>
  <c r="Z355" i="4"/>
  <c r="W355" i="4" s="1"/>
  <c r="Z373" i="4"/>
  <c r="W373" i="4" s="1"/>
  <c r="AC373" i="4"/>
  <c r="AR370" i="4"/>
  <c r="AC2515" i="4"/>
  <c r="AA2515" i="4"/>
  <c r="AU1924" i="4"/>
  <c r="AS1924" i="4"/>
  <c r="AU127" i="4"/>
  <c r="AS127" i="4"/>
  <c r="AA2067" i="4"/>
  <c r="W2067" i="4" s="1"/>
  <c r="AS2067" i="4"/>
  <c r="AO2067" i="4" s="1"/>
  <c r="AP2067" i="4" s="1"/>
  <c r="AS696" i="4"/>
  <c r="AO696" i="4" s="1"/>
  <c r="AS922" i="4"/>
  <c r="AO922" i="4" s="1"/>
  <c r="AU922" i="4"/>
  <c r="AU696" i="4"/>
  <c r="AP127" i="4" l="1"/>
  <c r="X2515" i="4"/>
  <c r="AP1924" i="4"/>
  <c r="AO127" i="4"/>
  <c r="AO1924" i="4"/>
  <c r="AO370" i="4"/>
  <c r="X373" i="4"/>
  <c r="W2515" i="4"/>
  <c r="AP696" i="4"/>
  <c r="AP922" i="4"/>
  <c r="Q412" i="4"/>
  <c r="N412" i="4"/>
  <c r="K412" i="4"/>
  <c r="H412" i="4"/>
  <c r="AA1966" i="4" l="1"/>
  <c r="W1966" i="4" s="1"/>
  <c r="AC1966" i="4"/>
  <c r="X1966" i="4" l="1"/>
  <c r="AS1950" i="4"/>
  <c r="AU1950" i="4"/>
  <c r="AA953" i="4"/>
  <c r="X953" i="4" s="1"/>
  <c r="AP1950" i="4" l="1"/>
  <c r="W953" i="4"/>
  <c r="AO1950" i="4"/>
  <c r="P647" i="4"/>
  <c r="K647" i="4"/>
  <c r="J647" i="4" s="1"/>
  <c r="T373" i="4"/>
  <c r="T367" i="4"/>
  <c r="AG162" i="4" l="1"/>
  <c r="AF162" i="4"/>
  <c r="Q367" i="4" l="1"/>
  <c r="N367" i="4"/>
  <c r="K367" i="4"/>
  <c r="H367" i="4"/>
  <c r="P84" i="4" l="1"/>
  <c r="Q84" i="4" s="1"/>
  <c r="U34" i="4" l="1"/>
  <c r="H7" i="4" l="1"/>
  <c r="H16" i="4"/>
  <c r="J22" i="4"/>
  <c r="H24" i="4"/>
  <c r="K24" i="4"/>
  <c r="N24" i="4"/>
  <c r="Q24" i="4"/>
  <c r="G27" i="4"/>
  <c r="K27" i="4"/>
  <c r="N27" i="4"/>
  <c r="Q27" i="4"/>
  <c r="H28" i="4"/>
  <c r="K28" i="4"/>
  <c r="N28" i="4"/>
  <c r="J33" i="4"/>
  <c r="H41" i="4"/>
  <c r="K41" i="4"/>
  <c r="N41" i="4"/>
  <c r="G42" i="4"/>
  <c r="K44" i="4"/>
  <c r="M44" i="4"/>
  <c r="J60" i="4"/>
  <c r="K60" i="4"/>
  <c r="G61" i="4"/>
  <c r="K61" i="4"/>
  <c r="J61" i="4" s="1"/>
  <c r="G62" i="4"/>
  <c r="J62" i="4"/>
  <c r="M62" i="4"/>
  <c r="G63" i="4"/>
  <c r="N71" i="4"/>
  <c r="Q71" i="4"/>
  <c r="K72" i="4"/>
  <c r="H80" i="4"/>
  <c r="K80" i="4"/>
  <c r="N80" i="4"/>
  <c r="M84" i="4"/>
  <c r="Q94" i="4"/>
  <c r="N106" i="4"/>
  <c r="H115" i="4"/>
  <c r="Q124" i="4"/>
  <c r="N134" i="4"/>
  <c r="N147" i="4"/>
  <c r="M160" i="4"/>
  <c r="P160" i="4"/>
  <c r="N161" i="4"/>
  <c r="K166" i="4"/>
  <c r="G168" i="4"/>
  <c r="K168" i="4"/>
  <c r="N168" i="4" s="1"/>
  <c r="G169" i="4"/>
  <c r="J169" i="4"/>
  <c r="K193" i="4"/>
  <c r="N193" i="4"/>
  <c r="M196" i="4"/>
  <c r="Q196" i="4"/>
  <c r="P210" i="4"/>
  <c r="G241" i="4"/>
  <c r="J241" i="4"/>
  <c r="M241" i="4"/>
  <c r="N251" i="4"/>
  <c r="Q251" i="4"/>
  <c r="N294" i="4"/>
  <c r="Q294" i="4"/>
  <c r="K305" i="4"/>
  <c r="N307" i="4"/>
  <c r="Q347" i="4"/>
  <c r="T347" i="4" s="1"/>
  <c r="Q356" i="4"/>
  <c r="K351" i="4"/>
  <c r="Q353" i="4"/>
  <c r="Q321" i="4"/>
  <c r="T321" i="4" s="1"/>
  <c r="N332" i="4"/>
  <c r="N365" i="4"/>
  <c r="K369" i="4"/>
  <c r="Q370" i="4"/>
  <c r="Q374" i="4"/>
  <c r="T374" i="4" s="1"/>
  <c r="Q376" i="4"/>
  <c r="J382" i="4"/>
  <c r="H384" i="4"/>
  <c r="K384" i="4"/>
  <c r="M384" i="4"/>
  <c r="P384" i="4"/>
  <c r="G386" i="4"/>
  <c r="H386" i="4"/>
  <c r="J386" i="4"/>
  <c r="K386" i="4"/>
  <c r="M386" i="4"/>
  <c r="N386" i="4"/>
  <c r="Q402" i="4"/>
  <c r="K621" i="4"/>
  <c r="N621" i="4"/>
  <c r="K417" i="4"/>
  <c r="N417" i="4"/>
  <c r="Q417" i="4"/>
  <c r="Q625" i="4"/>
  <c r="H629" i="4"/>
  <c r="K629" i="4"/>
  <c r="N629" i="4"/>
  <c r="P629" i="4"/>
  <c r="J634" i="4"/>
  <c r="M634" i="4"/>
  <c r="H644" i="4"/>
  <c r="K644" i="4"/>
  <c r="K646" i="4"/>
  <c r="K648" i="4"/>
  <c r="H655" i="4"/>
  <c r="N655" i="4"/>
  <c r="P655" i="4"/>
  <c r="G656" i="4"/>
  <c r="J656" i="4"/>
  <c r="N656" i="4"/>
  <c r="P656" i="4"/>
  <c r="Q663" i="4"/>
  <c r="Q668" i="4"/>
  <c r="Q695" i="4"/>
  <c r="K711" i="4"/>
  <c r="K712" i="4"/>
  <c r="K715" i="4"/>
  <c r="Q829" i="4"/>
  <c r="H873" i="4"/>
  <c r="H875" i="4"/>
  <c r="N885" i="4"/>
  <c r="K889" i="4"/>
  <c r="Q894" i="4"/>
  <c r="Q901" i="4"/>
  <c r="Q928" i="4"/>
  <c r="Q951" i="4"/>
  <c r="N985" i="4"/>
  <c r="N1015" i="4"/>
  <c r="N1016" i="4"/>
  <c r="Q1086" i="4"/>
  <c r="H1347" i="4"/>
  <c r="N1474" i="4"/>
  <c r="K1763" i="4"/>
  <c r="H1925" i="4"/>
  <c r="T1925" i="4" s="1"/>
  <c r="K1951" i="4"/>
  <c r="N1970" i="4"/>
  <c r="N2002" i="4"/>
  <c r="Q2002" i="4"/>
  <c r="Q2067" i="4"/>
  <c r="N2355" i="4"/>
  <c r="Q2398" i="4"/>
  <c r="N2399" i="4"/>
  <c r="Q2402" i="4"/>
  <c r="N2411" i="4"/>
  <c r="P2425" i="4"/>
  <c r="Q2465" i="4"/>
  <c r="N2476" i="4"/>
  <c r="G2488" i="4"/>
  <c r="J2488" i="4"/>
  <c r="M2488" i="4"/>
  <c r="Q2514" i="4"/>
  <c r="G2527" i="4"/>
  <c r="H2527" i="4"/>
  <c r="K2538" i="4"/>
  <c r="Q2556" i="4"/>
  <c r="G2558" i="4"/>
  <c r="J2558" i="4"/>
  <c r="M2558" i="4"/>
  <c r="H2559" i="4"/>
  <c r="Q2642" i="4"/>
  <c r="H2651" i="4"/>
  <c r="K2651" i="4"/>
  <c r="K2669" i="4"/>
  <c r="Q2669" i="4"/>
  <c r="H2670" i="4"/>
  <c r="N2670" i="4"/>
  <c r="H2675" i="4"/>
  <c r="J2675" i="4"/>
  <c r="J2650" i="4" s="1"/>
  <c r="K2675" i="4"/>
  <c r="M2675" i="4"/>
  <c r="N2675" i="4"/>
  <c r="AN2675" i="4" s="1"/>
  <c r="AR2675" i="4" s="1"/>
  <c r="N2676" i="4"/>
  <c r="M2676" i="4" s="1"/>
  <c r="Q2676" i="4"/>
  <c r="G2678" i="4"/>
  <c r="Q2678" i="4"/>
  <c r="P2676" i="4" l="1"/>
  <c r="AM2676" i="4"/>
  <c r="AP2675" i="4"/>
  <c r="AO2675" i="4"/>
  <c r="G2425" i="4"/>
  <c r="K2425" i="4"/>
  <c r="M2425" i="4"/>
  <c r="Q1925" i="4"/>
  <c r="K2650" i="4"/>
  <c r="J366" i="4"/>
  <c r="H2425" i="4"/>
  <c r="N2650" i="4"/>
  <c r="J2425" i="4"/>
  <c r="N366" i="4"/>
  <c r="H366" i="4"/>
  <c r="M366" i="4"/>
  <c r="H2650" i="4"/>
  <c r="M2650" i="4"/>
  <c r="N2425" i="4"/>
  <c r="G366" i="4"/>
  <c r="J6" i="4"/>
  <c r="K6" i="4"/>
  <c r="M6" i="4"/>
  <c r="G6" i="4"/>
  <c r="Q2425" i="4"/>
  <c r="G2650" i="4"/>
  <c r="N6" i="4"/>
  <c r="H6" i="4"/>
  <c r="K382" i="4"/>
  <c r="K366" i="4" s="1"/>
  <c r="BT347" i="4"/>
  <c r="BT348" i="4"/>
  <c r="BQ348" i="4" s="1"/>
  <c r="BV348" i="4"/>
  <c r="AJ348" i="4"/>
  <c r="AF348" i="4" s="1"/>
  <c r="AL348" i="4"/>
  <c r="AL350" i="4"/>
  <c r="AJ350" i="4"/>
  <c r="AF350" i="4" s="1"/>
  <c r="AA275" i="4"/>
  <c r="W275" i="4" s="1"/>
  <c r="AC275" i="4"/>
  <c r="AR2676" i="4" l="1"/>
  <c r="AN2676" i="4"/>
  <c r="AG350" i="4"/>
  <c r="BP348" i="4"/>
  <c r="AG348" i="4"/>
  <c r="X275" i="4"/>
  <c r="AU305" i="4"/>
  <c r="BT241" i="4"/>
  <c r="BQ241" i="4" s="1"/>
  <c r="BV241" i="4"/>
  <c r="AU241" i="4"/>
  <c r="AS241" i="4"/>
  <c r="AJ291" i="4"/>
  <c r="AG291" i="4" s="1"/>
  <c r="AL314" i="4"/>
  <c r="AJ314" i="4"/>
  <c r="BT329" i="4"/>
  <c r="BV329" i="4"/>
  <c r="AL329" i="4"/>
  <c r="AJ329" i="4"/>
  <c r="AF329" i="4" s="1"/>
  <c r="AS253" i="4"/>
  <c r="AO253" i="4" s="1"/>
  <c r="AU253" i="4"/>
  <c r="AS251" i="4"/>
  <c r="AO251" i="4" s="1"/>
  <c r="AU251" i="4"/>
  <c r="AS280" i="4"/>
  <c r="AU280" i="4"/>
  <c r="AO2676" i="4" l="1"/>
  <c r="AP2676" i="4" s="1"/>
  <c r="AG314" i="4"/>
  <c r="AP280" i="4"/>
  <c r="AF291" i="4"/>
  <c r="AG329" i="4"/>
  <c r="BP241" i="4"/>
  <c r="AO280" i="4"/>
  <c r="BP329" i="4"/>
  <c r="AP241" i="4"/>
  <c r="AO241" i="4"/>
  <c r="AF314" i="4"/>
  <c r="BQ329" i="4"/>
  <c r="AP253" i="4"/>
  <c r="AP251" i="4"/>
  <c r="AT2676" i="4" l="1"/>
  <c r="AU2676" i="4" s="1"/>
  <c r="AP149" i="4"/>
  <c r="AG149" i="4"/>
  <c r="AF149" i="4"/>
  <c r="AU2513" i="4" l="1"/>
  <c r="BV1936" i="4" l="1"/>
  <c r="AS746" i="4"/>
  <c r="AO746" i="4" s="1"/>
  <c r="AU746" i="4"/>
  <c r="AU745" i="4"/>
  <c r="AS745" i="4"/>
  <c r="AO745" i="4" s="1"/>
  <c r="AS741" i="4"/>
  <c r="AO741" i="4" s="1"/>
  <c r="AU741" i="4"/>
  <c r="AU2316" i="4"/>
  <c r="AS2316" i="4"/>
  <c r="AO2316" i="4" s="1"/>
  <c r="AU1788" i="4"/>
  <c r="AS1788" i="4"/>
  <c r="AO1788" i="4" s="1"/>
  <c r="AU980" i="4"/>
  <c r="AS980" i="4"/>
  <c r="AO980" i="4" s="1"/>
  <c r="AS738" i="4"/>
  <c r="AO738" i="4" s="1"/>
  <c r="AU738" i="4"/>
  <c r="AS737" i="4"/>
  <c r="AO737" i="4" s="1"/>
  <c r="AU737" i="4"/>
  <c r="AU736" i="4"/>
  <c r="AS736" i="4"/>
  <c r="AO736" i="4" s="1"/>
  <c r="AS1698" i="4"/>
  <c r="AO1698" i="4" s="1"/>
  <c r="AU1698" i="4"/>
  <c r="AU2241" i="4"/>
  <c r="AS2241" i="4"/>
  <c r="AO2241" i="4" s="1"/>
  <c r="AU732" i="4"/>
  <c r="AS732" i="4"/>
  <c r="AO732" i="4" s="1"/>
  <c r="AS1633" i="4"/>
  <c r="AO1633" i="4" s="1"/>
  <c r="AU1633" i="4"/>
  <c r="AU2227" i="4"/>
  <c r="AS2227" i="4"/>
  <c r="AO2227" i="4" s="1"/>
  <c r="AU805" i="4"/>
  <c r="AS805" i="4"/>
  <c r="AS730" i="4"/>
  <c r="AO730" i="4" s="1"/>
  <c r="AU730" i="4"/>
  <c r="AS728" i="4"/>
  <c r="AU728" i="4"/>
  <c r="AU2601" i="4"/>
  <c r="AS2601" i="4"/>
  <c r="AS2377" i="4"/>
  <c r="AU2377" i="4"/>
  <c r="AS2595" i="4"/>
  <c r="AO2595" i="4" s="1"/>
  <c r="AU2595" i="4"/>
  <c r="AS2590" i="4"/>
  <c r="AU2590" i="4"/>
  <c r="AS2447" i="4"/>
  <c r="AO2447" i="4" s="1"/>
  <c r="AU2447" i="4"/>
  <c r="AU725" i="4"/>
  <c r="AS725" i="4"/>
  <c r="AS1929" i="4"/>
  <c r="AO1929" i="4" s="1"/>
  <c r="AU1929" i="4"/>
  <c r="AS2662" i="4"/>
  <c r="AO2662" i="4" s="1"/>
  <c r="AU2662" i="4"/>
  <c r="AS722" i="4"/>
  <c r="AO722" i="4" s="1"/>
  <c r="AU722" i="4"/>
  <c r="AS721" i="4"/>
  <c r="AO721" i="4" s="1"/>
  <c r="AU721" i="4"/>
  <c r="AS720" i="4"/>
  <c r="AO720" i="4" s="1"/>
  <c r="AU720" i="4"/>
  <c r="AS718" i="4"/>
  <c r="AO718" i="4" s="1"/>
  <c r="AU718" i="4"/>
  <c r="AU717" i="4"/>
  <c r="AS717" i="4"/>
  <c r="AU989" i="4"/>
  <c r="AS989" i="4"/>
  <c r="AO989" i="4" s="1"/>
  <c r="AP989" i="4" s="1"/>
  <c r="AP725" i="4" l="1"/>
  <c r="AP805" i="4"/>
  <c r="AP980" i="4"/>
  <c r="AP745" i="4"/>
  <c r="AP2601" i="4"/>
  <c r="AP1788" i="4"/>
  <c r="AP2590" i="4"/>
  <c r="AP720" i="4"/>
  <c r="AO2590" i="4"/>
  <c r="AP2377" i="4"/>
  <c r="AP1633" i="4"/>
  <c r="AP732" i="4"/>
  <c r="AP1698" i="4"/>
  <c r="AP736" i="4"/>
  <c r="AP2316" i="4"/>
  <c r="AP746" i="4"/>
  <c r="AP741" i="4"/>
  <c r="AP721" i="4"/>
  <c r="AO805" i="4"/>
  <c r="AP2227" i="4"/>
  <c r="AP2241" i="4"/>
  <c r="AP738" i="4"/>
  <c r="AP737" i="4"/>
  <c r="AP730" i="4"/>
  <c r="AP728" i="4"/>
  <c r="AO728" i="4"/>
  <c r="AO2601" i="4"/>
  <c r="AO2377" i="4"/>
  <c r="AP2595" i="4"/>
  <c r="AP2447" i="4"/>
  <c r="AO725" i="4"/>
  <c r="AP1929" i="4"/>
  <c r="AP2662" i="4"/>
  <c r="AP722" i="4"/>
  <c r="AP718" i="4"/>
  <c r="AP717" i="4"/>
  <c r="AO717" i="4"/>
  <c r="AU1545" i="4"/>
  <c r="AS1545" i="4"/>
  <c r="AU712" i="4"/>
  <c r="AS712" i="4"/>
  <c r="AU711" i="4"/>
  <c r="AS711" i="4"/>
  <c r="AO711" i="4" s="1"/>
  <c r="AU985" i="4"/>
  <c r="AS985" i="4"/>
  <c r="AO985" i="4" s="1"/>
  <c r="AP985" i="4" s="1"/>
  <c r="AU1474" i="4"/>
  <c r="AS1474" i="4"/>
  <c r="AU708" i="4"/>
  <c r="AS708" i="4"/>
  <c r="AS2361" i="4"/>
  <c r="AO2361" i="4" s="1"/>
  <c r="AU2361" i="4"/>
  <c r="AS1440" i="4"/>
  <c r="AO1440" i="4" s="1"/>
  <c r="AU1440" i="4"/>
  <c r="AS1439" i="4"/>
  <c r="AU1439" i="4"/>
  <c r="AU2082" i="4"/>
  <c r="AS2082" i="4"/>
  <c r="AO2082" i="4" s="1"/>
  <c r="AP2082" i="4" s="1"/>
  <c r="AU1418" i="4"/>
  <c r="AS1418" i="4"/>
  <c r="AS1410" i="4"/>
  <c r="AU1410" i="4"/>
  <c r="AP1410" i="4" l="1"/>
  <c r="AP1418" i="4"/>
  <c r="AO1418" i="4" s="1"/>
  <c r="AP712" i="4"/>
  <c r="AP708" i="4"/>
  <c r="AO712" i="4"/>
  <c r="AP1439" i="4"/>
  <c r="AO1439" i="4"/>
  <c r="AP2361" i="4"/>
  <c r="AP1545" i="4"/>
  <c r="AO1545" i="4"/>
  <c r="AP711" i="4"/>
  <c r="AP1474" i="4"/>
  <c r="AO1474" i="4"/>
  <c r="AO708" i="4"/>
  <c r="AP1440" i="4"/>
  <c r="AS727" i="4" l="1"/>
  <c r="AU727" i="4"/>
  <c r="AJ2394" i="4"/>
  <c r="AL2394" i="4"/>
  <c r="AC886" i="4"/>
  <c r="AP727" i="4" l="1"/>
  <c r="AG2394" i="4"/>
  <c r="AF2394" i="4"/>
  <c r="AO727" i="4"/>
  <c r="AU1002" i="4"/>
  <c r="AS1002" i="4"/>
  <c r="AO1002" i="4" s="1"/>
  <c r="AP1002" i="4" s="1"/>
  <c r="AS145" i="4" l="1"/>
  <c r="AO145" i="4" s="1"/>
  <c r="AU145" i="4"/>
  <c r="AP145" i="4" l="1"/>
  <c r="BV131" i="4"/>
  <c r="BV379" i="4"/>
  <c r="BV151" i="4"/>
  <c r="BV232" i="4"/>
  <c r="BV165" i="4"/>
  <c r="BV327" i="4"/>
  <c r="BV331" i="4"/>
  <c r="BV311" i="4"/>
  <c r="BV181" i="4"/>
  <c r="BV240" i="4"/>
  <c r="BV69" i="4"/>
  <c r="BV68" i="4"/>
  <c r="BV86" i="4"/>
  <c r="BV2392" i="4"/>
  <c r="BV886" i="4"/>
  <c r="BV1205" i="4"/>
  <c r="BV814" i="4"/>
  <c r="BV918" i="4"/>
  <c r="BV2012" i="4"/>
  <c r="BV637" i="4"/>
  <c r="BV173" i="4"/>
  <c r="BV30" i="4"/>
  <c r="BV2397" i="4"/>
  <c r="BV1990" i="4"/>
  <c r="BV1949" i="4"/>
  <c r="BV1922" i="4"/>
  <c r="BV1911" i="4"/>
  <c r="BV900" i="4"/>
  <c r="BV871" i="4"/>
  <c r="BV832" i="4"/>
  <c r="BV808" i="4"/>
  <c r="BV158" i="4"/>
  <c r="BV152" i="4"/>
  <c r="BV111" i="4"/>
  <c r="AC588" i="4" l="1"/>
  <c r="BD832" i="4" l="1"/>
  <c r="BT261" i="4" l="1"/>
  <c r="BP261" i="4" s="1"/>
  <c r="BV261" i="4"/>
  <c r="AF261" i="4"/>
  <c r="AL261" i="4"/>
  <c r="BV237" i="4"/>
  <c r="BT237" i="4"/>
  <c r="AA237" i="4"/>
  <c r="BT233" i="4"/>
  <c r="BQ233" i="4" s="1"/>
  <c r="BV233" i="4"/>
  <c r="AS312" i="4"/>
  <c r="AO312" i="4" s="1"/>
  <c r="AU312" i="4"/>
  <c r="BT299" i="4"/>
  <c r="BP299" i="4" s="1"/>
  <c r="BV299" i="4"/>
  <c r="AS230" i="4"/>
  <c r="AO230" i="4" s="1"/>
  <c r="AU230" i="4"/>
  <c r="AL331" i="4"/>
  <c r="AJ331" i="4"/>
  <c r="AF331" i="4" s="1"/>
  <c r="AU252" i="4"/>
  <c r="AS252" i="4"/>
  <c r="AO252" i="4" s="1"/>
  <c r="BK344" i="4"/>
  <c r="BG344" i="4" s="1"/>
  <c r="BM344" i="4"/>
  <c r="BT326" i="4"/>
  <c r="BT276" i="4"/>
  <c r="BQ276" i="4" s="1"/>
  <c r="BV276" i="4"/>
  <c r="BT359" i="4"/>
  <c r="BV359" i="4"/>
  <c r="AU359" i="4"/>
  <c r="AS359" i="4"/>
  <c r="AO359" i="4" s="1"/>
  <c r="AC359" i="4"/>
  <c r="AA359" i="4"/>
  <c r="W359" i="4" s="1"/>
  <c r="BT271" i="4"/>
  <c r="BV271" i="4"/>
  <c r="BT272" i="4"/>
  <c r="BV272" i="4"/>
  <c r="AC250" i="4"/>
  <c r="AA250" i="4"/>
  <c r="W250" i="4" s="1"/>
  <c r="AS250" i="4"/>
  <c r="AO250" i="4" s="1"/>
  <c r="AU250" i="4"/>
  <c r="BV266" i="4"/>
  <c r="BT266" i="4"/>
  <c r="BQ266" i="4" s="1"/>
  <c r="AL266" i="4"/>
  <c r="AJ266" i="4"/>
  <c r="AF266" i="4" s="1"/>
  <c r="AA328" i="4"/>
  <c r="BV330" i="4"/>
  <c r="AU270" i="4"/>
  <c r="AS270" i="4"/>
  <c r="AO270" i="4" s="1"/>
  <c r="AC219" i="4"/>
  <c r="AA219" i="4"/>
  <c r="W219" i="4" s="1"/>
  <c r="BT217" i="4"/>
  <c r="BP217" i="4" s="1"/>
  <c r="BV217" i="4"/>
  <c r="BB217" i="4"/>
  <c r="BD217" i="4"/>
  <c r="AS321" i="4"/>
  <c r="AO321" i="4" s="1"/>
  <c r="AU321" i="4"/>
  <c r="BT216" i="4"/>
  <c r="BP216" i="4" s="1"/>
  <c r="BV216" i="4"/>
  <c r="AA216" i="4"/>
  <c r="W216" i="4" s="1"/>
  <c r="AC216" i="4"/>
  <c r="AL265" i="4"/>
  <c r="BP237" i="4" l="1"/>
  <c r="BP330" i="4"/>
  <c r="BP271" i="4"/>
  <c r="AP359" i="4"/>
  <c r="BQ237" i="4"/>
  <c r="AG331" i="4"/>
  <c r="BQ261" i="4"/>
  <c r="BP359" i="4"/>
  <c r="AP312" i="4"/>
  <c r="AP321" i="4"/>
  <c r="BQ330" i="4"/>
  <c r="AG261" i="4"/>
  <c r="BP233" i="4"/>
  <c r="BQ299" i="4"/>
  <c r="AP230" i="4"/>
  <c r="X359" i="4"/>
  <c r="BH344" i="4"/>
  <c r="X219" i="4"/>
  <c r="AP252" i="4"/>
  <c r="BP276" i="4"/>
  <c r="BQ359" i="4"/>
  <c r="X250" i="4"/>
  <c r="AY217" i="4"/>
  <c r="AG266" i="4"/>
  <c r="X216" i="4"/>
  <c r="BQ216" i="4"/>
  <c r="AP270" i="4"/>
  <c r="BP266" i="4"/>
  <c r="BQ271" i="4"/>
  <c r="BP272" i="4"/>
  <c r="BQ272" i="4"/>
  <c r="AP250" i="4"/>
  <c r="BQ217" i="4"/>
  <c r="AX217" i="4"/>
  <c r="BP256" i="4"/>
  <c r="BV256" i="4"/>
  <c r="W256" i="4"/>
  <c r="AC256" i="4"/>
  <c r="BT245" i="4"/>
  <c r="BV245" i="4"/>
  <c r="AS245" i="4"/>
  <c r="AP245" i="4" s="1"/>
  <c r="AU245" i="4"/>
  <c r="AS286" i="4"/>
  <c r="AU286" i="4"/>
  <c r="AC211" i="4"/>
  <c r="AA211" i="4"/>
  <c r="BV2416" i="4"/>
  <c r="BT2416" i="4"/>
  <c r="BP2416" i="4" s="1"/>
  <c r="BQ256" i="4" l="1"/>
  <c r="AO245" i="4"/>
  <c r="BQ2416" i="4"/>
  <c r="AP286" i="4"/>
  <c r="X256" i="4"/>
  <c r="BP245" i="4"/>
  <c r="BQ245" i="4"/>
  <c r="AO286" i="4"/>
  <c r="X211" i="4"/>
  <c r="W211" i="4"/>
  <c r="BT2387" i="4"/>
  <c r="BP2387" i="4" s="1"/>
  <c r="BV2387" i="4"/>
  <c r="AU2012" i="4"/>
  <c r="AO2012" i="4"/>
  <c r="AU68" i="4"/>
  <c r="AP68" i="4" s="1"/>
  <c r="BQ2387" i="4" l="1"/>
  <c r="AP2012" i="4"/>
  <c r="AS1982" i="4"/>
  <c r="AO1982" i="4" s="1"/>
  <c r="AU1982" i="4"/>
  <c r="AS666" i="4"/>
  <c r="AU1963" i="4"/>
  <c r="AS1963" i="4"/>
  <c r="BV194" i="4"/>
  <c r="BT194" i="4"/>
  <c r="AU2520" i="4"/>
  <c r="BM2517" i="4"/>
  <c r="BK642" i="4"/>
  <c r="BM642" i="4"/>
  <c r="AS1936" i="4"/>
  <c r="AO1936" i="4" s="1"/>
  <c r="AU1936" i="4"/>
  <c r="Z181" i="4"/>
  <c r="AC181" i="4"/>
  <c r="AU186" i="4"/>
  <c r="AS186" i="4"/>
  <c r="AS606" i="4"/>
  <c r="AU606" i="4"/>
  <c r="AS422" i="4"/>
  <c r="AC949" i="4"/>
  <c r="AA949" i="4"/>
  <c r="W949" i="4" s="1"/>
  <c r="BV905" i="4"/>
  <c r="AS845" i="4"/>
  <c r="AO845" i="4" s="1"/>
  <c r="AU845" i="4"/>
  <c r="BB837" i="4"/>
  <c r="AX837" i="4" s="1"/>
  <c r="BD837" i="4"/>
  <c r="AJ824" i="4"/>
  <c r="AL824" i="4"/>
  <c r="BT821" i="4"/>
  <c r="AU819" i="4"/>
  <c r="AS819" i="4"/>
  <c r="BT819" i="4"/>
  <c r="BP819" i="4" s="1"/>
  <c r="BV819" i="4"/>
  <c r="AU25" i="4"/>
  <c r="AP606" i="4" l="1"/>
  <c r="AP186" i="4"/>
  <c r="BQ194" i="4"/>
  <c r="AP1982" i="4"/>
  <c r="AP1963" i="4"/>
  <c r="AO1963" i="4"/>
  <c r="AP25" i="4"/>
  <c r="X181" i="4"/>
  <c r="BP194" i="4"/>
  <c r="BH2517" i="4"/>
  <c r="BG2517" i="4"/>
  <c r="BH642" i="4"/>
  <c r="BG642" i="4"/>
  <c r="AP1936" i="4"/>
  <c r="W181" i="4"/>
  <c r="AO186" i="4"/>
  <c r="AO606" i="4"/>
  <c r="X949" i="4"/>
  <c r="AP845" i="4"/>
  <c r="AY837" i="4"/>
  <c r="AG824" i="4"/>
  <c r="AF824" i="4"/>
  <c r="AP819" i="4"/>
  <c r="AO819" i="4"/>
  <c r="BQ819" i="4"/>
  <c r="AO25" i="4"/>
  <c r="BK124" i="4"/>
  <c r="BG124" i="4" s="1"/>
  <c r="AS131" i="4"/>
  <c r="AO131" i="4" s="1"/>
  <c r="AU131" i="4"/>
  <c r="BT148" i="4"/>
  <c r="BP148" i="4" s="1"/>
  <c r="BV148" i="4"/>
  <c r="AJ148" i="4"/>
  <c r="AL148" i="4"/>
  <c r="BS132" i="4"/>
  <c r="BP132" i="4" s="1"/>
  <c r="BV132" i="4"/>
  <c r="AP131" i="4" l="1"/>
  <c r="BH124" i="4"/>
  <c r="BQ148" i="4"/>
  <c r="AG148" i="4"/>
  <c r="AF148" i="4"/>
  <c r="BQ132" i="4"/>
  <c r="BT138" i="4"/>
  <c r="BP138" i="4" s="1"/>
  <c r="BV138" i="4"/>
  <c r="BT135" i="4"/>
  <c r="BP135" i="4" s="1"/>
  <c r="BV135" i="4"/>
  <c r="BV147" i="4"/>
  <c r="BT147" i="4"/>
  <c r="AC762" i="4"/>
  <c r="AA762" i="4"/>
  <c r="W762" i="4" s="1"/>
  <c r="BM108" i="4"/>
  <c r="BH108" i="4" s="1"/>
  <c r="BK108" i="4"/>
  <c r="BG108" i="4"/>
  <c r="AU108" i="4"/>
  <c r="AP108" i="4" s="1"/>
  <c r="AS108" i="4"/>
  <c r="AO108" i="4"/>
  <c r="AS107" i="4"/>
  <c r="AU107" i="4"/>
  <c r="AA96" i="4"/>
  <c r="W96" i="4" s="1"/>
  <c r="AC96" i="4"/>
  <c r="AS96" i="4"/>
  <c r="AO96" i="4" s="1"/>
  <c r="AU96" i="4"/>
  <c r="AP107" i="4" l="1"/>
  <c r="BQ138" i="4"/>
  <c r="BQ135" i="4"/>
  <c r="X96" i="4"/>
  <c r="X762" i="4"/>
  <c r="BQ147" i="4"/>
  <c r="BP147" i="4"/>
  <c r="AO107" i="4"/>
  <c r="AP96" i="4"/>
  <c r="AC77" i="4"/>
  <c r="AA77" i="4"/>
  <c r="W77" i="4" s="1"/>
  <c r="AC2666" i="4"/>
  <c r="AA2668" i="4"/>
  <c r="W2668" i="4" s="1"/>
  <c r="AA2667" i="4"/>
  <c r="X2667" i="4" s="1"/>
  <c r="AA2666" i="4"/>
  <c r="AA2663" i="4"/>
  <c r="X2663" i="4" s="1"/>
  <c r="AA2658" i="4"/>
  <c r="W2658" i="4" s="1"/>
  <c r="AC2657" i="4"/>
  <c r="AA2657" i="4"/>
  <c r="W2657" i="4" s="1"/>
  <c r="AC2656" i="4"/>
  <c r="AA2656" i="4"/>
  <c r="W2656" i="4" s="1"/>
  <c r="AA2458" i="4"/>
  <c r="W2458" i="4" s="1"/>
  <c r="AC2458" i="4"/>
  <c r="AC2457" i="4"/>
  <c r="AA2457" i="4"/>
  <c r="W2457" i="4" s="1"/>
  <c r="AU1618" i="4"/>
  <c r="AS1618" i="4"/>
  <c r="X2658" i="4" l="1"/>
  <c r="W2667" i="4"/>
  <c r="X2668" i="4"/>
  <c r="AP1618" i="4"/>
  <c r="X2457" i="4"/>
  <c r="X2656" i="4"/>
  <c r="X77" i="4"/>
  <c r="X2657" i="4"/>
  <c r="X2666" i="4"/>
  <c r="W2666" i="4"/>
  <c r="W2663" i="4"/>
  <c r="X2458" i="4"/>
  <c r="AO1618" i="4"/>
  <c r="AC1443" i="4"/>
  <c r="AA1443" i="4"/>
  <c r="W1443" i="4" s="1"/>
  <c r="AC2084" i="4"/>
  <c r="AA2084" i="4"/>
  <c r="W2084" i="4" s="1"/>
  <c r="AS2660" i="4"/>
  <c r="AO2660" i="4" s="1"/>
  <c r="AU2660" i="4"/>
  <c r="AS1807" i="4"/>
  <c r="AO1807" i="4" s="1"/>
  <c r="AU1807" i="4"/>
  <c r="X1443" i="4" l="1"/>
  <c r="X2084" i="4"/>
  <c r="AP2660" i="4"/>
  <c r="AP1807" i="4"/>
  <c r="AS918" i="4"/>
  <c r="AO918" i="4" s="1"/>
  <c r="AP918" i="4" l="1"/>
  <c r="BK115" i="4" l="1"/>
  <c r="BG115" i="4" s="1"/>
  <c r="BM115" i="4"/>
  <c r="AS115" i="4"/>
  <c r="AU115" i="4"/>
  <c r="AP115" i="4" l="1"/>
  <c r="BH115" i="4"/>
  <c r="AO115" i="4"/>
  <c r="BV370" i="4" l="1"/>
  <c r="BT370" i="4"/>
  <c r="BP370" i="4" s="1"/>
  <c r="BQ370" i="4" l="1"/>
  <c r="A1" i="6" l="1"/>
  <c r="BJ210" i="4" l="1"/>
  <c r="BH210" i="4" s="1"/>
  <c r="BG210" i="4" l="1"/>
  <c r="BT940" i="4" l="1"/>
  <c r="BT947" i="4"/>
  <c r="Z282" i="4"/>
  <c r="AC282" i="4"/>
  <c r="AS2398" i="4" l="1"/>
  <c r="AO2398" i="4" s="1"/>
  <c r="AU2398" i="4"/>
  <c r="AP2398" i="4" l="1"/>
  <c r="AJ271" i="4" l="1"/>
  <c r="AL271" i="4"/>
  <c r="AG271" i="4" l="1"/>
  <c r="AF271" i="4"/>
  <c r="AC424" i="4"/>
  <c r="AA424" i="4"/>
  <c r="X424" i="4" l="1"/>
  <c r="W424" i="4"/>
  <c r="AA683" i="4"/>
  <c r="AC683" i="4"/>
  <c r="AA682" i="4"/>
  <c r="W682" i="4" s="1"/>
  <c r="AC682" i="4"/>
  <c r="AA607" i="4"/>
  <c r="AC607" i="4"/>
  <c r="AA427" i="4"/>
  <c r="AC427" i="4"/>
  <c r="AA415" i="4"/>
  <c r="X415" i="4" s="1"/>
  <c r="W674" i="4"/>
  <c r="AC674" i="4"/>
  <c r="AS150" i="4"/>
  <c r="AO150" i="4" s="1"/>
  <c r="AU150" i="4"/>
  <c r="AS110" i="4"/>
  <c r="AU110" i="4"/>
  <c r="W427" i="4" l="1"/>
  <c r="X682" i="4"/>
  <c r="AP150" i="4"/>
  <c r="W607" i="4"/>
  <c r="X683" i="4"/>
  <c r="W683" i="4"/>
  <c r="X607" i="4"/>
  <c r="X427" i="4"/>
  <c r="W415" i="4"/>
  <c r="X674" i="4"/>
  <c r="AP110" i="4"/>
  <c r="AO110" i="4"/>
  <c r="AC310" i="4"/>
  <c r="AA310" i="4"/>
  <c r="W310" i="4" s="1"/>
  <c r="BM277" i="4"/>
  <c r="BK277" i="4"/>
  <c r="BG277" i="4" s="1"/>
  <c r="W237" i="4"/>
  <c r="AC237" i="4"/>
  <c r="BV296" i="4"/>
  <c r="BT296" i="4"/>
  <c r="BQ296" i="4" s="1"/>
  <c r="BV358" i="4"/>
  <c r="BT358" i="4"/>
  <c r="BQ358" i="4" s="1"/>
  <c r="AC222" i="4"/>
  <c r="AA222" i="4"/>
  <c r="W222" i="4" s="1"/>
  <c r="BV250" i="4"/>
  <c r="BT250" i="4"/>
  <c r="BQ250" i="4" s="1"/>
  <c r="BT335" i="4"/>
  <c r="BP335" i="4" s="1"/>
  <c r="BV335" i="4"/>
  <c r="BV302" i="4"/>
  <c r="BT302" i="4"/>
  <c r="BQ302" i="4" s="1"/>
  <c r="BH277" i="4" l="1"/>
  <c r="X310" i="4"/>
  <c r="BP358" i="4"/>
  <c r="X222" i="4"/>
  <c r="BP250" i="4"/>
  <c r="X237" i="4"/>
  <c r="BP296" i="4"/>
  <c r="BQ335" i="4"/>
  <c r="BP302" i="4"/>
  <c r="AS690" i="4" l="1"/>
  <c r="AU690" i="4"/>
  <c r="AL628" i="4"/>
  <c r="AJ628" i="4"/>
  <c r="AF628" i="4" s="1"/>
  <c r="AP690" i="4" l="1"/>
  <c r="AO690" i="4"/>
  <c r="AG628" i="4"/>
  <c r="AC691" i="4"/>
  <c r="AA691" i="4"/>
  <c r="W691" i="4" s="1"/>
  <c r="AS692" i="4"/>
  <c r="AU692" i="4"/>
  <c r="U689" i="4"/>
  <c r="AJ658" i="4"/>
  <c r="AF658" i="4" s="1"/>
  <c r="AL658" i="4"/>
  <c r="AC157" i="4"/>
  <c r="AA157" i="4"/>
  <c r="W157" i="4" s="1"/>
  <c r="AJ652" i="4"/>
  <c r="AF652" i="4" s="1"/>
  <c r="AL652" i="4"/>
  <c r="BT234" i="4"/>
  <c r="BB234" i="4"/>
  <c r="AA234" i="4"/>
  <c r="BD234" i="4"/>
  <c r="AP692" i="4" l="1"/>
  <c r="AG652" i="4"/>
  <c r="AO692" i="4"/>
  <c r="X691" i="4"/>
  <c r="X157" i="4"/>
  <c r="AG658" i="4"/>
  <c r="BV2350" i="4"/>
  <c r="AA2344" i="4" l="1"/>
  <c r="W2344" i="4" s="1"/>
  <c r="AC2344" i="4"/>
  <c r="AC2340" i="4"/>
  <c r="AA2340" i="4"/>
  <c r="W2340" i="4" s="1"/>
  <c r="AA2310" i="4"/>
  <c r="W2310" i="4" s="1"/>
  <c r="AC2310" i="4"/>
  <c r="AA2309" i="4"/>
  <c r="W2309" i="4" s="1"/>
  <c r="AC2309" i="4"/>
  <c r="AA2296" i="4"/>
  <c r="W2296" i="4" s="1"/>
  <c r="AC2296" i="4"/>
  <c r="AA2294" i="4"/>
  <c r="W2294" i="4" s="1"/>
  <c r="AC2294" i="4"/>
  <c r="AA2292" i="4"/>
  <c r="AC2292" i="4"/>
  <c r="AC2283" i="4"/>
  <c r="AA2283" i="4"/>
  <c r="W2283" i="4" s="1"/>
  <c r="AA2281" i="4"/>
  <c r="W2281" i="4" s="1"/>
  <c r="AC2281" i="4"/>
  <c r="AA2275" i="4"/>
  <c r="W2275" i="4" s="1"/>
  <c r="AC2275" i="4"/>
  <c r="AA2271" i="4"/>
  <c r="AC2271" i="4"/>
  <c r="AC2267" i="4"/>
  <c r="AA2267" i="4"/>
  <c r="W2267" i="4" s="1"/>
  <c r="AA2269" i="4"/>
  <c r="W2269" i="4" s="1"/>
  <c r="AC2269" i="4"/>
  <c r="AA2255" i="4"/>
  <c r="W2255" i="4" s="1"/>
  <c r="AC2255" i="4"/>
  <c r="AA2226" i="4"/>
  <c r="W2226" i="4" s="1"/>
  <c r="AC2226" i="4"/>
  <c r="AC2213" i="4"/>
  <c r="AA2213" i="4"/>
  <c r="AA2208" i="4"/>
  <c r="W2208" i="4" s="1"/>
  <c r="AC2208" i="4"/>
  <c r="AA2201" i="4"/>
  <c r="W2201" i="4" s="1"/>
  <c r="AC2201" i="4"/>
  <c r="AA2236" i="4"/>
  <c r="AC2236" i="4"/>
  <c r="AA2235" i="4"/>
  <c r="W2235" i="4" s="1"/>
  <c r="AC2235" i="4"/>
  <c r="AA2228" i="4"/>
  <c r="W2228" i="4" s="1"/>
  <c r="AC2228" i="4"/>
  <c r="AA2219" i="4"/>
  <c r="W2219" i="4" s="1"/>
  <c r="AC2219" i="4"/>
  <c r="AA2188" i="4"/>
  <c r="W2188" i="4" s="1"/>
  <c r="AC2188" i="4"/>
  <c r="AA2178" i="4"/>
  <c r="W2178" i="4" s="1"/>
  <c r="AC2178" i="4"/>
  <c r="AC2183" i="4"/>
  <c r="AA2183" i="4"/>
  <c r="W2183" i="4" s="1"/>
  <c r="AA2174" i="4"/>
  <c r="W2174" i="4" s="1"/>
  <c r="AC2174" i="4"/>
  <c r="AC2170" i="4"/>
  <c r="AA2170" i="4"/>
  <c r="W2170" i="4" s="1"/>
  <c r="AA2157" i="4"/>
  <c r="W2157" i="4" s="1"/>
  <c r="AC2157" i="4"/>
  <c r="AA2154" i="4"/>
  <c r="W2154" i="4" s="1"/>
  <c r="AC2154" i="4"/>
  <c r="AA2150" i="4"/>
  <c r="W2150" i="4" s="1"/>
  <c r="AC2150" i="4"/>
  <c r="AA2133" i="4"/>
  <c r="W2133" i="4" s="1"/>
  <c r="AC2133" i="4"/>
  <c r="AA2129" i="4"/>
  <c r="W2129" i="4" s="1"/>
  <c r="AC2129" i="4"/>
  <c r="AC2124" i="4"/>
  <c r="AA2124" i="4"/>
  <c r="W2124" i="4" s="1"/>
  <c r="AA2106" i="4"/>
  <c r="W2106" i="4" s="1"/>
  <c r="AC2106" i="4"/>
  <c r="AC2068" i="4"/>
  <c r="AA2068" i="4"/>
  <c r="W2068" i="4" s="1"/>
  <c r="X2213" i="4" l="1"/>
  <c r="X2340" i="4"/>
  <c r="W2213" i="4"/>
  <c r="X2267" i="4"/>
  <c r="X2344" i="4"/>
  <c r="X2310" i="4"/>
  <c r="X2309" i="4"/>
  <c r="X2296" i="4"/>
  <c r="X2236" i="4"/>
  <c r="X2292" i="4"/>
  <c r="W2236" i="4"/>
  <c r="X2271" i="4"/>
  <c r="W2292" i="4"/>
  <c r="X2219" i="4"/>
  <c r="W2271" i="4"/>
  <c r="X2283" i="4"/>
  <c r="X2294" i="4"/>
  <c r="X2281" i="4"/>
  <c r="X2275" i="4"/>
  <c r="X2269" i="4"/>
  <c r="X2255" i="4"/>
  <c r="X2226" i="4"/>
  <c r="X2208" i="4"/>
  <c r="X2201" i="4"/>
  <c r="X2124" i="4"/>
  <c r="X2170" i="4"/>
  <c r="X2183" i="4"/>
  <c r="X2129" i="4"/>
  <c r="X2235" i="4"/>
  <c r="X2228" i="4"/>
  <c r="X2188" i="4"/>
  <c r="X2178" i="4"/>
  <c r="X2174" i="4"/>
  <c r="X2157" i="4"/>
  <c r="X2154" i="4"/>
  <c r="X2150" i="4"/>
  <c r="X2133" i="4"/>
  <c r="X2068" i="4"/>
  <c r="X2106" i="4"/>
  <c r="AS2380" i="4"/>
  <c r="AU2380" i="4"/>
  <c r="AA1500" i="4"/>
  <c r="W1500" i="4" s="1"/>
  <c r="AC1500" i="4"/>
  <c r="AA1473" i="4"/>
  <c r="W1473" i="4" s="1"/>
  <c r="AC1473" i="4"/>
  <c r="AC1734" i="4"/>
  <c r="AA1734" i="4"/>
  <c r="W1734" i="4" s="1"/>
  <c r="AA1873" i="4"/>
  <c r="W1873" i="4" s="1"/>
  <c r="AC1873" i="4"/>
  <c r="AA1671" i="4"/>
  <c r="W1671" i="4" s="1"/>
  <c r="AC1671" i="4"/>
  <c r="AA1897" i="4"/>
  <c r="W1897" i="4" s="1"/>
  <c r="AC1897" i="4"/>
  <c r="AC1460" i="4"/>
  <c r="AA1460" i="4"/>
  <c r="W1460" i="4" s="1"/>
  <c r="B2681" i="4"/>
  <c r="X1734" i="4" l="1"/>
  <c r="AP2380" i="4"/>
  <c r="X1473" i="4"/>
  <c r="X1460" i="4"/>
  <c r="AO2380" i="4"/>
  <c r="X1500" i="4"/>
  <c r="X1873" i="4"/>
  <c r="X1671" i="4"/>
  <c r="X1897" i="4"/>
  <c r="AA1456" i="4" l="1"/>
  <c r="W1456" i="4" s="1"/>
  <c r="AC1456" i="4"/>
  <c r="AA1479" i="4"/>
  <c r="AC1479" i="4"/>
  <c r="AA1469" i="4"/>
  <c r="W1469" i="4" s="1"/>
  <c r="AC1469" i="4"/>
  <c r="AA1574" i="4"/>
  <c r="W1574" i="4" s="1"/>
  <c r="AC1574" i="4"/>
  <c r="AA1582" i="4"/>
  <c r="W1582" i="4" s="1"/>
  <c r="AC1582" i="4"/>
  <c r="AA1475" i="4"/>
  <c r="W1475" i="4" s="1"/>
  <c r="AC1475" i="4"/>
  <c r="AA1414" i="4"/>
  <c r="W1414" i="4" s="1"/>
  <c r="AC1414" i="4"/>
  <c r="AA1412" i="4"/>
  <c r="W1412" i="4" s="1"/>
  <c r="AC1412" i="4"/>
  <c r="AA1413" i="4"/>
  <c r="AC1413" i="4"/>
  <c r="AA1830" i="4"/>
  <c r="W1830" i="4" s="1"/>
  <c r="AC1830" i="4"/>
  <c r="AA1664" i="4"/>
  <c r="W1664" i="4" s="1"/>
  <c r="AC1664" i="4"/>
  <c r="AA1892" i="4"/>
  <c r="W1892" i="4" s="1"/>
  <c r="AC1892" i="4"/>
  <c r="AC1004" i="4"/>
  <c r="AA1004" i="4"/>
  <c r="W1004" i="4" s="1"/>
  <c r="AC992" i="4"/>
  <c r="AA992" i="4"/>
  <c r="AA969" i="4"/>
  <c r="AC969" i="4"/>
  <c r="AA962" i="4"/>
  <c r="AC962" i="4"/>
  <c r="AA869" i="4"/>
  <c r="W869" i="4" s="1"/>
  <c r="AC869" i="4"/>
  <c r="X1456" i="4" l="1"/>
  <c r="X962" i="4"/>
  <c r="X1582" i="4"/>
  <c r="X1479" i="4"/>
  <c r="X1004" i="4"/>
  <c r="X992" i="4"/>
  <c r="X1413" i="4"/>
  <c r="X1574" i="4"/>
  <c r="W1479" i="4"/>
  <c r="X969" i="4"/>
  <c r="X1664" i="4"/>
  <c r="X1414" i="4"/>
  <c r="W962" i="4"/>
  <c r="W969" i="4"/>
  <c r="X1830" i="4"/>
  <c r="W1413" i="4"/>
  <c r="X1412" i="4"/>
  <c r="X1469" i="4"/>
  <c r="X1475" i="4"/>
  <c r="X1892" i="4"/>
  <c r="W992" i="4"/>
  <c r="X869" i="4"/>
  <c r="AC713" i="4" l="1"/>
  <c r="AA713" i="4"/>
  <c r="W713" i="4" s="1"/>
  <c r="AC2615" i="4"/>
  <c r="AA2615" i="4"/>
  <c r="W2615" i="4" s="1"/>
  <c r="AA2585" i="4"/>
  <c r="W2585" i="4" s="1"/>
  <c r="AC2585" i="4"/>
  <c r="X713" i="4" l="1"/>
  <c r="X2615" i="4"/>
  <c r="X2585" i="4"/>
  <c r="AA2598" i="4"/>
  <c r="W2598" i="4" s="1"/>
  <c r="AC2598" i="4"/>
  <c r="AU2563" i="4"/>
  <c r="AS2563" i="4"/>
  <c r="AA2627" i="4"/>
  <c r="W2627" i="4" s="1"/>
  <c r="AC2627" i="4"/>
  <c r="AA2602" i="4"/>
  <c r="AC2602" i="4"/>
  <c r="AU2577" i="4"/>
  <c r="AS2577" i="4"/>
  <c r="AS2582" i="4"/>
  <c r="AO2582" i="4" s="1"/>
  <c r="AU2582" i="4"/>
  <c r="AC2599" i="4"/>
  <c r="AA2599" i="4"/>
  <c r="AA2644" i="4"/>
  <c r="W2644" i="4" s="1"/>
  <c r="AC2644" i="4"/>
  <c r="AA2567" i="4"/>
  <c r="W2567" i="4" s="1"/>
  <c r="AC2567" i="4"/>
  <c r="AA2630" i="4"/>
  <c r="W2630" i="4" s="1"/>
  <c r="AC2630" i="4"/>
  <c r="AA2578" i="4"/>
  <c r="W2578" i="4" s="1"/>
  <c r="AC2578" i="4"/>
  <c r="AA2600" i="4"/>
  <c r="W2600" i="4" s="1"/>
  <c r="AC2600" i="4"/>
  <c r="AA2586" i="4"/>
  <c r="W2586" i="4" s="1"/>
  <c r="AC2586" i="4"/>
  <c r="AS2571" i="4"/>
  <c r="AO2571" i="4" s="1"/>
  <c r="AU2571" i="4"/>
  <c r="AA2626" i="4"/>
  <c r="W2626" i="4" s="1"/>
  <c r="AC2626" i="4"/>
  <c r="AS2589" i="4"/>
  <c r="AO2589" i="4" s="1"/>
  <c r="AU2589" i="4"/>
  <c r="AA2619" i="4"/>
  <c r="W2619" i="4" s="1"/>
  <c r="AC2619" i="4"/>
  <c r="AA2611" i="4"/>
  <c r="W2611" i="4" s="1"/>
  <c r="AC2611" i="4"/>
  <c r="AS2564" i="4"/>
  <c r="AO2564" i="4" s="1"/>
  <c r="AU2564" i="4"/>
  <c r="AA2624" i="4"/>
  <c r="W2624" i="4" s="1"/>
  <c r="AC2624" i="4"/>
  <c r="AA2621" i="4"/>
  <c r="W2621" i="4" s="1"/>
  <c r="AC2621" i="4"/>
  <c r="AA2637" i="4"/>
  <c r="AA2638" i="4"/>
  <c r="AC2638" i="4"/>
  <c r="AU2648" i="4"/>
  <c r="AS2648" i="4"/>
  <c r="AO2648" i="4" s="1"/>
  <c r="AA2648" i="4"/>
  <c r="W2648" i="4" s="1"/>
  <c r="AC2648" i="4"/>
  <c r="AA2641" i="4"/>
  <c r="W2641" i="4" s="1"/>
  <c r="AC2641" i="4"/>
  <c r="AC2618" i="4"/>
  <c r="AA2618" i="4"/>
  <c r="W2618" i="4" s="1"/>
  <c r="AA2566" i="4"/>
  <c r="W2566" i="4" s="1"/>
  <c r="AC2566" i="4"/>
  <c r="AC2575" i="4"/>
  <c r="AA2575" i="4"/>
  <c r="AA2572" i="4"/>
  <c r="AC2546" i="4"/>
  <c r="AA2546" i="4"/>
  <c r="W2546" i="4" s="1"/>
  <c r="X2575" i="4" l="1"/>
  <c r="AP2582" i="4"/>
  <c r="X2638" i="4"/>
  <c r="AP2648" i="4"/>
  <c r="X2546" i="4"/>
  <c r="X2618" i="4"/>
  <c r="AP2589" i="4"/>
  <c r="X2567" i="4"/>
  <c r="X2644" i="4"/>
  <c r="W2575" i="4"/>
  <c r="X2641" i="4"/>
  <c r="X2602" i="4"/>
  <c r="X2627" i="4"/>
  <c r="AP2564" i="4"/>
  <c r="AP2577" i="4"/>
  <c r="W2602" i="4"/>
  <c r="AP2563" i="4"/>
  <c r="X2598" i="4"/>
  <c r="AO2563" i="4"/>
  <c r="X2599" i="4"/>
  <c r="AO2577" i="4"/>
  <c r="W2599" i="4"/>
  <c r="X2630" i="4"/>
  <c r="X2578" i="4"/>
  <c r="X2600" i="4"/>
  <c r="X2586" i="4"/>
  <c r="AP2571" i="4"/>
  <c r="X2626" i="4"/>
  <c r="X2619" i="4"/>
  <c r="X2611" i="4"/>
  <c r="X2624" i="4"/>
  <c r="X2621" i="4"/>
  <c r="W2638" i="4"/>
  <c r="X2648" i="4"/>
  <c r="X2566" i="4"/>
  <c r="AA50" i="4"/>
  <c r="AC50" i="4"/>
  <c r="X50" i="4" l="1"/>
  <c r="W50" i="4"/>
  <c r="AU2495" i="4"/>
  <c r="AS2495" i="4"/>
  <c r="AS2502" i="4"/>
  <c r="AU2502" i="4"/>
  <c r="AC2465" i="4"/>
  <c r="AA2465" i="4"/>
  <c r="W2465" i="4" s="1"/>
  <c r="AS2449" i="4"/>
  <c r="AO2449" i="4" s="1"/>
  <c r="AU2449" i="4"/>
  <c r="AC2444" i="4"/>
  <c r="AA2444" i="4"/>
  <c r="AA2435" i="4"/>
  <c r="W2435" i="4" s="1"/>
  <c r="AC2435" i="4"/>
  <c r="AU2524" i="4"/>
  <c r="AP2495" i="4" l="1"/>
  <c r="X2435" i="4"/>
  <c r="AP2502" i="4"/>
  <c r="X2465" i="4"/>
  <c r="AP2524" i="4"/>
  <c r="AO2495" i="4"/>
  <c r="AO2502" i="4"/>
  <c r="AP2449" i="4"/>
  <c r="X2444" i="4"/>
  <c r="W2444" i="4"/>
  <c r="AO2524" i="4"/>
  <c r="BV291" i="4"/>
  <c r="BT291" i="4"/>
  <c r="BQ291" i="4" s="1"/>
  <c r="BP291" i="4" l="1"/>
  <c r="AA2012" i="4" l="1"/>
  <c r="AC2012" i="4"/>
  <c r="X2012" i="4" l="1"/>
  <c r="W2012" i="4"/>
  <c r="AA1959" i="4"/>
  <c r="W1959" i="4" s="1"/>
  <c r="AC1959" i="4"/>
  <c r="X1959" i="4" l="1"/>
  <c r="AA875" i="4" l="1"/>
  <c r="D875" i="4"/>
  <c r="D889" i="4"/>
  <c r="X875" i="4" l="1"/>
  <c r="W875" i="4"/>
  <c r="BT875" i="4"/>
  <c r="BQ875" i="4" s="1"/>
  <c r="BP875" i="4" l="1"/>
  <c r="AA873" i="4"/>
  <c r="AC873" i="4"/>
  <c r="AU833" i="4"/>
  <c r="AS833" i="4"/>
  <c r="AO833" i="4" s="1"/>
  <c r="BT2360" i="4"/>
  <c r="BP2360" i="4" s="1"/>
  <c r="AS2360" i="4"/>
  <c r="AO2360" i="4" s="1"/>
  <c r="AA2360" i="4"/>
  <c r="W2360" i="4" s="1"/>
  <c r="BV2360" i="4"/>
  <c r="AU2360" i="4"/>
  <c r="AC2360" i="4"/>
  <c r="AU2067" i="4"/>
  <c r="AC2067" i="4"/>
  <c r="X2067" i="4" s="1"/>
  <c r="AA1951" i="4"/>
  <c r="BV922" i="4"/>
  <c r="AJ922" i="4"/>
  <c r="AL922" i="4"/>
  <c r="AC2066" i="4"/>
  <c r="AU1991" i="4"/>
  <c r="BQ2360" i="4" l="1"/>
  <c r="AP833" i="4"/>
  <c r="AP2360" i="4"/>
  <c r="AG922" i="4"/>
  <c r="W873" i="4"/>
  <c r="X873" i="4"/>
  <c r="X2360" i="4"/>
  <c r="AF922" i="4"/>
  <c r="BP940" i="4"/>
  <c r="AC940" i="4"/>
  <c r="BT177" i="4"/>
  <c r="BP177" i="4" s="1"/>
  <c r="BV177" i="4"/>
  <c r="AS177" i="4"/>
  <c r="AP177" i="4" s="1"/>
  <c r="BT332" i="4"/>
  <c r="BV332" i="4"/>
  <c r="AS332" i="4"/>
  <c r="AU332" i="4"/>
  <c r="BQ332" i="4" l="1"/>
  <c r="BQ940" i="4"/>
  <c r="AO177" i="4"/>
  <c r="AP332" i="4"/>
  <c r="BQ177" i="4"/>
  <c r="BP332" i="4"/>
  <c r="AO332" i="4"/>
  <c r="BT284" i="4"/>
  <c r="BQ284" i="4" s="1"/>
  <c r="BV284" i="4"/>
  <c r="AU244" i="4"/>
  <c r="AS244" i="4"/>
  <c r="AP244" i="4" s="1"/>
  <c r="AU262" i="4"/>
  <c r="AS262" i="4"/>
  <c r="AO262" i="4" s="1"/>
  <c r="AP262" i="4" l="1"/>
  <c r="AO244" i="4"/>
  <c r="BP284" i="4"/>
  <c r="AP413" i="4" l="1"/>
  <c r="AO413" i="4"/>
  <c r="AR2525" i="4" l="1"/>
  <c r="AP2525" i="4" s="1"/>
  <c r="AO2525" i="4" l="1"/>
  <c r="AR365" i="4"/>
  <c r="AP365" i="4" s="1"/>
  <c r="AO364" i="4"/>
  <c r="AI646" i="4"/>
  <c r="AK646" i="4" s="1"/>
  <c r="AL646" i="4" s="1"/>
  <c r="AE646" i="4"/>
  <c r="AC2486" i="4"/>
  <c r="AA2486" i="4"/>
  <c r="AO365" i="4" l="1"/>
  <c r="AS13" i="4" l="1"/>
  <c r="AP13" i="4" s="1"/>
  <c r="Z47" i="4"/>
  <c r="AC47" i="4" s="1"/>
  <c r="AI47" i="4"/>
  <c r="AL47" i="4" s="1"/>
  <c r="AR11" i="4"/>
  <c r="AP11" i="4" s="1"/>
  <c r="AR2453" i="4"/>
  <c r="AP2453" i="4" s="1"/>
  <c r="AM2453" i="4"/>
  <c r="AO11" i="4" l="1"/>
  <c r="AB47" i="4"/>
  <c r="AK47" i="4"/>
  <c r="AO2453" i="4"/>
  <c r="N211" i="6"/>
  <c r="N210" i="6"/>
  <c r="N209" i="6"/>
  <c r="N208" i="6"/>
  <c r="O117" i="6"/>
  <c r="AA637" i="4"/>
  <c r="W637" i="4" s="1"/>
  <c r="X637" i="4" l="1"/>
  <c r="AL375" i="4"/>
  <c r="W108" i="4"/>
  <c r="AA108" i="4"/>
  <c r="AC108" i="4"/>
  <c r="X108" i="4" s="1"/>
  <c r="AA104" i="4"/>
  <c r="W104" i="4" s="1"/>
  <c r="AC104" i="4"/>
  <c r="AL132" i="4"/>
  <c r="AJ132" i="4"/>
  <c r="AF132" i="4" s="1"/>
  <c r="BS131" i="4"/>
  <c r="BP131" i="4" s="1"/>
  <c r="AS130" i="4"/>
  <c r="AO130" i="4" s="1"/>
  <c r="AU130" i="4"/>
  <c r="X104" i="4" l="1"/>
  <c r="AP130" i="4"/>
  <c r="BQ131" i="4"/>
  <c r="AG132" i="4"/>
  <c r="BQ905" i="4"/>
  <c r="AU957" i="4"/>
  <c r="AS957" i="4"/>
  <c r="AU421" i="4"/>
  <c r="BD1929" i="4"/>
  <c r="BB1929" i="4"/>
  <c r="AA1935" i="4"/>
  <c r="W1935" i="4" s="1"/>
  <c r="AC1935" i="4"/>
  <c r="AU649" i="4"/>
  <c r="AC1962" i="4"/>
  <c r="AA1962" i="4"/>
  <c r="AC1973" i="4"/>
  <c r="AA1973" i="4"/>
  <c r="W1973" i="4" s="1"/>
  <c r="AA1989" i="4"/>
  <c r="AC1989" i="4"/>
  <c r="X1962" i="4" l="1"/>
  <c r="AP421" i="4"/>
  <c r="BP905" i="4"/>
  <c r="AP957" i="4"/>
  <c r="X1973" i="4"/>
  <c r="AP649" i="4"/>
  <c r="AO957" i="4"/>
  <c r="AO421" i="4"/>
  <c r="X1989" i="4"/>
  <c r="AY1929" i="4"/>
  <c r="AX1929" i="4"/>
  <c r="X1935" i="4"/>
  <c r="AO649" i="4"/>
  <c r="W1962" i="4"/>
  <c r="W1989" i="4"/>
  <c r="BV2411" i="4" l="1"/>
  <c r="BV675" i="4" l="1"/>
  <c r="BS675" i="4"/>
  <c r="BP675" i="4" s="1"/>
  <c r="AA2417" i="4"/>
  <c r="W2417" i="4" s="1"/>
  <c r="AC2417" i="4"/>
  <c r="BV290" i="4"/>
  <c r="BT290" i="4"/>
  <c r="BQ290" i="4" s="1"/>
  <c r="AC235" i="4"/>
  <c r="AA235" i="4"/>
  <c r="W235" i="4" s="1"/>
  <c r="BV334" i="4"/>
  <c r="BT334" i="4"/>
  <c r="BQ334" i="4" s="1"/>
  <c r="AA230" i="4"/>
  <c r="AC230" i="4"/>
  <c r="AS311" i="4"/>
  <c r="AO311" i="4" s="1"/>
  <c r="AU311" i="4"/>
  <c r="AS279" i="4"/>
  <c r="AU279" i="4"/>
  <c r="BV326" i="4"/>
  <c r="BP290" i="4" l="1"/>
  <c r="BQ675" i="4"/>
  <c r="X230" i="4"/>
  <c r="AP279" i="4"/>
  <c r="X235" i="4"/>
  <c r="X2417" i="4"/>
  <c r="BP334" i="4"/>
  <c r="W230" i="4"/>
  <c r="AP311" i="4"/>
  <c r="AO279" i="4"/>
  <c r="AA217" i="4"/>
  <c r="W217" i="4" s="1"/>
  <c r="AC217" i="4"/>
  <c r="BD353" i="4"/>
  <c r="BB353" i="4"/>
  <c r="X217" i="4" l="1"/>
  <c r="AY353" i="4"/>
  <c r="AX353" i="4"/>
  <c r="AS308" i="4"/>
  <c r="AO308" i="4" s="1"/>
  <c r="AU308" i="4"/>
  <c r="BV282" i="4"/>
  <c r="BT282" i="4"/>
  <c r="BQ282" i="4" s="1"/>
  <c r="W282" i="4"/>
  <c r="AU347" i="4"/>
  <c r="AS347" i="4"/>
  <c r="AO347" i="4" s="1"/>
  <c r="BT323" i="4"/>
  <c r="BS303" i="4"/>
  <c r="AC301" i="4"/>
  <c r="AA301" i="4"/>
  <c r="W301" i="4" s="1"/>
  <c r="BT301" i="4"/>
  <c r="AA305" i="4" l="1"/>
  <c r="AS305" i="4"/>
  <c r="BT305" i="4"/>
  <c r="AP347" i="4"/>
  <c r="X301" i="4"/>
  <c r="X282" i="4"/>
  <c r="BP282" i="4"/>
  <c r="AP308" i="4"/>
  <c r="BV264" i="4"/>
  <c r="BT264" i="4"/>
  <c r="BQ264" i="4" s="1"/>
  <c r="AA264" i="4"/>
  <c r="W264" i="4" s="1"/>
  <c r="AC264" i="4"/>
  <c r="BK205" i="4"/>
  <c r="Z205" i="4"/>
  <c r="BT280" i="4"/>
  <c r="BQ280" i="4" s="1"/>
  <c r="AP305" i="4" l="1"/>
  <c r="AO305" i="4"/>
  <c r="BP280" i="4"/>
  <c r="BP264" i="4"/>
  <c r="X264" i="4"/>
  <c r="AU370" i="4" l="1"/>
  <c r="AP370" i="4" s="1"/>
  <c r="AG911" i="4"/>
  <c r="AU1745" i="4" l="1"/>
  <c r="AS1745" i="4"/>
  <c r="AS714" i="4"/>
  <c r="AO714" i="4" s="1"/>
  <c r="AU714" i="4"/>
  <c r="AP1745" i="4" l="1"/>
  <c r="AO1745" i="4"/>
  <c r="AP714" i="4"/>
  <c r="AU1721" i="4"/>
  <c r="AS1721" i="4"/>
  <c r="AO1721" i="4" l="1"/>
  <c r="AP1721" i="4"/>
  <c r="AS710" i="4"/>
  <c r="AS729" i="4"/>
  <c r="AS739" i="4"/>
  <c r="AS1438" i="4"/>
  <c r="AS1613" i="4"/>
  <c r="AS2263" i="4"/>
  <c r="AS2545" i="4"/>
  <c r="AU2545" i="4"/>
  <c r="AU1438" i="4"/>
  <c r="AP1438" i="4" l="1"/>
  <c r="AP2545" i="4"/>
  <c r="AO1438" i="4"/>
  <c r="AO2545" i="4"/>
  <c r="AO729" i="4"/>
  <c r="AU729" i="4"/>
  <c r="AP729" i="4" s="1"/>
  <c r="BV947" i="4"/>
  <c r="AO739" i="4"/>
  <c r="AU739" i="4"/>
  <c r="AP739" i="4" s="1"/>
  <c r="AO710" i="4"/>
  <c r="AU710" i="4"/>
  <c r="AP710" i="4" s="1"/>
  <c r="AO2263" i="4"/>
  <c r="AU2263" i="4"/>
  <c r="AP2263" i="4" s="1"/>
  <c r="AP1613" i="4"/>
  <c r="AS825" i="4"/>
  <c r="AU825" i="4"/>
  <c r="BQ947" i="4" l="1"/>
  <c r="BP947" i="4"/>
  <c r="AO1613" i="4"/>
  <c r="O7" i="6" l="1"/>
  <c r="O6" i="6"/>
  <c r="O8" i="6"/>
  <c r="O5" i="6"/>
  <c r="BT184" i="4" l="1"/>
  <c r="BQ184" i="4" s="1"/>
  <c r="BT183" i="4"/>
  <c r="BQ183" i="4" s="1"/>
  <c r="BT182" i="4"/>
  <c r="BP182" i="4" s="1"/>
  <c r="BT178" i="4"/>
  <c r="BQ178" i="4" s="1"/>
  <c r="BT176" i="4"/>
  <c r="BQ176" i="4" s="1"/>
  <c r="BT174" i="4"/>
  <c r="BQ174" i="4" s="1"/>
  <c r="BT101" i="4"/>
  <c r="BP101" i="4" s="1"/>
  <c r="BS102" i="4"/>
  <c r="BP102" i="4" s="1"/>
  <c r="BS100" i="4"/>
  <c r="BQ100" i="4" s="1"/>
  <c r="BS93" i="4"/>
  <c r="BQ93" i="4" s="1"/>
  <c r="BT128" i="4"/>
  <c r="BQ128" i="4" s="1"/>
  <c r="BS373" i="4"/>
  <c r="BQ373" i="4" s="1"/>
  <c r="BQ182" i="4" l="1"/>
  <c r="BP183" i="4"/>
  <c r="BP184" i="4"/>
  <c r="BP178" i="4"/>
  <c r="BQ101" i="4"/>
  <c r="BP373" i="4"/>
  <c r="BP128" i="4"/>
  <c r="BP176" i="4"/>
  <c r="BP174" i="4"/>
  <c r="BQ102" i="4"/>
  <c r="BP100" i="4"/>
  <c r="BP93" i="4"/>
  <c r="AU719" i="4"/>
  <c r="AS719" i="4"/>
  <c r="AO719" i="4" s="1"/>
  <c r="AS740" i="4"/>
  <c r="AU740" i="4"/>
  <c r="AS1832" i="4"/>
  <c r="AO1832" i="4" s="1"/>
  <c r="AU1832" i="4"/>
  <c r="AU1820" i="4"/>
  <c r="AS1820" i="4"/>
  <c r="AO1820" i="4" s="1"/>
  <c r="AS978" i="4"/>
  <c r="AO978" i="4" s="1"/>
  <c r="AU978" i="4"/>
  <c r="AA2339" i="4"/>
  <c r="W2339" i="4" s="1"/>
  <c r="AC2339" i="4"/>
  <c r="AC2338" i="4"/>
  <c r="AA2338" i="4"/>
  <c r="W2338" i="4" s="1"/>
  <c r="AC2336" i="4"/>
  <c r="AA2336" i="4"/>
  <c r="W2336" i="4" s="1"/>
  <c r="AC2332" i="4"/>
  <c r="AA2332" i="4"/>
  <c r="W2332" i="4" s="1"/>
  <c r="AA2320" i="4"/>
  <c r="W2320" i="4" s="1"/>
  <c r="AC2320" i="4"/>
  <c r="AC2315" i="4"/>
  <c r="AA2315" i="4"/>
  <c r="W2315" i="4" s="1"/>
  <c r="AA2313" i="4"/>
  <c r="W2313" i="4" s="1"/>
  <c r="AC2313" i="4"/>
  <c r="AA2307" i="4"/>
  <c r="W2307" i="4" s="1"/>
  <c r="AC2307" i="4"/>
  <c r="AC2306" i="4"/>
  <c r="AA2306" i="4"/>
  <c r="W2306" i="4" s="1"/>
  <c r="AC2298" i="4"/>
  <c r="AA2298" i="4"/>
  <c r="W2298" i="4" s="1"/>
  <c r="AP740" i="4" l="1"/>
  <c r="AP1832" i="4"/>
  <c r="AP978" i="4"/>
  <c r="AO740" i="4"/>
  <c r="AP1820" i="4"/>
  <c r="AP719" i="4"/>
  <c r="X2338" i="4"/>
  <c r="X2315" i="4"/>
  <c r="X2306" i="4"/>
  <c r="X2339" i="4"/>
  <c r="X2298" i="4"/>
  <c r="X2332" i="4"/>
  <c r="X2336" i="4"/>
  <c r="X2320" i="4"/>
  <c r="X2313" i="4"/>
  <c r="X2307" i="4"/>
  <c r="O203" i="6"/>
  <c r="O202" i="6"/>
  <c r="O201" i="6"/>
  <c r="O200" i="6"/>
  <c r="O199" i="6"/>
  <c r="O198" i="6"/>
  <c r="O197" i="6"/>
  <c r="O196" i="6"/>
  <c r="O195" i="6"/>
  <c r="O194" i="6"/>
  <c r="O193" i="6"/>
  <c r="O192" i="6"/>
  <c r="O191" i="6"/>
  <c r="O190" i="6"/>
  <c r="O189" i="6"/>
  <c r="O188" i="6"/>
  <c r="O187" i="6"/>
  <c r="O186" i="6"/>
  <c r="O185" i="6"/>
  <c r="O184" i="6"/>
  <c r="O183" i="6"/>
  <c r="O182" i="6"/>
  <c r="O181" i="6"/>
  <c r="O180" i="6"/>
  <c r="O179" i="6"/>
  <c r="O178" i="6"/>
  <c r="O177" i="6"/>
  <c r="O176" i="6"/>
  <c r="O175" i="6"/>
  <c r="O174" i="6"/>
  <c r="O173" i="6"/>
  <c r="O172" i="6"/>
  <c r="O171" i="6"/>
  <c r="O170" i="6"/>
  <c r="O169" i="6"/>
  <c r="O168" i="6"/>
  <c r="O167" i="6"/>
  <c r="O166" i="6"/>
  <c r="O165" i="6"/>
  <c r="O164" i="6"/>
  <c r="O163" i="6"/>
  <c r="O162" i="6"/>
  <c r="O161" i="6"/>
  <c r="O160" i="6"/>
  <c r="O159" i="6"/>
  <c r="O158" i="6"/>
  <c r="O157" i="6"/>
  <c r="O156" i="6"/>
  <c r="O155" i="6"/>
  <c r="O154" i="6"/>
  <c r="O153" i="6"/>
  <c r="O152" i="6"/>
  <c r="O151" i="6"/>
  <c r="O150" i="6"/>
  <c r="O149" i="6"/>
  <c r="O148" i="6"/>
  <c r="O147" i="6"/>
  <c r="O146" i="6"/>
  <c r="O145" i="6"/>
  <c r="O144" i="6"/>
  <c r="O143" i="6"/>
  <c r="O142" i="6"/>
  <c r="O141" i="6"/>
  <c r="O140" i="6"/>
  <c r="O139" i="6"/>
  <c r="O138" i="6"/>
  <c r="O137" i="6"/>
  <c r="O136" i="6"/>
  <c r="O135" i="6"/>
  <c r="O134" i="6"/>
  <c r="O133" i="6"/>
  <c r="O132" i="6"/>
  <c r="O131" i="6"/>
  <c r="O130" i="6"/>
  <c r="O129" i="6"/>
  <c r="O128" i="6"/>
  <c r="O127" i="6"/>
  <c r="O126" i="6"/>
  <c r="O125" i="6"/>
  <c r="O124" i="6"/>
  <c r="O123" i="6"/>
  <c r="O122" i="6"/>
  <c r="O121" i="6"/>
  <c r="O120" i="6"/>
  <c r="O119" i="6"/>
  <c r="O118" i="6"/>
  <c r="O116" i="6"/>
  <c r="O115" i="6"/>
  <c r="O114" i="6"/>
  <c r="O113" i="6"/>
  <c r="O112" i="6"/>
  <c r="O111" i="6"/>
  <c r="O110" i="6"/>
  <c r="O109" i="6"/>
  <c r="O108" i="6"/>
  <c r="O107" i="6"/>
  <c r="O106" i="6"/>
  <c r="O105" i="6"/>
  <c r="O104" i="6"/>
  <c r="O103" i="6"/>
  <c r="O102" i="6"/>
  <c r="O101" i="6"/>
  <c r="O100" i="6"/>
  <c r="O99" i="6"/>
  <c r="O98" i="6"/>
  <c r="O97" i="6"/>
  <c r="O96" i="6"/>
  <c r="O95" i="6"/>
  <c r="O94" i="6"/>
  <c r="O93" i="6"/>
  <c r="O92" i="6"/>
  <c r="O91" i="6"/>
  <c r="O90" i="6"/>
  <c r="O89" i="6"/>
  <c r="O88" i="6"/>
  <c r="O87" i="6"/>
  <c r="O86" i="6"/>
  <c r="O85" i="6"/>
  <c r="O84" i="6"/>
  <c r="O83" i="6"/>
  <c r="O82" i="6"/>
  <c r="O81" i="6"/>
  <c r="O80" i="6"/>
  <c r="O79" i="6"/>
  <c r="O78" i="6"/>
  <c r="O77" i="6"/>
  <c r="O76" i="6"/>
  <c r="O75" i="6"/>
  <c r="O74" i="6"/>
  <c r="O73" i="6"/>
  <c r="O72" i="6"/>
  <c r="O71" i="6"/>
  <c r="O70" i="6"/>
  <c r="O69" i="6"/>
  <c r="O68" i="6"/>
  <c r="O67" i="6"/>
  <c r="O66" i="6"/>
  <c r="O65" i="6"/>
  <c r="O64" i="6"/>
  <c r="O63" i="6"/>
  <c r="O62" i="6"/>
  <c r="O61" i="6"/>
  <c r="O60" i="6"/>
  <c r="O59" i="6"/>
  <c r="O58" i="6"/>
  <c r="O57" i="6"/>
  <c r="O56" i="6"/>
  <c r="O55" i="6"/>
  <c r="O54" i="6"/>
  <c r="O53" i="6"/>
  <c r="O52" i="6"/>
  <c r="O51" i="6"/>
  <c r="O50" i="6"/>
  <c r="O49" i="6"/>
  <c r="O48" i="6"/>
  <c r="O47" i="6"/>
  <c r="O46" i="6"/>
  <c r="O45" i="6"/>
  <c r="O44" i="6"/>
  <c r="O43" i="6"/>
  <c r="O42" i="6"/>
  <c r="O41" i="6"/>
  <c r="O40" i="6"/>
  <c r="O39" i="6"/>
  <c r="O38" i="6"/>
  <c r="O37" i="6"/>
  <c r="O36" i="6"/>
  <c r="O35" i="6"/>
  <c r="O34" i="6"/>
  <c r="O33" i="6"/>
  <c r="O32" i="6"/>
  <c r="O31" i="6"/>
  <c r="O30" i="6"/>
  <c r="O29" i="6"/>
  <c r="O28" i="6"/>
  <c r="O27" i="6"/>
  <c r="O26" i="6"/>
  <c r="O25" i="6"/>
  <c r="O24" i="6"/>
  <c r="O23" i="6"/>
  <c r="O22" i="6"/>
  <c r="O21" i="6"/>
  <c r="O20" i="6"/>
  <c r="O19" i="6"/>
  <c r="O18" i="6"/>
  <c r="O17" i="6"/>
  <c r="O16" i="6"/>
  <c r="O15" i="6"/>
  <c r="O14" i="6"/>
  <c r="O13" i="6"/>
  <c r="O12" i="6"/>
  <c r="O11" i="6"/>
  <c r="O10" i="6"/>
  <c r="O9" i="6"/>
  <c r="AA1415" i="4" l="1"/>
  <c r="W1415" i="4" s="1"/>
  <c r="AC1415" i="4"/>
  <c r="AA1561" i="4"/>
  <c r="W1561" i="4" s="1"/>
  <c r="AC1561" i="4"/>
  <c r="AA1786" i="4"/>
  <c r="W1786" i="4" s="1"/>
  <c r="AC1786" i="4"/>
  <c r="AA1433" i="4"/>
  <c r="W1433" i="4" s="1"/>
  <c r="AC1433" i="4"/>
  <c r="AC1562" i="4"/>
  <c r="AA1562" i="4"/>
  <c r="W1562" i="4" s="1"/>
  <c r="AC1560" i="4"/>
  <c r="AA1560" i="4"/>
  <c r="W1560" i="4" s="1"/>
  <c r="AA1816" i="4"/>
  <c r="W1816" i="4" s="1"/>
  <c r="AC1816" i="4"/>
  <c r="AA1888" i="4"/>
  <c r="W1888" i="4" s="1"/>
  <c r="AC1888" i="4"/>
  <c r="AC1823" i="4"/>
  <c r="AA1823" i="4"/>
  <c r="W1823" i="4" s="1"/>
  <c r="AA1634" i="4"/>
  <c r="W1634" i="4" s="1"/>
  <c r="AC1634" i="4"/>
  <c r="AA1715" i="4"/>
  <c r="W1715" i="4" s="1"/>
  <c r="AC1715" i="4"/>
  <c r="AA1865" i="4"/>
  <c r="W1865" i="4" s="1"/>
  <c r="AC1865" i="4"/>
  <c r="AA1884" i="4"/>
  <c r="W1884" i="4" s="1"/>
  <c r="AC1884" i="4"/>
  <c r="AA1594" i="4"/>
  <c r="W1594" i="4" s="1"/>
  <c r="AC1594" i="4"/>
  <c r="AA1498" i="4"/>
  <c r="W1498" i="4" s="1"/>
  <c r="AC1498" i="4"/>
  <c r="AA1558" i="4"/>
  <c r="W1558" i="4" s="1"/>
  <c r="AC1558" i="4"/>
  <c r="AA1429" i="4"/>
  <c r="W1429" i="4" s="1"/>
  <c r="AC1429" i="4"/>
  <c r="AC1605" i="4"/>
  <c r="AA1605" i="4"/>
  <c r="W1605" i="4" s="1"/>
  <c r="AA1680" i="4"/>
  <c r="W1680" i="4" s="1"/>
  <c r="AC1680" i="4"/>
  <c r="AA1658" i="4"/>
  <c r="W1658" i="4" s="1"/>
  <c r="AC1658" i="4"/>
  <c r="AA1769" i="4"/>
  <c r="W1769" i="4" s="1"/>
  <c r="AC1769" i="4"/>
  <c r="AA1581" i="4"/>
  <c r="W1581" i="4" s="1"/>
  <c r="AC1581" i="4"/>
  <c r="AA1742" i="4"/>
  <c r="W1742" i="4" s="1"/>
  <c r="AC1742" i="4"/>
  <c r="AC1455" i="4"/>
  <c r="AA1455" i="4"/>
  <c r="W1455" i="4" s="1"/>
  <c r="AC1716" i="4"/>
  <c r="AA1716" i="4"/>
  <c r="AA1640" i="4"/>
  <c r="W1640" i="4" s="1"/>
  <c r="AC1640" i="4"/>
  <c r="AC1717" i="4"/>
  <c r="AA1717" i="4"/>
  <c r="W1717" i="4" s="1"/>
  <c r="AA1701" i="4"/>
  <c r="W1701" i="4" s="1"/>
  <c r="AC1701" i="4"/>
  <c r="D1701" i="4"/>
  <c r="C2683" i="4" s="1"/>
  <c r="AA1513" i="4"/>
  <c r="W1513" i="4" s="1"/>
  <c r="AC1513" i="4"/>
  <c r="AA1751" i="4"/>
  <c r="W1751" i="4" s="1"/>
  <c r="AC1751" i="4"/>
  <c r="AA1681" i="4"/>
  <c r="W1681" i="4" s="1"/>
  <c r="AC1681" i="4"/>
  <c r="AA1540" i="4"/>
  <c r="W1540" i="4" s="1"/>
  <c r="AC1540" i="4"/>
  <c r="AA1731" i="4"/>
  <c r="W1731" i="4" s="1"/>
  <c r="AC1731" i="4"/>
  <c r="AA1449" i="4"/>
  <c r="W1449" i="4" s="1"/>
  <c r="AC1449" i="4"/>
  <c r="AC1851" i="4"/>
  <c r="AA1851" i="4"/>
  <c r="W1851" i="4" s="1"/>
  <c r="AC1740" i="4"/>
  <c r="AA1740" i="4"/>
  <c r="W1740" i="4" s="1"/>
  <c r="AA1689" i="4"/>
  <c r="AC733" i="4"/>
  <c r="AA733" i="4"/>
  <c r="W733" i="4" s="1"/>
  <c r="AC723" i="4"/>
  <c r="AA723" i="4"/>
  <c r="W723" i="4" s="1"/>
  <c r="AC715" i="4"/>
  <c r="AA715" i="4"/>
  <c r="W715" i="4" s="1"/>
  <c r="AA742" i="4"/>
  <c r="W742" i="4" s="1"/>
  <c r="AC742" i="4"/>
  <c r="AC734" i="4"/>
  <c r="AA734" i="4"/>
  <c r="W734" i="4" s="1"/>
  <c r="AC747" i="4"/>
  <c r="AA747" i="4"/>
  <c r="W747" i="4" s="1"/>
  <c r="AA743" i="4"/>
  <c r="W743" i="4" s="1"/>
  <c r="AC743" i="4"/>
  <c r="X1560" i="4" l="1"/>
  <c r="X1455" i="4"/>
  <c r="X1415" i="4"/>
  <c r="X1561" i="4"/>
  <c r="X1786" i="4"/>
  <c r="X1433" i="4"/>
  <c r="X1562" i="4"/>
  <c r="X1716" i="4"/>
  <c r="X1816" i="4"/>
  <c r="X1888" i="4"/>
  <c r="X1823" i="4"/>
  <c r="X1634" i="4"/>
  <c r="X1715" i="4"/>
  <c r="X1865" i="4"/>
  <c r="X1769" i="4"/>
  <c r="X1884" i="4"/>
  <c r="X1594" i="4"/>
  <c r="X1498" i="4"/>
  <c r="X1558" i="4"/>
  <c r="X1429" i="4"/>
  <c r="X1605" i="4"/>
  <c r="X1680" i="4"/>
  <c r="X1658" i="4"/>
  <c r="X715" i="4"/>
  <c r="X723" i="4"/>
  <c r="X1717" i="4"/>
  <c r="X734" i="4"/>
  <c r="X1851" i="4"/>
  <c r="X747" i="4"/>
  <c r="X733" i="4"/>
  <c r="W1716" i="4"/>
  <c r="X1581" i="4"/>
  <c r="X1742" i="4"/>
  <c r="X1640" i="4"/>
  <c r="X1701" i="4"/>
  <c r="X1513" i="4"/>
  <c r="X1751" i="4"/>
  <c r="X1681" i="4"/>
  <c r="X1540" i="4"/>
  <c r="X1731" i="4"/>
  <c r="X1449" i="4"/>
  <c r="X1740" i="4"/>
  <c r="X742" i="4"/>
  <c r="X743" i="4"/>
  <c r="AA709" i="4"/>
  <c r="W709" i="4" s="1"/>
  <c r="AC709" i="4"/>
  <c r="AA735" i="4"/>
  <c r="W735" i="4" s="1"/>
  <c r="AC735" i="4"/>
  <c r="X709" i="4" l="1"/>
  <c r="X735" i="4"/>
  <c r="AA2420" i="4" l="1"/>
  <c r="AC2420" i="4"/>
  <c r="AA1937" i="4"/>
  <c r="W1937" i="4" s="1"/>
  <c r="AC1937" i="4"/>
  <c r="AA961" i="4"/>
  <c r="AC961" i="4"/>
  <c r="AC955" i="4"/>
  <c r="AA955" i="4"/>
  <c r="AA954" i="4"/>
  <c r="W954" i="4" s="1"/>
  <c r="AC954" i="4"/>
  <c r="AA899" i="4"/>
  <c r="W899" i="4" s="1"/>
  <c r="AC899" i="4"/>
  <c r="AA2631" i="4"/>
  <c r="W2631" i="4" s="1"/>
  <c r="AA2632" i="4"/>
  <c r="AC2632" i="4"/>
  <c r="AA2608" i="4"/>
  <c r="AC2608" i="4"/>
  <c r="AA2573" i="4"/>
  <c r="W2573" i="4" s="1"/>
  <c r="AC2573" i="4"/>
  <c r="AC2631" i="4"/>
  <c r="AA2580" i="4"/>
  <c r="AC2580" i="4"/>
  <c r="AA2560" i="4"/>
  <c r="AC2560" i="4"/>
  <c r="AC2588" i="4"/>
  <c r="AA2588" i="4"/>
  <c r="AC2642" i="4"/>
  <c r="AA2642" i="4"/>
  <c r="AC2555" i="4"/>
  <c r="AA2555" i="4"/>
  <c r="AA2672" i="4"/>
  <c r="X2672" i="4" s="1"/>
  <c r="AA2673" i="4"/>
  <c r="W2673" i="4" s="1"/>
  <c r="AA51" i="4"/>
  <c r="W51" i="4" s="1"/>
  <c r="AA49" i="4"/>
  <c r="W49" i="4" s="1"/>
  <c r="AA48" i="4"/>
  <c r="AC51" i="4"/>
  <c r="AC49" i="4"/>
  <c r="AC48" i="4"/>
  <c r="AA2479" i="4"/>
  <c r="AC2479" i="4"/>
  <c r="AA2482" i="4"/>
  <c r="AA2448" i="4"/>
  <c r="W2448" i="4" s="1"/>
  <c r="AC2448" i="4"/>
  <c r="AA2446" i="4"/>
  <c r="W2446" i="4" s="1"/>
  <c r="AC2446" i="4"/>
  <c r="AC2442" i="4"/>
  <c r="AA2442" i="4"/>
  <c r="W2442" i="4" s="1"/>
  <c r="AA2437" i="4"/>
  <c r="W2437" i="4" s="1"/>
  <c r="AC2437" i="4"/>
  <c r="X2673" i="4" l="1"/>
  <c r="X2588" i="4"/>
  <c r="X2420" i="4"/>
  <c r="X2448" i="4"/>
  <c r="X2437" i="4"/>
  <c r="X2442" i="4"/>
  <c r="X51" i="4"/>
  <c r="X2632" i="4"/>
  <c r="X961" i="4"/>
  <c r="X2479" i="4"/>
  <c r="X2580" i="4"/>
  <c r="W2632" i="4"/>
  <c r="X955" i="4"/>
  <c r="W961" i="4"/>
  <c r="W2479" i="4"/>
  <c r="X2555" i="4"/>
  <c r="X2560" i="4"/>
  <c r="X2608" i="4"/>
  <c r="W2420" i="4"/>
  <c r="X1937" i="4"/>
  <c r="W955" i="4"/>
  <c r="X954" i="4"/>
  <c r="X899" i="4"/>
  <c r="X2631" i="4"/>
  <c r="W2608" i="4"/>
  <c r="X2573" i="4"/>
  <c r="W2580" i="4"/>
  <c r="W2560" i="4"/>
  <c r="W2588" i="4"/>
  <c r="X2642" i="4"/>
  <c r="W2642" i="4"/>
  <c r="W2555" i="4"/>
  <c r="W2672" i="4"/>
  <c r="X48" i="4"/>
  <c r="X49" i="4"/>
  <c r="W48" i="4"/>
  <c r="X2446" i="4"/>
  <c r="AC986" i="4"/>
  <c r="AA986" i="4"/>
  <c r="W986" i="4" s="1"/>
  <c r="BS180" i="4"/>
  <c r="BP180" i="4" s="1"/>
  <c r="BV180" i="4"/>
  <c r="X986" i="4" l="1"/>
  <c r="BQ180" i="4"/>
  <c r="AC801" i="4"/>
  <c r="AA801" i="4"/>
  <c r="W801" i="4" s="1"/>
  <c r="AC800" i="4"/>
  <c r="AA800" i="4"/>
  <c r="AC799" i="4"/>
  <c r="AA799" i="4"/>
  <c r="AC798" i="4"/>
  <c r="AA798" i="4"/>
  <c r="AC797" i="4"/>
  <c r="AA797" i="4"/>
  <c r="AC803" i="4"/>
  <c r="AA803" i="4"/>
  <c r="AC802" i="4"/>
  <c r="AA802" i="4"/>
  <c r="AC796" i="4"/>
  <c r="AA796" i="4"/>
  <c r="AC795" i="4"/>
  <c r="AA795" i="4"/>
  <c r="AC794" i="4"/>
  <c r="AA794" i="4"/>
  <c r="AC793" i="4"/>
  <c r="AA793" i="4"/>
  <c r="AC792" i="4"/>
  <c r="AA792" i="4"/>
  <c r="AC791" i="4"/>
  <c r="AA791" i="4"/>
  <c r="AC790" i="4"/>
  <c r="AA790" i="4"/>
  <c r="AC789" i="4"/>
  <c r="AA789" i="4"/>
  <c r="AC788" i="4"/>
  <c r="AA788" i="4"/>
  <c r="AC787" i="4"/>
  <c r="AA787" i="4"/>
  <c r="AC786" i="4"/>
  <c r="AA786" i="4"/>
  <c r="AA785" i="4"/>
  <c r="X785" i="4" s="1"/>
  <c r="AC784" i="4"/>
  <c r="AA784" i="4"/>
  <c r="AC783" i="4"/>
  <c r="AA783" i="4"/>
  <c r="AA782" i="4"/>
  <c r="AC782" i="4"/>
  <c r="AA781" i="4"/>
  <c r="AC781" i="4"/>
  <c r="AA780" i="4"/>
  <c r="W780" i="4" s="1"/>
  <c r="AC780" i="4"/>
  <c r="AC779" i="4"/>
  <c r="AA779" i="4"/>
  <c r="X782" i="4" l="1"/>
  <c r="X781" i="4"/>
  <c r="W781" i="4"/>
  <c r="X779" i="4"/>
  <c r="X784" i="4"/>
  <c r="X788" i="4"/>
  <c r="X790" i="4"/>
  <c r="X792" i="4"/>
  <c r="X794" i="4"/>
  <c r="X796" i="4"/>
  <c r="X803" i="4"/>
  <c r="X798" i="4"/>
  <c r="X800" i="4"/>
  <c r="W782" i="4"/>
  <c r="X787" i="4"/>
  <c r="X789" i="4"/>
  <c r="X791" i="4"/>
  <c r="X793" i="4"/>
  <c r="X795" i="4"/>
  <c r="X802" i="4"/>
  <c r="X797" i="4"/>
  <c r="X801" i="4"/>
  <c r="X799" i="4"/>
  <c r="W797" i="4"/>
  <c r="W798" i="4"/>
  <c r="W799" i="4"/>
  <c r="W800" i="4"/>
  <c r="X783" i="4"/>
  <c r="X786" i="4"/>
  <c r="W783" i="4"/>
  <c r="W784" i="4"/>
  <c r="W785" i="4"/>
  <c r="W786" i="4"/>
  <c r="W787" i="4"/>
  <c r="W788" i="4"/>
  <c r="W789" i="4"/>
  <c r="W790" i="4"/>
  <c r="W791" i="4"/>
  <c r="W792" i="4"/>
  <c r="W793" i="4"/>
  <c r="W794" i="4"/>
  <c r="W795" i="4"/>
  <c r="W796" i="4"/>
  <c r="W802" i="4"/>
  <c r="W803" i="4"/>
  <c r="X780" i="4"/>
  <c r="W779" i="4"/>
  <c r="BB239" i="4" l="1"/>
  <c r="AY239" i="4" s="1"/>
  <c r="BT341" i="4"/>
  <c r="BQ341" i="4" s="1"/>
  <c r="BV341" i="4"/>
  <c r="BT331" i="4"/>
  <c r="BQ331" i="4" s="1"/>
  <c r="AS345" i="4"/>
  <c r="AU345" i="4"/>
  <c r="AS229" i="4"/>
  <c r="AU229" i="4"/>
  <c r="AC229" i="4"/>
  <c r="AA229" i="4"/>
  <c r="BD240" i="4"/>
  <c r="BB240" i="4"/>
  <c r="BK224" i="4"/>
  <c r="BG224" i="4" s="1"/>
  <c r="BM224" i="4"/>
  <c r="BT220" i="4"/>
  <c r="BQ220" i="4" s="1"/>
  <c r="BV220" i="4"/>
  <c r="AS220" i="4"/>
  <c r="AO220" i="4" s="1"/>
  <c r="AU220" i="4"/>
  <c r="BV249" i="4"/>
  <c r="BT249" i="4"/>
  <c r="BQ249" i="4" s="1"/>
  <c r="AC249" i="4"/>
  <c r="AA249" i="4"/>
  <c r="W249" i="4" s="1"/>
  <c r="BV218" i="4"/>
  <c r="BT218" i="4"/>
  <c r="BQ218" i="4" s="1"/>
  <c r="AC215" i="4"/>
  <c r="AA215" i="4"/>
  <c r="BV244" i="4"/>
  <c r="BT244" i="4"/>
  <c r="BQ244" i="4" s="1"/>
  <c r="X229" i="4" l="1"/>
  <c r="BP341" i="4"/>
  <c r="X215" i="4"/>
  <c r="BP220" i="4"/>
  <c r="X249" i="4"/>
  <c r="BP331" i="4"/>
  <c r="AX239" i="4"/>
  <c r="AP220" i="4"/>
  <c r="BH224" i="4"/>
  <c r="AY240" i="4"/>
  <c r="AP229" i="4"/>
  <c r="AP345" i="4"/>
  <c r="AO345" i="4"/>
  <c r="AO229" i="4"/>
  <c r="W229" i="4"/>
  <c r="AX240" i="4"/>
  <c r="BP249" i="4"/>
  <c r="BP218" i="4"/>
  <c r="W215" i="4"/>
  <c r="BP244" i="4"/>
  <c r="BV352" i="4"/>
  <c r="BT352" i="4"/>
  <c r="BQ352" i="4" s="1"/>
  <c r="AA213" i="4"/>
  <c r="W213" i="4" s="1"/>
  <c r="AC213" i="4"/>
  <c r="AA2406" i="4"/>
  <c r="W2406" i="4" s="1"/>
  <c r="AC2406" i="4"/>
  <c r="AJ2405" i="4"/>
  <c r="AG2405" i="4" s="1"/>
  <c r="AA2553" i="4"/>
  <c r="W2553" i="4" s="1"/>
  <c r="AC2553" i="4"/>
  <c r="AA680" i="4"/>
  <c r="W680" i="4" s="1"/>
  <c r="AC680" i="4"/>
  <c r="BS677" i="4"/>
  <c r="BP677" i="4" s="1"/>
  <c r="BV677" i="4"/>
  <c r="AA676" i="4"/>
  <c r="W676" i="4" s="1"/>
  <c r="AC676" i="4"/>
  <c r="B2683" i="4" l="1"/>
  <c r="BP352" i="4"/>
  <c r="BQ677" i="4"/>
  <c r="X213" i="4"/>
  <c r="X2406" i="4"/>
  <c r="AF2405" i="4"/>
  <c r="X2553" i="4"/>
  <c r="X680" i="4"/>
  <c r="X676" i="4"/>
  <c r="D2683" i="4" l="1"/>
  <c r="AR679" i="4"/>
  <c r="AO679" i="4" s="1"/>
  <c r="AU679" i="4"/>
  <c r="AJ678" i="4"/>
  <c r="AC678" i="4"/>
  <c r="AA678" i="4"/>
  <c r="W678" i="4" s="1"/>
  <c r="AC673" i="4"/>
  <c r="AJ672" i="4"/>
  <c r="AF672" i="4" s="1"/>
  <c r="AL672" i="4"/>
  <c r="AC672" i="4"/>
  <c r="AA672" i="4"/>
  <c r="W672" i="4" s="1"/>
  <c r="AU2531" i="4"/>
  <c r="AC2531" i="4"/>
  <c r="AA2531" i="4"/>
  <c r="AA2349" i="4"/>
  <c r="AC2252" i="4"/>
  <c r="AA2252" i="4"/>
  <c r="W2252" i="4" s="1"/>
  <c r="X678" i="4" l="1"/>
  <c r="X672" i="4"/>
  <c r="AP679" i="4"/>
  <c r="AG672" i="4"/>
  <c r="X2252" i="4"/>
  <c r="X2531" i="4"/>
  <c r="W2531" i="4"/>
  <c r="AS667" i="4" l="1"/>
  <c r="AO667" i="4" s="1"/>
  <c r="AU667" i="4"/>
  <c r="AA667" i="4"/>
  <c r="W667" i="4" s="1"/>
  <c r="AC667" i="4"/>
  <c r="AA666" i="4"/>
  <c r="BM70" i="4"/>
  <c r="BK70" i="4"/>
  <c r="BG70" i="4" s="1"/>
  <c r="W68" i="4"/>
  <c r="AC68" i="4"/>
  <c r="X667" i="4" l="1"/>
  <c r="BH70" i="4"/>
  <c r="AP667" i="4"/>
  <c r="X68" i="4"/>
  <c r="AC1979" i="4" l="1"/>
  <c r="AA1979" i="4"/>
  <c r="AA1945" i="4"/>
  <c r="W1945" i="4" s="1"/>
  <c r="AC1945" i="4"/>
  <c r="AA1940" i="4"/>
  <c r="W1940" i="4" s="1"/>
  <c r="AC1940" i="4"/>
  <c r="AC1948" i="4"/>
  <c r="AA1948" i="4"/>
  <c r="W1948" i="4" s="1"/>
  <c r="AA650" i="4"/>
  <c r="W650" i="4" s="1"/>
  <c r="AC650" i="4"/>
  <c r="X1948" i="4" l="1"/>
  <c r="X1940" i="4"/>
  <c r="X1979" i="4"/>
  <c r="W1979" i="4"/>
  <c r="X1945" i="4"/>
  <c r="X650" i="4"/>
  <c r="AC653" i="4" l="1"/>
  <c r="AA653" i="4"/>
  <c r="W653" i="4" s="1"/>
  <c r="AA2520" i="4"/>
  <c r="AC2520" i="4"/>
  <c r="AS642" i="4"/>
  <c r="AO642" i="4" s="1"/>
  <c r="AU642" i="4"/>
  <c r="BT638" i="4"/>
  <c r="BP638" i="4" s="1"/>
  <c r="BV638" i="4"/>
  <c r="AA638" i="4"/>
  <c r="W638" i="4" s="1"/>
  <c r="AC638" i="4"/>
  <c r="X653" i="4" l="1"/>
  <c r="AP642" i="4"/>
  <c r="BQ638" i="4"/>
  <c r="X638" i="4"/>
  <c r="BM1936" i="4"/>
  <c r="AA1936" i="4"/>
  <c r="BM1926" i="4"/>
  <c r="BK1926" i="4"/>
  <c r="BG1926" i="4" s="1"/>
  <c r="AA189" i="4"/>
  <c r="W189" i="4" s="1"/>
  <c r="AC189" i="4"/>
  <c r="AU495" i="4"/>
  <c r="AS495" i="4"/>
  <c r="AO495" i="4" s="1"/>
  <c r="AA610" i="4"/>
  <c r="AC610" i="4"/>
  <c r="AC594" i="4"/>
  <c r="X1763" i="4"/>
  <c r="W1763" i="4" s="1"/>
  <c r="AC1063" i="4"/>
  <c r="AA1063" i="4"/>
  <c r="W1063" i="4" s="1"/>
  <c r="AA1321" i="4"/>
  <c r="W1321" i="4" s="1"/>
  <c r="AC1321" i="4"/>
  <c r="AC1636" i="4"/>
  <c r="AA1636" i="4"/>
  <c r="AC1597" i="4"/>
  <c r="BH1926" i="4" l="1"/>
  <c r="X1063" i="4"/>
  <c r="X1636" i="4"/>
  <c r="W610" i="4"/>
  <c r="AP495" i="4"/>
  <c r="X189" i="4"/>
  <c r="X610" i="4"/>
  <c r="X1321" i="4"/>
  <c r="W1636" i="4"/>
  <c r="AC2514" i="4" l="1"/>
  <c r="AS369" i="4"/>
  <c r="AP369" i="4" s="1"/>
  <c r="AO369" i="4" s="1"/>
  <c r="AC66" i="4"/>
  <c r="AA66" i="4"/>
  <c r="W66" i="4" s="1"/>
  <c r="AU2006" i="4"/>
  <c r="AS2006" i="4"/>
  <c r="AO2006" i="4" s="1"/>
  <c r="BT1347" i="4"/>
  <c r="AA809" i="4"/>
  <c r="AC696" i="4"/>
  <c r="AC922" i="4"/>
  <c r="BT1925" i="4" l="1"/>
  <c r="BQ1925" i="4" s="1"/>
  <c r="X66" i="4"/>
  <c r="AP2006" i="4"/>
  <c r="BQ1347" i="4"/>
  <c r="BP1347" i="4"/>
  <c r="AA1463" i="4"/>
  <c r="AC1463" i="4"/>
  <c r="AC1016" i="4"/>
  <c r="BT949" i="4"/>
  <c r="BQ949" i="4" s="1"/>
  <c r="AS921" i="4"/>
  <c r="AO921" i="4" s="1"/>
  <c r="AU921" i="4"/>
  <c r="BP1925" i="4" l="1"/>
  <c r="X1463" i="4"/>
  <c r="W1463" i="4"/>
  <c r="BP949" i="4"/>
  <c r="AP921" i="4"/>
  <c r="AA898" i="4"/>
  <c r="W898" i="4" s="1"/>
  <c r="AC898" i="4"/>
  <c r="X898" i="4" l="1"/>
  <c r="AC822" i="4"/>
  <c r="AA822" i="4"/>
  <c r="W822" i="4" s="1"/>
  <c r="BV821" i="4"/>
  <c r="BP821" i="4"/>
  <c r="AA818" i="4"/>
  <c r="W818" i="4" s="1"/>
  <c r="AC818" i="4"/>
  <c r="AS817" i="4"/>
  <c r="AO817" i="4" s="1"/>
  <c r="AU817" i="4"/>
  <c r="BQ821" i="4" l="1"/>
  <c r="X822" i="4"/>
  <c r="X818" i="4"/>
  <c r="AP817" i="4"/>
  <c r="AC815" i="4" l="1"/>
  <c r="AA146" i="4"/>
  <c r="W146" i="4" s="1"/>
  <c r="AC146" i="4"/>
  <c r="BV119" i="4"/>
  <c r="BT119" i="4"/>
  <c r="BP119" i="4" s="1"/>
  <c r="AA119" i="4"/>
  <c r="W119" i="4" s="1"/>
  <c r="AC119" i="4"/>
  <c r="BT137" i="4"/>
  <c r="BV137" i="4"/>
  <c r="AU137" i="4"/>
  <c r="AS137" i="4"/>
  <c r="BV134" i="4"/>
  <c r="BT134" i="4"/>
  <c r="BP134" i="4" s="1"/>
  <c r="AU134" i="4"/>
  <c r="AS134" i="4"/>
  <c r="AC134" i="4"/>
  <c r="AA134" i="4"/>
  <c r="BB114" i="4"/>
  <c r="AX114" i="4" s="1"/>
  <c r="BD114" i="4"/>
  <c r="AS378" i="4"/>
  <c r="BV99" i="4"/>
  <c r="X134" i="4" l="1"/>
  <c r="BQ134" i="4"/>
  <c r="AP137" i="4"/>
  <c r="AY114" i="4"/>
  <c r="AP134" i="4"/>
  <c r="X815" i="4"/>
  <c r="BQ119" i="4"/>
  <c r="X119" i="4"/>
  <c r="BQ137" i="4"/>
  <c r="W815" i="4"/>
  <c r="X146" i="4"/>
  <c r="BP137" i="4"/>
  <c r="AO137" i="4"/>
  <c r="AO134" i="4"/>
  <c r="W134" i="4"/>
  <c r="BV377" i="4"/>
  <c r="BT377" i="4"/>
  <c r="BQ377" i="4" l="1"/>
  <c r="BP377" i="4"/>
  <c r="AL374" i="4" l="1"/>
  <c r="AA374" i="4"/>
  <c r="AC374" i="4"/>
  <c r="X374" i="4" l="1"/>
  <c r="W374" i="4"/>
  <c r="AC2476" i="4" l="1"/>
  <c r="AA2476" i="4"/>
  <c r="W2476" i="4" s="1"/>
  <c r="X2476" i="4" l="1"/>
  <c r="AA106" i="4"/>
  <c r="W106" i="4" s="1"/>
  <c r="AC106" i="4"/>
  <c r="AL678" i="4"/>
  <c r="AA1967" i="4"/>
  <c r="X1967" i="4" s="1"/>
  <c r="BP189" i="4"/>
  <c r="BV189" i="4"/>
  <c r="BB189" i="4"/>
  <c r="AX189" i="4" s="1"/>
  <c r="BD189" i="4"/>
  <c r="AJ189" i="4"/>
  <c r="AF189" i="4" s="1"/>
  <c r="AL189" i="4"/>
  <c r="AC1952" i="4"/>
  <c r="AA1952" i="4"/>
  <c r="W1952" i="4" s="1"/>
  <c r="AA1961" i="4"/>
  <c r="W1961" i="4" s="1"/>
  <c r="AC1961" i="4"/>
  <c r="AA363" i="4"/>
  <c r="AC363" i="4"/>
  <c r="AA1880" i="4"/>
  <c r="W1880" i="4" s="1"/>
  <c r="AC1880" i="4"/>
  <c r="AS1463" i="4"/>
  <c r="AA313" i="4"/>
  <c r="W313" i="4" s="1"/>
  <c r="AC313" i="4"/>
  <c r="AA123" i="4"/>
  <c r="AC123" i="4"/>
  <c r="AC131" i="4"/>
  <c r="AA131" i="4"/>
  <c r="W131" i="4" s="1"/>
  <c r="BV2485" i="4"/>
  <c r="BS2485" i="4"/>
  <c r="BP2485" i="4" s="1"/>
  <c r="AC2485" i="4"/>
  <c r="AA2485" i="4"/>
  <c r="W2485" i="4" s="1"/>
  <c r="AL332" i="4"/>
  <c r="AJ332" i="4"/>
  <c r="AF332" i="4" s="1"/>
  <c r="AO378" i="4"/>
  <c r="AU378" i="4"/>
  <c r="AC137" i="4"/>
  <c r="AA137" i="4"/>
  <c r="W137" i="4" s="1"/>
  <c r="AL2415" i="4"/>
  <c r="AJ2415" i="4"/>
  <c r="BV247" i="4"/>
  <c r="BT247" i="4"/>
  <c r="BQ247" i="4" s="1"/>
  <c r="AL247" i="4"/>
  <c r="AJ247" i="4"/>
  <c r="AF247" i="4" s="1"/>
  <c r="X313" i="4" l="1"/>
  <c r="X363" i="4"/>
  <c r="AG678" i="4"/>
  <c r="X123" i="4"/>
  <c r="BP247" i="4"/>
  <c r="X137" i="4"/>
  <c r="W123" i="4"/>
  <c r="X1952" i="4"/>
  <c r="X2485" i="4"/>
  <c r="X131" i="4"/>
  <c r="X106" i="4"/>
  <c r="AF678" i="4"/>
  <c r="W1967" i="4"/>
  <c r="BQ189" i="4"/>
  <c r="AY189" i="4"/>
  <c r="AG189" i="4"/>
  <c r="X1961" i="4"/>
  <c r="W363" i="4"/>
  <c r="X1880" i="4"/>
  <c r="AG247" i="4"/>
  <c r="AP378" i="4"/>
  <c r="AG332" i="4"/>
  <c r="BQ2485" i="4"/>
  <c r="AG2415" i="4"/>
  <c r="AF2415" i="4"/>
  <c r="BV594" i="4"/>
  <c r="BT594" i="4"/>
  <c r="BP594" i="4" s="1"/>
  <c r="AS837" i="4"/>
  <c r="AU837" i="4"/>
  <c r="AC837" i="4"/>
  <c r="AA837" i="4"/>
  <c r="X837" i="4" l="1"/>
  <c r="AP837" i="4"/>
  <c r="W837" i="4"/>
  <c r="BQ594" i="4"/>
  <c r="AO837" i="4"/>
  <c r="BT328" i="4"/>
  <c r="BQ328" i="4" s="1"/>
  <c r="BV328" i="4"/>
  <c r="AS328" i="4"/>
  <c r="AO328" i="4" s="1"/>
  <c r="AU328" i="4"/>
  <c r="AC328" i="4"/>
  <c r="W328" i="4"/>
  <c r="AA69" i="4"/>
  <c r="X328" i="4" l="1"/>
  <c r="BP328" i="4"/>
  <c r="AP328" i="4"/>
  <c r="BB231" i="4" l="1"/>
  <c r="BD231" i="4"/>
  <c r="AC94" i="4"/>
  <c r="Z94" i="4"/>
  <c r="W94" i="4" s="1"/>
  <c r="AY231" i="4" l="1"/>
  <c r="AX231" i="4"/>
  <c r="AL243" i="4"/>
  <c r="AJ243" i="4"/>
  <c r="W351" i="4"/>
  <c r="X351" i="4" s="1"/>
  <c r="BT351" i="4"/>
  <c r="BQ351" i="4" s="1"/>
  <c r="BV351" i="4"/>
  <c r="AA187" i="4"/>
  <c r="AC187" i="4"/>
  <c r="AA893" i="4"/>
  <c r="W893" i="4" s="1"/>
  <c r="AC893" i="4"/>
  <c r="AA351" i="4" l="1"/>
  <c r="AB351" i="4" s="1"/>
  <c r="AC351" i="4" s="1"/>
  <c r="AG243" i="4"/>
  <c r="AF243" i="4"/>
  <c r="BP351" i="4"/>
  <c r="X187" i="4"/>
  <c r="W187" i="4"/>
  <c r="X893" i="4"/>
  <c r="BK343" i="4"/>
  <c r="BG343" i="4" s="1"/>
  <c r="BM343" i="4"/>
  <c r="AS343" i="4"/>
  <c r="AO343" i="4" s="1"/>
  <c r="AU343" i="4"/>
  <c r="AA343" i="4"/>
  <c r="BH343" i="4" l="1"/>
  <c r="AP343" i="4"/>
  <c r="AU693" i="4" l="1"/>
  <c r="BV620" i="4"/>
  <c r="BT620" i="4"/>
  <c r="BP620" i="4" s="1"/>
  <c r="BV297" i="4"/>
  <c r="BT297" i="4"/>
  <c r="BV234" i="4"/>
  <c r="BV238" i="4"/>
  <c r="BT238" i="4"/>
  <c r="BQ238" i="4" s="1"/>
  <c r="AS238" i="4"/>
  <c r="AU238" i="4"/>
  <c r="AC234" i="4"/>
  <c r="BQ343" i="4"/>
  <c r="BV343" i="4"/>
  <c r="AC343" i="4"/>
  <c r="X343" i="4" s="1"/>
  <c r="BO231" i="4"/>
  <c r="BT231" i="4"/>
  <c r="BQ231" i="4" s="1"/>
  <c r="BV231" i="4"/>
  <c r="AN231" i="4"/>
  <c r="AS231" i="4"/>
  <c r="AO231" i="4" s="1"/>
  <c r="AU231" i="4"/>
  <c r="AC231" i="4"/>
  <c r="AA231" i="4"/>
  <c r="W231" i="4" s="1"/>
  <c r="W343" i="4"/>
  <c r="BT354" i="4"/>
  <c r="BV354" i="4"/>
  <c r="BT604" i="4"/>
  <c r="BV604" i="4"/>
  <c r="BP129" i="4"/>
  <c r="BV129" i="4"/>
  <c r="AA129" i="4"/>
  <c r="W129" i="4" s="1"/>
  <c r="AC129" i="4"/>
  <c r="BV2367" i="4"/>
  <c r="BT2367" i="4"/>
  <c r="BP2367" i="4" s="1"/>
  <c r="BT274" i="4"/>
  <c r="BQ274" i="4" s="1"/>
  <c r="AA274" i="4"/>
  <c r="W274" i="4" s="1"/>
  <c r="BV274" i="4"/>
  <c r="AC274" i="4"/>
  <c r="BK259" i="4"/>
  <c r="BH259" i="4" s="1"/>
  <c r="BM259" i="4"/>
  <c r="AA259" i="4"/>
  <c r="W259" i="4" s="1"/>
  <c r="AC259" i="4"/>
  <c r="BT214" i="4"/>
  <c r="BQ214" i="4" s="1"/>
  <c r="BV214" i="4"/>
  <c r="AC214" i="4"/>
  <c r="AA214" i="4"/>
  <c r="W214" i="4" s="1"/>
  <c r="BT2370" i="4"/>
  <c r="BV2370" i="4"/>
  <c r="BT2369" i="4"/>
  <c r="BP2369" i="4" s="1"/>
  <c r="BV2369" i="4"/>
  <c r="BK425" i="4"/>
  <c r="BM425" i="4"/>
  <c r="AA307" i="4"/>
  <c r="AC307" i="4"/>
  <c r="BV305" i="4"/>
  <c r="BQ305" i="4"/>
  <c r="AC305" i="4"/>
  <c r="BP303" i="4"/>
  <c r="Z303" i="4"/>
  <c r="AA280" i="4"/>
  <c r="AC280" i="4"/>
  <c r="BM205" i="4"/>
  <c r="BV254" i="4"/>
  <c r="BT254" i="4"/>
  <c r="BQ254" i="4" s="1"/>
  <c r="AL254" i="4"/>
  <c r="AJ254" i="4"/>
  <c r="AA1985" i="4"/>
  <c r="W1985" i="4" s="1"/>
  <c r="AC1985" i="4"/>
  <c r="AC2605" i="4"/>
  <c r="AA2605" i="4"/>
  <c r="W2605" i="4" s="1"/>
  <c r="AA2634" i="4"/>
  <c r="AC2634" i="4"/>
  <c r="AA2609" i="4"/>
  <c r="AC2609" i="4"/>
  <c r="AC2551" i="4"/>
  <c r="AC2556" i="4"/>
  <c r="AA2556" i="4"/>
  <c r="AA2671" i="4"/>
  <c r="AC2671" i="4"/>
  <c r="AA2674" i="4"/>
  <c r="AA2504" i="4"/>
  <c r="AC2504" i="4"/>
  <c r="AA2495" i="4"/>
  <c r="AC2495" i="4"/>
  <c r="AC2499" i="4"/>
  <c r="AA2499" i="4"/>
  <c r="W2499" i="4" s="1"/>
  <c r="AA2443" i="4"/>
  <c r="W2443" i="4" s="1"/>
  <c r="AA2445" i="4"/>
  <c r="W2445" i="4" s="1"/>
  <c r="AA2459" i="4"/>
  <c r="AC2459" i="4"/>
  <c r="AC2430" i="4"/>
  <c r="AA2430" i="4"/>
  <c r="AA2436" i="4"/>
  <c r="AC2436" i="4"/>
  <c r="AA2434" i="4"/>
  <c r="AC2434" i="4"/>
  <c r="AA2433" i="4"/>
  <c r="AC2433" i="4"/>
  <c r="AA2432" i="4"/>
  <c r="AC2432" i="4"/>
  <c r="AA2431" i="4"/>
  <c r="AC2431" i="4"/>
  <c r="AO1463" i="4"/>
  <c r="AU1463" i="4"/>
  <c r="BV374" i="4"/>
  <c r="BT374" i="4"/>
  <c r="BP374" i="4" s="1"/>
  <c r="AA959" i="4"/>
  <c r="W959" i="4" s="1"/>
  <c r="AJ2668" i="4"/>
  <c r="AL2668" i="4"/>
  <c r="BT381" i="4"/>
  <c r="BP381" i="4" s="1"/>
  <c r="BV381" i="4"/>
  <c r="A1" i="5"/>
  <c r="AJ2411" i="4"/>
  <c r="AA2411" i="4"/>
  <c r="W2411" i="4" s="1"/>
  <c r="AJ311" i="4"/>
  <c r="BV320" i="4"/>
  <c r="BT320" i="4"/>
  <c r="BQ320" i="4" s="1"/>
  <c r="AC320" i="4"/>
  <c r="AJ265" i="4"/>
  <c r="X365" i="4"/>
  <c r="AL1935" i="4"/>
  <c r="AJ1935" i="4"/>
  <c r="AF1935" i="4" s="1"/>
  <c r="AA61" i="4"/>
  <c r="Z644" i="4"/>
  <c r="W644" i="4" s="1"/>
  <c r="X644" i="4" s="1"/>
  <c r="V644" i="4"/>
  <c r="AM2429" i="4"/>
  <c r="AG2429" i="4"/>
  <c r="AF2429" i="4"/>
  <c r="AD2429" i="4"/>
  <c r="AD2425" i="4" s="1"/>
  <c r="X2429" i="4"/>
  <c r="AC2429" i="4" s="1"/>
  <c r="W2429" i="4"/>
  <c r="AB2429" i="4" s="1"/>
  <c r="AA1797" i="4"/>
  <c r="W1797" i="4" s="1"/>
  <c r="AC1797" i="4"/>
  <c r="AA1796" i="4"/>
  <c r="W1796" i="4" s="1"/>
  <c r="AC1796" i="4"/>
  <c r="AA1732" i="4"/>
  <c r="AC1732" i="4"/>
  <c r="AA1620" i="4"/>
  <c r="AC1620" i="4"/>
  <c r="AA1595" i="4"/>
  <c r="W1595" i="4" s="1"/>
  <c r="AC1595" i="4"/>
  <c r="AA1567" i="4"/>
  <c r="W1567" i="4" s="1"/>
  <c r="AC1567" i="4"/>
  <c r="AA1486" i="4"/>
  <c r="AC1486" i="4"/>
  <c r="AA1422" i="4"/>
  <c r="W1422" i="4" s="1"/>
  <c r="AA1445" i="4"/>
  <c r="AC1445" i="4"/>
  <c r="AC1422" i="4"/>
  <c r="AA1233" i="4"/>
  <c r="AC1233" i="4"/>
  <c r="AC1134" i="4"/>
  <c r="AA1134" i="4"/>
  <c r="AA1083" i="4"/>
  <c r="W1083" i="4" s="1"/>
  <c r="AC1083" i="4"/>
  <c r="AA1044" i="4"/>
  <c r="W1044" i="4" s="1"/>
  <c r="AC1044" i="4"/>
  <c r="AA1032" i="4"/>
  <c r="W1032" i="4" s="1"/>
  <c r="AC1032" i="4"/>
  <c r="AA1451" i="4"/>
  <c r="AC1451" i="4"/>
  <c r="AC1339" i="4"/>
  <c r="AA1339" i="4"/>
  <c r="AA1316" i="4"/>
  <c r="AC1316" i="4"/>
  <c r="AA1305" i="4"/>
  <c r="AA1306" i="4"/>
  <c r="AC1306" i="4"/>
  <c r="AC1780" i="4"/>
  <c r="AA1780" i="4"/>
  <c r="AA1694" i="4"/>
  <c r="W1694" i="4" s="1"/>
  <c r="AC1694" i="4"/>
  <c r="AC1476" i="4"/>
  <c r="AA1476" i="4"/>
  <c r="AC1214" i="4"/>
  <c r="AA1214" i="4"/>
  <c r="AA1267" i="4"/>
  <c r="AC1267" i="4"/>
  <c r="AA1127" i="4"/>
  <c r="AC1127" i="4"/>
  <c r="AA1426" i="4"/>
  <c r="W1426" i="4" s="1"/>
  <c r="AC1426" i="4"/>
  <c r="AA1368" i="4"/>
  <c r="AA1100" i="4"/>
  <c r="AC1100" i="4"/>
  <c r="AC1165" i="4"/>
  <c r="AA1165" i="4"/>
  <c r="AC1225" i="4"/>
  <c r="AA1225" i="4"/>
  <c r="AA1532" i="4"/>
  <c r="AC1532" i="4"/>
  <c r="AA1699" i="4"/>
  <c r="AC1699" i="4"/>
  <c r="AA1521" i="4"/>
  <c r="W1521" i="4" s="1"/>
  <c r="AC1521" i="4"/>
  <c r="AA1309" i="4"/>
  <c r="AC1309" i="4"/>
  <c r="AA1335" i="4"/>
  <c r="AC1335" i="4"/>
  <c r="AA1766" i="4"/>
  <c r="W1766" i="4" s="1"/>
  <c r="AC1766" i="4"/>
  <c r="AA1408" i="4"/>
  <c r="W1408" i="4" s="1"/>
  <c r="AC1408" i="4"/>
  <c r="AA1088" i="4"/>
  <c r="W1088" i="4" s="1"/>
  <c r="AA1230" i="4"/>
  <c r="AC1230" i="4"/>
  <c r="AA1216" i="4"/>
  <c r="W1216" i="4" s="1"/>
  <c r="AC1216" i="4"/>
  <c r="AA1575" i="4"/>
  <c r="AC1575" i="4"/>
  <c r="AA1565" i="4"/>
  <c r="W1565" i="4" s="1"/>
  <c r="AC1565" i="4"/>
  <c r="AA1573" i="4"/>
  <c r="W1573" i="4" s="1"/>
  <c r="AC1573" i="4"/>
  <c r="AA1493" i="4"/>
  <c r="W1493" i="4" s="1"/>
  <c r="AC1493" i="4"/>
  <c r="AA1423" i="4"/>
  <c r="AC1423" i="4"/>
  <c r="AA1054" i="4"/>
  <c r="AC1054" i="4"/>
  <c r="AA1081" i="4"/>
  <c r="W1081" i="4" s="1"/>
  <c r="AC1081" i="4"/>
  <c r="AA1406" i="4"/>
  <c r="W1406" i="4" s="1"/>
  <c r="AC1406" i="4"/>
  <c r="AA1856" i="4"/>
  <c r="W1856" i="4" s="1"/>
  <c r="AC1856" i="4"/>
  <c r="AA1685" i="4"/>
  <c r="W1685" i="4" s="1"/>
  <c r="AC1685" i="4"/>
  <c r="AA1209" i="4"/>
  <c r="W1209" i="4" s="1"/>
  <c r="AC1209" i="4"/>
  <c r="AA1050" i="4"/>
  <c r="AC1050" i="4"/>
  <c r="AC1483" i="4"/>
  <c r="AA1483" i="4"/>
  <c r="W1483" i="4" s="1"/>
  <c r="AA1452" i="4"/>
  <c r="AC1452" i="4"/>
  <c r="AA1288" i="4"/>
  <c r="AA1290" i="4"/>
  <c r="AC1290" i="4"/>
  <c r="AA1328" i="4"/>
  <c r="AC1328" i="4"/>
  <c r="AA1850" i="4"/>
  <c r="AC1850" i="4"/>
  <c r="AC1778" i="4"/>
  <c r="AA1778" i="4"/>
  <c r="AA1801" i="4"/>
  <c r="W1801" i="4" s="1"/>
  <c r="AC1801" i="4"/>
  <c r="AC1798" i="4"/>
  <c r="AA1798" i="4"/>
  <c r="AA1775" i="4"/>
  <c r="W1775" i="4" s="1"/>
  <c r="AC1775" i="4"/>
  <c r="AA1704" i="4"/>
  <c r="W1704" i="4" s="1"/>
  <c r="AC1704" i="4"/>
  <c r="AA1448" i="4"/>
  <c r="AC1448" i="4"/>
  <c r="AA1446" i="4"/>
  <c r="AC1446" i="4"/>
  <c r="AA1891" i="4"/>
  <c r="W1891" i="4" s="1"/>
  <c r="AC1891" i="4"/>
  <c r="AA1870" i="4"/>
  <c r="W1870" i="4" s="1"/>
  <c r="AC1870" i="4"/>
  <c r="AA1866" i="4"/>
  <c r="X1866" i="4" s="1"/>
  <c r="AA1863" i="4"/>
  <c r="AA1821" i="4"/>
  <c r="AC1821" i="4"/>
  <c r="AA1789" i="4"/>
  <c r="AC1789" i="4"/>
  <c r="AA1757" i="4"/>
  <c r="AC1757" i="4"/>
  <c r="AA1682" i="4"/>
  <c r="W1682" i="4" s="1"/>
  <c r="AC1682" i="4"/>
  <c r="AA1614" i="4"/>
  <c r="AC1614" i="4"/>
  <c r="AA1531" i="4"/>
  <c r="AC1531" i="4"/>
  <c r="AA1515" i="4"/>
  <c r="AC1515" i="4"/>
  <c r="AA1511" i="4"/>
  <c r="W1511" i="4" s="1"/>
  <c r="AC1511" i="4"/>
  <c r="AA1516" i="4"/>
  <c r="AC1516" i="4"/>
  <c r="AA1508" i="4"/>
  <c r="AC1508" i="4"/>
  <c r="AA1760" i="4"/>
  <c r="AC1760" i="4"/>
  <c r="AA1362" i="4"/>
  <c r="W1362" i="4" s="1"/>
  <c r="AC1362" i="4"/>
  <c r="AA1495" i="4"/>
  <c r="AC1495" i="4"/>
  <c r="AA1666" i="4"/>
  <c r="AC1666" i="4"/>
  <c r="AC1260" i="4"/>
  <c r="AA1260" i="4"/>
  <c r="W1260" i="4" s="1"/>
  <c r="AA1284" i="4"/>
  <c r="W1284" i="4" s="1"/>
  <c r="AC1284" i="4"/>
  <c r="AC1262" i="4"/>
  <c r="AA1262" i="4"/>
  <c r="W1262" i="4" s="1"/>
  <c r="AA1123" i="4"/>
  <c r="AC1123" i="4"/>
  <c r="AC1215" i="4"/>
  <c r="AA1215" i="4"/>
  <c r="W1215" i="4" s="1"/>
  <c r="AA1859" i="4"/>
  <c r="AC1859" i="4"/>
  <c r="AC1161" i="4"/>
  <c r="AA1161" i="4"/>
  <c r="W1161" i="4" s="1"/>
  <c r="AA1592" i="4"/>
  <c r="AC1592" i="4"/>
  <c r="AA1696" i="4"/>
  <c r="W1696" i="4" s="1"/>
  <c r="AC1696" i="4"/>
  <c r="AA1232" i="4"/>
  <c r="W1232" i="4" s="1"/>
  <c r="AC1232" i="4"/>
  <c r="AA1334" i="4"/>
  <c r="AC1334" i="4"/>
  <c r="AA1725" i="4"/>
  <c r="W1725" i="4" s="1"/>
  <c r="AC1725" i="4"/>
  <c r="AA1886" i="4"/>
  <c r="AC1886" i="4"/>
  <c r="AA1076" i="4"/>
  <c r="W1076" i="4" s="1"/>
  <c r="AC1076" i="4"/>
  <c r="AA1659" i="4"/>
  <c r="AC1659" i="4"/>
  <c r="AA1303" i="4"/>
  <c r="AC1303" i="4"/>
  <c r="AA1411" i="4"/>
  <c r="W1411" i="4" s="1"/>
  <c r="AC1411" i="4"/>
  <c r="AA1212" i="4"/>
  <c r="AC1212" i="4"/>
  <c r="AA1436" i="4"/>
  <c r="W1436" i="4" s="1"/>
  <c r="AC1436" i="4"/>
  <c r="AA1101" i="4"/>
  <c r="AC1101" i="4"/>
  <c r="AA1399" i="4"/>
  <c r="W1399" i="4" s="1"/>
  <c r="AC1399" i="4"/>
  <c r="AA1395" i="4"/>
  <c r="AC1395" i="4"/>
  <c r="AA1047" i="4"/>
  <c r="W1047" i="4" s="1"/>
  <c r="AC1047" i="4"/>
  <c r="AC1501" i="4"/>
  <c r="AA1501" i="4"/>
  <c r="W1501" i="4" s="1"/>
  <c r="AA1435" i="4"/>
  <c r="W1435" i="4" s="1"/>
  <c r="AC1435" i="4"/>
  <c r="AA1464" i="4"/>
  <c r="AC1464" i="4"/>
  <c r="AA1653" i="4"/>
  <c r="AC1653" i="4"/>
  <c r="AA1756" i="4"/>
  <c r="W1756" i="4" s="1"/>
  <c r="AC1756" i="4"/>
  <c r="AA1542" i="4"/>
  <c r="W1542" i="4" s="1"/>
  <c r="AC1542" i="4"/>
  <c r="AA1714" i="4"/>
  <c r="AC1714" i="4"/>
  <c r="AA1787" i="4"/>
  <c r="AC1787" i="4"/>
  <c r="AA1538" i="4"/>
  <c r="W1538" i="4" s="1"/>
  <c r="AC1538" i="4"/>
  <c r="AA1529" i="4"/>
  <c r="W1529" i="4" s="1"/>
  <c r="AC1529" i="4"/>
  <c r="AA1484" i="4"/>
  <c r="AC1484" i="4"/>
  <c r="AA1245" i="4"/>
  <c r="AC1245" i="4"/>
  <c r="AA1783" i="4"/>
  <c r="W1783" i="4" s="1"/>
  <c r="AC1783" i="4"/>
  <c r="AA1695" i="4"/>
  <c r="W1695" i="4" s="1"/>
  <c r="AC1695" i="4"/>
  <c r="AA1519" i="4"/>
  <c r="W1519" i="4" s="1"/>
  <c r="AC1519" i="4"/>
  <c r="AA1354" i="4"/>
  <c r="AC1354" i="4"/>
  <c r="AA1085" i="4"/>
  <c r="W1085" i="4" s="1"/>
  <c r="AC1085" i="4"/>
  <c r="AA1854" i="4"/>
  <c r="AC1854" i="4"/>
  <c r="AA1392" i="4"/>
  <c r="W1392" i="4" s="1"/>
  <c r="AC1392" i="4"/>
  <c r="AA1601" i="4"/>
  <c r="W1601" i="4" s="1"/>
  <c r="AA1384" i="4"/>
  <c r="W1384" i="4" s="1"/>
  <c r="AC1384" i="4"/>
  <c r="AA1534" i="4"/>
  <c r="W1534" i="4" s="1"/>
  <c r="AC1534" i="4"/>
  <c r="AA1432" i="4"/>
  <c r="AC1432" i="4"/>
  <c r="AA1244" i="4"/>
  <c r="AC1244" i="4"/>
  <c r="AC1199" i="4"/>
  <c r="AA1199" i="4"/>
  <c r="AA1667" i="4"/>
  <c r="AC1667" i="4"/>
  <c r="AC1173" i="4"/>
  <c r="AA1173" i="4"/>
  <c r="W1173" i="4" s="1"/>
  <c r="AC1176" i="4"/>
  <c r="AA1176" i="4"/>
  <c r="W1176" i="4" s="1"/>
  <c r="AA1637" i="4"/>
  <c r="AC1637" i="4"/>
  <c r="AA1182" i="4"/>
  <c r="W1182" i="4" s="1"/>
  <c r="AC1182" i="4"/>
  <c r="AA1848" i="4"/>
  <c r="W1848" i="4" s="1"/>
  <c r="AC1848" i="4"/>
  <c r="AA1246" i="4"/>
  <c r="W1246" i="4" s="1"/>
  <c r="AC1246" i="4"/>
  <c r="AA1589" i="4"/>
  <c r="W1589" i="4" s="1"/>
  <c r="AC1589" i="4"/>
  <c r="AA1887" i="4"/>
  <c r="W1887" i="4" s="1"/>
  <c r="AC1887" i="4"/>
  <c r="AA1569" i="4"/>
  <c r="W1569" i="4" s="1"/>
  <c r="AC1569" i="4"/>
  <c r="AA1663" i="4"/>
  <c r="W1663" i="4" s="1"/>
  <c r="AC1663" i="4"/>
  <c r="AA1631" i="4"/>
  <c r="AC1631" i="4"/>
  <c r="AC1759" i="4"/>
  <c r="AA1759" i="4"/>
  <c r="AA1524" i="4"/>
  <c r="W1524" i="4" s="1"/>
  <c r="AC1524" i="4"/>
  <c r="AA1882" i="4"/>
  <c r="AC1882" i="4"/>
  <c r="AA1879" i="4"/>
  <c r="W1879" i="4" s="1"/>
  <c r="AC1879" i="4"/>
  <c r="AA1673" i="4"/>
  <c r="AC1673" i="4"/>
  <c r="AA1578" i="4"/>
  <c r="AC1578" i="4"/>
  <c r="AA1356" i="4"/>
  <c r="W1356" i="4" s="1"/>
  <c r="AC1356" i="4"/>
  <c r="AA1400" i="4"/>
  <c r="AC1400" i="4"/>
  <c r="AA1862" i="4"/>
  <c r="W1862" i="4" s="1"/>
  <c r="AA1726" i="4"/>
  <c r="AC1726" i="4"/>
  <c r="AA1190" i="4"/>
  <c r="W1190" i="4" s="1"/>
  <c r="AC1190" i="4"/>
  <c r="AA1548" i="4"/>
  <c r="AC1548" i="4"/>
  <c r="AA1785" i="4"/>
  <c r="AC1785" i="4"/>
  <c r="AA1827" i="4"/>
  <c r="W1827" i="4" s="1"/>
  <c r="AC1827" i="4"/>
  <c r="AA1580" i="4"/>
  <c r="AC1580" i="4"/>
  <c r="AA1713" i="4"/>
  <c r="AC1713" i="4"/>
  <c r="AA1276" i="4"/>
  <c r="W1276" i="4" s="1"/>
  <c r="AC1276" i="4"/>
  <c r="AC1239" i="4"/>
  <c r="AA1239" i="4"/>
  <c r="AA1391" i="4"/>
  <c r="AC1391" i="4"/>
  <c r="X1601" i="4"/>
  <c r="AA1028" i="4"/>
  <c r="AC1028" i="4"/>
  <c r="AA1593" i="4"/>
  <c r="W1593" i="4" s="1"/>
  <c r="AC1593" i="4"/>
  <c r="AA1522" i="4"/>
  <c r="AC1522" i="4"/>
  <c r="AA1881" i="4"/>
  <c r="AC1881" i="4"/>
  <c r="AA1372" i="4"/>
  <c r="W1372" i="4" s="1"/>
  <c r="AC1372" i="4"/>
  <c r="AA1505" i="4"/>
  <c r="W1505" i="4" s="1"/>
  <c r="AC1505" i="4"/>
  <c r="AA1383" i="4"/>
  <c r="AC1383" i="4"/>
  <c r="AA1358" i="4"/>
  <c r="AC1358" i="4"/>
  <c r="AA1071" i="4"/>
  <c r="AC1071" i="4"/>
  <c r="AA1777" i="4"/>
  <c r="W1777" i="4" s="1"/>
  <c r="AC1777" i="4"/>
  <c r="AA1700" i="4"/>
  <c r="W1700" i="4" s="1"/>
  <c r="AC1700" i="4"/>
  <c r="AA1084" i="4"/>
  <c r="W1084" i="4" s="1"/>
  <c r="AC1084" i="4"/>
  <c r="AA1352" i="4"/>
  <c r="W1352" i="4" s="1"/>
  <c r="AC1352" i="4"/>
  <c r="AA1707" i="4"/>
  <c r="AC1707" i="4"/>
  <c r="AA1541" i="4"/>
  <c r="AC1541" i="4"/>
  <c r="AA1491" i="4"/>
  <c r="AC1491" i="4"/>
  <c r="AC1107" i="4"/>
  <c r="AA1107" i="4"/>
  <c r="W1107" i="4" s="1"/>
  <c r="AA1020" i="4"/>
  <c r="W1020" i="4" s="1"/>
  <c r="AC1020" i="4"/>
  <c r="AA1377" i="4"/>
  <c r="AC1377" i="4"/>
  <c r="AA1743" i="4"/>
  <c r="AC1743" i="4"/>
  <c r="AC1746" i="4"/>
  <c r="AA1739" i="4"/>
  <c r="AC1739" i="4"/>
  <c r="AA2528" i="4"/>
  <c r="AB2528" i="4" s="1"/>
  <c r="AA1507" i="4"/>
  <c r="W1507" i="4" s="1"/>
  <c r="AC1507" i="4"/>
  <c r="AA1720" i="4"/>
  <c r="AC1720" i="4"/>
  <c r="AA1864" i="4"/>
  <c r="W1864" i="4" s="1"/>
  <c r="AC1864" i="4"/>
  <c r="AA1803" i="4"/>
  <c r="AC1803" i="4"/>
  <c r="AA1078" i="4"/>
  <c r="W1078" i="4" s="1"/>
  <c r="AC1078" i="4"/>
  <c r="AA1805" i="4"/>
  <c r="AC1805" i="4"/>
  <c r="AA1781" i="4"/>
  <c r="AC1781" i="4"/>
  <c r="AA1300" i="4"/>
  <c r="AC1300" i="4"/>
  <c r="AA1295" i="4"/>
  <c r="W1295" i="4" s="1"/>
  <c r="AC1295" i="4"/>
  <c r="AC1752" i="4"/>
  <c r="AA1752" i="4"/>
  <c r="AA1773" i="4"/>
  <c r="W1773" i="4" s="1"/>
  <c r="AC1773" i="4"/>
  <c r="AC1172" i="4"/>
  <c r="AA1172" i="4"/>
  <c r="W1172" i="4" s="1"/>
  <c r="AC1110" i="4"/>
  <c r="AA1110" i="4"/>
  <c r="W1110" i="4" s="1"/>
  <c r="AA1360" i="4"/>
  <c r="AA1359" i="4"/>
  <c r="W1359" i="4" s="1"/>
  <c r="AC1360" i="4"/>
  <c r="AC1359" i="4"/>
  <c r="AA1363" i="4"/>
  <c r="W1363" i="4" s="1"/>
  <c r="AC1363" i="4"/>
  <c r="AC1389" i="4"/>
  <c r="AA1389" i="4"/>
  <c r="W1389" i="4" s="1"/>
  <c r="AA1599" i="4"/>
  <c r="W1599" i="4" s="1"/>
  <c r="AA1468" i="4"/>
  <c r="W1468" i="4" s="1"/>
  <c r="AC1468" i="4"/>
  <c r="AA1193" i="4"/>
  <c r="AC1193" i="4"/>
  <c r="AC1283" i="4"/>
  <c r="AA1283" i="4"/>
  <c r="AC1111" i="4"/>
  <c r="AA1111" i="4"/>
  <c r="W1111" i="4" s="1"/>
  <c r="AC1471" i="4"/>
  <c r="AA1471" i="4"/>
  <c r="AC1643" i="4"/>
  <c r="AA1643" i="4"/>
  <c r="AA1242" i="4"/>
  <c r="W1242" i="4" s="1"/>
  <c r="AC1242" i="4"/>
  <c r="AA1228" i="4"/>
  <c r="W1228" i="4" s="1"/>
  <c r="AA1229" i="4"/>
  <c r="AC1229" i="4"/>
  <c r="AC1253" i="4"/>
  <c r="AA1253" i="4"/>
  <c r="W1253" i="4" s="1"/>
  <c r="AA1746" i="4"/>
  <c r="AC1099" i="4"/>
  <c r="AA1099" i="4"/>
  <c r="AA1855" i="4"/>
  <c r="W1855" i="4" s="1"/>
  <c r="AC1855" i="4"/>
  <c r="AA1615" i="4"/>
  <c r="W1615" i="4" s="1"/>
  <c r="AC1615" i="4"/>
  <c r="AA1611" i="4"/>
  <c r="W1611" i="4" s="1"/>
  <c r="AC1611" i="4"/>
  <c r="AA1434" i="4"/>
  <c r="AC1434" i="4"/>
  <c r="AA1227" i="4"/>
  <c r="AC1227" i="4"/>
  <c r="AC1535" i="4"/>
  <c r="AA1535" i="4"/>
  <c r="W1535" i="4" s="1"/>
  <c r="AC1154" i="4"/>
  <c r="AA1154" i="4"/>
  <c r="AA1896" i="4"/>
  <c r="W1896" i="4" s="1"/>
  <c r="AA1402" i="4"/>
  <c r="AC1402" i="4"/>
  <c r="AC1896" i="4"/>
  <c r="AA1898" i="4"/>
  <c r="AC1898" i="4"/>
  <c r="AC1147" i="4"/>
  <c r="AA1147" i="4"/>
  <c r="W1147" i="4" s="1"/>
  <c r="AA1762" i="4"/>
  <c r="AC1762" i="4"/>
  <c r="AA1603" i="4"/>
  <c r="AA1793" i="4"/>
  <c r="W1793" i="4" s="1"/>
  <c r="AC1793" i="4"/>
  <c r="AA1624" i="4"/>
  <c r="W1624" i="4" s="1"/>
  <c r="AC1624" i="4"/>
  <c r="AA1812" i="4"/>
  <c r="W1812" i="4" s="1"/>
  <c r="AC1812" i="4"/>
  <c r="AA1719" i="4"/>
  <c r="AC1719" i="4"/>
  <c r="AA1336" i="4"/>
  <c r="W1336" i="4" s="1"/>
  <c r="AC1336" i="4"/>
  <c r="AA1668" i="4"/>
  <c r="AC1668" i="4"/>
  <c r="AA1790" i="4"/>
  <c r="W1790" i="4" s="1"/>
  <c r="AC1790" i="4"/>
  <c r="AC1753" i="4"/>
  <c r="AA1753" i="4"/>
  <c r="AA1765" i="4"/>
  <c r="AC1765" i="4"/>
  <c r="AA1669" i="4"/>
  <c r="AC1669" i="4"/>
  <c r="AA1537" i="4"/>
  <c r="AC1537" i="4"/>
  <c r="AA1465" i="4"/>
  <c r="W1465" i="4" s="1"/>
  <c r="AC1465" i="4"/>
  <c r="AA1877" i="4"/>
  <c r="AC1877" i="4"/>
  <c r="AA1313" i="4"/>
  <c r="AC1313" i="4"/>
  <c r="AA1878" i="4"/>
  <c r="W1878" i="4" s="1"/>
  <c r="AC1878" i="4"/>
  <c r="AA1453" i="4"/>
  <c r="AA1450" i="4"/>
  <c r="W1450" i="4" s="1"/>
  <c r="AC1453" i="4"/>
  <c r="AA1407" i="4"/>
  <c r="AC1407" i="4"/>
  <c r="AA1022" i="4"/>
  <c r="W1022" i="4" s="1"/>
  <c r="AC1022" i="4"/>
  <c r="AA1442" i="4"/>
  <c r="AC1442" i="4"/>
  <c r="AA1893" i="4"/>
  <c r="W1893" i="4" s="1"/>
  <c r="AC1893" i="4"/>
  <c r="AA1241" i="4"/>
  <c r="AC1241" i="4"/>
  <c r="AA1591" i="4"/>
  <c r="W1591" i="4" s="1"/>
  <c r="AC1591" i="4"/>
  <c r="AA1098" i="4"/>
  <c r="W1098" i="4" s="1"/>
  <c r="AC1098" i="4"/>
  <c r="AA1138" i="4"/>
  <c r="AC1138" i="4"/>
  <c r="AC1162" i="4"/>
  <c r="AA1162" i="4"/>
  <c r="AC1587" i="4"/>
  <c r="AA1587" i="4"/>
  <c r="AA1349" i="4"/>
  <c r="AC1349" i="4"/>
  <c r="AA1470" i="4"/>
  <c r="W1470" i="4" s="1"/>
  <c r="AC1470" i="4"/>
  <c r="AA1883" i="4"/>
  <c r="AC1883" i="4"/>
  <c r="AC1160" i="4"/>
  <c r="AA1160" i="4"/>
  <c r="AC1813" i="4"/>
  <c r="AA1813" i="4"/>
  <c r="AA1568" i="4"/>
  <c r="AC1568" i="4"/>
  <c r="AC1824" i="4"/>
  <c r="AA1824" i="4"/>
  <c r="W1824" i="4" s="1"/>
  <c r="AA1302" i="4"/>
  <c r="AC1302" i="4"/>
  <c r="AA1080" i="4"/>
  <c r="W1080" i="4" s="1"/>
  <c r="AC1080" i="4"/>
  <c r="AA1382" i="4"/>
  <c r="W1382" i="4" s="1"/>
  <c r="AC1382" i="4"/>
  <c r="AA1393" i="4"/>
  <c r="W1393" i="4" s="1"/>
  <c r="AC1393" i="4"/>
  <c r="AA1632" i="4"/>
  <c r="AC1632" i="4"/>
  <c r="AA1490" i="4"/>
  <c r="W1490" i="4" s="1"/>
  <c r="AC1490" i="4"/>
  <c r="AA1489" i="4"/>
  <c r="W1489" i="4" s="1"/>
  <c r="AC1489" i="4"/>
  <c r="AC1814" i="4"/>
  <c r="AA1814" i="4"/>
  <c r="AA1868" i="4"/>
  <c r="AC1868" i="4"/>
  <c r="AA1795" i="4"/>
  <c r="W1795" i="4" s="1"/>
  <c r="AC1795" i="4"/>
  <c r="AA1648" i="4"/>
  <c r="AC1648" i="4"/>
  <c r="AA1837" i="4"/>
  <c r="W1837" i="4" s="1"/>
  <c r="AC1837" i="4"/>
  <c r="AA1526" i="4"/>
  <c r="W1526" i="4" s="1"/>
  <c r="AC1526" i="4"/>
  <c r="AC1556" i="4"/>
  <c r="AA1556" i="4"/>
  <c r="AA1403" i="4"/>
  <c r="AC1403" i="4"/>
  <c r="AA1894" i="4"/>
  <c r="AC1894" i="4"/>
  <c r="AA1727" i="4"/>
  <c r="AC1727" i="4"/>
  <c r="AA1416" i="4"/>
  <c r="W1416" i="4" s="1"/>
  <c r="AC1416" i="4"/>
  <c r="AA1728" i="4"/>
  <c r="AC1728" i="4"/>
  <c r="AA1616" i="4"/>
  <c r="W1616" i="4" s="1"/>
  <c r="AC1616" i="4"/>
  <c r="AA1808" i="4"/>
  <c r="AC1808" i="4"/>
  <c r="AA1733" i="4"/>
  <c r="W1733" i="4" s="1"/>
  <c r="AC1733" i="4"/>
  <c r="AC1499" i="4"/>
  <c r="AA1499" i="4"/>
  <c r="AA1075" i="4"/>
  <c r="W1075" i="4" s="1"/>
  <c r="AC1075" i="4"/>
  <c r="AA1065" i="4"/>
  <c r="AC1065" i="4"/>
  <c r="AA1039" i="4"/>
  <c r="AA1040" i="4"/>
  <c r="AC1040" i="4"/>
  <c r="AC1039" i="4"/>
  <c r="AA1038" i="4"/>
  <c r="AC1038" i="4"/>
  <c r="AA1019" i="4"/>
  <c r="W1019" i="4" s="1"/>
  <c r="AC1019" i="4"/>
  <c r="AA1008" i="4"/>
  <c r="W1008" i="4" s="1"/>
  <c r="AC1263" i="4"/>
  <c r="AA1263" i="4"/>
  <c r="W1263" i="4" s="1"/>
  <c r="AA1409" i="4"/>
  <c r="AC1409" i="4"/>
  <c r="AC1802" i="4"/>
  <c r="AA1802" i="4"/>
  <c r="W1802" i="4" s="1"/>
  <c r="W1689" i="4"/>
  <c r="AC1689" i="4"/>
  <c r="AA1497" i="4"/>
  <c r="W1497" i="4" s="1"/>
  <c r="AC1497" i="4"/>
  <c r="AA1342" i="4"/>
  <c r="W1342" i="4" s="1"/>
  <c r="AC1342" i="4"/>
  <c r="AA1332" i="4"/>
  <c r="W1332" i="4" s="1"/>
  <c r="AC1332" i="4"/>
  <c r="AA1572" i="4"/>
  <c r="W1572" i="4" s="1"/>
  <c r="AC1572" i="4"/>
  <c r="AA1218" i="4"/>
  <c r="AC1218" i="4"/>
  <c r="AC1196" i="4"/>
  <c r="AA1196" i="4"/>
  <c r="W1196" i="4" s="1"/>
  <c r="AA1062" i="4"/>
  <c r="W1062" i="4" s="1"/>
  <c r="AC1062" i="4"/>
  <c r="AA1257" i="4"/>
  <c r="W1257" i="4" s="1"/>
  <c r="AC1257" i="4"/>
  <c r="AA1090" i="4"/>
  <c r="AA1604" i="4"/>
  <c r="AC1477" i="4"/>
  <c r="AA1477" i="4"/>
  <c r="AC1270" i="4"/>
  <c r="AA1270" i="4"/>
  <c r="W1270" i="4" s="1"/>
  <c r="AA1122" i="4"/>
  <c r="AC1122" i="4"/>
  <c r="AA1875" i="4"/>
  <c r="W1875" i="4" s="1"/>
  <c r="AC1875" i="4"/>
  <c r="AC1194" i="4"/>
  <c r="AA1194" i="4"/>
  <c r="W1194" i="4" s="1"/>
  <c r="AA1536" i="4"/>
  <c r="AC1536" i="4"/>
  <c r="AC1146" i="4"/>
  <c r="AA1146" i="4"/>
  <c r="W1146" i="4" s="1"/>
  <c r="AA1277" i="4"/>
  <c r="AC1277" i="4"/>
  <c r="AC1235" i="4"/>
  <c r="AA1235" i="4"/>
  <c r="W1235" i="4" s="1"/>
  <c r="AC1221" i="4"/>
  <c r="AA1221" i="4"/>
  <c r="W1221" i="4" s="1"/>
  <c r="AA1033" i="4"/>
  <c r="W1033" i="4" s="1"/>
  <c r="AC1033" i="4"/>
  <c r="AA1638" i="4"/>
  <c r="AC1638" i="4"/>
  <c r="AA1504" i="4"/>
  <c r="W1504" i="4" s="1"/>
  <c r="AC1504" i="4"/>
  <c r="AA1571" i="4"/>
  <c r="W1571" i="4" s="1"/>
  <c r="AC1571" i="4"/>
  <c r="AA1770" i="4"/>
  <c r="W1770" i="4" s="1"/>
  <c r="AC1770" i="4"/>
  <c r="AA1140" i="4"/>
  <c r="AC1140" i="4"/>
  <c r="AA1226" i="4"/>
  <c r="AC1226" i="4"/>
  <c r="AA1458" i="4"/>
  <c r="W1458" i="4" s="1"/>
  <c r="AC1458" i="4"/>
  <c r="AC1114" i="4"/>
  <c r="AA1114" i="4"/>
  <c r="AA1718" i="4"/>
  <c r="AC1718" i="4"/>
  <c r="AA1661" i="4"/>
  <c r="W1661" i="4" s="1"/>
  <c r="AC1661" i="4"/>
  <c r="AC1280" i="4"/>
  <c r="AA1280" i="4"/>
  <c r="W1280" i="4" s="1"/>
  <c r="AC1103" i="4"/>
  <c r="AA1103" i="4"/>
  <c r="AC1115" i="4"/>
  <c r="AA1115" i="4"/>
  <c r="W1115" i="4" s="1"/>
  <c r="AC1365" i="4"/>
  <c r="AA1550" i="4"/>
  <c r="AA1365" i="4"/>
  <c r="W1365" i="4" s="1"/>
  <c r="AC1815" i="4"/>
  <c r="AA1815" i="4"/>
  <c r="AA1782" i="4"/>
  <c r="AC1782" i="4"/>
  <c r="AC1758" i="4"/>
  <c r="AA1758" i="4"/>
  <c r="AA1750" i="4"/>
  <c r="AC1750" i="4"/>
  <c r="AA1847" i="4"/>
  <c r="AC1847" i="4"/>
  <c r="AA1660" i="4"/>
  <c r="W1660" i="4" s="1"/>
  <c r="AC1660" i="4"/>
  <c r="AA1510" i="4"/>
  <c r="AC1510" i="4"/>
  <c r="AA1430" i="4"/>
  <c r="AC1430" i="4"/>
  <c r="AA1543" i="4"/>
  <c r="AC1543" i="4"/>
  <c r="AC1825" i="4"/>
  <c r="AA1825" i="4"/>
  <c r="W1825" i="4" s="1"/>
  <c r="AA1584" i="4"/>
  <c r="AC1584" i="4"/>
  <c r="AA1749" i="4"/>
  <c r="AC1749" i="4"/>
  <c r="AA1712" i="4"/>
  <c r="AC1712" i="4"/>
  <c r="AA1630" i="4"/>
  <c r="W1630" i="4" s="1"/>
  <c r="AC1630" i="4"/>
  <c r="AA1467" i="4"/>
  <c r="W1467" i="4" s="1"/>
  <c r="AC1467" i="4"/>
  <c r="AC1192" i="4"/>
  <c r="AA1192" i="4"/>
  <c r="AC1266" i="4"/>
  <c r="AA1266" i="4"/>
  <c r="W1266" i="4" s="1"/>
  <c r="AA1437" i="4"/>
  <c r="AC1437" i="4"/>
  <c r="AR173" i="4"/>
  <c r="AP173" i="4" s="1"/>
  <c r="AA1627" i="4"/>
  <c r="AC1627" i="4"/>
  <c r="AC1153" i="4"/>
  <c r="AA1153" i="4"/>
  <c r="W1153" i="4" s="1"/>
  <c r="AA1494" i="4"/>
  <c r="W1494" i="4" s="1"/>
  <c r="AC1494" i="4"/>
  <c r="AA1871" i="4"/>
  <c r="AC1871" i="4"/>
  <c r="AA1869" i="4"/>
  <c r="AC1869" i="4"/>
  <c r="AA1441" i="4"/>
  <c r="W1441" i="4" s="1"/>
  <c r="AC1441" i="4"/>
  <c r="AC1213" i="4"/>
  <c r="AA1213" i="4"/>
  <c r="AA1185" i="4"/>
  <c r="AC1185" i="4"/>
  <c r="AC1217" i="4"/>
  <c r="AA1217" i="4"/>
  <c r="AA1200" i="4"/>
  <c r="AA1602" i="4"/>
  <c r="AA1168" i="4"/>
  <c r="W1168" i="4" s="1"/>
  <c r="AC1168" i="4"/>
  <c r="AC1709" i="4"/>
  <c r="AA1709" i="4"/>
  <c r="AA1675" i="4"/>
  <c r="AC1675" i="4"/>
  <c r="AA1730" i="4"/>
  <c r="W1730" i="4" s="1"/>
  <c r="AC1730" i="4"/>
  <c r="AA1708" i="4"/>
  <c r="AC1708" i="4"/>
  <c r="AA1329" i="4"/>
  <c r="W1329" i="4" s="1"/>
  <c r="AC1329" i="4"/>
  <c r="AA1867" i="4"/>
  <c r="AC1867" i="4"/>
  <c r="AC1250" i="4"/>
  <c r="AA1250" i="4"/>
  <c r="W1250" i="4" s="1"/>
  <c r="AA1646" i="4"/>
  <c r="W1646" i="4" s="1"/>
  <c r="AC1646" i="4"/>
  <c r="AA1417" i="4"/>
  <c r="W1417" i="4" s="1"/>
  <c r="AC1417" i="4"/>
  <c r="AA1271" i="4"/>
  <c r="AA1096" i="4"/>
  <c r="W1096" i="4" s="1"/>
  <c r="AC1096" i="4"/>
  <c r="AA1211" i="4"/>
  <c r="AC1211" i="4"/>
  <c r="AC1133" i="4"/>
  <c r="AA1133" i="4"/>
  <c r="AA1118" i="4"/>
  <c r="W1118" i="4" s="1"/>
  <c r="AC1118" i="4"/>
  <c r="AC1243" i="4"/>
  <c r="AA1243" i="4"/>
  <c r="W1243" i="4" s="1"/>
  <c r="AC1268" i="4"/>
  <c r="AA1268" i="4"/>
  <c r="W1268" i="4" s="1"/>
  <c r="AA1279" i="4"/>
  <c r="W1279" i="4" s="1"/>
  <c r="AC1279" i="4"/>
  <c r="AA1872" i="4"/>
  <c r="W1872" i="4" s="1"/>
  <c r="AC1872" i="4"/>
  <c r="AC1264" i="4"/>
  <c r="AA1264" i="4"/>
  <c r="W1264" i="4" s="1"/>
  <c r="AC1188" i="4"/>
  <c r="AA1188" i="4"/>
  <c r="AA1676" i="4"/>
  <c r="W1676" i="4" s="1"/>
  <c r="AC1676" i="4"/>
  <c r="AA1835" i="4"/>
  <c r="W1835" i="4" s="1"/>
  <c r="AA1836" i="4"/>
  <c r="W1836" i="4" s="1"/>
  <c r="AC1836" i="4"/>
  <c r="AA1650" i="4"/>
  <c r="W1650" i="4" s="1"/>
  <c r="AC1650" i="4"/>
  <c r="AA1068" i="4"/>
  <c r="W1068" i="4" s="1"/>
  <c r="AC1068" i="4"/>
  <c r="AA1598" i="4"/>
  <c r="W1598" i="4" s="1"/>
  <c r="AC1106" i="4"/>
  <c r="AA1106" i="4"/>
  <c r="AA1030" i="4"/>
  <c r="AC1030" i="4"/>
  <c r="AA1067" i="4"/>
  <c r="AC1067" i="4"/>
  <c r="AA1502" i="4"/>
  <c r="W1502" i="4" s="1"/>
  <c r="AC1502" i="4"/>
  <c r="AA1121" i="4"/>
  <c r="W1121" i="4" s="1"/>
  <c r="AC1121" i="4"/>
  <c r="AA1665" i="4"/>
  <c r="W1665" i="4" s="1"/>
  <c r="AC1665" i="4"/>
  <c r="AA1184" i="4"/>
  <c r="AC1184" i="4"/>
  <c r="AC1157" i="4"/>
  <c r="AA1157" i="4"/>
  <c r="W1157" i="4" s="1"/>
  <c r="AC1141" i="4"/>
  <c r="AA1141" i="4"/>
  <c r="AA1577" i="4"/>
  <c r="AC1577" i="4"/>
  <c r="AC1105" i="4"/>
  <c r="AA1105" i="4"/>
  <c r="W1105" i="4" s="1"/>
  <c r="AC1169" i="4"/>
  <c r="AA1169" i="4"/>
  <c r="AC1148" i="4"/>
  <c r="AA1148" i="4"/>
  <c r="AC1198" i="4"/>
  <c r="AA1198" i="4"/>
  <c r="AA1210" i="4"/>
  <c r="W1210" i="4" s="1"/>
  <c r="AC1210" i="4"/>
  <c r="AC1729" i="4"/>
  <c r="AA1729" i="4"/>
  <c r="W1729" i="4" s="1"/>
  <c r="AA1021" i="4"/>
  <c r="W1021" i="4" s="1"/>
  <c r="AC1021" i="4"/>
  <c r="AC1273" i="4"/>
  <c r="AA1273" i="4"/>
  <c r="AA1381" i="4"/>
  <c r="W1381" i="4" s="1"/>
  <c r="AC1381" i="4"/>
  <c r="AA1091" i="4"/>
  <c r="AA1723" i="4"/>
  <c r="AA1724" i="4"/>
  <c r="AC1723" i="4"/>
  <c r="AA1371" i="4"/>
  <c r="AC1371" i="4"/>
  <c r="AA1394" i="4"/>
  <c r="AC1394" i="4"/>
  <c r="AA1376" i="4"/>
  <c r="AC1376" i="4"/>
  <c r="AA1776" i="4"/>
  <c r="W1776" i="4" s="1"/>
  <c r="AC1776" i="4"/>
  <c r="AC1315" i="4"/>
  <c r="AA1315" i="4"/>
  <c r="AA1846" i="4"/>
  <c r="AC1846" i="4"/>
  <c r="AA1852" i="4"/>
  <c r="W1852" i="4" s="1"/>
  <c r="AC1852" i="4"/>
  <c r="AA1804" i="4"/>
  <c r="W1804" i="4" s="1"/>
  <c r="AC1804" i="4"/>
  <c r="AA1404" i="4"/>
  <c r="AC1404" i="4"/>
  <c r="AA1388" i="4"/>
  <c r="AC1388" i="4"/>
  <c r="AA1373" i="4"/>
  <c r="AC1373" i="4"/>
  <c r="AA1053" i="4"/>
  <c r="AC1053" i="4"/>
  <c r="AC1077" i="4"/>
  <c r="AA1077" i="4"/>
  <c r="AA1610" i="4"/>
  <c r="W1610" i="4" s="1"/>
  <c r="AC1610" i="4"/>
  <c r="AA1806" i="4"/>
  <c r="AC1806" i="4"/>
  <c r="AA1655" i="4"/>
  <c r="AC1655" i="4"/>
  <c r="AA1600" i="4"/>
  <c r="W1600" i="4" s="1"/>
  <c r="AA1588" i="4"/>
  <c r="AC1588" i="4"/>
  <c r="AA1425" i="4"/>
  <c r="AC1425" i="4"/>
  <c r="AA1338" i="4"/>
  <c r="W1338" i="4" s="1"/>
  <c r="AA1337" i="4"/>
  <c r="W1337" i="4" s="1"/>
  <c r="AC1338" i="4"/>
  <c r="AC1079" i="4"/>
  <c r="AA1079" i="4"/>
  <c r="W1079" i="4" s="1"/>
  <c r="AC1070" i="4"/>
  <c r="AA1070" i="4"/>
  <c r="AA1066" i="4"/>
  <c r="AC1066" i="4"/>
  <c r="AA1060" i="4"/>
  <c r="AA1059" i="4"/>
  <c r="AC1059" i="4"/>
  <c r="AA1057" i="4"/>
  <c r="W1057" i="4" s="1"/>
  <c r="AC1057" i="4"/>
  <c r="AA1048" i="4"/>
  <c r="W1048" i="4" s="1"/>
  <c r="AC1048" i="4"/>
  <c r="AA1036" i="4"/>
  <c r="AC1036" i="4"/>
  <c r="AA1031" i="4"/>
  <c r="W1031" i="4" s="1"/>
  <c r="AC1031" i="4"/>
  <c r="AA1026" i="4"/>
  <c r="AC1026" i="4"/>
  <c r="AA1024" i="4"/>
  <c r="W1024" i="4" s="1"/>
  <c r="AC1024" i="4"/>
  <c r="AA1014" i="4"/>
  <c r="W1014" i="4" s="1"/>
  <c r="AC1014" i="4"/>
  <c r="AA1046" i="4"/>
  <c r="AC1046" i="4"/>
  <c r="AA1034" i="4"/>
  <c r="AC1034" i="4"/>
  <c r="AA1317" i="4"/>
  <c r="AC1317" i="4"/>
  <c r="AA1375" i="4"/>
  <c r="W1375" i="4" s="1"/>
  <c r="AC1375" i="4"/>
  <c r="AA1234" i="4"/>
  <c r="AC1234" i="4"/>
  <c r="AA1626" i="4"/>
  <c r="AC1626" i="4"/>
  <c r="AA1480" i="4"/>
  <c r="AC1480" i="4"/>
  <c r="AA1741" i="4"/>
  <c r="AC1741" i="4"/>
  <c r="AA1722" i="4"/>
  <c r="W1722" i="4" s="1"/>
  <c r="AC1722" i="4"/>
  <c r="AA1645" i="4"/>
  <c r="W1645" i="4" s="1"/>
  <c r="AC1645" i="4"/>
  <c r="AA1822" i="4"/>
  <c r="AC1822" i="4"/>
  <c r="AC1187" i="4"/>
  <c r="AA1187" i="4"/>
  <c r="W1187" i="4" s="1"/>
  <c r="AC1175" i="4"/>
  <c r="AA1175" i="4"/>
  <c r="AC1195" i="4"/>
  <c r="AA1195" i="4"/>
  <c r="W1195" i="4" s="1"/>
  <c r="AA1058" i="4"/>
  <c r="AC1058" i="4"/>
  <c r="AA1043" i="4"/>
  <c r="W1043" i="4" s="1"/>
  <c r="AC1043" i="4"/>
  <c r="AA1041" i="4"/>
  <c r="W1041" i="4" s="1"/>
  <c r="AA1042" i="4"/>
  <c r="AU372" i="4"/>
  <c r="AS372" i="4"/>
  <c r="BT316" i="4"/>
  <c r="AU125" i="4"/>
  <c r="BT701" i="4"/>
  <c r="AC701" i="4"/>
  <c r="AA701" i="4"/>
  <c r="W701" i="4" s="1"/>
  <c r="BT2407" i="4"/>
  <c r="BT360" i="4"/>
  <c r="BV360" i="4"/>
  <c r="AS360" i="4"/>
  <c r="AO360" i="4" s="1"/>
  <c r="AA360" i="4"/>
  <c r="W360" i="4" s="1"/>
  <c r="BT333" i="4"/>
  <c r="BV333" i="4"/>
  <c r="BD333" i="4"/>
  <c r="BB333" i="4"/>
  <c r="AC333" i="4"/>
  <c r="AA333" i="4"/>
  <c r="BT285" i="4"/>
  <c r="AA285" i="4"/>
  <c r="AC285" i="4"/>
  <c r="AC357" i="4"/>
  <c r="AA357" i="4"/>
  <c r="W357" i="4" s="1"/>
  <c r="BT357" i="4"/>
  <c r="BQ357" i="4" s="1"/>
  <c r="BV357" i="4"/>
  <c r="BT319" i="4"/>
  <c r="BQ319" i="4" s="1"/>
  <c r="AS319" i="4"/>
  <c r="AO319" i="4" s="1"/>
  <c r="BV319" i="4"/>
  <c r="AU319" i="4"/>
  <c r="BM866" i="4"/>
  <c r="BM306" i="4"/>
  <c r="AR655" i="4"/>
  <c r="AT655" i="4" s="1"/>
  <c r="AC2349" i="4"/>
  <c r="AA2337" i="4"/>
  <c r="AC2337" i="4"/>
  <c r="AS888" i="4"/>
  <c r="AO888" i="4" s="1"/>
  <c r="AS811" i="4"/>
  <c r="AC811" i="4"/>
  <c r="AA811" i="4"/>
  <c r="W811" i="4" s="1"/>
  <c r="AU829" i="4"/>
  <c r="BK340" i="4"/>
  <c r="BG340" i="4" s="1"/>
  <c r="BM340" i="4"/>
  <c r="AU340" i="4"/>
  <c r="AS340" i="4"/>
  <c r="AO340" i="4" s="1"/>
  <c r="AC340" i="4"/>
  <c r="AA340" i="4"/>
  <c r="AC1639" i="4"/>
  <c r="AA1639" i="4"/>
  <c r="AA1197" i="4"/>
  <c r="AC1197" i="4"/>
  <c r="AA1256" i="4"/>
  <c r="AC1256" i="4"/>
  <c r="AC1623" i="4"/>
  <c r="AA1623" i="4"/>
  <c r="AC1657" i="4"/>
  <c r="AA1657" i="4"/>
  <c r="AA1326" i="4"/>
  <c r="AC1326" i="4"/>
  <c r="AA1297" i="4"/>
  <c r="W1297" i="4" s="1"/>
  <c r="AC1297" i="4"/>
  <c r="AA1344" i="4"/>
  <c r="W1344" i="4" s="1"/>
  <c r="AC1344" i="4"/>
  <c r="AC1301" i="4"/>
  <c r="AA1301" i="4"/>
  <c r="W1301" i="4" s="1"/>
  <c r="AA1298" i="4"/>
  <c r="W1298" i="4" s="1"/>
  <c r="AC1298" i="4"/>
  <c r="AC1889" i="4"/>
  <c r="AA1889" i="4"/>
  <c r="W1889" i="4" s="1"/>
  <c r="AA1051" i="4"/>
  <c r="W1051" i="4" s="1"/>
  <c r="AC1051" i="4"/>
  <c r="AA1072" i="4"/>
  <c r="W1072" i="4" s="1"/>
  <c r="AA1010" i="4"/>
  <c r="W1010" i="4" s="1"/>
  <c r="AA1012" i="4"/>
  <c r="AA1049" i="4"/>
  <c r="W1049" i="4" s="1"/>
  <c r="AC1052" i="4"/>
  <c r="AA1052" i="4"/>
  <c r="W1052" i="4" s="1"/>
  <c r="AC1330" i="4"/>
  <c r="AA1330" i="4"/>
  <c r="AC1791" i="4"/>
  <c r="AA1791" i="4"/>
  <c r="AC1314" i="4"/>
  <c r="AA1314" i="4"/>
  <c r="W1314" i="4" s="1"/>
  <c r="AC1794" i="4"/>
  <c r="AA1794" i="4"/>
  <c r="AC1570" i="4"/>
  <c r="AA1570" i="4"/>
  <c r="W1570" i="4" s="1"/>
  <c r="AC1768" i="4"/>
  <c r="AA1768" i="4"/>
  <c r="AC1606" i="4"/>
  <c r="AA1606" i="4"/>
  <c r="AA1899" i="4"/>
  <c r="W1899" i="4" s="1"/>
  <c r="AC1899" i="4"/>
  <c r="AA1622" i="4"/>
  <c r="AC1622" i="4"/>
  <c r="AC1576" i="4"/>
  <c r="AA1576" i="4"/>
  <c r="W1576" i="4" s="1"/>
  <c r="AA1544" i="4"/>
  <c r="AC1544" i="4"/>
  <c r="AA1845" i="4"/>
  <c r="AC1845" i="4"/>
  <c r="AA1792" i="4"/>
  <c r="W1792" i="4" s="1"/>
  <c r="AC1792" i="4"/>
  <c r="AA1876" i="4"/>
  <c r="W1876" i="4" s="1"/>
  <c r="AC1876" i="4"/>
  <c r="AA1590" i="4"/>
  <c r="AC1590" i="4"/>
  <c r="AA1895" i="4"/>
  <c r="W1895" i="4" s="1"/>
  <c r="AC1895" i="4"/>
  <c r="AC1041" i="4"/>
  <c r="AA1064" i="4"/>
  <c r="AC1064" i="4"/>
  <c r="AC1774" i="4"/>
  <c r="AA1774" i="4"/>
  <c r="AC1056" i="4"/>
  <c r="AA1056" i="4"/>
  <c r="AA1082" i="4"/>
  <c r="AC1082" i="4"/>
  <c r="AC1073" i="4"/>
  <c r="AA1073" i="4"/>
  <c r="W1073" i="4" s="1"/>
  <c r="AC1874" i="4"/>
  <c r="AA1874" i="4"/>
  <c r="W1874" i="4" s="1"/>
  <c r="AA1485" i="4"/>
  <c r="AC1485" i="4"/>
  <c r="AA1553" i="4"/>
  <c r="W1553" i="4" s="1"/>
  <c r="AC1553" i="4"/>
  <c r="AC1810" i="4"/>
  <c r="AA1810" i="4"/>
  <c r="AC1386" i="4"/>
  <c r="AA1386" i="4"/>
  <c r="W1386" i="4" s="1"/>
  <c r="AA1503" i="4"/>
  <c r="W1503" i="4" s="1"/>
  <c r="AC1503" i="4"/>
  <c r="AA1652" i="4"/>
  <c r="AC1652" i="4"/>
  <c r="AC1566" i="4"/>
  <c r="AA1566" i="4"/>
  <c r="AC1353" i="4"/>
  <c r="AA1353" i="4"/>
  <c r="W1353" i="4" s="1"/>
  <c r="AA1444" i="4"/>
  <c r="W1444" i="4" s="1"/>
  <c r="AC1444" i="4"/>
  <c r="AA1514" i="4"/>
  <c r="AC1514" i="4"/>
  <c r="AA1839" i="4"/>
  <c r="W1839" i="4" s="1"/>
  <c r="AC1839" i="4"/>
  <c r="AC1702" i="4"/>
  <c r="AA1702" i="4"/>
  <c r="W1702" i="4" s="1"/>
  <c r="AC1350" i="4"/>
  <c r="AA1350" i="4"/>
  <c r="AA1736" i="4"/>
  <c r="AC1736" i="4"/>
  <c r="AA1833" i="4"/>
  <c r="AC1833" i="4"/>
  <c r="AA1860" i="4"/>
  <c r="W1860" i="4" s="1"/>
  <c r="AC1860" i="4"/>
  <c r="AA1420" i="4"/>
  <c r="AC1420" i="4"/>
  <c r="AC1348" i="4"/>
  <c r="AA1348" i="4"/>
  <c r="W1348" i="4" s="1"/>
  <c r="AA1461" i="4"/>
  <c r="W1461" i="4" s="1"/>
  <c r="AC1461" i="4"/>
  <c r="AA1834" i="4"/>
  <c r="AC1834" i="4"/>
  <c r="AA1902" i="4"/>
  <c r="AC1902" i="4"/>
  <c r="AA1628" i="4"/>
  <c r="W1628" i="4" s="1"/>
  <c r="AC1628" i="4"/>
  <c r="AA1585" i="4"/>
  <c r="W1585" i="4" s="1"/>
  <c r="AC1585" i="4"/>
  <c r="AC1705" i="4"/>
  <c r="AA1705" i="4"/>
  <c r="W1705" i="4" s="1"/>
  <c r="AA1459" i="4"/>
  <c r="AC1459" i="4"/>
  <c r="AC1692" i="4"/>
  <c r="AA1692" i="4"/>
  <c r="W1692" i="4" s="1"/>
  <c r="AA1481" i="4"/>
  <c r="W1481" i="4" s="1"/>
  <c r="AC1481" i="4"/>
  <c r="AC1327" i="4"/>
  <c r="AA1327" i="4"/>
  <c r="AA1677" i="4"/>
  <c r="W1677" i="4" s="1"/>
  <c r="AC1677" i="4"/>
  <c r="AA1126" i="4"/>
  <c r="AC1126" i="4"/>
  <c r="AA1272" i="4"/>
  <c r="W1272" i="4" s="1"/>
  <c r="AC1272" i="4"/>
  <c r="AC1247" i="4"/>
  <c r="AA1247" i="4"/>
  <c r="W1247" i="4" s="1"/>
  <c r="AA1092" i="4"/>
  <c r="W1092" i="4" s="1"/>
  <c r="AC1092" i="4"/>
  <c r="AA1117" i="4"/>
  <c r="AC1117" i="4"/>
  <c r="AA1113" i="4"/>
  <c r="AC1113" i="4"/>
  <c r="AA1607" i="4"/>
  <c r="AC1607" i="4"/>
  <c r="AC1208" i="4"/>
  <c r="AA1208" i="4"/>
  <c r="W1208" i="4" s="1"/>
  <c r="AA1275" i="4"/>
  <c r="AC1275" i="4"/>
  <c r="AA1177" i="4"/>
  <c r="AC1177" i="4"/>
  <c r="AA1170" i="4"/>
  <c r="W1170" i="4" s="1"/>
  <c r="AC1170" i="4"/>
  <c r="AC1219" i="4"/>
  <c r="AA1219" i="4"/>
  <c r="W1219" i="4" s="1"/>
  <c r="AC1159" i="4"/>
  <c r="AA1159" i="4"/>
  <c r="W1159" i="4" s="1"/>
  <c r="AA1238" i="4"/>
  <c r="AC1238" i="4"/>
  <c r="AA1223" i="4"/>
  <c r="AC1223" i="4"/>
  <c r="AA1116" i="4"/>
  <c r="W1116" i="4" s="1"/>
  <c r="AC1116" i="4"/>
  <c r="AC1281" i="4"/>
  <c r="AA1281" i="4"/>
  <c r="AA1186" i="4"/>
  <c r="AC1186" i="4"/>
  <c r="AC1137" i="4"/>
  <c r="AA1137" i="4"/>
  <c r="AA1108" i="4"/>
  <c r="W1108" i="4" s="1"/>
  <c r="AC1108" i="4"/>
  <c r="AA1236" i="4"/>
  <c r="W1236" i="4" s="1"/>
  <c r="AC1236" i="4"/>
  <c r="AA1204" i="4"/>
  <c r="W1204" i="4" s="1"/>
  <c r="AC1204" i="4"/>
  <c r="AA1163" i="4"/>
  <c r="AC1163" i="4"/>
  <c r="AA1269" i="4"/>
  <c r="W1269" i="4" s="1"/>
  <c r="AC1269" i="4"/>
  <c r="AA1255" i="4"/>
  <c r="W1255" i="4" s="1"/>
  <c r="AC1255" i="4"/>
  <c r="AC1220" i="4"/>
  <c r="AA1220" i="4"/>
  <c r="AA1552" i="4"/>
  <c r="AC1552" i="4"/>
  <c r="AA1237" i="4"/>
  <c r="AC1237" i="4"/>
  <c r="AA1189" i="4"/>
  <c r="W1189" i="4" s="1"/>
  <c r="AC1189" i="4"/>
  <c r="AA1252" i="4"/>
  <c r="AC1252" i="4"/>
  <c r="AA1274" i="4"/>
  <c r="W1274" i="4" s="1"/>
  <c r="AC1274" i="4"/>
  <c r="AA1254" i="4"/>
  <c r="AC1254" i="4"/>
  <c r="AC1450" i="4"/>
  <c r="AA1278" i="4"/>
  <c r="W1278" i="4" s="1"/>
  <c r="AC1278" i="4"/>
  <c r="AA1095" i="4"/>
  <c r="W1095" i="4" s="1"/>
  <c r="AC1095" i="4"/>
  <c r="AA1261" i="4"/>
  <c r="AC1261" i="4"/>
  <c r="AA1286" i="4"/>
  <c r="W1286" i="4" s="1"/>
  <c r="AC1286" i="4"/>
  <c r="AS1287" i="4"/>
  <c r="AO1287" i="4" s="1"/>
  <c r="AU1287" i="4"/>
  <c r="BT1287" i="4"/>
  <c r="BV1287" i="4"/>
  <c r="AA1029" i="4"/>
  <c r="AC1029" i="4"/>
  <c r="AC1644" i="4"/>
  <c r="AA1644" i="4"/>
  <c r="AA1265" i="4"/>
  <c r="AC1265" i="4"/>
  <c r="AA1156" i="4"/>
  <c r="AC1156" i="4"/>
  <c r="AA1087" i="4"/>
  <c r="AC1179" i="4"/>
  <c r="AA1179" i="4"/>
  <c r="AC1231" i="4"/>
  <c r="AA1231" i="4"/>
  <c r="W1231" i="4" s="1"/>
  <c r="AC1222" i="4"/>
  <c r="AA1222" i="4"/>
  <c r="AC1164" i="4"/>
  <c r="AA1164" i="4"/>
  <c r="W1164" i="4" s="1"/>
  <c r="AA1094" i="4"/>
  <c r="W1094" i="4" s="1"/>
  <c r="AC1094" i="4"/>
  <c r="AA1251" i="4"/>
  <c r="AC1251" i="4"/>
  <c r="AA1143" i="4"/>
  <c r="W1143" i="4" s="1"/>
  <c r="AC1143" i="4"/>
  <c r="AA1799" i="4"/>
  <c r="W1799" i="4" s="1"/>
  <c r="AC1799" i="4"/>
  <c r="AC1174" i="4"/>
  <c r="AA1174" i="4"/>
  <c r="AC1149" i="4"/>
  <c r="AA1149" i="4"/>
  <c r="W1149" i="4" s="1"/>
  <c r="AC1150" i="4"/>
  <c r="AA1150" i="4"/>
  <c r="AA1608" i="4"/>
  <c r="W1608" i="4" s="1"/>
  <c r="AC1608" i="4"/>
  <c r="AC1691" i="4"/>
  <c r="AA1691" i="4"/>
  <c r="W1691" i="4" s="1"/>
  <c r="AA1155" i="4"/>
  <c r="AC1155" i="4"/>
  <c r="AA1171" i="4"/>
  <c r="AC1171" i="4"/>
  <c r="AC1492" i="4"/>
  <c r="AA1492" i="4"/>
  <c r="W1492" i="4" s="1"/>
  <c r="AC1158" i="4"/>
  <c r="AA1158" i="4"/>
  <c r="AA1167" i="4"/>
  <c r="AC1167" i="4"/>
  <c r="AA1672" i="4"/>
  <c r="W1672" i="4" s="1"/>
  <c r="AC1672" i="4"/>
  <c r="AC1586" i="4"/>
  <c r="AA1586" i="4"/>
  <c r="W1586" i="4" s="1"/>
  <c r="AA1180" i="4"/>
  <c r="AC1180" i="4"/>
  <c r="AA1145" i="4"/>
  <c r="AC1145" i="4"/>
  <c r="AC1304" i="4"/>
  <c r="AA1304" i="4"/>
  <c r="W1304" i="4" s="1"/>
  <c r="AC1563" i="4"/>
  <c r="AA1563" i="4"/>
  <c r="AC1674" i="4"/>
  <c r="AA1674" i="4"/>
  <c r="W1674" i="4" s="1"/>
  <c r="AC1857" i="4"/>
  <c r="AA1857" i="4"/>
  <c r="W1857" i="4" s="1"/>
  <c r="AC1651" i="4"/>
  <c r="AA1651" i="4"/>
  <c r="AA1747" i="4"/>
  <c r="AC1747" i="4"/>
  <c r="AA1530" i="4"/>
  <c r="AC1530" i="4"/>
  <c r="AC1670" i="4"/>
  <c r="AA1670" i="4"/>
  <c r="AA1831" i="4"/>
  <c r="W1831" i="4" s="1"/>
  <c r="AC1831" i="4"/>
  <c r="AA1151" i="4"/>
  <c r="W1151" i="4" s="1"/>
  <c r="AC1151" i="4"/>
  <c r="AA1849" i="4"/>
  <c r="AC1849" i="4"/>
  <c r="AA1517" i="4"/>
  <c r="W1517" i="4" s="1"/>
  <c r="AC1517" i="4"/>
  <c r="AA1259" i="4"/>
  <c r="W1259" i="4" s="1"/>
  <c r="AC1259" i="4"/>
  <c r="AC1683" i="4"/>
  <c r="AA1683" i="4"/>
  <c r="W1683" i="4" s="1"/>
  <c r="AA1482" i="4"/>
  <c r="W1482" i="4" s="1"/>
  <c r="AC1482" i="4"/>
  <c r="AA1841" i="4"/>
  <c r="AC1841" i="4"/>
  <c r="AA1764" i="4"/>
  <c r="W1764" i="4" s="1"/>
  <c r="AC1764" i="4"/>
  <c r="AA1549" i="4"/>
  <c r="W1549" i="4" s="1"/>
  <c r="AC1549" i="4"/>
  <c r="AA1772" i="4"/>
  <c r="AC1772" i="4"/>
  <c r="AC1527" i="4"/>
  <c r="AA1527" i="4"/>
  <c r="AA1457" i="4"/>
  <c r="W1457" i="4" s="1"/>
  <c r="AC1457" i="4"/>
  <c r="AC1228" i="4"/>
  <c r="AA1152" i="4"/>
  <c r="AC1152" i="4"/>
  <c r="AA1454" i="4"/>
  <c r="W1454" i="4" s="1"/>
  <c r="AC1454" i="4"/>
  <c r="AA1282" i="4"/>
  <c r="W1282" i="4" s="1"/>
  <c r="AC1282" i="4"/>
  <c r="AA1285" i="4"/>
  <c r="AC1285" i="4"/>
  <c r="AA1201" i="4"/>
  <c r="W1201" i="4" s="1"/>
  <c r="AC1201" i="4"/>
  <c r="AA1684" i="4"/>
  <c r="W1684" i="4" s="1"/>
  <c r="AC1684" i="4"/>
  <c r="AA1819" i="4"/>
  <c r="AC1819" i="4"/>
  <c r="AA1249" i="4"/>
  <c r="AC1249" i="4"/>
  <c r="AC1496" i="4"/>
  <c r="AA1496" i="4"/>
  <c r="W1496" i="4" s="1"/>
  <c r="AA1784" i="4"/>
  <c r="W1784" i="4" s="1"/>
  <c r="AC1784" i="4"/>
  <c r="AA1135" i="4"/>
  <c r="W1135" i="4" s="1"/>
  <c r="AC1135" i="4"/>
  <c r="AA1120" i="4"/>
  <c r="W1120" i="4" s="1"/>
  <c r="AC1120" i="4"/>
  <c r="AC1224" i="4"/>
  <c r="AA1224" i="4"/>
  <c r="W1224" i="4" s="1"/>
  <c r="AA1203" i="4"/>
  <c r="AC1203" i="4"/>
  <c r="AA1539" i="4"/>
  <c r="AC1539" i="4"/>
  <c r="AC1089" i="4"/>
  <c r="AA1089" i="4"/>
  <c r="AA1858" i="4"/>
  <c r="W1858" i="4" s="1"/>
  <c r="AC1858" i="4"/>
  <c r="AA1178" i="4"/>
  <c r="AC1178" i="4"/>
  <c r="AA1520" i="4"/>
  <c r="AC1520" i="4"/>
  <c r="AA1447" i="4"/>
  <c r="AC1447" i="4"/>
  <c r="AA1431" i="4"/>
  <c r="AC1431" i="4"/>
  <c r="AA1509" i="4"/>
  <c r="W1509" i="4" s="1"/>
  <c r="AC1509" i="4"/>
  <c r="AA1625" i="4"/>
  <c r="W1625" i="4" s="1"/>
  <c r="AC1625" i="4"/>
  <c r="AC1292" i="4"/>
  <c r="AA1292" i="4"/>
  <c r="AA1291" i="4"/>
  <c r="W1291" i="4" s="1"/>
  <c r="AC1291" i="4"/>
  <c r="AC1323" i="4"/>
  <c r="AA1323" i="4"/>
  <c r="AC1596" i="4"/>
  <c r="AA1596" i="4"/>
  <c r="AC1289" i="4"/>
  <c r="AA1289" i="4"/>
  <c r="W1289" i="4" s="1"/>
  <c r="AC1333" i="4"/>
  <c r="AA1333" i="4"/>
  <c r="W1333" i="4" s="1"/>
  <c r="AA1900" i="4"/>
  <c r="W1900" i="4" s="1"/>
  <c r="AC1900" i="4"/>
  <c r="AA1343" i="4"/>
  <c r="W1343" i="4" s="1"/>
  <c r="AC1343" i="4"/>
  <c r="AC1310" i="4"/>
  <c r="AA1310" i="4"/>
  <c r="W1310" i="4" s="1"/>
  <c r="AC1299" i="4"/>
  <c r="AA1299" i="4"/>
  <c r="W1299" i="4" s="1"/>
  <c r="AC1647" i="4"/>
  <c r="AA1647" i="4"/>
  <c r="W1647" i="4" s="1"/>
  <c r="AC1351" i="4"/>
  <c r="AA1351" i="4"/>
  <c r="W1351" i="4" s="1"/>
  <c r="AC1294" i="4"/>
  <c r="AA1294" i="4"/>
  <c r="W1294" i="4" s="1"/>
  <c r="AA1609" i="4"/>
  <c r="AC1609" i="4"/>
  <c r="AC1555" i="4"/>
  <c r="AA1555" i="4"/>
  <c r="AA1654" i="4"/>
  <c r="AC1654" i="4"/>
  <c r="AA1345" i="4"/>
  <c r="W1345" i="4" s="1"/>
  <c r="AC1345" i="4"/>
  <c r="AC1318" i="4"/>
  <c r="AA1318" i="4"/>
  <c r="AC1557" i="4"/>
  <c r="AA1557" i="4"/>
  <c r="AA1738" i="4"/>
  <c r="W1738" i="4" s="1"/>
  <c r="AC1738" i="4"/>
  <c r="AC1829" i="4"/>
  <c r="AA1829" i="4"/>
  <c r="W1829" i="4" s="1"/>
  <c r="AA1761" i="4"/>
  <c r="AC1761" i="4"/>
  <c r="AC1378" i="4"/>
  <c r="AA1378" i="4"/>
  <c r="AA1119" i="4"/>
  <c r="W1119" i="4" s="1"/>
  <c r="AC1119" i="4"/>
  <c r="AA1191" i="4"/>
  <c r="AC1191" i="4"/>
  <c r="AA1202" i="4"/>
  <c r="AC1202" i="4"/>
  <c r="AC1828" i="4"/>
  <c r="AA1828" i="4"/>
  <c r="AA1755" i="4"/>
  <c r="W1755" i="4" s="1"/>
  <c r="AC1755" i="4"/>
  <c r="AC1129" i="4"/>
  <c r="AA1129" i="4"/>
  <c r="AA1357" i="4"/>
  <c r="W1357" i="4" s="1"/>
  <c r="AC1357" i="4"/>
  <c r="AA1124" i="4"/>
  <c r="W1124" i="4" s="1"/>
  <c r="AC1124" i="4"/>
  <c r="AA1885" i="4"/>
  <c r="AC1885" i="4"/>
  <c r="AA1525" i="4"/>
  <c r="W1525" i="4" s="1"/>
  <c r="AC1525" i="4"/>
  <c r="AA1144" i="4"/>
  <c r="W1144" i="4" s="1"/>
  <c r="AC1144" i="4"/>
  <c r="AA1488" i="4"/>
  <c r="AC1488" i="4"/>
  <c r="AA1564" i="4"/>
  <c r="W1564" i="4" s="1"/>
  <c r="AC1564" i="4"/>
  <c r="AA1554" i="4"/>
  <c r="W1554" i="4" s="1"/>
  <c r="AC1554" i="4"/>
  <c r="AA1697" i="4"/>
  <c r="W1697" i="4" s="1"/>
  <c r="AC1697" i="4"/>
  <c r="AC1512" i="4"/>
  <c r="AA1512" i="4"/>
  <c r="AA1166" i="4"/>
  <c r="W1166" i="4" s="1"/>
  <c r="AC1166" i="4"/>
  <c r="AA1771" i="4"/>
  <c r="W1771" i="4" s="1"/>
  <c r="AC1771" i="4"/>
  <c r="AC1307" i="4"/>
  <c r="AA1307" i="4"/>
  <c r="AA1322" i="4"/>
  <c r="W1322" i="4" s="1"/>
  <c r="AC1322" i="4"/>
  <c r="AA1296" i="4"/>
  <c r="W1296" i="4" s="1"/>
  <c r="AC1296" i="4"/>
  <c r="AC1487" i="4"/>
  <c r="AA1487" i="4"/>
  <c r="W1487" i="4" s="1"/>
  <c r="AC1049" i="4"/>
  <c r="AC1337" i="4"/>
  <c r="AC1023" i="4"/>
  <c r="AA1023" i="4"/>
  <c r="W1023" i="4" s="1"/>
  <c r="AC1346" i="4"/>
  <c r="AA1346" i="4"/>
  <c r="W1346" i="4" s="1"/>
  <c r="AA1397" i="4"/>
  <c r="AC1397" i="4"/>
  <c r="AA1401" i="4"/>
  <c r="AC1401" i="4"/>
  <c r="AC1387" i="4"/>
  <c r="AA1387" i="4"/>
  <c r="AC1374" i="4"/>
  <c r="AA1374" i="4"/>
  <c r="W1374" i="4" s="1"/>
  <c r="AC1128" i="4"/>
  <c r="AA1128" i="4"/>
  <c r="W1128" i="4" s="1"/>
  <c r="AA1662" i="4"/>
  <c r="AC1662" i="4"/>
  <c r="AA1579" i="4"/>
  <c r="W1579" i="4" s="1"/>
  <c r="AC1579" i="4"/>
  <c r="AC1678" i="4"/>
  <c r="AA1678" i="4"/>
  <c r="AA1840" i="4"/>
  <c r="AC1840" i="4"/>
  <c r="AA1838" i="4"/>
  <c r="W1838" i="4" s="1"/>
  <c r="AC1838" i="4"/>
  <c r="AA1818" i="4"/>
  <c r="W1818" i="4" s="1"/>
  <c r="AC1818" i="4"/>
  <c r="AC1748" i="4"/>
  <c r="AA1748" i="4"/>
  <c r="AC1010" i="4"/>
  <c r="AC1693" i="4"/>
  <c r="AA1693" i="4"/>
  <c r="W1693" i="4" s="1"/>
  <c r="AC1042" i="4"/>
  <c r="AC1012" i="4"/>
  <c r="AC1072" i="4"/>
  <c r="AC1011" i="4"/>
  <c r="AA1011" i="4"/>
  <c r="AC1710" i="4"/>
  <c r="AA1710" i="4"/>
  <c r="W1710" i="4" s="1"/>
  <c r="AC1724" i="4"/>
  <c r="AA1528" i="4"/>
  <c r="AC1528" i="4"/>
  <c r="AA1340" i="4"/>
  <c r="W1340" i="4" s="1"/>
  <c r="AC1340" i="4"/>
  <c r="AA1132" i="4"/>
  <c r="AC1132" i="4"/>
  <c r="AC1206" i="4"/>
  <c r="AA1206" i="4"/>
  <c r="W1206" i="4" s="1"/>
  <c r="AA1901" i="4"/>
  <c r="AC1901" i="4"/>
  <c r="AC1136" i="4"/>
  <c r="AA1136" i="4"/>
  <c r="AA1424" i="4"/>
  <c r="AC1424" i="4"/>
  <c r="AC1842" i="4"/>
  <c r="AA1842" i="4"/>
  <c r="W1842" i="4" s="1"/>
  <c r="AC1744" i="4"/>
  <c r="AA1744" i="4"/>
  <c r="AA1612" i="4"/>
  <c r="AC1612" i="4"/>
  <c r="AA1619" i="4"/>
  <c r="W1619" i="4" s="1"/>
  <c r="AC1619" i="4"/>
  <c r="AC1421" i="4"/>
  <c r="AA1421" i="4"/>
  <c r="W1421" i="4" s="1"/>
  <c r="AC1097" i="4"/>
  <c r="AA1097" i="4"/>
  <c r="AA1419" i="4"/>
  <c r="AC1419" i="4"/>
  <c r="AC1240" i="4"/>
  <c r="AA1240" i="4"/>
  <c r="W1240" i="4" s="1"/>
  <c r="AC1258" i="4"/>
  <c r="AC1248" i="4"/>
  <c r="AA1248" i="4"/>
  <c r="W1248" i="4" s="1"/>
  <c r="AC1621" i="4"/>
  <c r="AA1621" i="4"/>
  <c r="W1621" i="4" s="1"/>
  <c r="AC1649" i="4"/>
  <c r="AA1649" i="4"/>
  <c r="AA1093" i="4"/>
  <c r="AC1093" i="4"/>
  <c r="AA1428" i="4"/>
  <c r="W1428" i="4" s="1"/>
  <c r="AC1428" i="4"/>
  <c r="AA1112" i="4"/>
  <c r="W1112" i="4" s="1"/>
  <c r="AC1112" i="4"/>
  <c r="AA1131" i="4"/>
  <c r="W1131" i="4" s="1"/>
  <c r="AC1131" i="4"/>
  <c r="AC1125" i="4"/>
  <c r="AC1104" i="4"/>
  <c r="AA1125" i="4"/>
  <c r="W1125" i="4" s="1"/>
  <c r="AC1331" i="4"/>
  <c r="AA1331" i="4"/>
  <c r="W1331" i="4" s="1"/>
  <c r="AA1142" i="4"/>
  <c r="AC1142" i="4"/>
  <c r="AC1325" i="4"/>
  <c r="AA1325" i="4"/>
  <c r="AA1617" i="4"/>
  <c r="W1617" i="4" s="1"/>
  <c r="AC1617" i="4"/>
  <c r="AA1139" i="4"/>
  <c r="W1139" i="4" s="1"/>
  <c r="AC1139" i="4"/>
  <c r="AC1711" i="4"/>
  <c r="AA1711" i="4"/>
  <c r="W1711" i="4" s="1"/>
  <c r="AC1013" i="4"/>
  <c r="AA1013" i="4"/>
  <c r="AA1843" i="4"/>
  <c r="AC1843" i="4"/>
  <c r="AC1207" i="4"/>
  <c r="AA1207" i="4"/>
  <c r="AC1045" i="4"/>
  <c r="AA1045" i="4"/>
  <c r="AC1629" i="4"/>
  <c r="AA1629" i="4"/>
  <c r="AA1369" i="4"/>
  <c r="AC1369" i="4"/>
  <c r="AA1018" i="4"/>
  <c r="W1018" i="4" s="1"/>
  <c r="AC1018" i="4"/>
  <c r="AC1370" i="4"/>
  <c r="AA1370" i="4"/>
  <c r="W1370" i="4" s="1"/>
  <c r="AA1355" i="4"/>
  <c r="AC1355" i="4"/>
  <c r="AA1466" i="4"/>
  <c r="W1466" i="4" s="1"/>
  <c r="AC1466" i="4"/>
  <c r="AC1385" i="4"/>
  <c r="AA1385" i="4"/>
  <c r="W1385" i="4" s="1"/>
  <c r="AA1396" i="4"/>
  <c r="AC1396" i="4"/>
  <c r="AC1308" i="4"/>
  <c r="AA1308" i="4"/>
  <c r="AA1811" i="4"/>
  <c r="AC1811" i="4"/>
  <c r="AC1826" i="4"/>
  <c r="AA1826" i="4"/>
  <c r="W1826" i="4" s="1"/>
  <c r="AC1379" i="4"/>
  <c r="AA1379" i="4"/>
  <c r="W1379" i="4" s="1"/>
  <c r="AC1367" i="4"/>
  <c r="AA1367" i="4"/>
  <c r="AC1398" i="4"/>
  <c r="AA1398" i="4"/>
  <c r="AC1679" i="4"/>
  <c r="AA1679" i="4"/>
  <c r="W1679" i="4" s="1"/>
  <c r="AA1779" i="4"/>
  <c r="W1779" i="4" s="1"/>
  <c r="AC1779" i="4"/>
  <c r="AA1817" i="4"/>
  <c r="W1817" i="4" s="1"/>
  <c r="AC1817" i="4"/>
  <c r="AA1462" i="4"/>
  <c r="AC1462" i="4"/>
  <c r="AA1518" i="4"/>
  <c r="AC1518" i="4"/>
  <c r="AA1809" i="4"/>
  <c r="AC1809" i="4"/>
  <c r="AC1293" i="4"/>
  <c r="AA1293" i="4"/>
  <c r="W1293" i="4" s="1"/>
  <c r="AA1559" i="4"/>
  <c r="AC1559" i="4"/>
  <c r="AC1061" i="4"/>
  <c r="AA1061" i="4"/>
  <c r="W1061" i="4" s="1"/>
  <c r="AA1687" i="4"/>
  <c r="W1687" i="4" s="1"/>
  <c r="AC1687" i="4"/>
  <c r="AC1009" i="4"/>
  <c r="AA1009" i="4"/>
  <c r="W1009" i="4" s="1"/>
  <c r="AC1015" i="4"/>
  <c r="AA1015" i="4"/>
  <c r="AA1635" i="4"/>
  <c r="AC1635" i="4"/>
  <c r="AA1037" i="4"/>
  <c r="W1037" i="4" s="1"/>
  <c r="AC1037" i="4"/>
  <c r="AA1025" i="4"/>
  <c r="AC1025" i="4"/>
  <c r="AA1686" i="4"/>
  <c r="AC1686" i="4"/>
  <c r="AA1027" i="4"/>
  <c r="AC1027" i="4"/>
  <c r="AA1767" i="4"/>
  <c r="W1767" i="4" s="1"/>
  <c r="AC1767" i="4"/>
  <c r="AA1506" i="4"/>
  <c r="AC1506" i="4"/>
  <c r="AA1258" i="4"/>
  <c r="W1258" i="4" s="1"/>
  <c r="AA1800" i="4"/>
  <c r="W1800" i="4" s="1"/>
  <c r="AC1800" i="4"/>
  <c r="AC1546" i="4"/>
  <c r="AA1546" i="4"/>
  <c r="W1546" i="4" s="1"/>
  <c r="AA1341" i="4"/>
  <c r="AC1341" i="4"/>
  <c r="AA1735" i="4"/>
  <c r="AC1735" i="4"/>
  <c r="AA1844" i="4"/>
  <c r="W1844" i="4" s="1"/>
  <c r="AC1844" i="4"/>
  <c r="AC1311" i="4"/>
  <c r="AA1311" i="4"/>
  <c r="AA1104" i="4"/>
  <c r="AA1427" i="4"/>
  <c r="AC1427" i="4"/>
  <c r="AC1523" i="4"/>
  <c r="AA1523" i="4"/>
  <c r="AA1551" i="4"/>
  <c r="W1551" i="4" s="1"/>
  <c r="AC1551" i="4"/>
  <c r="AA1641" i="4"/>
  <c r="W1641" i="4" s="1"/>
  <c r="AC1641" i="4"/>
  <c r="AC1706" i="4"/>
  <c r="AA1706" i="4"/>
  <c r="W1706" i="4" s="1"/>
  <c r="AC1312" i="4"/>
  <c r="AA1312" i="4"/>
  <c r="W1312" i="4" s="1"/>
  <c r="AC1319" i="4"/>
  <c r="AA1319" i="4"/>
  <c r="W1319" i="4" s="1"/>
  <c r="AC1305" i="4"/>
  <c r="AA1478" i="4"/>
  <c r="AC1478" i="4"/>
  <c r="AC1853" i="4"/>
  <c r="AA1853" i="4"/>
  <c r="W1853" i="4" s="1"/>
  <c r="AA1366" i="4"/>
  <c r="W1366" i="4" s="1"/>
  <c r="AC1366" i="4"/>
  <c r="AC1380" i="4"/>
  <c r="AA1380" i="4"/>
  <c r="AA1737" i="4"/>
  <c r="W1737" i="4" s="1"/>
  <c r="AC1737" i="4"/>
  <c r="AA1364" i="4"/>
  <c r="AC1364" i="4"/>
  <c r="AA1320" i="4"/>
  <c r="W1320" i="4" s="1"/>
  <c r="AC1320" i="4"/>
  <c r="AC1181" i="4"/>
  <c r="AC1130" i="4"/>
  <c r="AA1181" i="4"/>
  <c r="AA1361" i="4"/>
  <c r="AC1361" i="4"/>
  <c r="AA1130" i="4"/>
  <c r="AA1472" i="4"/>
  <c r="AC1472" i="4"/>
  <c r="AA1074" i="4"/>
  <c r="AC1074" i="4"/>
  <c r="AA1035" i="4"/>
  <c r="AC1035" i="4"/>
  <c r="AC1069" i="4"/>
  <c r="AA1069" i="4"/>
  <c r="W1069" i="4" s="1"/>
  <c r="AA1390" i="4"/>
  <c r="AC1390" i="4"/>
  <c r="AC1183" i="4"/>
  <c r="AA1183" i="4"/>
  <c r="AA1547" i="4"/>
  <c r="AC1547" i="4"/>
  <c r="AC1017" i="4"/>
  <c r="AA1017" i="4"/>
  <c r="AA2053" i="4"/>
  <c r="AC2053" i="4"/>
  <c r="AA2090" i="4"/>
  <c r="AC2090" i="4"/>
  <c r="AA2202" i="4"/>
  <c r="AC2202" i="4"/>
  <c r="AA2153" i="4"/>
  <c r="AC2153" i="4"/>
  <c r="AA2097" i="4"/>
  <c r="AC2097" i="4"/>
  <c r="AC2180" i="4"/>
  <c r="AA2180" i="4"/>
  <c r="W2180" i="4" s="1"/>
  <c r="AA1999" i="4"/>
  <c r="AC1999" i="4"/>
  <c r="AA2276" i="4"/>
  <c r="W2276" i="4" s="1"/>
  <c r="AC2276" i="4"/>
  <c r="AA2086" i="4"/>
  <c r="W2086" i="4" s="1"/>
  <c r="AC2086" i="4"/>
  <c r="AC2248" i="4"/>
  <c r="AA2248" i="4"/>
  <c r="W2248" i="4" s="1"/>
  <c r="AA2048" i="4"/>
  <c r="W2048" i="4" s="1"/>
  <c r="AC2048" i="4"/>
  <c r="AA2007" i="4"/>
  <c r="W2007" i="4" s="1"/>
  <c r="AC2007" i="4"/>
  <c r="AA2181" i="4"/>
  <c r="AC2181" i="4"/>
  <c r="AA2342" i="4"/>
  <c r="AC2342" i="4"/>
  <c r="AA2291" i="4"/>
  <c r="W2291" i="4" s="1"/>
  <c r="AC2291" i="4"/>
  <c r="AA2052" i="4"/>
  <c r="W2052" i="4" s="1"/>
  <c r="AC2052" i="4"/>
  <c r="AA2286" i="4"/>
  <c r="AC2286" i="4"/>
  <c r="AA2026" i="4"/>
  <c r="AC2026" i="4"/>
  <c r="AA2014" i="4"/>
  <c r="AC2014" i="4"/>
  <c r="AA2015" i="4"/>
  <c r="AC2015" i="4"/>
  <c r="AA2203" i="4"/>
  <c r="W2203" i="4" s="1"/>
  <c r="AC2203" i="4"/>
  <c r="AA2030" i="4"/>
  <c r="AC2030" i="4"/>
  <c r="AA2165" i="4"/>
  <c r="W2165" i="4" s="1"/>
  <c r="AC2165" i="4"/>
  <c r="AA2013" i="4"/>
  <c r="AC2013" i="4"/>
  <c r="AA2027" i="4"/>
  <c r="W2027" i="4" s="1"/>
  <c r="AC2027" i="4"/>
  <c r="AA2009" i="4"/>
  <c r="W2009" i="4" s="1"/>
  <c r="AC2009" i="4"/>
  <c r="AA2300" i="4"/>
  <c r="W2300" i="4" s="1"/>
  <c r="AC2300" i="4"/>
  <c r="AA2289" i="4"/>
  <c r="AC2289" i="4"/>
  <c r="AA2282" i="4"/>
  <c r="AC2282" i="4"/>
  <c r="AA2278" i="4"/>
  <c r="W2278" i="4" s="1"/>
  <c r="AC2278" i="4"/>
  <c r="AA2264" i="4"/>
  <c r="AC2264" i="4"/>
  <c r="AA2259" i="4"/>
  <c r="W2259" i="4" s="1"/>
  <c r="AC2259" i="4"/>
  <c r="AA2254" i="4"/>
  <c r="AC2254" i="4"/>
  <c r="AA2251" i="4"/>
  <c r="AC2251" i="4"/>
  <c r="AA2249" i="4"/>
  <c r="AC2249" i="4"/>
  <c r="AC2246" i="4"/>
  <c r="AA2246" i="4"/>
  <c r="W2246" i="4" s="1"/>
  <c r="AC2218" i="4"/>
  <c r="AA2218" i="4"/>
  <c r="AA2199" i="4"/>
  <c r="W2199" i="4" s="1"/>
  <c r="AC2199" i="4"/>
  <c r="AA2196" i="4"/>
  <c r="W2196" i="4" s="1"/>
  <c r="AC2196" i="4"/>
  <c r="AA2130" i="4"/>
  <c r="W2130" i="4" s="1"/>
  <c r="AC2130" i="4"/>
  <c r="AA2128" i="4"/>
  <c r="W2128" i="4" s="1"/>
  <c r="AC2128" i="4"/>
  <c r="AA2126" i="4"/>
  <c r="AC2126" i="4"/>
  <c r="AA2111" i="4"/>
  <c r="AC2111" i="4"/>
  <c r="AA2103" i="4"/>
  <c r="W2103" i="4" s="1"/>
  <c r="AC2103" i="4"/>
  <c r="AA2089" i="4"/>
  <c r="W2089" i="4" s="1"/>
  <c r="AC2089" i="4"/>
  <c r="AC2088" i="4"/>
  <c r="AA2088" i="4"/>
  <c r="AC2083" i="4"/>
  <c r="AA2083" i="4"/>
  <c r="W2083" i="4" s="1"/>
  <c r="AC2075" i="4"/>
  <c r="AA2075" i="4"/>
  <c r="W2075" i="4" s="1"/>
  <c r="AA2071" i="4"/>
  <c r="AC2071" i="4"/>
  <c r="AA2161" i="4"/>
  <c r="W2161" i="4" s="1"/>
  <c r="AC2161" i="4"/>
  <c r="AC2058" i="4"/>
  <c r="AA2058" i="4"/>
  <c r="W2058" i="4" s="1"/>
  <c r="AC2059" i="4"/>
  <c r="AA2059" i="4"/>
  <c r="W2059" i="4" s="1"/>
  <c r="AA2256" i="4"/>
  <c r="AC2256" i="4"/>
  <c r="AC2268" i="4"/>
  <c r="AA2268" i="4"/>
  <c r="W2268" i="4" s="1"/>
  <c r="AA2210" i="4"/>
  <c r="AC2210" i="4"/>
  <c r="AA2034" i="4"/>
  <c r="AC2034" i="4"/>
  <c r="AA2020" i="4"/>
  <c r="W2020" i="4" s="1"/>
  <c r="AC2020" i="4"/>
  <c r="AA2010" i="4"/>
  <c r="AC2010" i="4"/>
  <c r="AA2064" i="4"/>
  <c r="W2064" i="4" s="1"/>
  <c r="AC2064" i="4"/>
  <c r="AA2138" i="4"/>
  <c r="AC2138" i="4"/>
  <c r="AA2125" i="4"/>
  <c r="W2125" i="4" s="1"/>
  <c r="AC2125" i="4"/>
  <c r="AA2035" i="4"/>
  <c r="W2035" i="4" s="1"/>
  <c r="AC2035" i="4"/>
  <c r="AA2021" i="4"/>
  <c r="W2021" i="4" s="1"/>
  <c r="AC2021" i="4"/>
  <c r="AA2062" i="4"/>
  <c r="AC2062" i="4"/>
  <c r="AA2037" i="4"/>
  <c r="AC2037" i="4"/>
  <c r="AA2051" i="4"/>
  <c r="AC2051" i="4"/>
  <c r="AA2250" i="4"/>
  <c r="W2250" i="4" s="1"/>
  <c r="AC2250" i="4"/>
  <c r="AA2142" i="4"/>
  <c r="AC2142" i="4"/>
  <c r="AA2245" i="4"/>
  <c r="W2245" i="4" s="1"/>
  <c r="AC2245" i="4"/>
  <c r="AA2302" i="4"/>
  <c r="W2302" i="4" s="1"/>
  <c r="AC2302" i="4"/>
  <c r="AA2003" i="4"/>
  <c r="AC2003" i="4"/>
  <c r="AA2270" i="4"/>
  <c r="AC2270" i="4"/>
  <c r="AA2005" i="4"/>
  <c r="W2005" i="4" s="1"/>
  <c r="AC2005" i="4"/>
  <c r="AA2033" i="4"/>
  <c r="W2033" i="4" s="1"/>
  <c r="AC2033" i="4"/>
  <c r="AC2305" i="4"/>
  <c r="AA2305" i="4"/>
  <c r="AA2107" i="4"/>
  <c r="W2107" i="4" s="1"/>
  <c r="AC2107" i="4"/>
  <c r="AA2022" i="4"/>
  <c r="AC2022" i="4"/>
  <c r="AA2240" i="4"/>
  <c r="AC2240" i="4"/>
  <c r="AA2206" i="4"/>
  <c r="AC2206" i="4"/>
  <c r="AA2072" i="4"/>
  <c r="W2072" i="4" s="1"/>
  <c r="AC2072" i="4"/>
  <c r="AA2225" i="4"/>
  <c r="AC2225" i="4"/>
  <c r="AA2220" i="4"/>
  <c r="W2220" i="4" s="1"/>
  <c r="X2220" i="4" s="1"/>
  <c r="AC2220" i="4"/>
  <c r="AC2029" i="4"/>
  <c r="AA2029" i="4"/>
  <c r="W2029" i="4" s="1"/>
  <c r="AA2232" i="4"/>
  <c r="W2232" i="4" s="1"/>
  <c r="AC2232" i="4"/>
  <c r="AA2343" i="4"/>
  <c r="AC2343" i="4"/>
  <c r="AA2335" i="4"/>
  <c r="AC2335" i="4"/>
  <c r="AA2331" i="4"/>
  <c r="AC2331" i="4"/>
  <c r="AA2322" i="4"/>
  <c r="AC2322" i="4"/>
  <c r="AA2314" i="4"/>
  <c r="AC2314" i="4"/>
  <c r="AA2303" i="4"/>
  <c r="AC2303" i="4"/>
  <c r="AA2266" i="4"/>
  <c r="AC2266" i="4"/>
  <c r="AA1998" i="4"/>
  <c r="AC1998" i="4"/>
  <c r="AA1995" i="4"/>
  <c r="AC1995" i="4"/>
  <c r="AA2179" i="4"/>
  <c r="AC2179" i="4"/>
  <c r="AA1993" i="4"/>
  <c r="W1993" i="4" s="1"/>
  <c r="AC1993" i="4"/>
  <c r="AA2110" i="4"/>
  <c r="AC2110" i="4"/>
  <c r="AA2094" i="4"/>
  <c r="AC2094" i="4"/>
  <c r="AA2074" i="4"/>
  <c r="AC2074" i="4"/>
  <c r="AA2017" i="4"/>
  <c r="AC2017" i="4"/>
  <c r="AA2346" i="4"/>
  <c r="AC2346" i="4"/>
  <c r="AA2081" i="4"/>
  <c r="W2081" i="4" s="1"/>
  <c r="AC2081" i="4"/>
  <c r="AA2123" i="4"/>
  <c r="W2123" i="4" s="1"/>
  <c r="AC2123" i="4"/>
  <c r="AA2077" i="4"/>
  <c r="AC2077" i="4"/>
  <c r="AA2244" i="4"/>
  <c r="W2244" i="4" s="1"/>
  <c r="AC2244" i="4"/>
  <c r="AA2087" i="4"/>
  <c r="AC2087" i="4"/>
  <c r="AA2185" i="4"/>
  <c r="W2185" i="4" s="1"/>
  <c r="AC2185" i="4"/>
  <c r="AA2164" i="4"/>
  <c r="AC2164" i="4"/>
  <c r="AA1997" i="4"/>
  <c r="W1997" i="4" s="1"/>
  <c r="AC1997" i="4"/>
  <c r="AA2186" i="4"/>
  <c r="AC2186" i="4"/>
  <c r="AA2136" i="4"/>
  <c r="AC2136" i="4"/>
  <c r="AA2092" i="4"/>
  <c r="AC2092" i="4"/>
  <c r="AA2171" i="4"/>
  <c r="W2171" i="4" s="1"/>
  <c r="AC2171" i="4"/>
  <c r="AA2151" i="4"/>
  <c r="AC2151" i="4"/>
  <c r="AA2284" i="4"/>
  <c r="AC2284" i="4"/>
  <c r="AA2172" i="4"/>
  <c r="W2172" i="4" s="1"/>
  <c r="AC2172" i="4"/>
  <c r="AA2333" i="4"/>
  <c r="W2333" i="4" s="1"/>
  <c r="AC2333" i="4"/>
  <c r="AA2319" i="4"/>
  <c r="W2319" i="4" s="1"/>
  <c r="AC2319" i="4"/>
  <c r="AA2318" i="4"/>
  <c r="W2318" i="4" s="1"/>
  <c r="AC2318" i="4"/>
  <c r="AA2317" i="4"/>
  <c r="W2317" i="4" s="1"/>
  <c r="AC2317" i="4"/>
  <c r="AA2262" i="4"/>
  <c r="AC2262" i="4"/>
  <c r="AA2242" i="4"/>
  <c r="W2242" i="4" s="1"/>
  <c r="AC2242" i="4"/>
  <c r="AA2239" i="4"/>
  <c r="W2239" i="4" s="1"/>
  <c r="AC2239" i="4"/>
  <c r="AA2149" i="4"/>
  <c r="W2149" i="4" s="1"/>
  <c r="AC2149" i="4"/>
  <c r="AA2147" i="4"/>
  <c r="AC2147" i="4"/>
  <c r="AA2122" i="4"/>
  <c r="W2122" i="4" s="1"/>
  <c r="AC2122" i="4"/>
  <c r="AA2102" i="4"/>
  <c r="W2102" i="4" s="1"/>
  <c r="AC2102" i="4"/>
  <c r="AA2080" i="4"/>
  <c r="AC2080" i="4"/>
  <c r="AA2160" i="4"/>
  <c r="AC2160" i="4"/>
  <c r="AA2095" i="4"/>
  <c r="AC2095" i="4"/>
  <c r="AA2163" i="4"/>
  <c r="AC2163" i="4"/>
  <c r="AA2297" i="4"/>
  <c r="AC2297" i="4"/>
  <c r="AA2279" i="4"/>
  <c r="W2279" i="4" s="1"/>
  <c r="AC2279" i="4"/>
  <c r="AA2274" i="4"/>
  <c r="AC2274" i="4"/>
  <c r="AA2258" i="4"/>
  <c r="AC2258" i="4"/>
  <c r="AA2192" i="4"/>
  <c r="W2192" i="4" s="1"/>
  <c r="AC2192" i="4"/>
  <c r="AA2141" i="4"/>
  <c r="W2141" i="4" s="1"/>
  <c r="AC2141" i="4"/>
  <c r="AA2120" i="4"/>
  <c r="AC2120" i="4"/>
  <c r="AA2144" i="4"/>
  <c r="AC2144" i="4"/>
  <c r="AA2327" i="4"/>
  <c r="AC2327" i="4"/>
  <c r="AA2326" i="4"/>
  <c r="AC2326" i="4"/>
  <c r="AA2261" i="4"/>
  <c r="W2261" i="4" s="1"/>
  <c r="AC2261" i="4"/>
  <c r="AA2237" i="4"/>
  <c r="W2237" i="4" s="1"/>
  <c r="AC2237" i="4"/>
  <c r="AA2214" i="4"/>
  <c r="W2214" i="4" s="1"/>
  <c r="AC2214" i="4"/>
  <c r="AA2197" i="4"/>
  <c r="AC2197" i="4"/>
  <c r="AA2260" i="4"/>
  <c r="AC2260" i="4"/>
  <c r="AA2162" i="4"/>
  <c r="AC2162" i="4"/>
  <c r="AA2121" i="4"/>
  <c r="AC2121" i="4"/>
  <c r="AA2117" i="4"/>
  <c r="AC2117" i="4"/>
  <c r="AA2301" i="4"/>
  <c r="AC2301" i="4"/>
  <c r="AA2288" i="4"/>
  <c r="W2288" i="4" s="1"/>
  <c r="AC2288" i="4"/>
  <c r="AA2230" i="4"/>
  <c r="W2230" i="4" s="1"/>
  <c r="AC2230" i="4"/>
  <c r="AA2224" i="4"/>
  <c r="AC2224" i="4"/>
  <c r="AA2119" i="4"/>
  <c r="W2119" i="4" s="1"/>
  <c r="AC2119" i="4"/>
  <c r="AA2076" i="4"/>
  <c r="AC2076" i="4"/>
  <c r="AA2348" i="4"/>
  <c r="AC2348" i="4"/>
  <c r="AA2272" i="4"/>
  <c r="W2272" i="4" s="1"/>
  <c r="AC2272" i="4"/>
  <c r="AA2257" i="4"/>
  <c r="W2257" i="4" s="1"/>
  <c r="AC2257" i="4"/>
  <c r="AA2166" i="4"/>
  <c r="W2166" i="4" s="1"/>
  <c r="AC2166" i="4"/>
  <c r="AA2173" i="4"/>
  <c r="W2173" i="4" s="1"/>
  <c r="AC2173" i="4"/>
  <c r="AA2127" i="4"/>
  <c r="W2127" i="4" s="1"/>
  <c r="AC2127" i="4"/>
  <c r="AA2118" i="4"/>
  <c r="W2118" i="4" s="1"/>
  <c r="AC2118" i="4"/>
  <c r="AA2280" i="4"/>
  <c r="AC2280" i="4"/>
  <c r="AA2148" i="4"/>
  <c r="AC2148" i="4"/>
  <c r="AA2050" i="4"/>
  <c r="W2050" i="4" s="1"/>
  <c r="AC2050" i="4"/>
  <c r="AA2311" i="4"/>
  <c r="AC2311" i="4"/>
  <c r="AA2209" i="4"/>
  <c r="AC2209" i="4"/>
  <c r="AA2198" i="4"/>
  <c r="AC2198" i="4"/>
  <c r="AA2070" i="4"/>
  <c r="AC2070" i="4"/>
  <c r="AA2233" i="4"/>
  <c r="AC2233" i="4"/>
  <c r="AA2215" i="4"/>
  <c r="W2215" i="4" s="1"/>
  <c r="AC2215" i="4"/>
  <c r="AA2100" i="4"/>
  <c r="AC2100" i="4"/>
  <c r="AA2093" i="4"/>
  <c r="W2093" i="4" s="1"/>
  <c r="AC2093" i="4"/>
  <c r="AA2011" i="4"/>
  <c r="W2011" i="4" s="1"/>
  <c r="AC2011" i="4"/>
  <c r="AA2079" i="4"/>
  <c r="AC2079" i="4"/>
  <c r="AA2159" i="4"/>
  <c r="W2159" i="4" s="1"/>
  <c r="AC2159" i="4"/>
  <c r="AA2265" i="4"/>
  <c r="AC2265" i="4"/>
  <c r="AA2104" i="4"/>
  <c r="W2104" i="4" s="1"/>
  <c r="AC2104" i="4"/>
  <c r="AA2229" i="4"/>
  <c r="AC2229" i="4"/>
  <c r="AA2345" i="4"/>
  <c r="W2345" i="4" s="1"/>
  <c r="AC2345" i="4"/>
  <c r="AA2069" i="4"/>
  <c r="AC2069" i="4"/>
  <c r="AA2134" i="4"/>
  <c r="W2134" i="4" s="1"/>
  <c r="AC2134" i="4"/>
  <c r="AA2113" i="4"/>
  <c r="W2113" i="4" s="1"/>
  <c r="AC2113" i="4"/>
  <c r="AA2143" i="4"/>
  <c r="AC2143" i="4"/>
  <c r="AA2212" i="4"/>
  <c r="AC2212" i="4"/>
  <c r="AA2231" i="4"/>
  <c r="AC2231" i="4"/>
  <c r="AA2243" i="4"/>
  <c r="W2243" i="4" s="1"/>
  <c r="AC2243" i="4"/>
  <c r="AC2207" i="4"/>
  <c r="AA2207" i="4"/>
  <c r="AC2000" i="4"/>
  <c r="AA2000" i="4"/>
  <c r="W2000" i="4" s="1"/>
  <c r="AC2334" i="4"/>
  <c r="AA2334" i="4"/>
  <c r="AA2223" i="4"/>
  <c r="W2223" i="4" s="1"/>
  <c r="AC2223" i="4"/>
  <c r="AA2135" i="4"/>
  <c r="AC2135" i="4"/>
  <c r="AA2132" i="4"/>
  <c r="W2132" i="4" s="1"/>
  <c r="AC2132" i="4"/>
  <c r="AA2285" i="4"/>
  <c r="AC2285" i="4"/>
  <c r="AA2096" i="4"/>
  <c r="W2096" i="4" s="1"/>
  <c r="AC2096" i="4"/>
  <c r="AA2177" i="4"/>
  <c r="AC2177" i="4"/>
  <c r="AA2023" i="4"/>
  <c r="W2023" i="4" s="1"/>
  <c r="AC2023" i="4"/>
  <c r="AA2167" i="4"/>
  <c r="AC2167" i="4"/>
  <c r="AA2008" i="4"/>
  <c r="AC2008" i="4"/>
  <c r="AA2189" i="4"/>
  <c r="W2189" i="4" s="1"/>
  <c r="AC2189" i="4"/>
  <c r="AA2176" i="4"/>
  <c r="W2176" i="4" s="1"/>
  <c r="AC2176" i="4"/>
  <c r="AA2247" i="4"/>
  <c r="W2247" i="4" s="1"/>
  <c r="AC2247" i="4"/>
  <c r="AA2293" i="4"/>
  <c r="W2293" i="4" s="1"/>
  <c r="AC2293" i="4"/>
  <c r="AA2216" i="4"/>
  <c r="W2216" i="4" s="1"/>
  <c r="AC2216" i="4"/>
  <c r="AA2158" i="4"/>
  <c r="W2158" i="4" s="1"/>
  <c r="AC2158" i="4"/>
  <c r="AA2085" i="4"/>
  <c r="W2085" i="4" s="1"/>
  <c r="AC2085" i="4"/>
  <c r="AA2253" i="4"/>
  <c r="W2253" i="4" s="1"/>
  <c r="AC2253" i="4"/>
  <c r="AA2190" i="4"/>
  <c r="AC2190" i="4"/>
  <c r="AA2273" i="4"/>
  <c r="W2273" i="4" s="1"/>
  <c r="AC2273" i="4"/>
  <c r="AA2221" i="4"/>
  <c r="AC2221" i="4"/>
  <c r="AA1996" i="4"/>
  <c r="W1996" i="4" s="1"/>
  <c r="AC1996" i="4"/>
  <c r="AA2038" i="4"/>
  <c r="AC2038" i="4"/>
  <c r="AA2105" i="4"/>
  <c r="W2105" i="4" s="1"/>
  <c r="AC2105" i="4"/>
  <c r="AA2112" i="4"/>
  <c r="W2112" i="4" s="1"/>
  <c r="AC2112" i="4"/>
  <c r="AA2055" i="4"/>
  <c r="AC2055" i="4"/>
  <c r="AA2168" i="4"/>
  <c r="W2168" i="4" s="1"/>
  <c r="AC2168" i="4"/>
  <c r="AA2040" i="4"/>
  <c r="AC2040" i="4"/>
  <c r="AA2194" i="4"/>
  <c r="W2194" i="4" s="1"/>
  <c r="AC2194" i="4"/>
  <c r="AA2308" i="4"/>
  <c r="W2308" i="4" s="1"/>
  <c r="AC2308" i="4"/>
  <c r="AA1992" i="4"/>
  <c r="W1992" i="4" s="1"/>
  <c r="AC1992" i="4"/>
  <c r="AA2004" i="4"/>
  <c r="AC2004" i="4"/>
  <c r="AA2099" i="4"/>
  <c r="W2099" i="4" s="1"/>
  <c r="AC2099" i="4"/>
  <c r="AA2101" i="4"/>
  <c r="W2101" i="4" s="1"/>
  <c r="AC2101" i="4"/>
  <c r="AA2047" i="4"/>
  <c r="AC2047" i="4"/>
  <c r="AA2222" i="4"/>
  <c r="W2222" i="4" s="1"/>
  <c r="AC2222" i="4"/>
  <c r="AA2290" i="4"/>
  <c r="AC2290" i="4"/>
  <c r="AA2042" i="4"/>
  <c r="AC2042" i="4"/>
  <c r="AA2049" i="4"/>
  <c r="W2049" i="4" s="1"/>
  <c r="AC2049" i="4"/>
  <c r="AA2078" i="4"/>
  <c r="AC2078" i="4"/>
  <c r="AA2287" i="4"/>
  <c r="AC2287" i="4"/>
  <c r="AA2036" i="4"/>
  <c r="AC2036" i="4"/>
  <c r="AA2137" i="4"/>
  <c r="W2137" i="4" s="1"/>
  <c r="AC2137" i="4"/>
  <c r="AA2016" i="4"/>
  <c r="AC2016" i="4"/>
  <c r="AA2031" i="4"/>
  <c r="AC2031" i="4"/>
  <c r="AA2039" i="4"/>
  <c r="W2039" i="4" s="1"/>
  <c r="AC2039" i="4"/>
  <c r="AA2312" i="4"/>
  <c r="AC2312" i="4"/>
  <c r="AA2152" i="4"/>
  <c r="W2152" i="4" s="1"/>
  <c r="AC2152" i="4"/>
  <c r="AA2195" i="4"/>
  <c r="W2195" i="4" s="1"/>
  <c r="AC2195" i="4"/>
  <c r="AA2145" i="4"/>
  <c r="W2145" i="4" s="1"/>
  <c r="AC2145" i="4"/>
  <c r="AA2115" i="4"/>
  <c r="AC2115" i="4"/>
  <c r="AA2114" i="4"/>
  <c r="W2114" i="4" s="1"/>
  <c r="AC2114" i="4"/>
  <c r="AA2041" i="4"/>
  <c r="W2041" i="4" s="1"/>
  <c r="AC2041" i="4"/>
  <c r="AA2091" i="4"/>
  <c r="W2091" i="4" s="1"/>
  <c r="AC2091" i="4"/>
  <c r="AA2060" i="4"/>
  <c r="W2060" i="4" s="1"/>
  <c r="AC2060" i="4"/>
  <c r="AA2217" i="4"/>
  <c r="W2217" i="4" s="1"/>
  <c r="AC2217" i="4"/>
  <c r="AA2018" i="4"/>
  <c r="AC2018" i="4"/>
  <c r="AA2328" i="4"/>
  <c r="W2328" i="4" s="1"/>
  <c r="AC2328" i="4"/>
  <c r="AA2204" i="4"/>
  <c r="W2204" i="4" s="1"/>
  <c r="AC2204" i="4"/>
  <c r="AC2063" i="4"/>
  <c r="AA2063" i="4"/>
  <c r="AA2054" i="4"/>
  <c r="AC2054" i="4"/>
  <c r="AA2057" i="4"/>
  <c r="AC2057" i="4"/>
  <c r="AA2109" i="4"/>
  <c r="W2109" i="4" s="1"/>
  <c r="AC2109" i="4"/>
  <c r="AA2065" i="4"/>
  <c r="W2065" i="4" s="1"/>
  <c r="AC2065" i="4"/>
  <c r="AA2046" i="4"/>
  <c r="W2046" i="4" s="1"/>
  <c r="AC2046" i="4"/>
  <c r="AA2044" i="4"/>
  <c r="W2044" i="4" s="1"/>
  <c r="AC2044" i="4"/>
  <c r="AA2191" i="4"/>
  <c r="W2191" i="4" s="1"/>
  <c r="AC2191" i="4"/>
  <c r="AA2032" i="4"/>
  <c r="AC2032" i="4"/>
  <c r="AA2024" i="4"/>
  <c r="W2024" i="4" s="1"/>
  <c r="AC2024" i="4"/>
  <c r="AA2061" i="4"/>
  <c r="AC2061" i="4"/>
  <c r="AA2156" i="4"/>
  <c r="W2156" i="4" s="1"/>
  <c r="AC2156" i="4"/>
  <c r="AA2019" i="4"/>
  <c r="AC2019" i="4"/>
  <c r="AA2325" i="4"/>
  <c r="W2325" i="4" s="1"/>
  <c r="AC2325" i="4"/>
  <c r="AA2116" i="4"/>
  <c r="AC2116" i="4"/>
  <c r="AA2299" i="4"/>
  <c r="W2299" i="4" s="1"/>
  <c r="AC2299" i="4"/>
  <c r="AA2182" i="4"/>
  <c r="W2182" i="4" s="1"/>
  <c r="AC2182" i="4"/>
  <c r="AA2324" i="4"/>
  <c r="W2324" i="4" s="1"/>
  <c r="AC2324" i="4"/>
  <c r="AA2321" i="4"/>
  <c r="W2321" i="4" s="1"/>
  <c r="AC2321" i="4"/>
  <c r="AA2108" i="4"/>
  <c r="W2108" i="4" s="1"/>
  <c r="AC2108" i="4"/>
  <c r="AA2056" i="4"/>
  <c r="W2056" i="4" s="1"/>
  <c r="AC2056" i="4"/>
  <c r="AA2098" i="4"/>
  <c r="W2098" i="4" s="1"/>
  <c r="AC2098" i="4"/>
  <c r="AA2200" i="4"/>
  <c r="AC2200" i="4"/>
  <c r="AC2205" i="4"/>
  <c r="AA2205" i="4"/>
  <c r="W2205" i="4" s="1"/>
  <c r="AA2045" i="4"/>
  <c r="W2045" i="4" s="1"/>
  <c r="AC2045" i="4"/>
  <c r="AA2304" i="4"/>
  <c r="W2304" i="4" s="1"/>
  <c r="AC2304" i="4"/>
  <c r="AA2025" i="4"/>
  <c r="W2025" i="4" s="1"/>
  <c r="AC2025" i="4"/>
  <c r="AA2043" i="4"/>
  <c r="W2043" i="4" s="1"/>
  <c r="AC2043" i="4"/>
  <c r="AA2028" i="4"/>
  <c r="AC2028" i="4"/>
  <c r="AA2347" i="4"/>
  <c r="AC2347" i="4"/>
  <c r="AA2341" i="4"/>
  <c r="W2341" i="4" s="1"/>
  <c r="AC2341" i="4"/>
  <c r="AA2330" i="4"/>
  <c r="AC2330" i="4"/>
  <c r="AA2329" i="4"/>
  <c r="AC2329" i="4"/>
  <c r="AA2323" i="4"/>
  <c r="W2323" i="4" s="1"/>
  <c r="AC2323" i="4"/>
  <c r="AA2295" i="4"/>
  <c r="W2295" i="4" s="1"/>
  <c r="AC2295" i="4"/>
  <c r="AA2234" i="4"/>
  <c r="W2234" i="4" s="1"/>
  <c r="AC2234" i="4"/>
  <c r="AA2211" i="4"/>
  <c r="AC2211" i="4"/>
  <c r="AA2193" i="4"/>
  <c r="AC2193" i="4"/>
  <c r="AA2184" i="4"/>
  <c r="W2184" i="4" s="1"/>
  <c r="AC2184" i="4"/>
  <c r="AA2175" i="4"/>
  <c r="W2175" i="4" s="1"/>
  <c r="AC2175" i="4"/>
  <c r="AA2169" i="4"/>
  <c r="AC2169" i="4"/>
  <c r="AC2155" i="4"/>
  <c r="AA2155" i="4"/>
  <c r="AA2146" i="4"/>
  <c r="AC2146" i="4"/>
  <c r="AC2140" i="4"/>
  <c r="AA2140" i="4"/>
  <c r="W2140" i="4" s="1"/>
  <c r="AA2139" i="4"/>
  <c r="AC2139" i="4"/>
  <c r="AA2131" i="4"/>
  <c r="W2131" i="4" s="1"/>
  <c r="AC2131" i="4"/>
  <c r="AA2073" i="4"/>
  <c r="AC2073" i="4"/>
  <c r="AA2277" i="4"/>
  <c r="W2277" i="4" s="1"/>
  <c r="AC2277" i="4"/>
  <c r="AC2187" i="4"/>
  <c r="AA2187" i="4"/>
  <c r="W2187" i="4" s="1"/>
  <c r="AC2356" i="4"/>
  <c r="AA2356" i="4"/>
  <c r="W2356" i="4" s="1"/>
  <c r="AC2415" i="4"/>
  <c r="AA2415" i="4"/>
  <c r="AA2407" i="4"/>
  <c r="AC2407" i="4"/>
  <c r="AC2403" i="4"/>
  <c r="AA2403" i="4"/>
  <c r="AA2419" i="4"/>
  <c r="W2419" i="4" s="1"/>
  <c r="AC2419" i="4"/>
  <c r="AC2411" i="4"/>
  <c r="AA2405" i="4"/>
  <c r="W2405" i="4" s="1"/>
  <c r="AC2405" i="4"/>
  <c r="AC2418" i="4"/>
  <c r="AA2418" i="4"/>
  <c r="W2418" i="4" s="1"/>
  <c r="AC2409" i="4"/>
  <c r="AA2409" i="4"/>
  <c r="W2409" i="4" s="1"/>
  <c r="AC2421" i="4"/>
  <c r="AA2421" i="4"/>
  <c r="W2421" i="4" s="1"/>
  <c r="AC2400" i="4"/>
  <c r="AA2400" i="4"/>
  <c r="AC2399" i="4"/>
  <c r="AA2399" i="4"/>
  <c r="W2399" i="4" s="1"/>
  <c r="AA2422" i="4"/>
  <c r="AC2422" i="4"/>
  <c r="AA2404" i="4"/>
  <c r="W2404" i="4" s="1"/>
  <c r="AC2404" i="4"/>
  <c r="AC2414" i="4"/>
  <c r="AA2414" i="4"/>
  <c r="AC2385" i="4"/>
  <c r="AA2385" i="4"/>
  <c r="W2385" i="4" s="1"/>
  <c r="AC2375" i="4"/>
  <c r="AA2375" i="4"/>
  <c r="W2375" i="4" s="1"/>
  <c r="AA2396" i="4"/>
  <c r="AC2396" i="4"/>
  <c r="AA2374" i="4"/>
  <c r="AC2374" i="4"/>
  <c r="AA2366" i="4"/>
  <c r="W2366" i="4" s="1"/>
  <c r="AC2366" i="4"/>
  <c r="AA2364" i="4"/>
  <c r="AC2364" i="4"/>
  <c r="AA2378" i="4"/>
  <c r="AC2378" i="4"/>
  <c r="AC2384" i="4"/>
  <c r="AA2384" i="4"/>
  <c r="W2384" i="4" s="1"/>
  <c r="AA2371" i="4"/>
  <c r="W2371" i="4" s="1"/>
  <c r="AC2371" i="4"/>
  <c r="AA2368" i="4"/>
  <c r="W2368" i="4" s="1"/>
  <c r="AC2368" i="4"/>
  <c r="AA2386" i="4"/>
  <c r="W2386" i="4" s="1"/>
  <c r="AC2386" i="4"/>
  <c r="AC2358" i="4"/>
  <c r="AA2358" i="4"/>
  <c r="AA2393" i="4"/>
  <c r="W2393" i="4" s="1"/>
  <c r="AC2393" i="4"/>
  <c r="AC2359" i="4"/>
  <c r="AA2359" i="4"/>
  <c r="AA2372" i="4"/>
  <c r="AC2372" i="4"/>
  <c r="AC2392" i="4"/>
  <c r="AA2392" i="4"/>
  <c r="AA2390" i="4"/>
  <c r="AC2390" i="4"/>
  <c r="AA2391" i="4"/>
  <c r="AC2391" i="4"/>
  <c r="AA2367" i="4"/>
  <c r="AC2367" i="4"/>
  <c r="AA2382" i="4"/>
  <c r="W2382" i="4" s="1"/>
  <c r="AC2382" i="4"/>
  <c r="AC2394" i="4"/>
  <c r="AA2394" i="4"/>
  <c r="W2394" i="4" s="1"/>
  <c r="AA2387" i="4"/>
  <c r="W2387" i="4" s="1"/>
  <c r="AC2387" i="4"/>
  <c r="AA2381" i="4"/>
  <c r="W2381" i="4" s="1"/>
  <c r="AC2381" i="4"/>
  <c r="AA2369" i="4"/>
  <c r="W2369" i="4" s="1"/>
  <c r="AC2369" i="4"/>
  <c r="AA2376" i="4"/>
  <c r="W2376" i="4" s="1"/>
  <c r="AC2376" i="4"/>
  <c r="AA2389" i="4"/>
  <c r="AC2389" i="4"/>
  <c r="AC2352" i="4"/>
  <c r="AA2352" i="4"/>
  <c r="W2352" i="4" s="1"/>
  <c r="AC2353" i="4"/>
  <c r="AA2353" i="4"/>
  <c r="AC2383" i="4"/>
  <c r="AA2383" i="4"/>
  <c r="AA2362" i="4"/>
  <c r="W2362" i="4" s="1"/>
  <c r="AC2362" i="4"/>
  <c r="AA2388" i="4"/>
  <c r="W2388" i="4" s="1"/>
  <c r="AC2388" i="4"/>
  <c r="AC2379" i="4"/>
  <c r="AA2379" i="4"/>
  <c r="W2379" i="4" s="1"/>
  <c r="AC1988" i="4"/>
  <c r="AA1988" i="4"/>
  <c r="W1988" i="4" s="1"/>
  <c r="AC1980" i="4"/>
  <c r="AA1980" i="4"/>
  <c r="AC1983" i="4"/>
  <c r="AA1983" i="4"/>
  <c r="AA1984" i="4"/>
  <c r="AC1984" i="4"/>
  <c r="AC1981" i="4"/>
  <c r="AA1981" i="4"/>
  <c r="AC1953" i="4"/>
  <c r="AA1953" i="4"/>
  <c r="W1953" i="4" s="1"/>
  <c r="AA1968" i="4"/>
  <c r="AC1968" i="4"/>
  <c r="AC1964" i="4"/>
  <c r="AA1964" i="4"/>
  <c r="W1964" i="4" s="1"/>
  <c r="AC1977" i="4"/>
  <c r="AA1977" i="4"/>
  <c r="W1977" i="4" s="1"/>
  <c r="AA1960" i="4"/>
  <c r="AC1960" i="4"/>
  <c r="AA1975" i="4"/>
  <c r="AC1975" i="4"/>
  <c r="AA1955" i="4"/>
  <c r="AC1955" i="4"/>
  <c r="AA1965" i="4"/>
  <c r="W1965" i="4" s="1"/>
  <c r="AC1965" i="4"/>
  <c r="AA1956" i="4"/>
  <c r="AC1956" i="4"/>
  <c r="AA1957" i="4"/>
  <c r="W1957" i="4" s="1"/>
  <c r="AC1957" i="4"/>
  <c r="AA1976" i="4"/>
  <c r="AC1976" i="4"/>
  <c r="AA1971" i="4"/>
  <c r="W1971" i="4" s="1"/>
  <c r="AC1971" i="4"/>
  <c r="AA1974" i="4"/>
  <c r="W1974" i="4" s="1"/>
  <c r="AC1974" i="4"/>
  <c r="AC1972" i="4"/>
  <c r="AA1972" i="4"/>
  <c r="AC1944" i="4"/>
  <c r="AA1944" i="4"/>
  <c r="AC1942" i="4"/>
  <c r="AA1942" i="4"/>
  <c r="W1942" i="4" s="1"/>
  <c r="AC1939" i="4"/>
  <c r="AA1939" i="4"/>
  <c r="AC1947" i="4"/>
  <c r="AA1947" i="4"/>
  <c r="W1947" i="4" s="1"/>
  <c r="AC1941" i="4"/>
  <c r="AA1941" i="4"/>
  <c r="W1941" i="4" s="1"/>
  <c r="AC1943" i="4"/>
  <c r="AA1943" i="4"/>
  <c r="W1943" i="4" s="1"/>
  <c r="AC1936" i="4"/>
  <c r="AA1933" i="4"/>
  <c r="W1933" i="4" s="1"/>
  <c r="AC1933" i="4"/>
  <c r="AC1934" i="4"/>
  <c r="AA1934" i="4"/>
  <c r="W1934" i="4" s="1"/>
  <c r="AC1930" i="4"/>
  <c r="AA1930" i="4"/>
  <c r="W1930" i="4" s="1"/>
  <c r="AA1927" i="4"/>
  <c r="AC1927" i="4"/>
  <c r="AC1928" i="4"/>
  <c r="AA1928" i="4"/>
  <c r="W1928" i="4" s="1"/>
  <c r="AC1932" i="4"/>
  <c r="AA1932" i="4"/>
  <c r="W1932" i="4" s="1"/>
  <c r="AC1926" i="4"/>
  <c r="AA1926" i="4"/>
  <c r="AA1931" i="4"/>
  <c r="X1931" i="4" s="1"/>
  <c r="AC1918" i="4"/>
  <c r="AA1918" i="4"/>
  <c r="W1918" i="4" s="1"/>
  <c r="AC1915" i="4"/>
  <c r="AA1915" i="4"/>
  <c r="W1915" i="4" s="1"/>
  <c r="AA1919" i="4"/>
  <c r="AC1919" i="4"/>
  <c r="AA1921" i="4"/>
  <c r="AC1921" i="4"/>
  <c r="AA1914" i="4"/>
  <c r="AC1914" i="4"/>
  <c r="AA1917" i="4"/>
  <c r="W1917" i="4" s="1"/>
  <c r="AC1917" i="4"/>
  <c r="AA1920" i="4"/>
  <c r="W1920" i="4" s="1"/>
  <c r="AC1920" i="4"/>
  <c r="AC1916" i="4"/>
  <c r="AA1916" i="4"/>
  <c r="W1916" i="4" s="1"/>
  <c r="AA1912" i="4"/>
  <c r="W1912" i="4" s="1"/>
  <c r="AC1912" i="4"/>
  <c r="AA1908" i="4"/>
  <c r="AC1908" i="4"/>
  <c r="AC1907" i="4"/>
  <c r="AA1907" i="4"/>
  <c r="W1907" i="4" s="1"/>
  <c r="AC1909" i="4"/>
  <c r="AA1909" i="4"/>
  <c r="AC1905" i="4"/>
  <c r="AA1905" i="4"/>
  <c r="AC1904" i="4"/>
  <c r="AA1904" i="4"/>
  <c r="W1904" i="4" s="1"/>
  <c r="AA1000" i="4"/>
  <c r="W1000" i="4" s="1"/>
  <c r="AC1000" i="4"/>
  <c r="AA996" i="4"/>
  <c r="W996" i="4" s="1"/>
  <c r="AC996" i="4"/>
  <c r="AA997" i="4"/>
  <c r="AC997" i="4"/>
  <c r="AA995" i="4"/>
  <c r="W995" i="4" s="1"/>
  <c r="AC995" i="4"/>
  <c r="AA990" i="4"/>
  <c r="W990" i="4" s="1"/>
  <c r="AC990" i="4"/>
  <c r="AC988" i="4"/>
  <c r="AA988" i="4"/>
  <c r="AA994" i="4"/>
  <c r="W994" i="4" s="1"/>
  <c r="AC994" i="4"/>
  <c r="AA987" i="4"/>
  <c r="W987" i="4" s="1"/>
  <c r="AC987" i="4"/>
  <c r="AC993" i="4"/>
  <c r="AC991" i="4"/>
  <c r="AC999" i="4"/>
  <c r="AA999" i="4"/>
  <c r="AA991" i="4"/>
  <c r="W991" i="4" s="1"/>
  <c r="AA993" i="4"/>
  <c r="AC998" i="4"/>
  <c r="AA998" i="4"/>
  <c r="W998" i="4" s="1"/>
  <c r="AA977" i="4"/>
  <c r="AC977" i="4"/>
  <c r="AA974" i="4"/>
  <c r="AC974" i="4"/>
  <c r="AC959" i="4"/>
  <c r="AA964" i="4"/>
  <c r="W964" i="4" s="1"/>
  <c r="AC964" i="4"/>
  <c r="AA963" i="4"/>
  <c r="W963" i="4" s="1"/>
  <c r="AC963" i="4"/>
  <c r="AA971" i="4"/>
  <c r="W971" i="4" s="1"/>
  <c r="AC971" i="4"/>
  <c r="AA981" i="4"/>
  <c r="W981" i="4" s="1"/>
  <c r="AC981" i="4"/>
  <c r="AA960" i="4"/>
  <c r="AC960" i="4"/>
  <c r="AA973" i="4"/>
  <c r="W973" i="4" s="1"/>
  <c r="AC973" i="4"/>
  <c r="AA967" i="4"/>
  <c r="W967" i="4" s="1"/>
  <c r="AC967" i="4"/>
  <c r="AA983" i="4"/>
  <c r="AC983" i="4"/>
  <c r="AA979" i="4"/>
  <c r="AC979" i="4"/>
  <c r="AA972" i="4"/>
  <c r="AC972" i="4"/>
  <c r="AA965" i="4"/>
  <c r="AC965" i="4"/>
  <c r="AA968" i="4"/>
  <c r="W968" i="4" s="1"/>
  <c r="AC968" i="4"/>
  <c r="AA966" i="4"/>
  <c r="AC966" i="4"/>
  <c r="AA975" i="4"/>
  <c r="AC975" i="4"/>
  <c r="AA970" i="4"/>
  <c r="W970" i="4" s="1"/>
  <c r="AC970" i="4"/>
  <c r="AA982" i="4"/>
  <c r="AC982" i="4"/>
  <c r="AA976" i="4"/>
  <c r="AC976" i="4"/>
  <c r="AA958" i="4"/>
  <c r="AC958" i="4"/>
  <c r="AC956" i="4"/>
  <c r="AA956" i="4"/>
  <c r="W956" i="4" s="1"/>
  <c r="AA934" i="4"/>
  <c r="AA933" i="4"/>
  <c r="W933" i="4" s="1"/>
  <c r="AA932" i="4"/>
  <c r="AC934" i="4"/>
  <c r="AC904" i="4"/>
  <c r="AA904" i="4"/>
  <c r="W904" i="4" s="1"/>
  <c r="AA917" i="4"/>
  <c r="AC917" i="4"/>
  <c r="AC927" i="4"/>
  <c r="AA927" i="4"/>
  <c r="W927" i="4" s="1"/>
  <c r="AC933" i="4"/>
  <c r="AC932" i="4"/>
  <c r="AA944" i="4"/>
  <c r="AC944" i="4"/>
  <c r="AA908" i="4"/>
  <c r="AC908" i="4"/>
  <c r="AA916" i="4"/>
  <c r="W916" i="4" s="1"/>
  <c r="AC916" i="4"/>
  <c r="AC923" i="4"/>
  <c r="AA923" i="4"/>
  <c r="W923" i="4" s="1"/>
  <c r="AC937" i="4"/>
  <c r="AA937" i="4"/>
  <c r="AA938" i="4"/>
  <c r="AC938" i="4"/>
  <c r="AC915" i="4"/>
  <c r="AA915" i="4"/>
  <c r="W915" i="4" s="1"/>
  <c r="AC903" i="4"/>
  <c r="AA903" i="4"/>
  <c r="W903" i="4" s="1"/>
  <c r="AC929" i="4"/>
  <c r="AA929" i="4"/>
  <c r="W929" i="4" s="1"/>
  <c r="AC931" i="4"/>
  <c r="AA931" i="4"/>
  <c r="W931" i="4" s="1"/>
  <c r="AC941" i="4"/>
  <c r="AA941" i="4"/>
  <c r="AC939" i="4"/>
  <c r="AA939" i="4"/>
  <c r="W939" i="4" s="1"/>
  <c r="AC907" i="4"/>
  <c r="AA907" i="4"/>
  <c r="AC943" i="4"/>
  <c r="AA943" i="4"/>
  <c r="W943" i="4" s="1"/>
  <c r="AC914" i="4"/>
  <c r="AA914" i="4"/>
  <c r="AC912" i="4"/>
  <c r="AA912" i="4"/>
  <c r="W912" i="4" s="1"/>
  <c r="AA935" i="4"/>
  <c r="AC935" i="4"/>
  <c r="AA910" i="4"/>
  <c r="W910" i="4" s="1"/>
  <c r="AC910" i="4"/>
  <c r="AC930" i="4"/>
  <c r="AA930" i="4"/>
  <c r="W930" i="4" s="1"/>
  <c r="AC906" i="4"/>
  <c r="AA906" i="4"/>
  <c r="AC942" i="4"/>
  <c r="AA942" i="4"/>
  <c r="W942" i="4" s="1"/>
  <c r="AC913" i="4"/>
  <c r="AA913" i="4"/>
  <c r="W913" i="4" s="1"/>
  <c r="AC909" i="4"/>
  <c r="AC902" i="4"/>
  <c r="AA909" i="4"/>
  <c r="W909" i="4" s="1"/>
  <c r="AA902" i="4"/>
  <c r="AC924" i="4"/>
  <c r="AA924" i="4"/>
  <c r="AC936" i="4"/>
  <c r="AA936" i="4"/>
  <c r="AC874" i="4"/>
  <c r="AA874" i="4"/>
  <c r="W874" i="4" s="1"/>
  <c r="AC895" i="4"/>
  <c r="AA895" i="4"/>
  <c r="W895" i="4" s="1"/>
  <c r="AC897" i="4"/>
  <c r="AA897" i="4"/>
  <c r="AC876" i="4"/>
  <c r="AA876" i="4"/>
  <c r="AA896" i="4"/>
  <c r="W896" i="4" s="1"/>
  <c r="AC896" i="4"/>
  <c r="AC868" i="4"/>
  <c r="AA868" i="4"/>
  <c r="AC864" i="4"/>
  <c r="AA864" i="4"/>
  <c r="W864" i="4" s="1"/>
  <c r="AA842" i="4"/>
  <c r="AC842" i="4"/>
  <c r="AC835" i="4"/>
  <c r="AA835" i="4"/>
  <c r="AC841" i="4"/>
  <c r="AA841" i="4"/>
  <c r="AC831" i="4"/>
  <c r="AA831" i="4"/>
  <c r="AC817" i="4"/>
  <c r="AA817" i="4"/>
  <c r="W817" i="4" s="1"/>
  <c r="AA828" i="4"/>
  <c r="AC828" i="4"/>
  <c r="AA823" i="4"/>
  <c r="AC823" i="4"/>
  <c r="AA819" i="4"/>
  <c r="W819" i="4" s="1"/>
  <c r="AC819" i="4"/>
  <c r="AA826" i="4"/>
  <c r="W826" i="4" s="1"/>
  <c r="AC826" i="4"/>
  <c r="AA820" i="4"/>
  <c r="W820" i="4" s="1"/>
  <c r="AC820" i="4"/>
  <c r="AA829" i="4"/>
  <c r="W829" i="4" s="1"/>
  <c r="AC829" i="4"/>
  <c r="AA810" i="4"/>
  <c r="W810" i="4" s="1"/>
  <c r="AC810" i="4"/>
  <c r="AC827" i="4"/>
  <c r="AC813" i="4"/>
  <c r="AC812" i="4"/>
  <c r="AA827" i="4"/>
  <c r="W827" i="4" s="1"/>
  <c r="AA813" i="4"/>
  <c r="AA812" i="4"/>
  <c r="AA807" i="4"/>
  <c r="W807" i="4" s="1"/>
  <c r="AC807" i="4"/>
  <c r="AC806" i="4"/>
  <c r="AA806" i="4"/>
  <c r="W806" i="4" s="1"/>
  <c r="AA771" i="4"/>
  <c r="W771" i="4" s="1"/>
  <c r="AC771" i="4"/>
  <c r="AA772" i="4"/>
  <c r="W772" i="4" s="1"/>
  <c r="AC772" i="4"/>
  <c r="AA770" i="4"/>
  <c r="W770" i="4" s="1"/>
  <c r="AC770" i="4"/>
  <c r="AA775" i="4"/>
  <c r="W775" i="4" s="1"/>
  <c r="AC775" i="4"/>
  <c r="AA773" i="4"/>
  <c r="W773" i="4" s="1"/>
  <c r="AC773" i="4"/>
  <c r="AA769" i="4"/>
  <c r="W769" i="4" s="1"/>
  <c r="AC769" i="4"/>
  <c r="AA767" i="4"/>
  <c r="W767" i="4" s="1"/>
  <c r="AC767" i="4"/>
  <c r="AA766" i="4"/>
  <c r="W766" i="4" s="1"/>
  <c r="AC766" i="4"/>
  <c r="AA776" i="4"/>
  <c r="W776" i="4" s="1"/>
  <c r="AC776" i="4"/>
  <c r="AA768" i="4"/>
  <c r="W768" i="4" s="1"/>
  <c r="AC768" i="4"/>
  <c r="AA774" i="4"/>
  <c r="W774" i="4" s="1"/>
  <c r="AC774" i="4"/>
  <c r="AA777" i="4"/>
  <c r="AC777" i="4"/>
  <c r="AA755" i="4"/>
  <c r="W755" i="4" s="1"/>
  <c r="AC755" i="4"/>
  <c r="AA758" i="4"/>
  <c r="AC758" i="4"/>
  <c r="AA754" i="4"/>
  <c r="W754" i="4" s="1"/>
  <c r="AC754" i="4"/>
  <c r="AA756" i="4"/>
  <c r="AC756" i="4"/>
  <c r="AA751" i="4"/>
  <c r="W751" i="4" s="1"/>
  <c r="AC751" i="4"/>
  <c r="AA750" i="4"/>
  <c r="W750" i="4" s="1"/>
  <c r="AC750" i="4"/>
  <c r="AA764" i="4"/>
  <c r="AC764" i="4"/>
  <c r="AA753" i="4"/>
  <c r="W753" i="4" s="1"/>
  <c r="AC753" i="4"/>
  <c r="AA763" i="4"/>
  <c r="W763" i="4" s="1"/>
  <c r="AC763" i="4"/>
  <c r="AA752" i="4"/>
  <c r="W752" i="4" s="1"/>
  <c r="AC752" i="4"/>
  <c r="AA761" i="4"/>
  <c r="W761" i="4" s="1"/>
  <c r="AC761" i="4"/>
  <c r="AA757" i="4"/>
  <c r="W757" i="4" s="1"/>
  <c r="AA760" i="4"/>
  <c r="W760" i="4" s="1"/>
  <c r="AC760" i="4"/>
  <c r="AC757" i="4"/>
  <c r="AA749" i="4"/>
  <c r="W749" i="4" s="1"/>
  <c r="AC749" i="4"/>
  <c r="AC759" i="4"/>
  <c r="AA759" i="4"/>
  <c r="W759" i="4" s="1"/>
  <c r="AC707" i="4"/>
  <c r="AA707" i="4"/>
  <c r="W707" i="4" s="1"/>
  <c r="AA705" i="4"/>
  <c r="W705" i="4" s="1"/>
  <c r="AC705" i="4"/>
  <c r="AA724" i="4"/>
  <c r="W724" i="4" s="1"/>
  <c r="AC724" i="4"/>
  <c r="AA716" i="4"/>
  <c r="AC716" i="4"/>
  <c r="AA731" i="4"/>
  <c r="W731" i="4" s="1"/>
  <c r="AC731" i="4"/>
  <c r="AC702" i="4"/>
  <c r="AA702" i="4"/>
  <c r="AA744" i="4"/>
  <c r="W744" i="4" s="1"/>
  <c r="AC744" i="4"/>
  <c r="AA706" i="4"/>
  <c r="AC706" i="4"/>
  <c r="AA703" i="4"/>
  <c r="W703" i="4" s="1"/>
  <c r="AC703" i="4"/>
  <c r="AC726" i="4"/>
  <c r="AA726" i="4"/>
  <c r="W726" i="4" s="1"/>
  <c r="AC704" i="4"/>
  <c r="AA704" i="4"/>
  <c r="W704" i="4" s="1"/>
  <c r="AA697" i="4"/>
  <c r="W697" i="4" s="1"/>
  <c r="AC697" i="4"/>
  <c r="AA699" i="4"/>
  <c r="W699" i="4" s="1"/>
  <c r="AC699" i="4"/>
  <c r="AA698" i="4"/>
  <c r="W698" i="4" s="1"/>
  <c r="AC698" i="4"/>
  <c r="AC2482" i="4"/>
  <c r="AA2481" i="4"/>
  <c r="W2481" i="4" s="1"/>
  <c r="AC2481" i="4"/>
  <c r="AA2480" i="4"/>
  <c r="AC2480" i="4"/>
  <c r="AA2483" i="4"/>
  <c r="AC2483" i="4"/>
  <c r="AA2475" i="4"/>
  <c r="W2475" i="4" s="1"/>
  <c r="AC2475" i="4"/>
  <c r="AA2478" i="4"/>
  <c r="W2478" i="4" s="1"/>
  <c r="AC2478" i="4"/>
  <c r="AA2477" i="4"/>
  <c r="W2477" i="4" s="1"/>
  <c r="AC2477" i="4"/>
  <c r="AA2474" i="4"/>
  <c r="AC2474" i="4"/>
  <c r="AC2427" i="4"/>
  <c r="AA2427" i="4"/>
  <c r="W2427" i="4" s="1"/>
  <c r="AA2603" i="4"/>
  <c r="W2603" i="4" s="1"/>
  <c r="AC2603" i="4"/>
  <c r="AA2629" i="4"/>
  <c r="W2629" i="4" s="1"/>
  <c r="AC2629" i="4"/>
  <c r="AA2622" i="4"/>
  <c r="W2622" i="4" s="1"/>
  <c r="AC2622" i="4"/>
  <c r="AA2565" i="4"/>
  <c r="W2565" i="4" s="1"/>
  <c r="AC2565" i="4"/>
  <c r="AA2576" i="4"/>
  <c r="W2576" i="4" s="1"/>
  <c r="AC2576" i="4"/>
  <c r="AC2572" i="4"/>
  <c r="AA2569" i="4"/>
  <c r="W2569" i="4" s="1"/>
  <c r="AC2569" i="4"/>
  <c r="AA2606" i="4"/>
  <c r="AC2606" i="4"/>
  <c r="AA2570" i="4"/>
  <c r="W2570" i="4" s="1"/>
  <c r="AC2570" i="4"/>
  <c r="AA2591" i="4"/>
  <c r="W2591" i="4" s="1"/>
  <c r="AC2591" i="4"/>
  <c r="AA2562" i="4"/>
  <c r="AC2562" i="4"/>
  <c r="AA2594" i="4"/>
  <c r="W2594" i="4" s="1"/>
  <c r="AC2594" i="4"/>
  <c r="AA2636" i="4"/>
  <c r="AC2636" i="4"/>
  <c r="AA2616" i="4"/>
  <c r="AC2616" i="4"/>
  <c r="AA2640" i="4"/>
  <c r="W2640" i="4" s="1"/>
  <c r="AC2640" i="4"/>
  <c r="AA2584" i="4"/>
  <c r="W2584" i="4" s="1"/>
  <c r="AC2584" i="4"/>
  <c r="AA2617" i="4"/>
  <c r="AC2617" i="4"/>
  <c r="AA2574" i="4"/>
  <c r="AC2574" i="4"/>
  <c r="AA2604" i="4"/>
  <c r="AC2604" i="4"/>
  <c r="AA2628" i="4"/>
  <c r="W2628" i="4" s="1"/>
  <c r="AC2628" i="4"/>
  <c r="AA2612" i="4"/>
  <c r="AC2612" i="4"/>
  <c r="AA2596" i="4"/>
  <c r="W2596" i="4" s="1"/>
  <c r="AC2596" i="4"/>
  <c r="AA2639" i="4"/>
  <c r="AC2639" i="4"/>
  <c r="AA2643" i="4"/>
  <c r="W2643" i="4" s="1"/>
  <c r="AC2643" i="4"/>
  <c r="AA2623" i="4"/>
  <c r="AC2623" i="4"/>
  <c r="AA2568" i="4"/>
  <c r="W2568" i="4" s="1"/>
  <c r="AC2568" i="4"/>
  <c r="AA2610" i="4"/>
  <c r="W2610" i="4" s="1"/>
  <c r="AC2610" i="4"/>
  <c r="AA2633" i="4"/>
  <c r="W2633" i="4" s="1"/>
  <c r="AC2633" i="4"/>
  <c r="AA2645" i="4"/>
  <c r="W2645" i="4" s="1"/>
  <c r="AC2645" i="4"/>
  <c r="AA2581" i="4"/>
  <c r="W2581" i="4" s="1"/>
  <c r="AC2581" i="4"/>
  <c r="AA2646" i="4"/>
  <c r="W2646" i="4" s="1"/>
  <c r="AC2646" i="4"/>
  <c r="AA2592" i="4"/>
  <c r="AC2592" i="4"/>
  <c r="W2637" i="4"/>
  <c r="AC2637" i="4"/>
  <c r="AA2635" i="4"/>
  <c r="W2635" i="4" s="1"/>
  <c r="AC2635" i="4"/>
  <c r="AA2607" i="4"/>
  <c r="W2607" i="4" s="1"/>
  <c r="AC2607" i="4"/>
  <c r="AA2561" i="4"/>
  <c r="W2561" i="4" s="1"/>
  <c r="AC2561" i="4"/>
  <c r="AA2620" i="4"/>
  <c r="W2620" i="4" s="1"/>
  <c r="AC2620" i="4"/>
  <c r="AA2613" i="4"/>
  <c r="AC2613" i="4"/>
  <c r="AA2593" i="4"/>
  <c r="AC2593" i="4"/>
  <c r="AA2614" i="4"/>
  <c r="AC2614" i="4"/>
  <c r="AA2583" i="4"/>
  <c r="AC2583" i="4"/>
  <c r="AA2579" i="4"/>
  <c r="AC2579" i="4"/>
  <c r="AA2625" i="4"/>
  <c r="AC2625" i="4"/>
  <c r="AA2587" i="4"/>
  <c r="W2587" i="4" s="1"/>
  <c r="AC2587" i="4"/>
  <c r="AA2647" i="4"/>
  <c r="AC2647" i="4"/>
  <c r="AC2597" i="4"/>
  <c r="AA2597" i="4"/>
  <c r="W2597" i="4" s="1"/>
  <c r="AA2554" i="4"/>
  <c r="AC2554" i="4"/>
  <c r="AA2543" i="4"/>
  <c r="AC2543" i="4"/>
  <c r="AA2544" i="4"/>
  <c r="W2544" i="4" s="1"/>
  <c r="AC2544" i="4"/>
  <c r="AA2557" i="4"/>
  <c r="W2557" i="4" s="1"/>
  <c r="AC2557" i="4"/>
  <c r="AA2548" i="4"/>
  <c r="AC2548" i="4"/>
  <c r="AC2552" i="4"/>
  <c r="AA2552" i="4"/>
  <c r="W2552" i="4" s="1"/>
  <c r="AA2541" i="4"/>
  <c r="W2541" i="4" s="1"/>
  <c r="AC2541" i="4"/>
  <c r="AA2539" i="4"/>
  <c r="W2539" i="4" s="1"/>
  <c r="AC2539" i="4"/>
  <c r="AA2535" i="4"/>
  <c r="AC2535" i="4"/>
  <c r="AA2536" i="4"/>
  <c r="W2536" i="4" s="1"/>
  <c r="AC2536" i="4"/>
  <c r="BV2533" i="4"/>
  <c r="AA2533" i="4"/>
  <c r="AC2533" i="4"/>
  <c r="AA2532" i="4"/>
  <c r="AC2532" i="4"/>
  <c r="AC2537" i="4"/>
  <c r="AA2537" i="4"/>
  <c r="W2537" i="4" s="1"/>
  <c r="BS2534" i="4"/>
  <c r="BP2534" i="4" s="1"/>
  <c r="BV2534" i="4"/>
  <c r="AA2534" i="4"/>
  <c r="AC2534" i="4"/>
  <c r="AA2529" i="4"/>
  <c r="W2529" i="4" s="1"/>
  <c r="AC2529" i="4"/>
  <c r="AU2516" i="4"/>
  <c r="AS2516" i="4"/>
  <c r="AO2516" i="4" s="1"/>
  <c r="AA2516" i="4"/>
  <c r="W2516" i="4" s="1"/>
  <c r="AC2516" i="4"/>
  <c r="AA2523" i="4"/>
  <c r="W2523" i="4" s="1"/>
  <c r="AC2523" i="4"/>
  <c r="AC2518" i="4"/>
  <c r="AA2518" i="4"/>
  <c r="AC2521" i="4"/>
  <c r="AA2521" i="4"/>
  <c r="W2521" i="4" s="1"/>
  <c r="AA2524" i="4"/>
  <c r="W2524" i="4" s="1"/>
  <c r="AC2524" i="4"/>
  <c r="AC639" i="4"/>
  <c r="AA639" i="4"/>
  <c r="W639" i="4" s="1"/>
  <c r="AC52" i="4"/>
  <c r="AA52" i="4"/>
  <c r="W52" i="4" s="1"/>
  <c r="AA2511" i="4"/>
  <c r="W2511" i="4" s="1"/>
  <c r="AC2511" i="4"/>
  <c r="AA2510" i="4"/>
  <c r="W2510" i="4" s="1"/>
  <c r="AC2510" i="4"/>
  <c r="AA2509" i="4"/>
  <c r="W2509" i="4" s="1"/>
  <c r="AC2509" i="4"/>
  <c r="AA2500" i="4"/>
  <c r="AC2500" i="4"/>
  <c r="AA2498" i="4"/>
  <c r="AC2498" i="4"/>
  <c r="AA2496" i="4"/>
  <c r="AC2496" i="4"/>
  <c r="AA2503" i="4"/>
  <c r="AC2503" i="4"/>
  <c r="AA2506" i="4"/>
  <c r="AC2506" i="4"/>
  <c r="AA2494" i="4"/>
  <c r="W2494" i="4" s="1"/>
  <c r="AC2494" i="4"/>
  <c r="AA2501" i="4"/>
  <c r="AC2501" i="4"/>
  <c r="AA2505" i="4"/>
  <c r="AC2505" i="4"/>
  <c r="AC2497" i="4"/>
  <c r="AA2497" i="4"/>
  <c r="AC2492" i="4"/>
  <c r="AA2492" i="4"/>
  <c r="W2492" i="4" s="1"/>
  <c r="AC2487" i="4"/>
  <c r="X2487" i="4" s="1"/>
  <c r="AA2455" i="4"/>
  <c r="W2455" i="4" s="1"/>
  <c r="AC2455" i="4"/>
  <c r="AA2462" i="4"/>
  <c r="AC2462" i="4"/>
  <c r="AA2454" i="4"/>
  <c r="W2454" i="4" s="1"/>
  <c r="AC2454" i="4"/>
  <c r="AA2463" i="4"/>
  <c r="W2463" i="4" s="1"/>
  <c r="AC2463" i="4"/>
  <c r="AA2472" i="4"/>
  <c r="AC2472" i="4"/>
  <c r="AA2470" i="4"/>
  <c r="W2470" i="4" s="1"/>
  <c r="AC2470" i="4"/>
  <c r="AA2456" i="4"/>
  <c r="W2456" i="4" s="1"/>
  <c r="AC2456" i="4"/>
  <c r="AA2466" i="4"/>
  <c r="W2466" i="4" s="1"/>
  <c r="AC2466" i="4"/>
  <c r="AA2469" i="4"/>
  <c r="AC2469" i="4"/>
  <c r="AA2471" i="4"/>
  <c r="W2471" i="4" s="1"/>
  <c r="AC2471" i="4"/>
  <c r="AA2461" i="4"/>
  <c r="AC2461" i="4"/>
  <c r="AA2468" i="4"/>
  <c r="W2468" i="4" s="1"/>
  <c r="AC2468" i="4"/>
  <c r="AA2464" i="4"/>
  <c r="W2464" i="4" s="1"/>
  <c r="AC2464" i="4"/>
  <c r="AA2467" i="4"/>
  <c r="W2467" i="4" s="1"/>
  <c r="AC2467" i="4"/>
  <c r="AC2460" i="4"/>
  <c r="AA2460" i="4"/>
  <c r="AC2441" i="4"/>
  <c r="AA2441" i="4"/>
  <c r="AC2445" i="4"/>
  <c r="AC2452" i="4"/>
  <c r="AA2452" i="4"/>
  <c r="W2452" i="4" s="1"/>
  <c r="AC2451" i="4"/>
  <c r="AA2451" i="4"/>
  <c r="AC2443" i="4"/>
  <c r="AA2450" i="4"/>
  <c r="AC2450" i="4"/>
  <c r="AC2439" i="4"/>
  <c r="AA2439" i="4"/>
  <c r="AA10" i="4"/>
  <c r="W10" i="4" s="1"/>
  <c r="AC10" i="4"/>
  <c r="AA9" i="4"/>
  <c r="W9" i="4" s="1"/>
  <c r="AC9" i="4"/>
  <c r="AC8" i="4"/>
  <c r="AA8" i="4"/>
  <c r="W8" i="4" s="1"/>
  <c r="W2487" i="4"/>
  <c r="BV642" i="4"/>
  <c r="AC642" i="4"/>
  <c r="AA642" i="4"/>
  <c r="W642" i="4" s="1"/>
  <c r="AC640" i="4"/>
  <c r="AA640" i="4"/>
  <c r="AA669" i="4"/>
  <c r="W669" i="4" s="1"/>
  <c r="AC669" i="4"/>
  <c r="AA665" i="4"/>
  <c r="W665" i="4" s="1"/>
  <c r="AC665" i="4"/>
  <c r="AA662" i="4"/>
  <c r="W662" i="4" s="1"/>
  <c r="AC662" i="4"/>
  <c r="AC620" i="4"/>
  <c r="AA620" i="4"/>
  <c r="AU619" i="4"/>
  <c r="AS619" i="4"/>
  <c r="BT618" i="4"/>
  <c r="BV618" i="4"/>
  <c r="AA616" i="4"/>
  <c r="AC616" i="4"/>
  <c r="AA615" i="4"/>
  <c r="AC615" i="4"/>
  <c r="AA614" i="4"/>
  <c r="AC614" i="4"/>
  <c r="AA534" i="4"/>
  <c r="AC534" i="4"/>
  <c r="AC613" i="4"/>
  <c r="AA613" i="4"/>
  <c r="BT612" i="4"/>
  <c r="BP612" i="4" s="1"/>
  <c r="BV612" i="4"/>
  <c r="AA611" i="4"/>
  <c r="AC611" i="4"/>
  <c r="BV428" i="4"/>
  <c r="BT428" i="4"/>
  <c r="BP428" i="4" s="1"/>
  <c r="AA505" i="4"/>
  <c r="AC505" i="4"/>
  <c r="BT609" i="4"/>
  <c r="BV609" i="4"/>
  <c r="BT608" i="4"/>
  <c r="BV608" i="4"/>
  <c r="BT603" i="4"/>
  <c r="BP603" i="4" s="1"/>
  <c r="BV603" i="4"/>
  <c r="AA605" i="4"/>
  <c r="AC605" i="4"/>
  <c r="AA604" i="4"/>
  <c r="AC604" i="4"/>
  <c r="AA602" i="4"/>
  <c r="AC602" i="4"/>
  <c r="AA601" i="4"/>
  <c r="AC601" i="4"/>
  <c r="BT599" i="4"/>
  <c r="BP599" i="4" s="1"/>
  <c r="BV599" i="4"/>
  <c r="AA598" i="4"/>
  <c r="AC598" i="4"/>
  <c r="AA597" i="4"/>
  <c r="AC597" i="4"/>
  <c r="AA504" i="4"/>
  <c r="AC504" i="4"/>
  <c r="AA595" i="4"/>
  <c r="AC595" i="4"/>
  <c r="AU600" i="4"/>
  <c r="AA592" i="4"/>
  <c r="AC592" i="4"/>
  <c r="AA591" i="4"/>
  <c r="AC591" i="4"/>
  <c r="AC590" i="4"/>
  <c r="AA590" i="4"/>
  <c r="BT589" i="4"/>
  <c r="BV589" i="4"/>
  <c r="BT588" i="4"/>
  <c r="BP588" i="4" s="1"/>
  <c r="BV588" i="4"/>
  <c r="AC1994" i="4"/>
  <c r="AA1994" i="4"/>
  <c r="AC877" i="4"/>
  <c r="AA877" i="4"/>
  <c r="AS883" i="4"/>
  <c r="AC891" i="4"/>
  <c r="AA891" i="4"/>
  <c r="W891" i="4" s="1"/>
  <c r="AA1954" i="4"/>
  <c r="X1954" i="4" s="1"/>
  <c r="AA1969" i="4"/>
  <c r="X1969" i="4" s="1"/>
  <c r="AU2395" i="4"/>
  <c r="AP2395" i="4" s="1"/>
  <c r="AO2395" i="4"/>
  <c r="AA2522" i="4"/>
  <c r="W2522" i="4" s="1"/>
  <c r="AC2522" i="4"/>
  <c r="AA1583" i="4"/>
  <c r="AC1583" i="4"/>
  <c r="BT1656" i="4"/>
  <c r="AA2655" i="4"/>
  <c r="X2655" i="4" s="1"/>
  <c r="BT153" i="4"/>
  <c r="BQ153" i="4" s="1"/>
  <c r="BV153" i="4"/>
  <c r="BK153" i="4"/>
  <c r="BG153" i="4" s="1"/>
  <c r="BM153" i="4"/>
  <c r="AA156" i="4"/>
  <c r="AC156" i="4"/>
  <c r="BT121" i="4"/>
  <c r="BP121" i="4" s="1"/>
  <c r="BV121" i="4"/>
  <c r="AJ191" i="4"/>
  <c r="AF191" i="4" s="1"/>
  <c r="AL191" i="4"/>
  <c r="BP188" i="4"/>
  <c r="BV188" i="4"/>
  <c r="BT362" i="4"/>
  <c r="BQ362" i="4" s="1"/>
  <c r="BV362" i="4"/>
  <c r="AA362" i="4"/>
  <c r="W362" i="4" s="1"/>
  <c r="AC362" i="4"/>
  <c r="AA339" i="4"/>
  <c r="W339" i="4" s="1"/>
  <c r="AC339" i="4"/>
  <c r="AA227" i="4"/>
  <c r="W227" i="4" s="1"/>
  <c r="AC227" i="4"/>
  <c r="AA337" i="4"/>
  <c r="W337" i="4" s="1"/>
  <c r="AC337" i="4"/>
  <c r="BT212" i="4"/>
  <c r="BV212" i="4"/>
  <c r="BV223" i="4"/>
  <c r="BT223" i="4"/>
  <c r="BQ223" i="4" s="1"/>
  <c r="AC223" i="4"/>
  <c r="AA223" i="4"/>
  <c r="W223" i="4" s="1"/>
  <c r="AS320" i="4"/>
  <c r="AO320" i="4" s="1"/>
  <c r="AU320" i="4"/>
  <c r="BT242" i="4"/>
  <c r="BQ242" i="4" s="1"/>
  <c r="BV242" i="4"/>
  <c r="BV292" i="4"/>
  <c r="BT292" i="4"/>
  <c r="AL70" i="4"/>
  <c r="AJ70" i="4"/>
  <c r="W69" i="4"/>
  <c r="AC69" i="4"/>
  <c r="X69" i="4" s="1"/>
  <c r="AU422" i="4"/>
  <c r="BK638" i="4"/>
  <c r="BM638" i="4"/>
  <c r="AS379" i="4"/>
  <c r="AO379" i="4" s="1"/>
  <c r="AU379" i="4"/>
  <c r="AU374" i="4"/>
  <c r="AU811" i="4"/>
  <c r="BV617" i="4"/>
  <c r="BT617" i="4"/>
  <c r="BP617" i="4" s="1"/>
  <c r="AU617" i="4"/>
  <c r="AS617" i="4"/>
  <c r="AO617" i="4" s="1"/>
  <c r="BV596" i="4"/>
  <c r="BT596" i="4"/>
  <c r="BP596" i="4" s="1"/>
  <c r="AU596" i="4"/>
  <c r="AS596" i="4"/>
  <c r="AO596" i="4" s="1"/>
  <c r="AC596" i="4"/>
  <c r="AA596" i="4"/>
  <c r="BT593" i="4"/>
  <c r="BP593" i="4" s="1"/>
  <c r="BV593" i="4"/>
  <c r="BV324" i="4"/>
  <c r="BT324" i="4"/>
  <c r="BQ324" i="4" s="1"/>
  <c r="BV118" i="4"/>
  <c r="BT118" i="4"/>
  <c r="BP118" i="4" s="1"/>
  <c r="AA118" i="4"/>
  <c r="W118" i="4" s="1"/>
  <c r="AC118" i="4"/>
  <c r="BT113" i="4"/>
  <c r="BP113" i="4" s="1"/>
  <c r="BV113" i="4"/>
  <c r="AC113" i="4"/>
  <c r="AA113" i="4"/>
  <c r="W113" i="4" s="1"/>
  <c r="AA845" i="4"/>
  <c r="W845" i="4" s="1"/>
  <c r="AC845" i="4"/>
  <c r="AS835" i="4"/>
  <c r="AO835" i="4" s="1"/>
  <c r="AU835" i="4"/>
  <c r="AU870" i="4"/>
  <c r="AS870" i="4"/>
  <c r="AO870" i="4" s="1"/>
  <c r="AU867" i="4"/>
  <c r="AS867" i="4"/>
  <c r="AO867" i="4" s="1"/>
  <c r="AU865" i="4"/>
  <c r="AS865" i="4"/>
  <c r="AO865" i="4" s="1"/>
  <c r="AU863" i="4"/>
  <c r="AS863" i="4"/>
  <c r="AU862" i="4"/>
  <c r="AS862" i="4"/>
  <c r="AU861" i="4"/>
  <c r="AS861" i="4"/>
  <c r="AU860" i="4"/>
  <c r="AS860" i="4"/>
  <c r="AO860" i="4" s="1"/>
  <c r="AU859" i="4"/>
  <c r="AS859" i="4"/>
  <c r="AO859" i="4" s="1"/>
  <c r="AU858" i="4"/>
  <c r="AS858" i="4"/>
  <c r="AO858" i="4" s="1"/>
  <c r="AU857" i="4"/>
  <c r="AS857" i="4"/>
  <c r="AU856" i="4"/>
  <c r="AS856" i="4"/>
  <c r="AO856" i="4" s="1"/>
  <c r="AU855" i="4"/>
  <c r="AS855" i="4"/>
  <c r="AU854" i="4"/>
  <c r="AS854" i="4"/>
  <c r="AU853" i="4"/>
  <c r="AS853" i="4"/>
  <c r="AU852" i="4"/>
  <c r="AS852" i="4"/>
  <c r="AO852" i="4" s="1"/>
  <c r="AU851" i="4"/>
  <c r="AS851" i="4"/>
  <c r="AU850" i="4"/>
  <c r="AS850" i="4"/>
  <c r="AO850" i="4" s="1"/>
  <c r="AU849" i="4"/>
  <c r="AS849" i="4"/>
  <c r="AO849" i="4" s="1"/>
  <c r="AU848" i="4"/>
  <c r="AS848" i="4"/>
  <c r="AO848" i="4" s="1"/>
  <c r="AU846" i="4"/>
  <c r="AS846" i="4"/>
  <c r="AU844" i="4"/>
  <c r="AS844" i="4"/>
  <c r="AO844" i="4" s="1"/>
  <c r="AU843" i="4"/>
  <c r="AS843" i="4"/>
  <c r="AU841" i="4"/>
  <c r="AS841" i="4"/>
  <c r="AO841" i="4" s="1"/>
  <c r="AU840" i="4"/>
  <c r="AS840" i="4"/>
  <c r="AU839" i="4"/>
  <c r="AS839" i="4"/>
  <c r="AO839" i="4" s="1"/>
  <c r="AU838" i="4"/>
  <c r="AS838" i="4"/>
  <c r="AU836" i="4"/>
  <c r="AS836" i="4"/>
  <c r="AO836" i="4" s="1"/>
  <c r="AU834" i="4"/>
  <c r="AS834" i="4"/>
  <c r="AO834" i="4" s="1"/>
  <c r="AU847" i="4"/>
  <c r="AS847" i="4"/>
  <c r="AO847" i="4" s="1"/>
  <c r="BV2384" i="4"/>
  <c r="BT2384" i="4"/>
  <c r="BP2384" i="4" s="1"/>
  <c r="AS2356" i="4"/>
  <c r="AO2356" i="4" s="1"/>
  <c r="AS2365" i="4"/>
  <c r="AU2365" i="4"/>
  <c r="BV707" i="4"/>
  <c r="BT707" i="4"/>
  <c r="BP707" i="4" s="1"/>
  <c r="AC1835" i="4"/>
  <c r="AU2356" i="4"/>
  <c r="AO2359" i="4"/>
  <c r="AU2359" i="4"/>
  <c r="AC2526" i="4"/>
  <c r="AA2526" i="4"/>
  <c r="AA1205" i="4"/>
  <c r="AA381" i="4"/>
  <c r="W381" i="4" s="1"/>
  <c r="AC381" i="4"/>
  <c r="AA1910" i="4"/>
  <c r="AC1910" i="4"/>
  <c r="BV2538" i="4"/>
  <c r="BD2538" i="4"/>
  <c r="AC2538" i="4"/>
  <c r="BB2538" i="4"/>
  <c r="AC2401" i="4"/>
  <c r="AA2401" i="4"/>
  <c r="W2401" i="4" s="1"/>
  <c r="AA1003" i="4"/>
  <c r="W1003" i="4" s="1"/>
  <c r="AC1405" i="4"/>
  <c r="AA1405" i="4"/>
  <c r="W1405" i="4" s="1"/>
  <c r="AC1861" i="4"/>
  <c r="AA1861" i="4"/>
  <c r="AC1055" i="4"/>
  <c r="AA1055" i="4"/>
  <c r="W1055" i="4" s="1"/>
  <c r="AA1703" i="4"/>
  <c r="W1703" i="4" s="1"/>
  <c r="AC1703" i="4"/>
  <c r="AC1324" i="4"/>
  <c r="AA1324" i="4"/>
  <c r="AC1688" i="4"/>
  <c r="AA1688" i="4"/>
  <c r="W1688" i="4" s="1"/>
  <c r="AA1597" i="4"/>
  <c r="AA1016" i="4"/>
  <c r="W1016" i="4" s="1"/>
  <c r="AC1970" i="4"/>
  <c r="AA1970" i="4"/>
  <c r="W1970" i="4" s="1"/>
  <c r="AA1946" i="4"/>
  <c r="AC866" i="4"/>
  <c r="AA866" i="4"/>
  <c r="W866" i="4" s="1"/>
  <c r="BV1951" i="4"/>
  <c r="BT1951" i="4"/>
  <c r="AC2006" i="4"/>
  <c r="AA2006" i="4"/>
  <c r="BT2002" i="4"/>
  <c r="BQ2002" i="4" s="1"/>
  <c r="AS2002" i="4"/>
  <c r="AU2002" i="4"/>
  <c r="BT1086" i="4"/>
  <c r="BP1086" i="4" s="1"/>
  <c r="BV1086" i="4"/>
  <c r="AA2238" i="4"/>
  <c r="X2238" i="4" s="1"/>
  <c r="AC809" i="4"/>
  <c r="AA2412" i="4"/>
  <c r="W2412" i="4" s="1"/>
  <c r="AC2412" i="4"/>
  <c r="BT426" i="4"/>
  <c r="BP426" i="4" s="1"/>
  <c r="BV426" i="4"/>
  <c r="AA426" i="4"/>
  <c r="AC426" i="4"/>
  <c r="BV1924" i="4"/>
  <c r="AA1924" i="4"/>
  <c r="W1924" i="4" s="1"/>
  <c r="BV1923" i="4"/>
  <c r="AA1923" i="4"/>
  <c r="BT1923" i="4" s="1"/>
  <c r="BP1923" i="4" s="1"/>
  <c r="AA695" i="4"/>
  <c r="AC695" i="4"/>
  <c r="AJ2357" i="4"/>
  <c r="AL2357" i="4"/>
  <c r="AL2355" i="4"/>
  <c r="AJ2355" i="4"/>
  <c r="AF2355" i="4" s="1"/>
  <c r="AA2355" i="4"/>
  <c r="W2355" i="4" s="1"/>
  <c r="AC2355" i="4"/>
  <c r="AC2351" i="4"/>
  <c r="AA2351" i="4"/>
  <c r="AA263" i="4"/>
  <c r="W263" i="4" s="1"/>
  <c r="AC263" i="4"/>
  <c r="AC2402" i="4"/>
  <c r="AC2398" i="4"/>
  <c r="AA2398" i="4"/>
  <c r="BT2398" i="4" s="1"/>
  <c r="AA892" i="4"/>
  <c r="W892" i="4" s="1"/>
  <c r="AC892" i="4"/>
  <c r="BV890" i="4"/>
  <c r="BT890" i="4"/>
  <c r="BP890" i="4" s="1"/>
  <c r="AC890" i="4"/>
  <c r="AA890" i="4"/>
  <c r="AA885" i="4"/>
  <c r="AC885" i="4"/>
  <c r="AA884" i="4"/>
  <c r="W884" i="4" s="1"/>
  <c r="AC884" i="4"/>
  <c r="BV882" i="4"/>
  <c r="BT882" i="4"/>
  <c r="AA882" i="4"/>
  <c r="AC882" i="4"/>
  <c r="AC881" i="4"/>
  <c r="AA881" i="4"/>
  <c r="BT880" i="4"/>
  <c r="BP880" i="4" s="1"/>
  <c r="BV880" i="4"/>
  <c r="AC880" i="4"/>
  <c r="AA880" i="4"/>
  <c r="W880" i="4" s="1"/>
  <c r="BT879" i="4"/>
  <c r="BP879" i="4" s="1"/>
  <c r="BV879" i="4"/>
  <c r="AC879" i="4"/>
  <c r="AA879" i="4"/>
  <c r="W879" i="4" s="1"/>
  <c r="BP112" i="4"/>
  <c r="BV112" i="4"/>
  <c r="BQ112" i="4" s="1"/>
  <c r="W112" i="4"/>
  <c r="AC112" i="4"/>
  <c r="X112" i="4" s="1"/>
  <c r="BT911" i="4"/>
  <c r="BP911" i="4" s="1"/>
  <c r="BV911" i="4"/>
  <c r="AA951" i="4"/>
  <c r="AA950" i="4"/>
  <c r="X950" i="4" s="1"/>
  <c r="AA948" i="4"/>
  <c r="W948" i="4" s="1"/>
  <c r="AA946" i="4"/>
  <c r="W946" i="4" s="1"/>
  <c r="AA945" i="4"/>
  <c r="X945" i="4" s="1"/>
  <c r="AA940" i="4"/>
  <c r="AA928" i="4"/>
  <c r="X928" i="4" s="1"/>
  <c r="AA926" i="4"/>
  <c r="AA925" i="4"/>
  <c r="AA922" i="4"/>
  <c r="AA921" i="4"/>
  <c r="BT921" i="4" s="1"/>
  <c r="BQ921" i="4" s="1"/>
  <c r="AA920" i="4"/>
  <c r="X920" i="4" s="1"/>
  <c r="AA919" i="4"/>
  <c r="W919" i="4" s="1"/>
  <c r="AA911" i="4"/>
  <c r="AA901" i="4"/>
  <c r="AC495" i="4"/>
  <c r="AA495" i="4"/>
  <c r="BV676" i="4"/>
  <c r="BP676" i="4"/>
  <c r="AO676" i="4"/>
  <c r="AU676" i="4"/>
  <c r="W666" i="4"/>
  <c r="AC666" i="4"/>
  <c r="AU666" i="4"/>
  <c r="AO666" i="4"/>
  <c r="AA673" i="4"/>
  <c r="X673" i="4" s="1"/>
  <c r="AA499" i="4"/>
  <c r="AC499" i="4"/>
  <c r="AA606" i="4"/>
  <c r="AC606" i="4"/>
  <c r="AC283" i="4"/>
  <c r="W283" i="4"/>
  <c r="AA660" i="4"/>
  <c r="BV371" i="4"/>
  <c r="BT371" i="4"/>
  <c r="AR38" i="4"/>
  <c r="AO38" i="4" s="1"/>
  <c r="AU38" i="4"/>
  <c r="AA190" i="4"/>
  <c r="W190" i="4" s="1"/>
  <c r="AC190" i="4"/>
  <c r="BS179" i="4"/>
  <c r="BV179" i="4"/>
  <c r="AR179" i="4"/>
  <c r="AO179" i="4" s="1"/>
  <c r="AU179" i="4"/>
  <c r="AS175" i="4"/>
  <c r="Z102" i="4"/>
  <c r="W102" i="4" s="1"/>
  <c r="AC102" i="4"/>
  <c r="AC99" i="4"/>
  <c r="Z99" i="4"/>
  <c r="AC101" i="4"/>
  <c r="AA101" i="4"/>
  <c r="AA145" i="4"/>
  <c r="W145" i="4" s="1"/>
  <c r="AC145" i="4"/>
  <c r="AA126" i="4"/>
  <c r="W126" i="4" s="1"/>
  <c r="AC126" i="4"/>
  <c r="AA117" i="4"/>
  <c r="W117" i="4" s="1"/>
  <c r="AC117" i="4"/>
  <c r="BV116" i="4"/>
  <c r="BS116" i="4"/>
  <c r="BP116" i="4" s="1"/>
  <c r="AU116" i="4"/>
  <c r="AS116" i="4"/>
  <c r="AA116" i="4"/>
  <c r="W116" i="4" s="1"/>
  <c r="AC116" i="4"/>
  <c r="BD113" i="4"/>
  <c r="BB113" i="4"/>
  <c r="W143" i="4"/>
  <c r="AC143" i="4"/>
  <c r="AC133" i="4"/>
  <c r="AA133" i="4"/>
  <c r="W133" i="4" s="1"/>
  <c r="AC125" i="4"/>
  <c r="AS125" i="4"/>
  <c r="AO125" i="4" s="1"/>
  <c r="AS128" i="4"/>
  <c r="AO128" i="4" s="1"/>
  <c r="AU128" i="4"/>
  <c r="AA128" i="4"/>
  <c r="W128" i="4" s="1"/>
  <c r="AC128" i="4"/>
  <c r="BS127" i="4"/>
  <c r="BP127" i="4" s="1"/>
  <c r="BV127" i="4"/>
  <c r="AC127" i="4"/>
  <c r="AA127" i="4"/>
  <c r="W127" i="4" s="1"/>
  <c r="BV144" i="4"/>
  <c r="AU144" i="4"/>
  <c r="AC144" i="4"/>
  <c r="BS130" i="4"/>
  <c r="BV130" i="4"/>
  <c r="AC130" i="4"/>
  <c r="AA130" i="4"/>
  <c r="W130" i="4" s="1"/>
  <c r="BS115" i="4"/>
  <c r="BP115" i="4" s="1"/>
  <c r="BV115" i="4"/>
  <c r="AA115" i="4"/>
  <c r="W115" i="4" s="1"/>
  <c r="AC115" i="4"/>
  <c r="BK262" i="4"/>
  <c r="BG262" i="4" s="1"/>
  <c r="BM262" i="4"/>
  <c r="AA262" i="4"/>
  <c r="W262" i="4" s="1"/>
  <c r="AC262" i="4"/>
  <c r="BT251" i="4"/>
  <c r="BQ251" i="4" s="1"/>
  <c r="AC251" i="4"/>
  <c r="AA251" i="4"/>
  <c r="W251" i="4" s="1"/>
  <c r="BT307" i="4"/>
  <c r="BQ307" i="4" s="1"/>
  <c r="BQ323" i="4"/>
  <c r="BV307" i="4"/>
  <c r="AU307" i="4"/>
  <c r="AS307" i="4"/>
  <c r="AC302" i="4"/>
  <c r="W302" i="4"/>
  <c r="AC297" i="4"/>
  <c r="AA297" i="4"/>
  <c r="W297" i="4" s="1"/>
  <c r="BV265" i="4"/>
  <c r="BT265" i="4"/>
  <c r="BQ265" i="4" s="1"/>
  <c r="BT340" i="4"/>
  <c r="BQ340" i="4" s="1"/>
  <c r="BV340" i="4"/>
  <c r="BT355" i="4"/>
  <c r="BV355" i="4"/>
  <c r="AC355" i="4"/>
  <c r="X355" i="4" s="1"/>
  <c r="BQ347" i="4"/>
  <c r="AC347" i="4"/>
  <c r="AA347" i="4"/>
  <c r="W347" i="4" s="1"/>
  <c r="BV323" i="4"/>
  <c r="AC323" i="4"/>
  <c r="AA323" i="4"/>
  <c r="BT294" i="4"/>
  <c r="BQ294" i="4" s="1"/>
  <c r="BV294" i="4"/>
  <c r="AL294" i="4"/>
  <c r="AJ294" i="4"/>
  <c r="AF294" i="4" s="1"/>
  <c r="BT240" i="4"/>
  <c r="BQ240" i="4" s="1"/>
  <c r="AJ240" i="4"/>
  <c r="AF240" i="4" s="1"/>
  <c r="AL240" i="4"/>
  <c r="BS210" i="4"/>
  <c r="BP210" i="4" s="1"/>
  <c r="AU210" i="4"/>
  <c r="AR210" i="4"/>
  <c r="AO210" i="4" s="1"/>
  <c r="Z210" i="4"/>
  <c r="AO499" i="4"/>
  <c r="AU499" i="4"/>
  <c r="BV122" i="4"/>
  <c r="AA122" i="4"/>
  <c r="W122" i="4" s="1"/>
  <c r="AC122" i="4"/>
  <c r="BT363" i="4"/>
  <c r="AS363" i="4"/>
  <c r="AO363" i="4" s="1"/>
  <c r="BV363" i="4"/>
  <c r="AU363" i="4"/>
  <c r="AC360" i="4"/>
  <c r="AA286" i="4"/>
  <c r="W286" i="4" s="1"/>
  <c r="AU360" i="4"/>
  <c r="BT232" i="4"/>
  <c r="BQ232" i="4" s="1"/>
  <c r="AJ232" i="4"/>
  <c r="AF232" i="4" s="1"/>
  <c r="AL232" i="4"/>
  <c r="BT327" i="4"/>
  <c r="BQ327" i="4" s="1"/>
  <c r="AU327" i="4"/>
  <c r="AS327" i="4"/>
  <c r="AO327" i="4" s="1"/>
  <c r="AJ295" i="4"/>
  <c r="AF295" i="4" s="1"/>
  <c r="BT286" i="4"/>
  <c r="BQ286" i="4" s="1"/>
  <c r="BT295" i="4"/>
  <c r="BV295" i="4"/>
  <c r="AL311" i="4"/>
  <c r="AL295" i="4"/>
  <c r="AC377" i="4"/>
  <c r="BV286" i="4"/>
  <c r="AC286" i="4"/>
  <c r="AC86" i="4"/>
  <c r="AS86" i="4"/>
  <c r="AO86" i="4" s="1"/>
  <c r="AU86" i="4"/>
  <c r="AA86" i="4"/>
  <c r="W86" i="4" s="1"/>
  <c r="AA1007" i="4"/>
  <c r="AU1086" i="4"/>
  <c r="AS1086" i="4"/>
  <c r="AO1086" i="4" s="1"/>
  <c r="AA1086" i="4"/>
  <c r="W1086" i="4" s="1"/>
  <c r="BT376" i="4"/>
  <c r="BP376" i="4" s="1"/>
  <c r="BV376" i="4"/>
  <c r="AC376" i="4"/>
  <c r="AA376" i="4"/>
  <c r="W376" i="4" s="1"/>
  <c r="AU888" i="4"/>
  <c r="AC887" i="4"/>
  <c r="AC894" i="4"/>
  <c r="AC160" i="4"/>
  <c r="BT693" i="4"/>
  <c r="AA887" i="4"/>
  <c r="W887" i="4" s="1"/>
  <c r="AA894" i="4"/>
  <c r="W894" i="4" s="1"/>
  <c r="AU894" i="4"/>
  <c r="AS894" i="4"/>
  <c r="BT886" i="4"/>
  <c r="BQ886" i="4" s="1"/>
  <c r="AA886" i="4"/>
  <c r="X886" i="4" s="1"/>
  <c r="BT2520" i="4"/>
  <c r="BP2520" i="4" s="1"/>
  <c r="AO2520" i="4"/>
  <c r="AA1963" i="4"/>
  <c r="W1963" i="4" s="1"/>
  <c r="AA814" i="4"/>
  <c r="X814" i="4" s="1"/>
  <c r="AJ1926" i="4"/>
  <c r="AG1926" i="4" s="1"/>
  <c r="AA918" i="4"/>
  <c r="X918" i="4" s="1"/>
  <c r="W23" i="4"/>
  <c r="X23" i="4" s="1"/>
  <c r="AD172" i="4"/>
  <c r="AI172" i="4" s="1"/>
  <c r="AR623" i="4"/>
  <c r="AP623" i="4"/>
  <c r="AO623" i="4"/>
  <c r="AI631" i="4"/>
  <c r="AF631" i="4" s="1"/>
  <c r="AG2680" i="4"/>
  <c r="AF2680" i="4"/>
  <c r="AM2680" i="4"/>
  <c r="AR2680" i="4" s="1"/>
  <c r="AP2680" i="4" s="1"/>
  <c r="AD2680" i="4"/>
  <c r="AI2680" i="4" s="1"/>
  <c r="Z2680" i="4"/>
  <c r="AR671" i="4"/>
  <c r="AO671" i="4" s="1"/>
  <c r="AM671" i="4" s="1"/>
  <c r="AL199" i="4"/>
  <c r="AD199" i="4"/>
  <c r="AI199" i="4" s="1"/>
  <c r="AL200" i="4"/>
  <c r="AD200" i="4"/>
  <c r="AI200" i="4" s="1"/>
  <c r="W200" i="4"/>
  <c r="AN634" i="4"/>
  <c r="AE634" i="4"/>
  <c r="AD634" i="4" s="1"/>
  <c r="AO2653" i="4"/>
  <c r="AR2653" i="4"/>
  <c r="AP2653" i="4" s="1"/>
  <c r="AF2653" i="4"/>
  <c r="AE2653" i="4"/>
  <c r="W2653" i="4"/>
  <c r="X2653" i="4" s="1"/>
  <c r="AO35" i="4"/>
  <c r="AP35" i="4"/>
  <c r="AG2669" i="4"/>
  <c r="AE2669" i="4"/>
  <c r="W2669" i="4"/>
  <c r="X2669" i="4" s="1"/>
  <c r="AM367" i="4"/>
  <c r="AN367" i="4"/>
  <c r="AS367" i="4" s="1"/>
  <c r="AD367" i="4"/>
  <c r="AE367" i="4"/>
  <c r="AG367" i="4"/>
  <c r="BE6" i="4"/>
  <c r="AR195" i="4"/>
  <c r="AO195" i="4" s="1"/>
  <c r="AR2527" i="4"/>
  <c r="AP2527" i="4" s="1"/>
  <c r="AO2527" i="4" s="1"/>
  <c r="W158" i="4"/>
  <c r="X158" i="4" s="1"/>
  <c r="BP158" i="4"/>
  <c r="BQ158" i="4" s="1"/>
  <c r="AM2558" i="4"/>
  <c r="AO2558" i="4" s="1"/>
  <c r="AP2558" i="4"/>
  <c r="AI656" i="4"/>
  <c r="Z15" i="4"/>
  <c r="AR2542" i="4"/>
  <c r="AP2542" i="4" s="1"/>
  <c r="AG2542" i="4"/>
  <c r="X2542" i="4"/>
  <c r="Z2542" i="4"/>
  <c r="AM2665" i="4"/>
  <c r="AR2559" i="4"/>
  <c r="AO2559" i="4" s="1"/>
  <c r="AD170" i="4"/>
  <c r="AI170" i="4" s="1"/>
  <c r="AN168" i="4"/>
  <c r="AS168" i="4" s="1"/>
  <c r="AE168" i="4"/>
  <c r="AS160" i="4"/>
  <c r="AO160" i="4" s="1"/>
  <c r="AU160" i="4"/>
  <c r="AJ160" i="4"/>
  <c r="AF160" i="4" s="1"/>
  <c r="AL160" i="4"/>
  <c r="AA160" i="4"/>
  <c r="W160" i="4" s="1"/>
  <c r="AX22" i="4"/>
  <c r="AY22" i="4" s="1"/>
  <c r="AW22" i="4"/>
  <c r="BB22" i="4" s="1"/>
  <c r="BD22" i="4"/>
  <c r="AW2650" i="4"/>
  <c r="AY2650" i="4"/>
  <c r="AX2650" i="4"/>
  <c r="AV2650" i="4"/>
  <c r="AW2425" i="4"/>
  <c r="AV2425" i="4"/>
  <c r="AY366" i="4"/>
  <c r="AX366" i="4"/>
  <c r="AW366" i="4"/>
  <c r="AV366" i="4"/>
  <c r="AR2438" i="4"/>
  <c r="AP2438" i="4" s="1"/>
  <c r="AU24" i="4"/>
  <c r="BP2429" i="4"/>
  <c r="BQ2429" i="4" s="1"/>
  <c r="AF169" i="4"/>
  <c r="AR2486" i="4"/>
  <c r="AP2486" i="4" s="1"/>
  <c r="AE33" i="4"/>
  <c r="AJ33" i="4" s="1"/>
  <c r="AU33" i="4"/>
  <c r="AN33" i="4"/>
  <c r="AS33" i="4" s="1"/>
  <c r="AO33" i="4" s="1"/>
  <c r="AI92" i="4"/>
  <c r="AR92" i="4"/>
  <c r="AO92" i="4" s="1"/>
  <c r="AU92" i="4"/>
  <c r="AL92" i="4"/>
  <c r="BQ19" i="4"/>
  <c r="BP19" i="4"/>
  <c r="BO19" i="4"/>
  <c r="BN19" i="4" s="1"/>
  <c r="BN6" i="4" s="1"/>
  <c r="AM621" i="4"/>
  <c r="AN621" i="4" s="1"/>
  <c r="AD621" i="4"/>
  <c r="AE621" i="4" s="1"/>
  <c r="AM2473" i="4"/>
  <c r="V62" i="4"/>
  <c r="U62" i="4"/>
  <c r="AM382" i="4"/>
  <c r="AP382" i="4" s="1"/>
  <c r="Z29" i="4"/>
  <c r="W29" i="4" s="1"/>
  <c r="AI29" i="4"/>
  <c r="AF29" i="4" s="1"/>
  <c r="AR29" i="4"/>
  <c r="AD29" i="4"/>
  <c r="AM29" i="4"/>
  <c r="AM417" i="4"/>
  <c r="AR417" i="4" s="1"/>
  <c r="AP417" i="4" s="1"/>
  <c r="AN42" i="4"/>
  <c r="AS42" i="4" s="1"/>
  <c r="AO42" i="4" s="1"/>
  <c r="AM42" i="4"/>
  <c r="BS28" i="4"/>
  <c r="BP28" i="4" s="1"/>
  <c r="BV28" i="4"/>
  <c r="X167" i="4"/>
  <c r="Z167" i="4"/>
  <c r="AB167" i="4" s="1"/>
  <c r="AC167" i="4" s="1"/>
  <c r="AL167" i="4"/>
  <c r="AI167" i="4"/>
  <c r="AF167" i="4" s="1"/>
  <c r="AN26" i="4"/>
  <c r="AS26" i="4" s="1"/>
  <c r="AP26" i="4" s="1"/>
  <c r="AA26" i="4"/>
  <c r="W26" i="4" s="1"/>
  <c r="AN24" i="4"/>
  <c r="AS24" i="4" s="1"/>
  <c r="AN202" i="4"/>
  <c r="AM202" i="4" s="1"/>
  <c r="AR202" i="4" s="1"/>
  <c r="W152" i="4"/>
  <c r="AB152" i="4" s="1"/>
  <c r="AC152" i="4" s="1"/>
  <c r="BS671" i="4"/>
  <c r="BQ671" i="4" s="1"/>
  <c r="AM2491" i="4"/>
  <c r="AI2507" i="4"/>
  <c r="AF2507" i="4" s="1"/>
  <c r="AR630" i="4"/>
  <c r="AO630" i="4" s="1"/>
  <c r="AJ630" i="4"/>
  <c r="AU630" i="4"/>
  <c r="AL630" i="4"/>
  <c r="AO423" i="4"/>
  <c r="AU423" i="4"/>
  <c r="AP423" i="4" s="1"/>
  <c r="AP655" i="4"/>
  <c r="AR2484" i="4"/>
  <c r="AP2484" i="4" s="1"/>
  <c r="AR2528" i="4"/>
  <c r="AP2528" i="4" s="1"/>
  <c r="AO2528" i="4" s="1"/>
  <c r="AR2490" i="4"/>
  <c r="AP2490" i="4" s="1"/>
  <c r="V634" i="4"/>
  <c r="U634" i="4" s="1"/>
  <c r="X671" i="4"/>
  <c r="V671" i="4" s="1"/>
  <c r="W671" i="4"/>
  <c r="U671" i="4" s="1"/>
  <c r="BS203" i="4"/>
  <c r="BP203" i="4" s="1"/>
  <c r="AN203" i="4"/>
  <c r="AM203" i="4"/>
  <c r="AE203" i="4"/>
  <c r="AD203" i="4"/>
  <c r="Z203" i="4"/>
  <c r="X203" i="4" s="1"/>
  <c r="AI203" i="4"/>
  <c r="AR203" i="4" s="1"/>
  <c r="BP173" i="4"/>
  <c r="U173" i="4"/>
  <c r="Z173" i="4" s="1"/>
  <c r="X173" i="4" s="1"/>
  <c r="BT2512" i="4"/>
  <c r="BP2512" i="4" s="1"/>
  <c r="BQ2650" i="4"/>
  <c r="BP2650" i="4"/>
  <c r="BO2650" i="4"/>
  <c r="BN2650" i="4"/>
  <c r="BH2650" i="4"/>
  <c r="BG2650" i="4"/>
  <c r="BH6" i="4"/>
  <c r="BG6" i="4"/>
  <c r="BF6" i="4"/>
  <c r="BO2425" i="4"/>
  <c r="BN2425" i="4"/>
  <c r="BH2425" i="4"/>
  <c r="BG2425" i="4"/>
  <c r="BF2425" i="4"/>
  <c r="BE2425" i="4"/>
  <c r="AN2425" i="4"/>
  <c r="AE2425" i="4"/>
  <c r="BO366" i="4"/>
  <c r="BN366" i="4"/>
  <c r="BF366" i="4"/>
  <c r="BE366" i="4"/>
  <c r="W2491" i="4"/>
  <c r="AB2491" i="4" s="1"/>
  <c r="Z2491" i="4"/>
  <c r="BE2650" i="4"/>
  <c r="BF2650" i="4"/>
  <c r="V2650" i="4"/>
  <c r="U2650" i="4"/>
  <c r="BS2428" i="4"/>
  <c r="BP2428" i="4" s="1"/>
  <c r="BV647" i="4"/>
  <c r="AA423" i="4"/>
  <c r="Z111" i="4"/>
  <c r="X111" i="4" s="1"/>
  <c r="U2512" i="4"/>
  <c r="V2484" i="4"/>
  <c r="V2425" i="4" s="1"/>
  <c r="Z647" i="4"/>
  <c r="X647" i="4" s="1"/>
  <c r="AA84" i="4"/>
  <c r="X84" i="4" s="1"/>
  <c r="AA655" i="4"/>
  <c r="W655" i="4" s="1"/>
  <c r="W92" i="4"/>
  <c r="X92" i="4"/>
  <c r="X2486" i="4"/>
  <c r="Z417" i="4"/>
  <c r="X417" i="4" s="1"/>
  <c r="Z413" i="4"/>
  <c r="U657" i="4"/>
  <c r="W111" i="4"/>
  <c r="AA2440" i="4"/>
  <c r="W2440" i="4" s="1"/>
  <c r="Z368" i="4"/>
  <c r="X368" i="4" s="1"/>
  <c r="AA2493" i="4"/>
  <c r="X2493" i="4" s="1"/>
  <c r="AA2512" i="4"/>
  <c r="BQ173" i="4"/>
  <c r="AA2490" i="4"/>
  <c r="W2490" i="4" s="1"/>
  <c r="AA2559" i="4"/>
  <c r="X2559" i="4" s="1"/>
  <c r="AA2530" i="4"/>
  <c r="X2530" i="4" s="1"/>
  <c r="BV629" i="4"/>
  <c r="W2484" i="4"/>
  <c r="AA2507" i="4"/>
  <c r="W2507" i="4" s="1"/>
  <c r="AA2525" i="4"/>
  <c r="X2525" i="4" s="1"/>
  <c r="W657" i="4"/>
  <c r="X2484" i="4"/>
  <c r="X657" i="4"/>
  <c r="AO2665" i="4" l="1"/>
  <c r="AR2665" i="4"/>
  <c r="AP2665" i="4" s="1"/>
  <c r="X1130" i="4"/>
  <c r="AF265" i="4"/>
  <c r="AG265" i="4"/>
  <c r="AX234" i="4"/>
  <c r="AY234" i="4"/>
  <c r="BS144" i="4"/>
  <c r="BQ144" i="4" s="1"/>
  <c r="W951" i="4"/>
  <c r="AS951" i="4"/>
  <c r="BK951" i="4"/>
  <c r="AA2402" i="4"/>
  <c r="W2402" i="4" s="1"/>
  <c r="W922" i="4"/>
  <c r="BT922" i="4"/>
  <c r="W926" i="4"/>
  <c r="BT926" i="4"/>
  <c r="X61" i="4"/>
  <c r="W61" i="4"/>
  <c r="AA125" i="4"/>
  <c r="W125" i="4" s="1"/>
  <c r="X2431" i="4"/>
  <c r="W2431" i="4"/>
  <c r="X2436" i="4"/>
  <c r="W2436" i="4"/>
  <c r="X2430" i="4"/>
  <c r="W2430" i="4"/>
  <c r="X2432" i="4"/>
  <c r="W2432" i="4"/>
  <c r="X2434" i="4"/>
  <c r="W2434" i="4"/>
  <c r="X2433" i="4"/>
  <c r="W2433" i="4"/>
  <c r="AU655" i="4"/>
  <c r="AG203" i="4"/>
  <c r="BP2002" i="4"/>
  <c r="X1951" i="4"/>
  <c r="BQ127" i="4"/>
  <c r="X2355" i="4"/>
  <c r="W1951" i="4"/>
  <c r="W901" i="4"/>
  <c r="BT901" i="4"/>
  <c r="X1337" i="4"/>
  <c r="X1595" i="4"/>
  <c r="X596" i="4"/>
  <c r="X2371" i="4"/>
  <c r="X2396" i="4"/>
  <c r="X845" i="4"/>
  <c r="BQ113" i="4"/>
  <c r="X2443" i="4"/>
  <c r="X750" i="4"/>
  <c r="X302" i="4"/>
  <c r="X2445" i="4"/>
  <c r="X113" i="4"/>
  <c r="BT2411" i="4"/>
  <c r="BQ2411" i="4" s="1"/>
  <c r="W1969" i="4"/>
  <c r="X1957" i="4"/>
  <c r="W2530" i="4"/>
  <c r="AC2491" i="4"/>
  <c r="W1954" i="4"/>
  <c r="X2516" i="4"/>
  <c r="X2613" i="4"/>
  <c r="X864" i="4"/>
  <c r="X1831" i="4"/>
  <c r="X1600" i="4"/>
  <c r="X1611" i="4"/>
  <c r="X1519" i="4"/>
  <c r="X1685" i="4"/>
  <c r="X2491" i="4"/>
  <c r="X2440" i="4"/>
  <c r="X360" i="4"/>
  <c r="X601" i="4"/>
  <c r="W604" i="4"/>
  <c r="BQ603" i="4"/>
  <c r="BQ612" i="4"/>
  <c r="X534" i="4"/>
  <c r="W615" i="4"/>
  <c r="X2597" i="4"/>
  <c r="X2579" i="4"/>
  <c r="W2613" i="4"/>
  <c r="X2561" i="4"/>
  <c r="X2581" i="4"/>
  <c r="X2323" i="4"/>
  <c r="X2257" i="4"/>
  <c r="X2192" i="4"/>
  <c r="X2103" i="4"/>
  <c r="X1630" i="4"/>
  <c r="X1795" i="4"/>
  <c r="X1864" i="4"/>
  <c r="X1511" i="4"/>
  <c r="X2149" i="4"/>
  <c r="X2384" i="4"/>
  <c r="X2009" i="4"/>
  <c r="X381" i="4"/>
  <c r="X156" i="4"/>
  <c r="X2584" i="4"/>
  <c r="X2565" i="4"/>
  <c r="X820" i="4"/>
  <c r="X835" i="4"/>
  <c r="X896" i="4"/>
  <c r="X1907" i="4"/>
  <c r="X2021" i="4"/>
  <c r="X1829" i="4"/>
  <c r="X1521" i="4"/>
  <c r="BP320" i="4"/>
  <c r="BP274" i="4"/>
  <c r="X2490" i="4"/>
  <c r="BP6" i="4"/>
  <c r="X29" i="4"/>
  <c r="X1904" i="4"/>
  <c r="X1988" i="4"/>
  <c r="X1176" i="4"/>
  <c r="AN366" i="4"/>
  <c r="X1916" i="4"/>
  <c r="AD2650" i="4"/>
  <c r="X26" i="4"/>
  <c r="AO382" i="4"/>
  <c r="AG199" i="4"/>
  <c r="AO2680" i="4"/>
  <c r="BT311" i="4"/>
  <c r="BQ311" i="4" s="1"/>
  <c r="X118" i="4"/>
  <c r="X2594" i="4"/>
  <c r="X912" i="4"/>
  <c r="X959" i="4"/>
  <c r="X1408" i="4"/>
  <c r="BQ2370" i="4"/>
  <c r="X2041" i="4"/>
  <c r="X2137" i="4"/>
  <c r="X214" i="4"/>
  <c r="AP888" i="4"/>
  <c r="AP360" i="4"/>
  <c r="X190" i="4"/>
  <c r="AA2538" i="4"/>
  <c r="X2538" i="4" s="1"/>
  <c r="AP835" i="4"/>
  <c r="X2529" i="4"/>
  <c r="X1942" i="4"/>
  <c r="X2362" i="4"/>
  <c r="X2353" i="4"/>
  <c r="X2387" i="4"/>
  <c r="X2382" i="4"/>
  <c r="X2184" i="4"/>
  <c r="X2295" i="4"/>
  <c r="X1379" i="4"/>
  <c r="X1370" i="4"/>
  <c r="X1112" i="4"/>
  <c r="X1693" i="4"/>
  <c r="X1304" i="4"/>
  <c r="X1691" i="4"/>
  <c r="AP340" i="4"/>
  <c r="X1729" i="4"/>
  <c r="X1836" i="4"/>
  <c r="AO173" i="4"/>
  <c r="X1038" i="4"/>
  <c r="X1088" i="4"/>
  <c r="X1032" i="4"/>
  <c r="AK2429" i="4"/>
  <c r="X274" i="4"/>
  <c r="BQ129" i="4"/>
  <c r="X223" i="4"/>
  <c r="X915" i="4"/>
  <c r="X1928" i="4"/>
  <c r="X1802" i="4"/>
  <c r="X1599" i="4"/>
  <c r="AG160" i="4"/>
  <c r="BP347" i="4"/>
  <c r="AP379" i="4"/>
  <c r="X2494" i="4"/>
  <c r="X2509" i="4"/>
  <c r="X744" i="4"/>
  <c r="X2388" i="4"/>
  <c r="X1996" i="4"/>
  <c r="X2253" i="4"/>
  <c r="X2023" i="4"/>
  <c r="X2279" i="4"/>
  <c r="X2072" i="4"/>
  <c r="X2128" i="4"/>
  <c r="X2300" i="4"/>
  <c r="X2291" i="4"/>
  <c r="X2086" i="4"/>
  <c r="X1144" i="4"/>
  <c r="X1120" i="4"/>
  <c r="X1684" i="4"/>
  <c r="X1363" i="4"/>
  <c r="X1406" i="4"/>
  <c r="X1216" i="4"/>
  <c r="X1567" i="4"/>
  <c r="X1985" i="4"/>
  <c r="X1426" i="4"/>
  <c r="X1619" i="4"/>
  <c r="X1147" i="4"/>
  <c r="W950" i="4"/>
  <c r="X767" i="4"/>
  <c r="X770" i="4"/>
  <c r="X771" i="4"/>
  <c r="X979" i="4"/>
  <c r="X1554" i="4"/>
  <c r="X1209" i="4"/>
  <c r="BT918" i="4"/>
  <c r="BQ918" i="4" s="1"/>
  <c r="BT950" i="4"/>
  <c r="BQ950" i="4" s="1"/>
  <c r="X1312" i="4"/>
  <c r="X1132" i="4"/>
  <c r="X1357" i="4"/>
  <c r="X1674" i="4"/>
  <c r="X1610" i="4"/>
  <c r="X1359" i="4"/>
  <c r="X1779" i="4"/>
  <c r="X1219" i="4"/>
  <c r="X1553" i="4"/>
  <c r="X1041" i="4"/>
  <c r="X1792" i="4"/>
  <c r="X1676" i="4"/>
  <c r="X1875" i="4"/>
  <c r="X1824" i="4"/>
  <c r="X1878" i="4"/>
  <c r="X1790" i="4"/>
  <c r="X1295" i="4"/>
  <c r="X1593" i="4"/>
  <c r="X1524" i="4"/>
  <c r="X1435" i="4"/>
  <c r="X1501" i="4"/>
  <c r="X1870" i="4"/>
  <c r="X1018" i="4"/>
  <c r="X1228" i="4"/>
  <c r="X1839" i="4"/>
  <c r="X1314" i="4"/>
  <c r="X1014" i="4"/>
  <c r="X1645" i="4"/>
  <c r="X1381" i="4"/>
  <c r="W1038" i="4"/>
  <c r="X1862" i="4"/>
  <c r="X1663" i="4"/>
  <c r="X1542" i="4"/>
  <c r="X1436" i="4"/>
  <c r="X1682" i="4"/>
  <c r="X1529" i="4"/>
  <c r="X1688" i="4"/>
  <c r="BQ2512" i="4"/>
  <c r="W168" i="4"/>
  <c r="AP195" i="4"/>
  <c r="X1963" i="4"/>
  <c r="BP295" i="4"/>
  <c r="W2525" i="4"/>
  <c r="AG2507" i="4"/>
  <c r="AG2425" i="4" s="1"/>
  <c r="AO202" i="4"/>
  <c r="AT202" i="4" s="1"/>
  <c r="AP1086" i="4"/>
  <c r="BP323" i="4"/>
  <c r="BH262" i="4"/>
  <c r="AP666" i="4"/>
  <c r="W606" i="4"/>
  <c r="X263" i="4"/>
  <c r="AG2357" i="4"/>
  <c r="X1003" i="4"/>
  <c r="X1910" i="4"/>
  <c r="AP320" i="4"/>
  <c r="X227" i="4"/>
  <c r="BQ588" i="4"/>
  <c r="X602" i="4"/>
  <c r="X505" i="4"/>
  <c r="X669" i="4"/>
  <c r="X642" i="4"/>
  <c r="X2523" i="4"/>
  <c r="X2643" i="4"/>
  <c r="W2636" i="4"/>
  <c r="X2636" i="4"/>
  <c r="X2622" i="4"/>
  <c r="X731" i="4"/>
  <c r="X994" i="4"/>
  <c r="X987" i="4"/>
  <c r="X2182" i="4"/>
  <c r="X1293" i="4"/>
  <c r="X1385" i="4"/>
  <c r="X1355" i="4"/>
  <c r="X1608" i="4"/>
  <c r="X1116" i="4"/>
  <c r="W1317" i="4"/>
  <c r="X1317" i="4"/>
  <c r="W932" i="4"/>
  <c r="X932" i="4"/>
  <c r="W1577" i="4"/>
  <c r="X1577" i="4"/>
  <c r="W1065" i="4"/>
  <c r="X1065" i="4"/>
  <c r="W1727" i="4"/>
  <c r="X1727" i="4"/>
  <c r="W1859" i="4"/>
  <c r="X1859" i="4"/>
  <c r="W2559" i="4"/>
  <c r="X655" i="4"/>
  <c r="W417" i="4"/>
  <c r="V366" i="4"/>
  <c r="BP671" i="4"/>
  <c r="AR656" i="4"/>
  <c r="AO656" i="4" s="1"/>
  <c r="W814" i="4"/>
  <c r="X894" i="4"/>
  <c r="X286" i="4"/>
  <c r="AG295" i="4"/>
  <c r="BQ295" i="4"/>
  <c r="BP363" i="4"/>
  <c r="X115" i="4"/>
  <c r="X495" i="4"/>
  <c r="BS2538" i="4"/>
  <c r="BP2538" i="4" s="1"/>
  <c r="BP2425" i="4" s="1"/>
  <c r="BQ593" i="4"/>
  <c r="BQ596" i="4"/>
  <c r="BP362" i="4"/>
  <c r="W591" i="4"/>
  <c r="BT642" i="4"/>
  <c r="BP642" i="4" s="1"/>
  <c r="X10" i="4"/>
  <c r="X2455" i="4"/>
  <c r="X2557" i="4"/>
  <c r="X970" i="4"/>
  <c r="W2364" i="4"/>
  <c r="X2364" i="4"/>
  <c r="X2319" i="4"/>
  <c r="X1641" i="4"/>
  <c r="X1204" i="4"/>
  <c r="X1281" i="4"/>
  <c r="W1281" i="4"/>
  <c r="X1170" i="4"/>
  <c r="X983" i="4"/>
  <c r="W983" i="4"/>
  <c r="X2321" i="4"/>
  <c r="X2230" i="4"/>
  <c r="W2186" i="4"/>
  <c r="X2186" i="4"/>
  <c r="BP1287" i="4"/>
  <c r="BQ1287" i="4"/>
  <c r="W1404" i="4"/>
  <c r="X1404" i="4"/>
  <c r="W1162" i="4"/>
  <c r="X1162" i="4"/>
  <c r="AA2551" i="4"/>
  <c r="W2551" i="4" s="1"/>
  <c r="X1710" i="4"/>
  <c r="X1374" i="4"/>
  <c r="X1738" i="4"/>
  <c r="X1647" i="4"/>
  <c r="X1310" i="4"/>
  <c r="X1586" i="4"/>
  <c r="X1051" i="4"/>
  <c r="X1450" i="4"/>
  <c r="X1189" i="4"/>
  <c r="X1092" i="4"/>
  <c r="X1833" i="4"/>
  <c r="X1073" i="4"/>
  <c r="AP319" i="4"/>
  <c r="X357" i="4"/>
  <c r="X1024" i="4"/>
  <c r="X1031" i="4"/>
  <c r="X1048" i="4"/>
  <c r="X1665" i="4"/>
  <c r="X1264" i="4"/>
  <c r="X1280" i="4"/>
  <c r="X1008" i="4"/>
  <c r="X1526" i="4"/>
  <c r="X1393" i="4"/>
  <c r="X1080" i="4"/>
  <c r="X1893" i="4"/>
  <c r="X1022" i="4"/>
  <c r="X1793" i="4"/>
  <c r="X1047" i="4"/>
  <c r="X1725" i="4"/>
  <c r="X1232" i="4"/>
  <c r="X1797" i="4"/>
  <c r="AL2429" i="4"/>
  <c r="X2605" i="4"/>
  <c r="X2511" i="4"/>
  <c r="X2536" i="4"/>
  <c r="X2474" i="4"/>
  <c r="X874" i="4"/>
  <c r="X930" i="4"/>
  <c r="X982" i="4"/>
  <c r="X1920" i="4"/>
  <c r="X2394" i="4"/>
  <c r="X2324" i="4"/>
  <c r="X2299" i="4"/>
  <c r="X2134" i="4"/>
  <c r="X2345" i="4"/>
  <c r="X2011" i="4"/>
  <c r="X2118" i="4"/>
  <c r="X2237" i="4"/>
  <c r="X1993" i="4"/>
  <c r="X2250" i="4"/>
  <c r="X1037" i="4"/>
  <c r="X1128" i="4"/>
  <c r="X1023" i="4"/>
  <c r="X1333" i="4"/>
  <c r="X1224" i="4"/>
  <c r="X1201" i="4"/>
  <c r="X1683" i="4"/>
  <c r="X1799" i="4"/>
  <c r="AP1287" i="4"/>
  <c r="X1702" i="4"/>
  <c r="X1338" i="4"/>
  <c r="X1021" i="4"/>
  <c r="X1572" i="4"/>
  <c r="X1342" i="4"/>
  <c r="X1075" i="4"/>
  <c r="X1733" i="4"/>
  <c r="X1896" i="4"/>
  <c r="X1110" i="4"/>
  <c r="AC2528" i="4"/>
  <c r="X1182" i="4"/>
  <c r="X1534" i="4"/>
  <c r="X1696" i="4"/>
  <c r="X1704" i="4"/>
  <c r="X1856" i="4"/>
  <c r="X1796" i="4"/>
  <c r="BP254" i="4"/>
  <c r="BP238" i="4"/>
  <c r="BH340" i="4"/>
  <c r="X1591" i="4"/>
  <c r="X1695" i="4"/>
  <c r="X1076" i="4"/>
  <c r="X1362" i="4"/>
  <c r="AP862" i="4"/>
  <c r="X2471" i="4"/>
  <c r="X2481" i="4"/>
  <c r="X2478" i="4"/>
  <c r="X995" i="4"/>
  <c r="X1000" i="4"/>
  <c r="X2191" i="4"/>
  <c r="X2046" i="4"/>
  <c r="X2102" i="4"/>
  <c r="X1657" i="4"/>
  <c r="X1804" i="4"/>
  <c r="X1221" i="4"/>
  <c r="X1616" i="4"/>
  <c r="X1887" i="4"/>
  <c r="X1083" i="4"/>
  <c r="W886" i="4"/>
  <c r="W921" i="4"/>
  <c r="X1016" i="4"/>
  <c r="AP834" i="4"/>
  <c r="AP840" i="4"/>
  <c r="AP843" i="4"/>
  <c r="AP853" i="4"/>
  <c r="AP855" i="4"/>
  <c r="AP861" i="4"/>
  <c r="AP863" i="4"/>
  <c r="X2470" i="4"/>
  <c r="X981" i="4"/>
  <c r="X2379" i="4"/>
  <c r="X2022" i="4"/>
  <c r="X2064" i="4"/>
  <c r="X1069" i="4"/>
  <c r="X1346" i="4"/>
  <c r="X1259" i="4"/>
  <c r="X1094" i="4"/>
  <c r="X1247" i="4"/>
  <c r="X1105" i="4"/>
  <c r="X1266" i="4"/>
  <c r="X1365" i="4"/>
  <c r="X1770" i="4"/>
  <c r="X1336" i="4"/>
  <c r="X1111" i="4"/>
  <c r="X1172" i="4"/>
  <c r="X1084" i="4"/>
  <c r="X2308" i="4"/>
  <c r="X2105" i="4"/>
  <c r="X2101" i="4"/>
  <c r="X1320" i="4"/>
  <c r="X1737" i="4"/>
  <c r="X1817" i="4"/>
  <c r="X1240" i="4"/>
  <c r="X1159" i="4"/>
  <c r="X1187" i="4"/>
  <c r="X1468" i="4"/>
  <c r="X1777" i="4"/>
  <c r="X1173" i="4"/>
  <c r="BQ2520" i="4"/>
  <c r="BP357" i="4"/>
  <c r="X616" i="4"/>
  <c r="X2512" i="4"/>
  <c r="W2512" i="4"/>
  <c r="AO894" i="4"/>
  <c r="AP894" i="4"/>
  <c r="X413" i="4"/>
  <c r="W413" i="4"/>
  <c r="W210" i="4"/>
  <c r="X210" i="4"/>
  <c r="AO2365" i="4"/>
  <c r="AP2365" i="4"/>
  <c r="X907" i="4"/>
  <c r="W907" i="4"/>
  <c r="W2274" i="4"/>
  <c r="X2274" i="4"/>
  <c r="X1396" i="4"/>
  <c r="W1396" i="4"/>
  <c r="X1548" i="4"/>
  <c r="W1548" i="4"/>
  <c r="AY6" i="4"/>
  <c r="BP886" i="4"/>
  <c r="W1597" i="4"/>
  <c r="X1597" i="4"/>
  <c r="AO862" i="4"/>
  <c r="AP844" i="4"/>
  <c r="W2655" i="4"/>
  <c r="X595" i="4"/>
  <c r="W595" i="4"/>
  <c r="X598" i="4"/>
  <c r="W2482" i="4"/>
  <c r="X2482" i="4"/>
  <c r="W2057" i="4"/>
  <c r="X2057" i="4"/>
  <c r="X2038" i="4"/>
  <c r="W2038" i="4"/>
  <c r="W2221" i="4"/>
  <c r="X2221" i="4"/>
  <c r="W1178" i="4"/>
  <c r="X1178" i="4"/>
  <c r="X1606" i="4"/>
  <c r="W1606" i="4"/>
  <c r="AP29" i="4"/>
  <c r="AO29" i="4"/>
  <c r="AG92" i="4"/>
  <c r="AP2520" i="4"/>
  <c r="BP232" i="4"/>
  <c r="AP363" i="4"/>
  <c r="BQ210" i="4"/>
  <c r="X251" i="4"/>
  <c r="X130" i="4"/>
  <c r="BQ130" i="4"/>
  <c r="BT1924" i="4"/>
  <c r="BP1924" i="4" s="1"/>
  <c r="X1924" i="4"/>
  <c r="X339" i="4"/>
  <c r="AG191" i="4"/>
  <c r="W534" i="4"/>
  <c r="X2467" i="4"/>
  <c r="X2468" i="4"/>
  <c r="X2492" i="4"/>
  <c r="W2505" i="4"/>
  <c r="X2505" i="4"/>
  <c r="W2579" i="4"/>
  <c r="X902" i="4"/>
  <c r="W902" i="4"/>
  <c r="X906" i="4"/>
  <c r="W906" i="4"/>
  <c r="X958" i="4"/>
  <c r="W958" i="4"/>
  <c r="W1220" i="4"/>
  <c r="X1220" i="4"/>
  <c r="AP2002" i="4"/>
  <c r="AO2002" i="4"/>
  <c r="BP608" i="4"/>
  <c r="BQ608" i="4"/>
  <c r="W2095" i="4"/>
  <c r="X2095" i="4"/>
  <c r="W1869" i="4"/>
  <c r="X1869" i="4"/>
  <c r="W1759" i="4"/>
  <c r="X1759" i="4"/>
  <c r="AG29" i="4"/>
  <c r="AP125" i="4"/>
  <c r="W99" i="4"/>
  <c r="X99" i="4"/>
  <c r="BQ676" i="4"/>
  <c r="X1055" i="4"/>
  <c r="W592" i="4"/>
  <c r="W423" i="4"/>
  <c r="X423" i="4"/>
  <c r="AG630" i="4"/>
  <c r="AO2486" i="4"/>
  <c r="AV6" i="4"/>
  <c r="X117" i="4"/>
  <c r="AP179" i="4"/>
  <c r="BP179" i="4"/>
  <c r="BQ179" i="4"/>
  <c r="X922" i="4"/>
  <c r="X881" i="4"/>
  <c r="W882" i="4"/>
  <c r="X882" i="4"/>
  <c r="W1923" i="4"/>
  <c r="X1923" i="4"/>
  <c r="BQ1086" i="4"/>
  <c r="AF2411" i="4"/>
  <c r="AG2411" i="4"/>
  <c r="BQ118" i="4"/>
  <c r="BG638" i="4"/>
  <c r="BH638" i="4"/>
  <c r="W823" i="4"/>
  <c r="X823" i="4"/>
  <c r="W908" i="4"/>
  <c r="X908" i="4"/>
  <c r="X2381" i="4"/>
  <c r="W1840" i="4"/>
  <c r="X1840" i="4"/>
  <c r="W1397" i="4"/>
  <c r="X1397" i="4"/>
  <c r="X895" i="4"/>
  <c r="W979" i="4"/>
  <c r="X1932" i="4"/>
  <c r="X1915" i="4"/>
  <c r="BT2396" i="4"/>
  <c r="BQ2396" i="4" s="1"/>
  <c r="W2396" i="4"/>
  <c r="W2016" i="4"/>
  <c r="X2016" i="4"/>
  <c r="X2042" i="4"/>
  <c r="W2233" i="4"/>
  <c r="X2233" i="4"/>
  <c r="W1828" i="4"/>
  <c r="X1828" i="4"/>
  <c r="X1858" i="4"/>
  <c r="W1203" i="4"/>
  <c r="X1203" i="4"/>
  <c r="X1876" i="4"/>
  <c r="W1657" i="4"/>
  <c r="W1252" i="4"/>
  <c r="X1252" i="4"/>
  <c r="W1237" i="4"/>
  <c r="X1237" i="4"/>
  <c r="X1043" i="4"/>
  <c r="X1846" i="4"/>
  <c r="W1846" i="4"/>
  <c r="X1724" i="4"/>
  <c r="X1709" i="4"/>
  <c r="W1709" i="4"/>
  <c r="W1140" i="4"/>
  <c r="X1140" i="4"/>
  <c r="X1603" i="4"/>
  <c r="W1603" i="4"/>
  <c r="W1781" i="4"/>
  <c r="X1781" i="4"/>
  <c r="X1707" i="4"/>
  <c r="W1707" i="4"/>
  <c r="X1260" i="4"/>
  <c r="W1305" i="4"/>
  <c r="X1305" i="4"/>
  <c r="X759" i="4"/>
  <c r="X757" i="4"/>
  <c r="AG167" i="4"/>
  <c r="BQ28" i="4"/>
  <c r="BQ6" i="4" s="1"/>
  <c r="AP92" i="4"/>
  <c r="AP33" i="4"/>
  <c r="V6" i="4"/>
  <c r="AP499" i="4"/>
  <c r="AG240" i="4"/>
  <c r="BP240" i="4"/>
  <c r="AG294" i="4"/>
  <c r="X323" i="4"/>
  <c r="X133" i="4"/>
  <c r="AY113" i="4"/>
  <c r="AP116" i="4"/>
  <c r="BQ116" i="4"/>
  <c r="BQ882" i="4"/>
  <c r="X890" i="4"/>
  <c r="X892" i="4"/>
  <c r="X2351" i="4"/>
  <c r="W426" i="4"/>
  <c r="BQ188" i="4"/>
  <c r="W504" i="4"/>
  <c r="W597" i="4"/>
  <c r="W616" i="4"/>
  <c r="X2464" i="4"/>
  <c r="X2552" i="4"/>
  <c r="X2524" i="4"/>
  <c r="X2521" i="4"/>
  <c r="X2620" i="4"/>
  <c r="X2637" i="4"/>
  <c r="X2629" i="4"/>
  <c r="X2603" i="4"/>
  <c r="X2596" i="4"/>
  <c r="X2628" i="4"/>
  <c r="X2640" i="4"/>
  <c r="X2477" i="4"/>
  <c r="X2427" i="4"/>
  <c r="X2475" i="4"/>
  <c r="X705" i="4"/>
  <c r="X749" i="4"/>
  <c r="X910" i="4"/>
  <c r="X775" i="4"/>
  <c r="X996" i="4"/>
  <c r="W2353" i="4"/>
  <c r="X1953" i="4"/>
  <c r="X1941" i="4"/>
  <c r="X2385" i="4"/>
  <c r="X2404" i="4"/>
  <c r="X2409" i="4"/>
  <c r="X2419" i="4"/>
  <c r="X2211" i="4"/>
  <c r="X2200" i="4"/>
  <c r="W2200" i="4"/>
  <c r="W2080" i="4"/>
  <c r="X2080" i="4"/>
  <c r="W2331" i="4"/>
  <c r="X2331" i="4"/>
  <c r="W2022" i="4"/>
  <c r="X2005" i="4"/>
  <c r="X1319" i="4"/>
  <c r="X1380" i="4"/>
  <c r="W1355" i="4"/>
  <c r="W1488" i="4"/>
  <c r="X1488" i="4"/>
  <c r="X1549" i="4"/>
  <c r="W1145" i="4"/>
  <c r="X1145" i="4"/>
  <c r="W1087" i="4"/>
  <c r="X1087" i="4"/>
  <c r="X1902" i="4"/>
  <c r="W1902" i="4"/>
  <c r="W1833" i="4"/>
  <c r="X1326" i="4"/>
  <c r="W1326" i="4"/>
  <c r="W1070" i="4"/>
  <c r="X1070" i="4"/>
  <c r="W1184" i="4"/>
  <c r="X1184" i="4"/>
  <c r="W1712" i="4"/>
  <c r="X1712" i="4"/>
  <c r="W1114" i="4"/>
  <c r="X1114" i="4"/>
  <c r="W1537" i="4"/>
  <c r="X1537" i="4"/>
  <c r="W1765" i="4"/>
  <c r="X1765" i="4"/>
  <c r="W1739" i="4"/>
  <c r="X1739" i="4"/>
  <c r="X2646" i="4"/>
  <c r="X2645" i="4"/>
  <c r="X699" i="4"/>
  <c r="X903" i="4"/>
  <c r="X923" i="4"/>
  <c r="X967" i="4"/>
  <c r="W1976" i="4"/>
  <c r="X1976" i="4"/>
  <c r="W1980" i="4"/>
  <c r="X1980" i="4"/>
  <c r="X2393" i="4"/>
  <c r="W2312" i="4"/>
  <c r="X2312" i="4"/>
  <c r="X1992" i="4"/>
  <c r="X2085" i="4"/>
  <c r="X2216" i="4"/>
  <c r="X2247" i="4"/>
  <c r="X2189" i="4"/>
  <c r="W1074" i="4"/>
  <c r="X1074" i="4"/>
  <c r="W1011" i="4"/>
  <c r="X1011" i="4"/>
  <c r="W1387" i="4"/>
  <c r="X1387" i="4"/>
  <c r="X1697" i="4"/>
  <c r="W1791" i="4"/>
  <c r="X1791" i="4"/>
  <c r="W1639" i="4"/>
  <c r="X1639" i="4"/>
  <c r="W1867" i="4"/>
  <c r="X1867" i="4"/>
  <c r="W1218" i="4"/>
  <c r="X1218" i="4"/>
  <c r="X1160" i="4"/>
  <c r="W1407" i="4"/>
  <c r="X1407" i="4"/>
  <c r="W1713" i="4"/>
  <c r="X1713" i="4"/>
  <c r="W1400" i="4"/>
  <c r="X1400" i="4"/>
  <c r="X1384" i="4"/>
  <c r="X1943" i="4"/>
  <c r="X2375" i="4"/>
  <c r="X2421" i="4"/>
  <c r="X2418" i="4"/>
  <c r="X2411" i="4"/>
  <c r="X2193" i="4"/>
  <c r="X2044" i="4"/>
  <c r="X2065" i="4"/>
  <c r="X2060" i="4"/>
  <c r="X2273" i="4"/>
  <c r="X2158" i="4"/>
  <c r="X2176" i="4"/>
  <c r="X2104" i="4"/>
  <c r="X2333" i="4"/>
  <c r="X2033" i="4"/>
  <c r="X2052" i="4"/>
  <c r="X2196" i="4"/>
  <c r="X1366" i="4"/>
  <c r="X1706" i="4"/>
  <c r="X1844" i="4"/>
  <c r="X1009" i="4"/>
  <c r="X1139" i="4"/>
  <c r="X1206" i="4"/>
  <c r="X1340" i="4"/>
  <c r="X1838" i="4"/>
  <c r="X1487" i="4"/>
  <c r="X1755" i="4"/>
  <c r="X1343" i="4"/>
  <c r="X1289" i="4"/>
  <c r="X1764" i="4"/>
  <c r="X1482" i="4"/>
  <c r="X1857" i="4"/>
  <c r="X1208" i="4"/>
  <c r="X1677" i="4"/>
  <c r="X1278" i="4"/>
  <c r="X1255" i="4"/>
  <c r="X1108" i="4"/>
  <c r="X1585" i="4"/>
  <c r="X1444" i="4"/>
  <c r="X1503" i="4"/>
  <c r="X1298" i="4"/>
  <c r="X1344" i="4"/>
  <c r="W1626" i="4"/>
  <c r="X1626" i="4"/>
  <c r="X1057" i="4"/>
  <c r="X1077" i="4"/>
  <c r="W1077" i="4"/>
  <c r="X1068" i="4"/>
  <c r="X1243" i="4"/>
  <c r="X1196" i="4"/>
  <c r="W1728" i="4"/>
  <c r="X1728" i="4"/>
  <c r="W1360" i="4"/>
  <c r="X1360" i="4"/>
  <c r="X1372" i="4"/>
  <c r="W1882" i="4"/>
  <c r="X1882" i="4"/>
  <c r="W1354" i="4"/>
  <c r="X1354" i="4"/>
  <c r="W1303" i="4"/>
  <c r="X1303" i="4"/>
  <c r="X1775" i="4"/>
  <c r="X1801" i="4"/>
  <c r="AG1935" i="4"/>
  <c r="BP2370" i="4"/>
  <c r="X2122" i="4"/>
  <c r="X1997" i="4"/>
  <c r="X2185" i="4"/>
  <c r="X2035" i="4"/>
  <c r="X2203" i="4"/>
  <c r="X1525" i="4"/>
  <c r="X1345" i="4"/>
  <c r="X1291" i="4"/>
  <c r="X1135" i="4"/>
  <c r="X1517" i="4"/>
  <c r="X1095" i="4"/>
  <c r="X1623" i="4"/>
  <c r="BP319" i="4"/>
  <c r="X1722" i="4"/>
  <c r="X1776" i="4"/>
  <c r="X1217" i="4"/>
  <c r="W1217" i="4"/>
  <c r="W1750" i="4"/>
  <c r="X1750" i="4"/>
  <c r="W1040" i="4"/>
  <c r="X1040" i="4"/>
  <c r="W1743" i="4"/>
  <c r="X1743" i="4"/>
  <c r="X1392" i="4"/>
  <c r="X1756" i="4"/>
  <c r="X1573" i="4"/>
  <c r="X1079" i="4"/>
  <c r="X1598" i="4"/>
  <c r="X1250" i="4"/>
  <c r="X1660" i="4"/>
  <c r="X1033" i="4"/>
  <c r="X1416" i="4"/>
  <c r="X1837" i="4"/>
  <c r="X1505" i="4"/>
  <c r="W1866" i="4"/>
  <c r="X1783" i="4"/>
  <c r="X1284" i="4"/>
  <c r="X1483" i="4"/>
  <c r="X1493" i="4"/>
  <c r="X1565" i="4"/>
  <c r="X1044" i="4"/>
  <c r="X129" i="4"/>
  <c r="X231" i="4"/>
  <c r="BP343" i="4"/>
  <c r="X1121" i="4"/>
  <c r="X1502" i="4"/>
  <c r="X1279" i="4"/>
  <c r="X1646" i="4"/>
  <c r="X1494" i="4"/>
  <c r="X1467" i="4"/>
  <c r="X1661" i="4"/>
  <c r="X1571" i="4"/>
  <c r="X1235" i="4"/>
  <c r="X1332" i="4"/>
  <c r="X1615" i="4"/>
  <c r="X1242" i="4"/>
  <c r="X1827" i="4"/>
  <c r="X1569" i="4"/>
  <c r="X1589" i="4"/>
  <c r="X1848" i="4"/>
  <c r="X1538" i="4"/>
  <c r="X1891" i="4"/>
  <c r="X1081" i="4"/>
  <c r="X1766" i="4"/>
  <c r="AP1463" i="4"/>
  <c r="BP286" i="4"/>
  <c r="BP242" i="4"/>
  <c r="AG33" i="4"/>
  <c r="AF33" i="4"/>
  <c r="X15" i="4"/>
  <c r="W15" i="4"/>
  <c r="W1007" i="4"/>
  <c r="X1007" i="4"/>
  <c r="BQ1951" i="4"/>
  <c r="BP1951" i="4"/>
  <c r="X1861" i="4"/>
  <c r="W1861" i="4"/>
  <c r="W1205" i="4"/>
  <c r="X1205" i="4"/>
  <c r="AP422" i="4"/>
  <c r="AO422" i="4"/>
  <c r="X1583" i="4"/>
  <c r="W1583" i="4"/>
  <c r="BQ618" i="4"/>
  <c r="BP618" i="4"/>
  <c r="W2498" i="4"/>
  <c r="X2498" i="4"/>
  <c r="W2532" i="4"/>
  <c r="X2532" i="4"/>
  <c r="W2554" i="4"/>
  <c r="X2554" i="4"/>
  <c r="X2647" i="4"/>
  <c r="W2647" i="4"/>
  <c r="W2625" i="4"/>
  <c r="X2625" i="4"/>
  <c r="X2606" i="4"/>
  <c r="W2606" i="4"/>
  <c r="X924" i="4"/>
  <c r="W924" i="4"/>
  <c r="X1960" i="4"/>
  <c r="W1960" i="4"/>
  <c r="W2392" i="4"/>
  <c r="X2392" i="4"/>
  <c r="X2359" i="4"/>
  <c r="W2359" i="4"/>
  <c r="W2254" i="4"/>
  <c r="X2254" i="4"/>
  <c r="W2153" i="4"/>
  <c r="X2153" i="4"/>
  <c r="W2090" i="4"/>
  <c r="X2090" i="4"/>
  <c r="W1341" i="4"/>
  <c r="X1341" i="4"/>
  <c r="X1025" i="4"/>
  <c r="W1025" i="4"/>
  <c r="W1367" i="4"/>
  <c r="X1367" i="4"/>
  <c r="W1649" i="4"/>
  <c r="X1649" i="4"/>
  <c r="W1819" i="4"/>
  <c r="X1819" i="4"/>
  <c r="W1171" i="4"/>
  <c r="X1171" i="4"/>
  <c r="X1186" i="4"/>
  <c r="W1186" i="4"/>
  <c r="W1113" i="4"/>
  <c r="X1113" i="4"/>
  <c r="W1327" i="4"/>
  <c r="X1327" i="4"/>
  <c r="W1420" i="4"/>
  <c r="X1420" i="4"/>
  <c r="X1774" i="4"/>
  <c r="W1774" i="4"/>
  <c r="W1197" i="4"/>
  <c r="X1197" i="4"/>
  <c r="W2495" i="4"/>
  <c r="X2495" i="4"/>
  <c r="W2609" i="4"/>
  <c r="X2609" i="4"/>
  <c r="AF254" i="4"/>
  <c r="AG254" i="4"/>
  <c r="BQ234" i="4"/>
  <c r="W2486" i="4"/>
  <c r="W368" i="4"/>
  <c r="W84" i="4"/>
  <c r="BQ2428" i="4"/>
  <c r="U366" i="4"/>
  <c r="BT2429" i="4"/>
  <c r="BV2429" i="4" s="1"/>
  <c r="AP630" i="4"/>
  <c r="AR621" i="4"/>
  <c r="AF92" i="4"/>
  <c r="AM6" i="4"/>
  <c r="AP160" i="4"/>
  <c r="AP671" i="4"/>
  <c r="W918" i="4"/>
  <c r="AP307" i="4"/>
  <c r="AO307" i="4"/>
  <c r="X128" i="4"/>
  <c r="AP38" i="4"/>
  <c r="BQ371" i="4"/>
  <c r="BP371" i="4"/>
  <c r="X666" i="4"/>
  <c r="X901" i="4"/>
  <c r="X911" i="4"/>
  <c r="W911" i="4"/>
  <c r="BQ426" i="4"/>
  <c r="W1910" i="4"/>
  <c r="AO855" i="4"/>
  <c r="BP589" i="4"/>
  <c r="BQ589" i="4"/>
  <c r="AP600" i="4"/>
  <c r="AO600" i="4"/>
  <c r="X611" i="4"/>
  <c r="W611" i="4"/>
  <c r="X2463" i="4"/>
  <c r="W2450" i="4"/>
  <c r="X2450" i="4"/>
  <c r="X2469" i="4"/>
  <c r="W2469" i="4"/>
  <c r="X697" i="4"/>
  <c r="X726" i="4"/>
  <c r="X752" i="4"/>
  <c r="X2480" i="4"/>
  <c r="W2480" i="4"/>
  <c r="X703" i="4"/>
  <c r="X716" i="4"/>
  <c r="W716" i="4"/>
  <c r="W835" i="4"/>
  <c r="X929" i="4"/>
  <c r="W876" i="4"/>
  <c r="X876" i="4"/>
  <c r="X909" i="4"/>
  <c r="W917" i="4"/>
  <c r="X917" i="4"/>
  <c r="X993" i="4"/>
  <c r="W993" i="4"/>
  <c r="X2415" i="4"/>
  <c r="W2415" i="4"/>
  <c r="W2287" i="4"/>
  <c r="X2287" i="4"/>
  <c r="X2143" i="4"/>
  <c r="W2143" i="4"/>
  <c r="W2262" i="4"/>
  <c r="X2262" i="4"/>
  <c r="W2087" i="4"/>
  <c r="X2087" i="4"/>
  <c r="W1130" i="4"/>
  <c r="W1191" i="4"/>
  <c r="X1191" i="4"/>
  <c r="W1323" i="4"/>
  <c r="X1323" i="4"/>
  <c r="X1431" i="4"/>
  <c r="W1431" i="4"/>
  <c r="BP301" i="4"/>
  <c r="BQ301" i="4"/>
  <c r="BP2407" i="4"/>
  <c r="BQ2407" i="4"/>
  <c r="W1042" i="4"/>
  <c r="X1042" i="4"/>
  <c r="W1046" i="4"/>
  <c r="X1046" i="4"/>
  <c r="W1394" i="4"/>
  <c r="X1394" i="4"/>
  <c r="W1192" i="4"/>
  <c r="X1192" i="4"/>
  <c r="W1090" i="4"/>
  <c r="X1090" i="4"/>
  <c r="W1138" i="4"/>
  <c r="X1138" i="4"/>
  <c r="W1753" i="4"/>
  <c r="X1753" i="4"/>
  <c r="W1227" i="4"/>
  <c r="X1227" i="4"/>
  <c r="X2507" i="4"/>
  <c r="AD366" i="4"/>
  <c r="X2520" i="4"/>
  <c r="W2520" i="4"/>
  <c r="AF311" i="4"/>
  <c r="AG311" i="4"/>
  <c r="BP355" i="4"/>
  <c r="BQ355" i="4"/>
  <c r="X101" i="4"/>
  <c r="W101" i="4"/>
  <c r="W940" i="4"/>
  <c r="X940" i="4"/>
  <c r="X885" i="4"/>
  <c r="W885" i="4"/>
  <c r="X1946" i="4"/>
  <c r="W1946" i="4"/>
  <c r="AY2538" i="4"/>
  <c r="AY2425" i="4" s="1"/>
  <c r="AX2538" i="4"/>
  <c r="AX2425" i="4" s="1"/>
  <c r="W640" i="4"/>
  <c r="X640" i="4"/>
  <c r="X2439" i="4"/>
  <c r="W2439" i="4"/>
  <c r="W2501" i="4"/>
  <c r="X2501" i="4"/>
  <c r="W2506" i="4"/>
  <c r="X2506" i="4"/>
  <c r="BQ2534" i="4"/>
  <c r="X2568" i="4"/>
  <c r="X2574" i="4"/>
  <c r="W2574" i="4"/>
  <c r="W1975" i="4"/>
  <c r="X1975" i="4"/>
  <c r="W2097" i="4"/>
  <c r="X2097" i="4"/>
  <c r="W1390" i="4"/>
  <c r="X1390" i="4"/>
  <c r="X1361" i="4"/>
  <c r="W1361" i="4"/>
  <c r="X1125" i="4"/>
  <c r="W1559" i="4"/>
  <c r="X1559" i="4"/>
  <c r="W1462" i="4"/>
  <c r="X1462" i="4"/>
  <c r="W1398" i="4"/>
  <c r="X1398" i="4"/>
  <c r="W1629" i="4"/>
  <c r="X1629" i="4"/>
  <c r="X1013" i="4"/>
  <c r="W1013" i="4"/>
  <c r="W1325" i="4"/>
  <c r="X1325" i="4"/>
  <c r="W1419" i="4"/>
  <c r="X1419" i="4"/>
  <c r="W1152" i="4"/>
  <c r="X1152" i="4"/>
  <c r="X1849" i="4"/>
  <c r="W1849" i="4"/>
  <c r="W1651" i="4"/>
  <c r="X1651" i="4"/>
  <c r="X1167" i="4"/>
  <c r="W1167" i="4"/>
  <c r="W1156" i="4"/>
  <c r="X1156" i="4"/>
  <c r="X1286" i="4"/>
  <c r="W1552" i="4"/>
  <c r="X1552" i="4"/>
  <c r="W1566" i="4"/>
  <c r="X1566" i="4"/>
  <c r="W1810" i="4"/>
  <c r="X1810" i="4"/>
  <c r="W1056" i="4"/>
  <c r="X1056" i="4"/>
  <c r="X1544" i="4"/>
  <c r="W1544" i="4"/>
  <c r="W1622" i="4"/>
  <c r="X1622" i="4"/>
  <c r="W2459" i="4"/>
  <c r="X2459" i="4"/>
  <c r="W2556" i="4"/>
  <c r="X2556" i="4"/>
  <c r="W2493" i="4"/>
  <c r="U2425" i="4"/>
  <c r="AE2650" i="4"/>
  <c r="U6" i="4"/>
  <c r="AO417" i="4"/>
  <c r="AI621" i="4"/>
  <c r="AO2438" i="4"/>
  <c r="AP2559" i="4"/>
  <c r="AF1926" i="4"/>
  <c r="X86" i="4"/>
  <c r="BP327" i="4"/>
  <c r="BP307" i="4"/>
  <c r="W673" i="4"/>
  <c r="AO175" i="4"/>
  <c r="AP175" i="4"/>
  <c r="W660" i="4"/>
  <c r="X660" i="4"/>
  <c r="X951" i="4"/>
  <c r="X946" i="4"/>
  <c r="W881" i="4"/>
  <c r="W2006" i="4"/>
  <c r="X2006" i="4"/>
  <c r="AP846" i="4"/>
  <c r="AO846" i="4"/>
  <c r="AO851" i="4"/>
  <c r="AP851" i="4"/>
  <c r="W156" i="4"/>
  <c r="BQ121" i="4"/>
  <c r="X662" i="4"/>
  <c r="X2452" i="4"/>
  <c r="X2497" i="4"/>
  <c r="W2497" i="4"/>
  <c r="X52" i="4"/>
  <c r="X2535" i="4"/>
  <c r="W2535" i="4"/>
  <c r="W2614" i="4"/>
  <c r="X2614" i="4"/>
  <c r="W2616" i="4"/>
  <c r="X2616" i="4"/>
  <c r="X761" i="4"/>
  <c r="W756" i="4"/>
  <c r="X756" i="4"/>
  <c r="X758" i="4"/>
  <c r="W758" i="4"/>
  <c r="W831" i="4"/>
  <c r="X831" i="4"/>
  <c r="W937" i="4"/>
  <c r="X937" i="4"/>
  <c r="W934" i="4"/>
  <c r="X934" i="4"/>
  <c r="X960" i="4"/>
  <c r="W960" i="4"/>
  <c r="W1908" i="4"/>
  <c r="X1908" i="4"/>
  <c r="X1965" i="4"/>
  <c r="W2403" i="4"/>
  <c r="X2403" i="4"/>
  <c r="W2028" i="4"/>
  <c r="X2028" i="4"/>
  <c r="W2054" i="4"/>
  <c r="X2054" i="4"/>
  <c r="X2036" i="4"/>
  <c r="W2036" i="4"/>
  <c r="W2078" i="4"/>
  <c r="X2078" i="4"/>
  <c r="W2177" i="4"/>
  <c r="X2177" i="4"/>
  <c r="W2285" i="4"/>
  <c r="X2285" i="4"/>
  <c r="W2311" i="4"/>
  <c r="X2311" i="4"/>
  <c r="W2162" i="4"/>
  <c r="X2162" i="4"/>
  <c r="W2197" i="4"/>
  <c r="X2197" i="4"/>
  <c r="W2017" i="4"/>
  <c r="X2017" i="4"/>
  <c r="W2225" i="4"/>
  <c r="X2225" i="4"/>
  <c r="W2010" i="4"/>
  <c r="X2010" i="4"/>
  <c r="X1466" i="4"/>
  <c r="W1132" i="4"/>
  <c r="X1202" i="4"/>
  <c r="W1202" i="4"/>
  <c r="X1555" i="4"/>
  <c r="W1555" i="4"/>
  <c r="BQ285" i="4"/>
  <c r="BP285" i="4"/>
  <c r="X333" i="4"/>
  <c r="W333" i="4"/>
  <c r="AP372" i="4"/>
  <c r="AO372" i="4"/>
  <c r="W1034" i="4"/>
  <c r="X1034" i="4"/>
  <c r="W1059" i="4"/>
  <c r="X1059" i="4"/>
  <c r="W1425" i="4"/>
  <c r="X1425" i="4"/>
  <c r="X1091" i="4"/>
  <c r="W1091" i="4"/>
  <c r="X1835" i="4"/>
  <c r="W1211" i="4"/>
  <c r="X1211" i="4"/>
  <c r="W1430" i="4"/>
  <c r="X1430" i="4"/>
  <c r="W1894" i="4"/>
  <c r="X1894" i="4"/>
  <c r="X1877" i="4"/>
  <c r="W1877" i="4"/>
  <c r="W1881" i="4"/>
  <c r="X1881" i="4"/>
  <c r="AP86" i="4"/>
  <c r="BP294" i="4"/>
  <c r="X297" i="4"/>
  <c r="X606" i="4"/>
  <c r="W495" i="4"/>
  <c r="X809" i="4"/>
  <c r="X1324" i="4"/>
  <c r="X2526" i="4"/>
  <c r="AP2356" i="4"/>
  <c r="AP617" i="4"/>
  <c r="BP153" i="4"/>
  <c r="X891" i="4"/>
  <c r="X877" i="4"/>
  <c r="X591" i="4"/>
  <c r="X504" i="4"/>
  <c r="X597" i="4"/>
  <c r="BQ599" i="4"/>
  <c r="W601" i="4"/>
  <c r="X604" i="4"/>
  <c r="BQ428" i="4"/>
  <c r="X620" i="4"/>
  <c r="X665" i="4"/>
  <c r="X9" i="4"/>
  <c r="X639" i="4"/>
  <c r="X2537" i="4"/>
  <c r="X2591" i="4"/>
  <c r="X753" i="4"/>
  <c r="X751" i="4"/>
  <c r="X754" i="4"/>
  <c r="X942" i="4"/>
  <c r="X943" i="4"/>
  <c r="X826" i="4"/>
  <c r="X972" i="4"/>
  <c r="W972" i="4"/>
  <c r="X988" i="4"/>
  <c r="W988" i="4"/>
  <c r="X1921" i="4"/>
  <c r="W1921" i="4"/>
  <c r="W1926" i="4"/>
  <c r="X1926" i="4"/>
  <c r="W1936" i="4"/>
  <c r="X1936" i="4"/>
  <c r="W1981" i="4"/>
  <c r="X1981" i="4"/>
  <c r="W2422" i="4"/>
  <c r="X2422" i="4"/>
  <c r="X2146" i="4"/>
  <c r="W2146" i="4"/>
  <c r="W2348" i="4"/>
  <c r="X2348" i="4"/>
  <c r="W2037" i="4"/>
  <c r="X2037" i="4"/>
  <c r="X1093" i="4"/>
  <c r="W1093" i="4"/>
  <c r="X1097" i="4"/>
  <c r="W1097" i="4"/>
  <c r="X1900" i="4"/>
  <c r="X1166" i="4"/>
  <c r="X1285" i="4"/>
  <c r="W1285" i="4"/>
  <c r="X1143" i="4"/>
  <c r="X1164" i="4"/>
  <c r="X1137" i="4"/>
  <c r="W1137" i="4"/>
  <c r="W1054" i="4"/>
  <c r="X1054" i="4"/>
  <c r="W1335" i="4"/>
  <c r="X1335" i="4"/>
  <c r="W1214" i="4"/>
  <c r="X1214" i="4"/>
  <c r="X1134" i="4"/>
  <c r="W1134" i="4"/>
  <c r="W1620" i="4"/>
  <c r="X1620" i="4"/>
  <c r="AP327" i="4"/>
  <c r="BP340" i="4"/>
  <c r="X102" i="4"/>
  <c r="X499" i="4"/>
  <c r="X921" i="4"/>
  <c r="BQ911" i="4"/>
  <c r="X879" i="4"/>
  <c r="X426" i="4"/>
  <c r="X1970" i="4"/>
  <c r="BP324" i="4"/>
  <c r="W596" i="4"/>
  <c r="BP223" i="4"/>
  <c r="AP883" i="4"/>
  <c r="X592" i="4"/>
  <c r="W598" i="4"/>
  <c r="W602" i="4"/>
  <c r="W505" i="4"/>
  <c r="W613" i="4"/>
  <c r="X8" i="4"/>
  <c r="X2454" i="4"/>
  <c r="X2633" i="4"/>
  <c r="X2610" i="4"/>
  <c r="X2570" i="4"/>
  <c r="X2569" i="4"/>
  <c r="X817" i="4"/>
  <c r="X966" i="4"/>
  <c r="W966" i="4"/>
  <c r="X2376" i="4"/>
  <c r="X2390" i="4"/>
  <c r="W2390" i="4"/>
  <c r="W2407" i="4"/>
  <c r="X2407" i="4"/>
  <c r="X2019" i="4"/>
  <c r="W2019" i="4"/>
  <c r="W2115" i="4"/>
  <c r="X2115" i="4"/>
  <c r="X2055" i="4"/>
  <c r="W2055" i="4"/>
  <c r="W2120" i="4"/>
  <c r="X2120" i="4"/>
  <c r="W2151" i="4"/>
  <c r="X2151" i="4"/>
  <c r="W2266" i="4"/>
  <c r="X2266" i="4"/>
  <c r="W2142" i="4"/>
  <c r="X2142" i="4"/>
  <c r="W2111" i="4"/>
  <c r="X2111" i="4"/>
  <c r="X1181" i="4"/>
  <c r="W1181" i="4"/>
  <c r="W1506" i="4"/>
  <c r="X1506" i="4"/>
  <c r="X1142" i="4"/>
  <c r="W1142" i="4"/>
  <c r="X1010" i="4"/>
  <c r="W1662" i="4"/>
  <c r="X1662" i="4"/>
  <c r="X1512" i="4"/>
  <c r="W1512" i="4"/>
  <c r="X1885" i="4"/>
  <c r="W1885" i="4"/>
  <c r="W1609" i="4"/>
  <c r="X1609" i="4"/>
  <c r="X1784" i="4"/>
  <c r="W1563" i="4"/>
  <c r="X1563" i="4"/>
  <c r="X1254" i="4"/>
  <c r="W1254" i="4"/>
  <c r="W1373" i="4"/>
  <c r="X1373" i="4"/>
  <c r="W1309" i="4"/>
  <c r="X1309" i="4"/>
  <c r="W1225" i="4"/>
  <c r="X1225" i="4"/>
  <c r="W1445" i="4"/>
  <c r="X1445" i="4"/>
  <c r="X913" i="4"/>
  <c r="X931" i="4"/>
  <c r="X927" i="4"/>
  <c r="X974" i="4"/>
  <c r="X998" i="4"/>
  <c r="X999" i="4"/>
  <c r="X1909" i="4"/>
  <c r="X1912" i="4"/>
  <c r="X1917" i="4"/>
  <c r="X1934" i="4"/>
  <c r="X1974" i="4"/>
  <c r="X2368" i="4"/>
  <c r="X2366" i="4"/>
  <c r="X2399" i="4"/>
  <c r="X2405" i="4"/>
  <c r="X2234" i="4"/>
  <c r="X2347" i="4"/>
  <c r="X2043" i="4"/>
  <c r="X2304" i="4"/>
  <c r="X2098" i="4"/>
  <c r="X2204" i="4"/>
  <c r="X2093" i="4"/>
  <c r="X2272" i="4"/>
  <c r="X2239" i="4"/>
  <c r="X2244" i="4"/>
  <c r="X2089" i="4"/>
  <c r="X2259" i="4"/>
  <c r="X2180" i="4"/>
  <c r="X1546" i="4"/>
  <c r="X1258" i="4"/>
  <c r="X1061" i="4"/>
  <c r="X1248" i="4"/>
  <c r="X1421" i="4"/>
  <c r="X1842" i="4"/>
  <c r="X1579" i="4"/>
  <c r="X1049" i="4"/>
  <c r="X1296" i="4"/>
  <c r="X1124" i="4"/>
  <c r="X1119" i="4"/>
  <c r="X1294" i="4"/>
  <c r="X1509" i="4"/>
  <c r="X1454" i="4"/>
  <c r="X1457" i="4"/>
  <c r="X1151" i="4"/>
  <c r="X1672" i="4"/>
  <c r="X1149" i="4"/>
  <c r="X1231" i="4"/>
  <c r="X1481" i="4"/>
  <c r="X1895" i="4"/>
  <c r="W285" i="4"/>
  <c r="X285" i="4"/>
  <c r="W1480" i="4"/>
  <c r="X1480" i="4"/>
  <c r="W1036" i="4"/>
  <c r="X1036" i="4"/>
  <c r="X1060" i="4"/>
  <c r="W1060" i="4"/>
  <c r="X1655" i="4"/>
  <c r="W1655" i="4"/>
  <c r="X1675" i="4"/>
  <c r="W1675" i="4"/>
  <c r="W1627" i="4"/>
  <c r="X1627" i="4"/>
  <c r="X1497" i="4"/>
  <c r="W1726" i="4"/>
  <c r="X1726" i="4"/>
  <c r="X1399" i="4"/>
  <c r="W1666" i="4"/>
  <c r="X1666" i="4"/>
  <c r="X939" i="4"/>
  <c r="X968" i="4"/>
  <c r="X971" i="4"/>
  <c r="X991" i="4"/>
  <c r="X1918" i="4"/>
  <c r="X1933" i="4"/>
  <c r="X1947" i="4"/>
  <c r="X2369" i="4"/>
  <c r="X2391" i="4"/>
  <c r="X2372" i="4"/>
  <c r="X2386" i="4"/>
  <c r="X2356" i="4"/>
  <c r="X2140" i="4"/>
  <c r="X2155" i="4"/>
  <c r="X2025" i="4"/>
  <c r="X2113" i="4"/>
  <c r="X2050" i="4"/>
  <c r="X2242" i="4"/>
  <c r="X2318" i="4"/>
  <c r="X2171" i="4"/>
  <c r="X1687" i="4"/>
  <c r="X1679" i="4"/>
  <c r="X1711" i="4"/>
  <c r="X1617" i="4"/>
  <c r="X1331" i="4"/>
  <c r="X1621" i="4"/>
  <c r="X1351" i="4"/>
  <c r="X1625" i="4"/>
  <c r="X1282" i="4"/>
  <c r="X1492" i="4"/>
  <c r="X1269" i="4"/>
  <c r="X1459" i="4"/>
  <c r="W1459" i="4"/>
  <c r="X1461" i="4"/>
  <c r="X1485" i="4"/>
  <c r="W1485" i="4"/>
  <c r="BP360" i="4"/>
  <c r="BQ360" i="4"/>
  <c r="W1058" i="4"/>
  <c r="X1058" i="4"/>
  <c r="X1741" i="4"/>
  <c r="W1741" i="4"/>
  <c r="X1650" i="4"/>
  <c r="X1458" i="4"/>
  <c r="X1277" i="4"/>
  <c r="W1277" i="4"/>
  <c r="X1604" i="4"/>
  <c r="W1604" i="4"/>
  <c r="X1409" i="4"/>
  <c r="W1409" i="4"/>
  <c r="W1673" i="4"/>
  <c r="X1673" i="4"/>
  <c r="W1199" i="4"/>
  <c r="X1199" i="4"/>
  <c r="W1854" i="4"/>
  <c r="X1854" i="4"/>
  <c r="W1787" i="4"/>
  <c r="X1787" i="4"/>
  <c r="W1531" i="4"/>
  <c r="X1531" i="4"/>
  <c r="W1446" i="4"/>
  <c r="X1446" i="4"/>
  <c r="W1288" i="4"/>
  <c r="X1288" i="4"/>
  <c r="X1236" i="4"/>
  <c r="X1272" i="4"/>
  <c r="X1692" i="4"/>
  <c r="X1353" i="4"/>
  <c r="X1874" i="4"/>
  <c r="X1889" i="4"/>
  <c r="X1210" i="4"/>
  <c r="X1872" i="4"/>
  <c r="X1096" i="4"/>
  <c r="X1417" i="4"/>
  <c r="X1730" i="4"/>
  <c r="X1168" i="4"/>
  <c r="X1115" i="4"/>
  <c r="X1504" i="4"/>
  <c r="X1062" i="4"/>
  <c r="X1263" i="4"/>
  <c r="W1668" i="4"/>
  <c r="X1668" i="4"/>
  <c r="X1358" i="4"/>
  <c r="W1358" i="4"/>
  <c r="W1637" i="4"/>
  <c r="X1637" i="4"/>
  <c r="W1653" i="4"/>
  <c r="X1653" i="4"/>
  <c r="W1592" i="4"/>
  <c r="X1592" i="4"/>
  <c r="W1123" i="4"/>
  <c r="X1123" i="4"/>
  <c r="W1789" i="4"/>
  <c r="X1789" i="4"/>
  <c r="W1267" i="4"/>
  <c r="X1267" i="4"/>
  <c r="W1233" i="4"/>
  <c r="X1233" i="4"/>
  <c r="W280" i="4"/>
  <c r="X280" i="4"/>
  <c r="BP354" i="4"/>
  <c r="BQ354" i="4"/>
  <c r="X1705" i="4"/>
  <c r="X1628" i="4"/>
  <c r="X1348" i="4"/>
  <c r="X1860" i="4"/>
  <c r="X1386" i="4"/>
  <c r="X1576" i="4"/>
  <c r="X1899" i="4"/>
  <c r="X1570" i="4"/>
  <c r="X1052" i="4"/>
  <c r="X1301" i="4"/>
  <c r="X1297" i="4"/>
  <c r="X701" i="4"/>
  <c r="X1195" i="4"/>
  <c r="X1375" i="4"/>
  <c r="X1852" i="4"/>
  <c r="X1268" i="4"/>
  <c r="X1118" i="4"/>
  <c r="X1270" i="4"/>
  <c r="X1257" i="4"/>
  <c r="X1689" i="4"/>
  <c r="X1470" i="4"/>
  <c r="W1453" i="4"/>
  <c r="X1453" i="4"/>
  <c r="X1812" i="4"/>
  <c r="X1154" i="4"/>
  <c r="W1154" i="4"/>
  <c r="X1752" i="4"/>
  <c r="W1752" i="4"/>
  <c r="X1078" i="4"/>
  <c r="X1491" i="4"/>
  <c r="W1491" i="4"/>
  <c r="W1383" i="4"/>
  <c r="X1383" i="4"/>
  <c r="W1667" i="4"/>
  <c r="X1667" i="4"/>
  <c r="W1244" i="4"/>
  <c r="X1244" i="4"/>
  <c r="W1245" i="4"/>
  <c r="X1245" i="4"/>
  <c r="W1508" i="4"/>
  <c r="X1508" i="4"/>
  <c r="W1290" i="4"/>
  <c r="X1290" i="4"/>
  <c r="W1532" i="4"/>
  <c r="X1532" i="4"/>
  <c r="BG205" i="4"/>
  <c r="BH205" i="4"/>
  <c r="X1019" i="4"/>
  <c r="X1489" i="4"/>
  <c r="X1490" i="4"/>
  <c r="X1465" i="4"/>
  <c r="X1535" i="4"/>
  <c r="X1855" i="4"/>
  <c r="X1773" i="4"/>
  <c r="X1507" i="4"/>
  <c r="X1020" i="4"/>
  <c r="X1276" i="4"/>
  <c r="X1356" i="4"/>
  <c r="X1879" i="4"/>
  <c r="X1161" i="4"/>
  <c r="X1262" i="4"/>
  <c r="BP305" i="4"/>
  <c r="X259" i="4"/>
  <c r="BG259" i="4"/>
  <c r="BQ2367" i="4"/>
  <c r="X1382" i="4"/>
  <c r="X1098" i="4"/>
  <c r="X1624" i="4"/>
  <c r="X1107" i="4"/>
  <c r="X1411" i="4"/>
  <c r="X1215" i="4"/>
  <c r="X1422" i="4"/>
  <c r="X2499" i="4"/>
  <c r="BQ2369" i="4"/>
  <c r="AP168" i="4"/>
  <c r="AO168" i="4"/>
  <c r="AF170" i="4"/>
  <c r="AG170" i="4"/>
  <c r="AF200" i="4"/>
  <c r="AG200" i="4"/>
  <c r="AE6" i="4"/>
  <c r="AP203" i="4"/>
  <c r="AO203" i="4"/>
  <c r="AP24" i="4"/>
  <c r="AO24" i="4"/>
  <c r="AG656" i="4"/>
  <c r="AF656" i="4"/>
  <c r="AO367" i="4"/>
  <c r="AP367" i="4"/>
  <c r="BQ2398" i="4"/>
  <c r="BP2398" i="4"/>
  <c r="X842" i="4"/>
  <c r="W842" i="4"/>
  <c r="X936" i="4"/>
  <c r="W936" i="4"/>
  <c r="W935" i="4"/>
  <c r="X935" i="4"/>
  <c r="X941" i="4"/>
  <c r="W941" i="4"/>
  <c r="W938" i="4"/>
  <c r="X938" i="4"/>
  <c r="W975" i="4"/>
  <c r="X975" i="4"/>
  <c r="X977" i="4"/>
  <c r="W977" i="4"/>
  <c r="W1905" i="4"/>
  <c r="X1905" i="4"/>
  <c r="X1914" i="4"/>
  <c r="W1914" i="4"/>
  <c r="W2391" i="4"/>
  <c r="W2372" i="4"/>
  <c r="W1944" i="4"/>
  <c r="X1944" i="4"/>
  <c r="W1984" i="4"/>
  <c r="X1984" i="4"/>
  <c r="X2367" i="4"/>
  <c r="W2367" i="4"/>
  <c r="W2358" i="4"/>
  <c r="X2358" i="4"/>
  <c r="W2378" i="4"/>
  <c r="X2378" i="4"/>
  <c r="W2400" i="4"/>
  <c r="X2400" i="4"/>
  <c r="W2042" i="4"/>
  <c r="W2061" i="4"/>
  <c r="X2061" i="4"/>
  <c r="W2032" i="4"/>
  <c r="X2032" i="4"/>
  <c r="X2018" i="4"/>
  <c r="W2018" i="4"/>
  <c r="X2290" i="4"/>
  <c r="W2290" i="4"/>
  <c r="W2047" i="4"/>
  <c r="X2047" i="4"/>
  <c r="W2040" i="4"/>
  <c r="X2040" i="4"/>
  <c r="W2210" i="4"/>
  <c r="X2210" i="4"/>
  <c r="W2256" i="4"/>
  <c r="X2256" i="4"/>
  <c r="W2071" i="4"/>
  <c r="X2071" i="4"/>
  <c r="W2289" i="4"/>
  <c r="X2289" i="4"/>
  <c r="W1427" i="4"/>
  <c r="X1427" i="4"/>
  <c r="W1401" i="4"/>
  <c r="X1401" i="4"/>
  <c r="W1378" i="4"/>
  <c r="X1378" i="4"/>
  <c r="W1318" i="4"/>
  <c r="X1318" i="4"/>
  <c r="W1447" i="4"/>
  <c r="X1447" i="4"/>
  <c r="W1029" i="4"/>
  <c r="X1029" i="4"/>
  <c r="W1223" i="4"/>
  <c r="X1223" i="4"/>
  <c r="W1177" i="4"/>
  <c r="X1177" i="4"/>
  <c r="W1514" i="4"/>
  <c r="X1514" i="4"/>
  <c r="W1064" i="4"/>
  <c r="X1064" i="4"/>
  <c r="W1768" i="4"/>
  <c r="X1768" i="4"/>
  <c r="W1330" i="4"/>
  <c r="X1330" i="4"/>
  <c r="W1053" i="4"/>
  <c r="X1053" i="4"/>
  <c r="W1371" i="4"/>
  <c r="X1371" i="4"/>
  <c r="W1273" i="4"/>
  <c r="X1273" i="4"/>
  <c r="W1148" i="4"/>
  <c r="X1148" i="4"/>
  <c r="W1847" i="4"/>
  <c r="X1847" i="4"/>
  <c r="X1758" i="4"/>
  <c r="W1758" i="4"/>
  <c r="X1103" i="4"/>
  <c r="W1103" i="4"/>
  <c r="X1746" i="4"/>
  <c r="W1746" i="4"/>
  <c r="W1229" i="4"/>
  <c r="X1229" i="4"/>
  <c r="W1643" i="4"/>
  <c r="X1643" i="4"/>
  <c r="W1484" i="4"/>
  <c r="X1484" i="4"/>
  <c r="W1464" i="4"/>
  <c r="X1464" i="4"/>
  <c r="W1101" i="4"/>
  <c r="X1101" i="4"/>
  <c r="W1659" i="4"/>
  <c r="X1659" i="4"/>
  <c r="W1495" i="4"/>
  <c r="X1495" i="4"/>
  <c r="X1614" i="4"/>
  <c r="W1614" i="4"/>
  <c r="W1798" i="4"/>
  <c r="X1798" i="4"/>
  <c r="W1778" i="4"/>
  <c r="X1778" i="4"/>
  <c r="W1452" i="4"/>
  <c r="X1452" i="4"/>
  <c r="W1050" i="4"/>
  <c r="X1050" i="4"/>
  <c r="AF2425" i="4"/>
  <c r="AM366" i="4"/>
  <c r="BO6" i="4"/>
  <c r="AF203" i="4"/>
  <c r="BQ203" i="4"/>
  <c r="AF630" i="4"/>
  <c r="AP202" i="4"/>
  <c r="AU202" i="4" s="1"/>
  <c r="AO26" i="4"/>
  <c r="AP42" i="4"/>
  <c r="AG169" i="4"/>
  <c r="AG168" i="4"/>
  <c r="AF168" i="4"/>
  <c r="AO2542" i="4"/>
  <c r="AE200" i="4"/>
  <c r="AF199" i="4"/>
  <c r="AG631" i="4"/>
  <c r="X1086" i="4"/>
  <c r="AG232" i="4"/>
  <c r="BQ363" i="4"/>
  <c r="X122" i="4"/>
  <c r="X347" i="4"/>
  <c r="X262" i="4"/>
  <c r="BQ115" i="4"/>
  <c r="AP128" i="4"/>
  <c r="AS144" i="4"/>
  <c r="X116" i="4"/>
  <c r="BP130" i="4"/>
  <c r="X143" i="4"/>
  <c r="AO116" i="4"/>
  <c r="X145" i="4"/>
  <c r="X283" i="4"/>
  <c r="X926" i="4"/>
  <c r="BP921" i="4"/>
  <c r="X948" i="4"/>
  <c r="W920" i="4"/>
  <c r="W928" i="4"/>
  <c r="BT928" i="4"/>
  <c r="X880" i="4"/>
  <c r="W890" i="4"/>
  <c r="W2398" i="4"/>
  <c r="AF2357" i="4"/>
  <c r="X2412" i="4"/>
  <c r="W809" i="4"/>
  <c r="X1703" i="4"/>
  <c r="AP2359" i="4"/>
  <c r="W1324" i="4"/>
  <c r="X2401" i="4"/>
  <c r="AP847" i="4"/>
  <c r="AP849" i="4"/>
  <c r="BQ617" i="4"/>
  <c r="AP596" i="4"/>
  <c r="BQ212" i="4"/>
  <c r="BP212" i="4"/>
  <c r="BH153" i="4"/>
  <c r="AO883" i="4"/>
  <c r="W620" i="4"/>
  <c r="X590" i="4"/>
  <c r="W590" i="4"/>
  <c r="W605" i="4"/>
  <c r="X605" i="4"/>
  <c r="X614" i="4"/>
  <c r="W614" i="4"/>
  <c r="AP619" i="4"/>
  <c r="AO619" i="4"/>
  <c r="X2466" i="4"/>
  <c r="X2451" i="4"/>
  <c r="W2451" i="4"/>
  <c r="W2472" i="4"/>
  <c r="X2472" i="4"/>
  <c r="AP2516" i="4"/>
  <c r="X2607" i="4"/>
  <c r="W2518" i="4"/>
  <c r="X2518" i="4"/>
  <c r="W2534" i="4"/>
  <c r="X2534" i="4"/>
  <c r="W2543" i="4"/>
  <c r="X2543" i="4"/>
  <c r="X2592" i="4"/>
  <c r="X2576" i="4"/>
  <c r="W2639" i="4"/>
  <c r="X2639" i="4"/>
  <c r="W2483" i="4"/>
  <c r="X2483" i="4"/>
  <c r="X724" i="4"/>
  <c r="W764" i="4"/>
  <c r="X764" i="4"/>
  <c r="X755" i="4"/>
  <c r="X916" i="4"/>
  <c r="X806" i="4"/>
  <c r="W812" i="4"/>
  <c r="X812" i="4"/>
  <c r="X897" i="4"/>
  <c r="W897" i="4"/>
  <c r="X933" i="4"/>
  <c r="X973" i="4"/>
  <c r="W982" i="4"/>
  <c r="X956" i="4"/>
  <c r="X964" i="4"/>
  <c r="W1909" i="4"/>
  <c r="W1931" i="4"/>
  <c r="X1930" i="4"/>
  <c r="X990" i="4"/>
  <c r="W976" i="4"/>
  <c r="X976" i="4"/>
  <c r="W1919" i="4"/>
  <c r="X1919" i="4"/>
  <c r="X1971" i="4"/>
  <c r="X1977" i="4"/>
  <c r="X2352" i="4"/>
  <c r="W1983" i="4"/>
  <c r="X1983" i="4"/>
  <c r="X2108" i="4"/>
  <c r="W2211" i="4"/>
  <c r="X2114" i="4"/>
  <c r="X2056" i="4"/>
  <c r="X2063" i="4"/>
  <c r="W2063" i="4"/>
  <c r="W2008" i="4"/>
  <c r="X2008" i="4"/>
  <c r="X2173" i="4"/>
  <c r="W2135" i="4"/>
  <c r="X2135" i="4"/>
  <c r="W2231" i="4"/>
  <c r="X2231" i="4"/>
  <c r="W2265" i="4"/>
  <c r="X2265" i="4"/>
  <c r="W2079" i="4"/>
  <c r="X2079" i="4"/>
  <c r="W2198" i="4"/>
  <c r="X2198" i="4"/>
  <c r="W2121" i="4"/>
  <c r="X2121" i="4"/>
  <c r="W2326" i="4"/>
  <c r="X2326" i="4"/>
  <c r="W2144" i="4"/>
  <c r="X2144" i="4"/>
  <c r="X2297" i="4"/>
  <c r="W2297" i="4"/>
  <c r="X2123" i="4"/>
  <c r="W2136" i="4"/>
  <c r="X2136" i="4"/>
  <c r="W2077" i="4"/>
  <c r="X2077" i="4"/>
  <c r="W2074" i="4"/>
  <c r="X2074" i="4"/>
  <c r="X2110" i="4"/>
  <c r="W2110" i="4"/>
  <c r="W2314" i="4"/>
  <c r="X2314" i="4"/>
  <c r="W2034" i="4"/>
  <c r="X2034" i="4"/>
  <c r="W1380" i="4"/>
  <c r="X1800" i="4"/>
  <c r="X1131" i="4"/>
  <c r="X1072" i="4"/>
  <c r="W1809" i="4"/>
  <c r="X1809" i="4"/>
  <c r="X1207" i="4"/>
  <c r="W1207" i="4"/>
  <c r="W1424" i="4"/>
  <c r="X1424" i="4"/>
  <c r="W1901" i="4"/>
  <c r="X1901" i="4"/>
  <c r="W1528" i="4"/>
  <c r="X1528" i="4"/>
  <c r="X1496" i="4"/>
  <c r="X1772" i="4"/>
  <c r="W1772" i="4"/>
  <c r="W1747" i="4"/>
  <c r="X1747" i="4"/>
  <c r="W1158" i="4"/>
  <c r="X1158" i="4"/>
  <c r="AA144" i="4"/>
  <c r="X695" i="4"/>
  <c r="W695" i="4"/>
  <c r="X2462" i="4"/>
  <c r="W2462" i="4"/>
  <c r="X2503" i="4"/>
  <c r="W2503" i="4"/>
  <c r="W2500" i="4"/>
  <c r="X2500" i="4"/>
  <c r="X2510" i="4"/>
  <c r="W2593" i="4"/>
  <c r="X2593" i="4"/>
  <c r="X2623" i="4"/>
  <c r="W2623" i="4"/>
  <c r="X2617" i="4"/>
  <c r="W2617" i="4"/>
  <c r="W647" i="4"/>
  <c r="AD6" i="4"/>
  <c r="AM2425" i="4"/>
  <c r="W203" i="4"/>
  <c r="AW6" i="4"/>
  <c r="X168" i="4"/>
  <c r="AN2650" i="4"/>
  <c r="AE366" i="4"/>
  <c r="BP251" i="4"/>
  <c r="AX113" i="4"/>
  <c r="X126" i="4"/>
  <c r="W499" i="4"/>
  <c r="BQ880" i="4"/>
  <c r="W2351" i="4"/>
  <c r="AO840" i="4"/>
  <c r="AP867" i="4"/>
  <c r="X362" i="4"/>
  <c r="X2635" i="4"/>
  <c r="X2612" i="4"/>
  <c r="W2612" i="4"/>
  <c r="W2572" i="4"/>
  <c r="X2572" i="4"/>
  <c r="X702" i="4"/>
  <c r="W702" i="4"/>
  <c r="W813" i="4"/>
  <c r="X813" i="4"/>
  <c r="W828" i="4"/>
  <c r="X828" i="4"/>
  <c r="W2389" i="4"/>
  <c r="X2389" i="4"/>
  <c r="W2414" i="4"/>
  <c r="X2414" i="4"/>
  <c r="X2264" i="4"/>
  <c r="W2264" i="4"/>
  <c r="W2282" i="4"/>
  <c r="X2282" i="4"/>
  <c r="W2026" i="4"/>
  <c r="X2026" i="4"/>
  <c r="W2202" i="4"/>
  <c r="X2202" i="4"/>
  <c r="W1547" i="4"/>
  <c r="X1547" i="4"/>
  <c r="W1035" i="4"/>
  <c r="X1035" i="4"/>
  <c r="W1364" i="4"/>
  <c r="X1364" i="4"/>
  <c r="W1311" i="4"/>
  <c r="X1311" i="4"/>
  <c r="W1027" i="4"/>
  <c r="X1027" i="4"/>
  <c r="AO838" i="4"/>
  <c r="AP838" i="4"/>
  <c r="AO857" i="4"/>
  <c r="AP857" i="4"/>
  <c r="X2441" i="4"/>
  <c r="W2441" i="4"/>
  <c r="W2533" i="4"/>
  <c r="X2533" i="4"/>
  <c r="AM2650" i="4"/>
  <c r="AO2490" i="4"/>
  <c r="AO2484" i="4"/>
  <c r="X887" i="4"/>
  <c r="AP676" i="4"/>
  <c r="W925" i="4"/>
  <c r="X925" i="4"/>
  <c r="X1405" i="4"/>
  <c r="AP854" i="4"/>
  <c r="AO854" i="4"/>
  <c r="BQ292" i="4"/>
  <c r="BP292" i="4"/>
  <c r="X2522" i="4"/>
  <c r="W877" i="4"/>
  <c r="W1994" i="4"/>
  <c r="X1994" i="4"/>
  <c r="X2460" i="4"/>
  <c r="W2460" i="4"/>
  <c r="X2539" i="4"/>
  <c r="X2548" i="4"/>
  <c r="W2548" i="4"/>
  <c r="W706" i="4"/>
  <c r="X706" i="4"/>
  <c r="X1972" i="4"/>
  <c r="W1972" i="4"/>
  <c r="W1956" i="4"/>
  <c r="X1956" i="4"/>
  <c r="W1968" i="4"/>
  <c r="X1968" i="4"/>
  <c r="X1307" i="4"/>
  <c r="W1307" i="4"/>
  <c r="W1129" i="4"/>
  <c r="X1129" i="4"/>
  <c r="W1557" i="4"/>
  <c r="X1557" i="4"/>
  <c r="W1520" i="4"/>
  <c r="X1520" i="4"/>
  <c r="W1261" i="4"/>
  <c r="X1261" i="4"/>
  <c r="W1163" i="4"/>
  <c r="X1163" i="4"/>
  <c r="W1238" i="4"/>
  <c r="X1238" i="4"/>
  <c r="X1275" i="4"/>
  <c r="W1275" i="4"/>
  <c r="W1607" i="4"/>
  <c r="X1607" i="4"/>
  <c r="W1126" i="4"/>
  <c r="X1126" i="4"/>
  <c r="W1834" i="4"/>
  <c r="X1834" i="4"/>
  <c r="W1736" i="4"/>
  <c r="X1736" i="4"/>
  <c r="W1652" i="4"/>
  <c r="X1652" i="4"/>
  <c r="W1082" i="4"/>
  <c r="X1082" i="4"/>
  <c r="W1845" i="4"/>
  <c r="X1845" i="4"/>
  <c r="W1012" i="4"/>
  <c r="X1012" i="4"/>
  <c r="W1256" i="4"/>
  <c r="X1256" i="4"/>
  <c r="W1315" i="4"/>
  <c r="X1315" i="4"/>
  <c r="W1198" i="4"/>
  <c r="X1198" i="4"/>
  <c r="X1169" i="4"/>
  <c r="W1169" i="4"/>
  <c r="W1141" i="4"/>
  <c r="X1141" i="4"/>
  <c r="W1106" i="4"/>
  <c r="X1106" i="4"/>
  <c r="W1188" i="4"/>
  <c r="X1188" i="4"/>
  <c r="W1434" i="4"/>
  <c r="X1434" i="4"/>
  <c r="X1099" i="4"/>
  <c r="W1099" i="4"/>
  <c r="X1471" i="4"/>
  <c r="W1471" i="4"/>
  <c r="W1193" i="4"/>
  <c r="X1193" i="4"/>
  <c r="X1300" i="4"/>
  <c r="W1300" i="4"/>
  <c r="W1714" i="4"/>
  <c r="X1714" i="4"/>
  <c r="X1334" i="4"/>
  <c r="W1334" i="4"/>
  <c r="W1516" i="4"/>
  <c r="X1516" i="4"/>
  <c r="W1821" i="4"/>
  <c r="X1821" i="4"/>
  <c r="W1448" i="4"/>
  <c r="X1448" i="4"/>
  <c r="W173" i="4"/>
  <c r="V168" i="4"/>
  <c r="Z168" i="4" s="1"/>
  <c r="X160" i="4"/>
  <c r="AX6" i="4"/>
  <c r="BQ376" i="4"/>
  <c r="AP210" i="4"/>
  <c r="W323" i="4"/>
  <c r="BP265" i="4"/>
  <c r="X127" i="4"/>
  <c r="W945" i="4"/>
  <c r="BT951" i="4"/>
  <c r="X919" i="4"/>
  <c r="BQ879" i="4"/>
  <c r="BP882" i="4"/>
  <c r="BQ890" i="4"/>
  <c r="X2398" i="4"/>
  <c r="AG2355" i="4"/>
  <c r="BQ1923" i="4"/>
  <c r="X866" i="4"/>
  <c r="W2526" i="4"/>
  <c r="AO863" i="4"/>
  <c r="AP859" i="4"/>
  <c r="BQ2384" i="4"/>
  <c r="BQ707" i="4"/>
  <c r="AP836" i="4"/>
  <c r="AP839" i="4"/>
  <c r="AP841" i="4"/>
  <c r="AP848" i="4"/>
  <c r="AP850" i="4"/>
  <c r="AP852" i="4"/>
  <c r="AG70" i="4"/>
  <c r="AF70" i="4"/>
  <c r="BQ1656" i="4"/>
  <c r="BP1656" i="4"/>
  <c r="BQ609" i="4"/>
  <c r="BP609" i="4"/>
  <c r="X2456" i="4"/>
  <c r="X2461" i="4"/>
  <c r="W2461" i="4"/>
  <c r="W2496" i="4"/>
  <c r="X2496" i="4"/>
  <c r="X2541" i="4"/>
  <c r="X2587" i="4"/>
  <c r="W2583" i="4"/>
  <c r="X2583" i="4"/>
  <c r="W2604" i="4"/>
  <c r="X2604" i="4"/>
  <c r="W2562" i="4"/>
  <c r="X2562" i="4"/>
  <c r="W2474" i="4"/>
  <c r="X698" i="4"/>
  <c r="X763" i="4"/>
  <c r="X810" i="4"/>
  <c r="X807" i="4"/>
  <c r="W777" i="4"/>
  <c r="X777" i="4"/>
  <c r="X772" i="4"/>
  <c r="X841" i="4"/>
  <c r="W841" i="4"/>
  <c r="X868" i="4"/>
  <c r="W868" i="4"/>
  <c r="X914" i="4"/>
  <c r="W914" i="4"/>
  <c r="X944" i="4"/>
  <c r="W944" i="4"/>
  <c r="X904" i="4"/>
  <c r="X963" i="4"/>
  <c r="W999" i="4"/>
  <c r="W974" i="4"/>
  <c r="W965" i="4"/>
  <c r="X965" i="4"/>
  <c r="W997" i="4"/>
  <c r="X997" i="4"/>
  <c r="W1927" i="4"/>
  <c r="X1927" i="4"/>
  <c r="W1939" i="4"/>
  <c r="X1939" i="4"/>
  <c r="X1955" i="4"/>
  <c r="W1955" i="4"/>
  <c r="X1964" i="4"/>
  <c r="X2383" i="4"/>
  <c r="W2383" i="4"/>
  <c r="X2374" i="4"/>
  <c r="W2374" i="4"/>
  <c r="X2195" i="4"/>
  <c r="W2073" i="4"/>
  <c r="X2073" i="4"/>
  <c r="X2139" i="4"/>
  <c r="W2139" i="4"/>
  <c r="W2330" i="4"/>
  <c r="X2330" i="4"/>
  <c r="W2116" i="4"/>
  <c r="X2116" i="4"/>
  <c r="W2031" i="4"/>
  <c r="X2031" i="4"/>
  <c r="X2004" i="4"/>
  <c r="W2004" i="4"/>
  <c r="W2167" i="4"/>
  <c r="X2167" i="4"/>
  <c r="W2117" i="4"/>
  <c r="X2117" i="4"/>
  <c r="W2092" i="4"/>
  <c r="X2092" i="4"/>
  <c r="W2206" i="4"/>
  <c r="X2206" i="4"/>
  <c r="X1853" i="4"/>
  <c r="X1551" i="4"/>
  <c r="X1767" i="4"/>
  <c r="W1724" i="4"/>
  <c r="W1635" i="4"/>
  <c r="X1635" i="4"/>
  <c r="X1518" i="4"/>
  <c r="W1518" i="4"/>
  <c r="X1811" i="4"/>
  <c r="W1811" i="4"/>
  <c r="W1045" i="4"/>
  <c r="X1045" i="4"/>
  <c r="W1612" i="4"/>
  <c r="X1612" i="4"/>
  <c r="X1564" i="4"/>
  <c r="W1530" i="4"/>
  <c r="X1530" i="4"/>
  <c r="X1180" i="4"/>
  <c r="W1180" i="4"/>
  <c r="X1150" i="4"/>
  <c r="W1150" i="4"/>
  <c r="W1222" i="4"/>
  <c r="X1222" i="4"/>
  <c r="X1274" i="4"/>
  <c r="X337" i="4"/>
  <c r="X615" i="4"/>
  <c r="W2592" i="4"/>
  <c r="X774" i="4"/>
  <c r="X776" i="4"/>
  <c r="X766" i="4"/>
  <c r="X769" i="4"/>
  <c r="X2045" i="4"/>
  <c r="X2132" i="4"/>
  <c r="X2187" i="4"/>
  <c r="X2175" i="4"/>
  <c r="X2329" i="4"/>
  <c r="X2341" i="4"/>
  <c r="X2024" i="4"/>
  <c r="X2049" i="4"/>
  <c r="X2168" i="4"/>
  <c r="X2112" i="4"/>
  <c r="W2334" i="4"/>
  <c r="X2334" i="4"/>
  <c r="W2207" i="4"/>
  <c r="X2207" i="4"/>
  <c r="W2100" i="4"/>
  <c r="X2100" i="4"/>
  <c r="W2284" i="4"/>
  <c r="X2284" i="4"/>
  <c r="W2164" i="4"/>
  <c r="X2164" i="4"/>
  <c r="X2343" i="4"/>
  <c r="W2343" i="4"/>
  <c r="X2013" i="4"/>
  <c r="W2013" i="4"/>
  <c r="W2181" i="4"/>
  <c r="X2181" i="4"/>
  <c r="W1478" i="4"/>
  <c r="X1478" i="4"/>
  <c r="X1523" i="4"/>
  <c r="W1523" i="4"/>
  <c r="X1104" i="4"/>
  <c r="W1104" i="4"/>
  <c r="X1826" i="4"/>
  <c r="X1428" i="4"/>
  <c r="W1136" i="4"/>
  <c r="X1136" i="4"/>
  <c r="X1818" i="4"/>
  <c r="X1771" i="4"/>
  <c r="X1322" i="4"/>
  <c r="W1678" i="4"/>
  <c r="X1678" i="4"/>
  <c r="W1761" i="4"/>
  <c r="X1761" i="4"/>
  <c r="X1249" i="4"/>
  <c r="W1249" i="4"/>
  <c r="X1527" i="4"/>
  <c r="W1527" i="4"/>
  <c r="X1155" i="4"/>
  <c r="W1155" i="4"/>
  <c r="BQ701" i="4"/>
  <c r="BP701" i="4"/>
  <c r="W1175" i="4"/>
  <c r="X1175" i="4"/>
  <c r="W1806" i="4"/>
  <c r="X1806" i="4"/>
  <c r="W1213" i="4"/>
  <c r="X1213" i="4"/>
  <c r="W1437" i="4"/>
  <c r="X1437" i="4"/>
  <c r="W1584" i="4"/>
  <c r="X1584" i="4"/>
  <c r="W1543" i="4"/>
  <c r="X1543" i="4"/>
  <c r="W1814" i="4"/>
  <c r="X1814" i="4"/>
  <c r="W1632" i="4"/>
  <c r="X1632" i="4"/>
  <c r="AP856" i="4"/>
  <c r="AP858" i="4"/>
  <c r="AP860" i="4"/>
  <c r="AP865" i="4"/>
  <c r="AP870" i="4"/>
  <c r="X704" i="4"/>
  <c r="X707" i="4"/>
  <c r="X760" i="4"/>
  <c r="X827" i="4"/>
  <c r="X829" i="4"/>
  <c r="X819" i="4"/>
  <c r="X2277" i="4"/>
  <c r="X2169" i="4"/>
  <c r="X2217" i="4"/>
  <c r="X2152" i="4"/>
  <c r="X2222" i="4"/>
  <c r="X2190" i="4"/>
  <c r="W2148" i="4"/>
  <c r="X2148" i="4"/>
  <c r="X2076" i="4"/>
  <c r="W2076" i="4"/>
  <c r="W2147" i="4"/>
  <c r="X2147" i="4"/>
  <c r="X1995" i="4"/>
  <c r="W1995" i="4"/>
  <c r="X2003" i="4"/>
  <c r="W2003" i="4"/>
  <c r="W2138" i="4"/>
  <c r="X2138" i="4"/>
  <c r="W2251" i="4"/>
  <c r="X2251" i="4"/>
  <c r="X1017" i="4"/>
  <c r="W1017" i="4"/>
  <c r="W1183" i="4"/>
  <c r="X1183" i="4"/>
  <c r="W1472" i="4"/>
  <c r="X1472" i="4"/>
  <c r="W1735" i="4"/>
  <c r="X1735" i="4"/>
  <c r="W1686" i="4"/>
  <c r="X1686" i="4"/>
  <c r="X1015" i="4"/>
  <c r="W1015" i="4"/>
  <c r="X1308" i="4"/>
  <c r="W1369" i="4"/>
  <c r="X1369" i="4"/>
  <c r="X1843" i="4"/>
  <c r="W1843" i="4"/>
  <c r="X1744" i="4"/>
  <c r="W1744" i="4"/>
  <c r="X1748" i="4"/>
  <c r="W1748" i="4"/>
  <c r="X1654" i="4"/>
  <c r="W1654" i="4"/>
  <c r="X1596" i="4"/>
  <c r="W1596" i="4"/>
  <c r="W1292" i="4"/>
  <c r="X1292" i="4"/>
  <c r="W1539" i="4"/>
  <c r="X1539" i="4"/>
  <c r="X1841" i="4"/>
  <c r="W1841" i="4"/>
  <c r="X1670" i="4"/>
  <c r="W1670" i="4"/>
  <c r="X1251" i="4"/>
  <c r="W1251" i="4"/>
  <c r="W1265" i="4"/>
  <c r="X1265" i="4"/>
  <c r="W2337" i="4"/>
  <c r="X2337" i="4"/>
  <c r="AX333" i="4"/>
  <c r="AY333" i="4"/>
  <c r="W1822" i="4"/>
  <c r="X1822" i="4"/>
  <c r="X1066" i="4"/>
  <c r="W1066" i="4"/>
  <c r="W1588" i="4"/>
  <c r="X1588" i="4"/>
  <c r="W1749" i="4"/>
  <c r="X1749" i="4"/>
  <c r="X1718" i="4"/>
  <c r="W1718" i="4"/>
  <c r="W1302" i="4"/>
  <c r="X1302" i="4"/>
  <c r="X2293" i="4"/>
  <c r="X2223" i="4"/>
  <c r="X2159" i="4"/>
  <c r="X2215" i="4"/>
  <c r="X2107" i="4"/>
  <c r="X2029" i="4"/>
  <c r="X2245" i="4"/>
  <c r="X2059" i="4"/>
  <c r="X2075" i="4"/>
  <c r="X2083" i="4"/>
  <c r="X2246" i="4"/>
  <c r="X2014" i="4"/>
  <c r="X2007" i="4"/>
  <c r="W1308" i="4"/>
  <c r="X1299" i="4"/>
  <c r="W1089" i="4"/>
  <c r="X1089" i="4"/>
  <c r="W1174" i="4"/>
  <c r="X1174" i="4"/>
  <c r="W1623" i="4"/>
  <c r="W1644" i="4"/>
  <c r="X1644" i="4"/>
  <c r="X1794" i="4"/>
  <c r="W1794" i="4"/>
  <c r="X340" i="4"/>
  <c r="W340" i="4"/>
  <c r="X811" i="4"/>
  <c r="BQ333" i="4"/>
  <c r="BP333" i="4"/>
  <c r="W1376" i="4"/>
  <c r="X1376" i="4"/>
  <c r="X1723" i="4"/>
  <c r="W1723" i="4"/>
  <c r="X1067" i="4"/>
  <c r="W1067" i="4"/>
  <c r="W1133" i="4"/>
  <c r="X1133" i="4"/>
  <c r="X1602" i="4"/>
  <c r="W1602" i="4"/>
  <c r="X1441" i="4"/>
  <c r="X1825" i="4"/>
  <c r="W1226" i="4"/>
  <c r="X1226" i="4"/>
  <c r="X1146" i="4"/>
  <c r="W1477" i="4"/>
  <c r="X1477" i="4"/>
  <c r="W1883" i="4"/>
  <c r="X1883" i="4"/>
  <c r="X1241" i="4"/>
  <c r="W1241" i="4"/>
  <c r="W1313" i="4"/>
  <c r="X1313" i="4"/>
  <c r="X1700" i="4"/>
  <c r="W1541" i="4"/>
  <c r="X1541" i="4"/>
  <c r="X1190" i="4"/>
  <c r="W1239" i="4"/>
  <c r="X1239" i="4"/>
  <c r="W1580" i="4"/>
  <c r="X1580" i="4"/>
  <c r="X2000" i="4"/>
  <c r="X2166" i="4"/>
  <c r="X2119" i="4"/>
  <c r="X2214" i="4"/>
  <c r="X2081" i="4"/>
  <c r="X2232" i="4"/>
  <c r="X2302" i="4"/>
  <c r="X2268" i="4"/>
  <c r="X2278" i="4"/>
  <c r="X2165" i="4"/>
  <c r="X2048" i="4"/>
  <c r="X2248" i="4"/>
  <c r="X2276" i="4"/>
  <c r="W1179" i="4"/>
  <c r="X1179" i="4"/>
  <c r="W1117" i="4"/>
  <c r="X1117" i="4"/>
  <c r="W1350" i="4"/>
  <c r="X1350" i="4"/>
  <c r="W1590" i="4"/>
  <c r="X1590" i="4"/>
  <c r="W1234" i="4"/>
  <c r="X1234" i="4"/>
  <c r="W1026" i="4"/>
  <c r="X1026" i="4"/>
  <c r="W1388" i="4"/>
  <c r="X1388" i="4"/>
  <c r="X1157" i="4"/>
  <c r="W1030" i="4"/>
  <c r="X1030" i="4"/>
  <c r="W1185" i="4"/>
  <c r="X1185" i="4"/>
  <c r="W1782" i="4"/>
  <c r="X1782" i="4"/>
  <c r="X1550" i="4"/>
  <c r="W1550" i="4"/>
  <c r="X1808" i="4"/>
  <c r="W1808" i="4"/>
  <c r="W1556" i="4"/>
  <c r="X1556" i="4"/>
  <c r="X1568" i="4"/>
  <c r="W1568" i="4"/>
  <c r="W1587" i="4"/>
  <c r="X1587" i="4"/>
  <c r="W1669" i="4"/>
  <c r="X1669" i="4"/>
  <c r="W1719" i="4"/>
  <c r="X1719" i="4"/>
  <c r="W1762" i="4"/>
  <c r="X1762" i="4"/>
  <c r="X1898" i="4"/>
  <c r="W1898" i="4"/>
  <c r="W1402" i="4"/>
  <c r="X1402" i="4"/>
  <c r="X1720" i="4"/>
  <c r="W1720" i="4"/>
  <c r="X1522" i="4"/>
  <c r="W1522" i="4"/>
  <c r="W1578" i="4"/>
  <c r="X1578" i="4"/>
  <c r="W1708" i="4"/>
  <c r="X1708" i="4"/>
  <c r="W1871" i="4"/>
  <c r="X1871" i="4"/>
  <c r="X1153" i="4"/>
  <c r="W1510" i="4"/>
  <c r="X1510" i="4"/>
  <c r="W1815" i="4"/>
  <c r="X1815" i="4"/>
  <c r="W1536" i="4"/>
  <c r="X1536" i="4"/>
  <c r="X1194" i="4"/>
  <c r="W1499" i="4"/>
  <c r="X1499" i="4"/>
  <c r="W1403" i="4"/>
  <c r="X1403" i="4"/>
  <c r="W1160" i="4"/>
  <c r="W1813" i="4"/>
  <c r="X1813" i="4"/>
  <c r="X1253" i="4"/>
  <c r="W1283" i="4"/>
  <c r="X1283" i="4"/>
  <c r="W1805" i="4"/>
  <c r="X1805" i="4"/>
  <c r="W1803" i="4"/>
  <c r="X1803" i="4"/>
  <c r="X1352" i="4"/>
  <c r="W1377" i="4"/>
  <c r="X1377" i="4"/>
  <c r="W1071" i="4"/>
  <c r="X1071" i="4"/>
  <c r="W1028" i="4"/>
  <c r="X1028" i="4"/>
  <c r="X1085" i="4"/>
  <c r="W1391" i="4"/>
  <c r="X1391" i="4"/>
  <c r="W1432" i="4"/>
  <c r="X1432" i="4"/>
  <c r="W1575" i="4"/>
  <c r="X1575" i="4"/>
  <c r="W1165" i="4"/>
  <c r="X1165" i="4"/>
  <c r="X1368" i="4"/>
  <c r="W1368" i="4"/>
  <c r="W1476" i="4"/>
  <c r="X1476" i="4"/>
  <c r="W1780" i="4"/>
  <c r="X1780" i="4"/>
  <c r="W1486" i="4"/>
  <c r="X1486" i="4"/>
  <c r="X2674" i="4"/>
  <c r="W2674" i="4"/>
  <c r="X205" i="4"/>
  <c r="W205" i="4"/>
  <c r="W305" i="4"/>
  <c r="X305" i="4"/>
  <c r="BP604" i="4"/>
  <c r="BQ604" i="4"/>
  <c r="X1329" i="4"/>
  <c r="W1638" i="4"/>
  <c r="X1638" i="4"/>
  <c r="W1122" i="4"/>
  <c r="X1122" i="4"/>
  <c r="X1039" i="4"/>
  <c r="W1039" i="4"/>
  <c r="X1648" i="4"/>
  <c r="W1648" i="4"/>
  <c r="X1868" i="4"/>
  <c r="W1868" i="4"/>
  <c r="W1349" i="4"/>
  <c r="X1349" i="4"/>
  <c r="W1442" i="4"/>
  <c r="X1442" i="4"/>
  <c r="X1389" i="4"/>
  <c r="W1785" i="4"/>
  <c r="X1785" i="4"/>
  <c r="W1631" i="4"/>
  <c r="X1631" i="4"/>
  <c r="W1423" i="4"/>
  <c r="X1423" i="4"/>
  <c r="W1316" i="4"/>
  <c r="X1316" i="4"/>
  <c r="W1451" i="4"/>
  <c r="X1451" i="4"/>
  <c r="W1732" i="4"/>
  <c r="X1732" i="4"/>
  <c r="W2671" i="4"/>
  <c r="X2671" i="4"/>
  <c r="X303" i="4"/>
  <c r="W303" i="4"/>
  <c r="W307" i="4"/>
  <c r="X307" i="4"/>
  <c r="AP238" i="4"/>
  <c r="AO238" i="4"/>
  <c r="BQ297" i="4"/>
  <c r="BP297" i="4"/>
  <c r="X1246" i="4"/>
  <c r="W1212" i="4"/>
  <c r="X1212" i="4"/>
  <c r="W1886" i="4"/>
  <c r="X1886" i="4"/>
  <c r="W1760" i="4"/>
  <c r="X1760" i="4"/>
  <c r="W1757" i="4"/>
  <c r="X1757" i="4"/>
  <c r="X1694" i="4"/>
  <c r="X1230" i="4"/>
  <c r="W1230" i="4"/>
  <c r="X1699" i="4"/>
  <c r="W1699" i="4"/>
  <c r="X1127" i="4"/>
  <c r="W1127" i="4"/>
  <c r="BQ374" i="4"/>
  <c r="BQ303" i="4"/>
  <c r="BQ381" i="4"/>
  <c r="W2634" i="4"/>
  <c r="X2634" i="4"/>
  <c r="AP231" i="4"/>
  <c r="BP231" i="4"/>
  <c r="BQ620" i="4"/>
  <c r="X1395" i="4"/>
  <c r="W1395" i="4"/>
  <c r="W1515" i="4"/>
  <c r="X1515" i="4"/>
  <c r="W1863" i="4"/>
  <c r="X1863" i="4"/>
  <c r="W1850" i="4"/>
  <c r="X1850" i="4"/>
  <c r="X1100" i="4"/>
  <c r="W1100" i="4"/>
  <c r="W1306" i="4"/>
  <c r="X1306" i="4"/>
  <c r="X1339" i="4"/>
  <c r="W1339" i="4"/>
  <c r="W320" i="4"/>
  <c r="X320" i="4"/>
  <c r="AF2668" i="4"/>
  <c r="AF2650" i="4" s="1"/>
  <c r="AG2668" i="4"/>
  <c r="AG2650" i="4" s="1"/>
  <c r="X2504" i="4"/>
  <c r="W2504" i="4"/>
  <c r="BH425" i="4"/>
  <c r="BG425" i="4"/>
  <c r="BP214" i="4"/>
  <c r="X376" i="4"/>
  <c r="X2544" i="4"/>
  <c r="X773" i="4"/>
  <c r="AO843" i="4"/>
  <c r="X768" i="4"/>
  <c r="X884" i="4"/>
  <c r="X613" i="4"/>
  <c r="AO861" i="4"/>
  <c r="AO853" i="4"/>
  <c r="X2243" i="4"/>
  <c r="W2301" i="4"/>
  <c r="X2301" i="4"/>
  <c r="W2160" i="4"/>
  <c r="X2160" i="4"/>
  <c r="W2303" i="4"/>
  <c r="X2303" i="4"/>
  <c r="W2051" i="4"/>
  <c r="X2051" i="4"/>
  <c r="X2161" i="4"/>
  <c r="W2218" i="4"/>
  <c r="X2218" i="4"/>
  <c r="W2015" i="4"/>
  <c r="X2015" i="4"/>
  <c r="W2238" i="4"/>
  <c r="W2155" i="4"/>
  <c r="X2156" i="4"/>
  <c r="W2329" i="4"/>
  <c r="X2205" i="4"/>
  <c r="X2131" i="4"/>
  <c r="X2109" i="4"/>
  <c r="X2091" i="4"/>
  <c r="X2096" i="4"/>
  <c r="X2099" i="4"/>
  <c r="X2145" i="4"/>
  <c r="X2328" i="4"/>
  <c r="X2194" i="4"/>
  <c r="W2169" i="4"/>
  <c r="W2193" i="4"/>
  <c r="W2347" i="4"/>
  <c r="X2261" i="4"/>
  <c r="X2141" i="4"/>
  <c r="X2127" i="4"/>
  <c r="W2069" i="4"/>
  <c r="X2069" i="4"/>
  <c r="X2280" i="4"/>
  <c r="W2280" i="4"/>
  <c r="X2224" i="4"/>
  <c r="W2224" i="4"/>
  <c r="W2327" i="4"/>
  <c r="X2327" i="4"/>
  <c r="W2258" i="4"/>
  <c r="X2258" i="4"/>
  <c r="X2317" i="4"/>
  <c r="X2172" i="4"/>
  <c r="X2020" i="4"/>
  <c r="W2346" i="4"/>
  <c r="X2346" i="4"/>
  <c r="X2322" i="4"/>
  <c r="W2322" i="4"/>
  <c r="X2240" i="4"/>
  <c r="W2240" i="4"/>
  <c r="W2062" i="4"/>
  <c r="X2062" i="4"/>
  <c r="X2199" i="4"/>
  <c r="X2027" i="4"/>
  <c r="X2058" i="4"/>
  <c r="W2126" i="4"/>
  <c r="X2126" i="4"/>
  <c r="W2249" i="4"/>
  <c r="X2249" i="4"/>
  <c r="W2053" i="4"/>
  <c r="X2053" i="4"/>
  <c r="W2229" i="4"/>
  <c r="X2229" i="4"/>
  <c r="W2070" i="4"/>
  <c r="X2070" i="4"/>
  <c r="W2260" i="4"/>
  <c r="X2260" i="4"/>
  <c r="W2179" i="4"/>
  <c r="X2179" i="4"/>
  <c r="W2335" i="4"/>
  <c r="X2335" i="4"/>
  <c r="X2270" i="4"/>
  <c r="W2270" i="4"/>
  <c r="W2342" i="4"/>
  <c r="X2342" i="4"/>
  <c r="W2349" i="4"/>
  <c r="X2349" i="4"/>
  <c r="X2325" i="4"/>
  <c r="X2039" i="4"/>
  <c r="W2190" i="4"/>
  <c r="X2288" i="4"/>
  <c r="X2212" i="4"/>
  <c r="W2212" i="4"/>
  <c r="X2209" i="4"/>
  <c r="W2209" i="4"/>
  <c r="X2163" i="4"/>
  <c r="W2163" i="4"/>
  <c r="X2125" i="4"/>
  <c r="W2094" i="4"/>
  <c r="X2094" i="4"/>
  <c r="X1998" i="4"/>
  <c r="W1998" i="4"/>
  <c r="X2305" i="4"/>
  <c r="W2305" i="4"/>
  <c r="W2014" i="4"/>
  <c r="X2130" i="4"/>
  <c r="W2088" i="4"/>
  <c r="X2088" i="4"/>
  <c r="X2030" i="4"/>
  <c r="W2030" i="4"/>
  <c r="W2286" i="4"/>
  <c r="X2286" i="4"/>
  <c r="X1999" i="4"/>
  <c r="W1999" i="4"/>
  <c r="BP144" i="4" l="1"/>
  <c r="X125" i="4"/>
  <c r="BT2402" i="4"/>
  <c r="BQ2402" i="4" s="1"/>
  <c r="AP951" i="4"/>
  <c r="AO951" i="4"/>
  <c r="X2402" i="4"/>
  <c r="BH951" i="4"/>
  <c r="BG951" i="4"/>
  <c r="BP922" i="4"/>
  <c r="BQ922" i="4"/>
  <c r="BQ926" i="4"/>
  <c r="BP926" i="4"/>
  <c r="W6" i="4"/>
  <c r="X2551" i="4"/>
  <c r="BP311" i="4"/>
  <c r="AP656" i="4"/>
  <c r="BG366" i="4"/>
  <c r="BP234" i="4"/>
  <c r="BQ2538" i="4"/>
  <c r="BQ2425" i="4" s="1"/>
  <c r="BU2429" i="4"/>
  <c r="BQ642" i="4"/>
  <c r="BQ366" i="4" s="1"/>
  <c r="BP2411" i="4"/>
  <c r="W2538" i="4"/>
  <c r="BP950" i="4"/>
  <c r="BH366" i="4"/>
  <c r="AO2650" i="4"/>
  <c r="BQ1924" i="4"/>
  <c r="AN6" i="4"/>
  <c r="BP918" i="4"/>
  <c r="BP2396" i="4"/>
  <c r="X2650" i="4"/>
  <c r="AO2425" i="4"/>
  <c r="AP2650" i="4"/>
  <c r="W2650" i="4"/>
  <c r="AF621" i="4"/>
  <c r="AF366" i="4" s="1"/>
  <c r="AG621" i="4"/>
  <c r="AG366" i="4" s="1"/>
  <c r="AP621" i="4"/>
  <c r="AO621" i="4"/>
  <c r="AO366" i="4" s="1"/>
  <c r="BQ901" i="4"/>
  <c r="BP901" i="4"/>
  <c r="X234" i="4"/>
  <c r="W234" i="4"/>
  <c r="AP2425" i="4"/>
  <c r="W366" i="4"/>
  <c r="BP366" i="4"/>
  <c r="BP951" i="4"/>
  <c r="BQ951" i="4"/>
  <c r="X6" i="4"/>
  <c r="W144" i="4"/>
  <c r="X144" i="4"/>
  <c r="BQ928" i="4"/>
  <c r="BP928" i="4"/>
  <c r="AP144" i="4"/>
  <c r="AO144" i="4"/>
  <c r="AF6" i="4"/>
  <c r="AO6" i="4"/>
  <c r="AB168" i="4"/>
  <c r="AC168" i="4" s="1"/>
  <c r="X366" i="4"/>
  <c r="BP2402" i="4" l="1"/>
  <c r="AP366" i="4"/>
  <c r="AG6" i="4"/>
  <c r="AP6" i="4"/>
  <c r="AS1991" i="4"/>
  <c r="AO1991" i="4" s="1"/>
  <c r="AP1991" i="4" l="1"/>
  <c r="AA696" i="4"/>
  <c r="W696" i="4" s="1"/>
  <c r="X696" i="4" l="1"/>
  <c r="AA2514" i="4"/>
  <c r="X2514" i="4" l="1"/>
  <c r="X2425" i="4" s="1"/>
  <c r="W2514" i="4"/>
  <c r="W2425"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Jørgen Villy Fenhann</author>
    <author>Jorgen Fenhann</author>
  </authors>
  <commentList>
    <comment ref="BN4" authorId="0" shapeId="0" xr:uid="{00000000-0006-0000-0100-000001000000}">
      <text>
        <r>
          <rPr>
            <sz val="8"/>
            <color indexed="81"/>
            <rFont val="Tahoma"/>
            <family val="2"/>
          </rPr>
          <t xml:space="preserve"> (average of CROADS and CAT)</t>
        </r>
      </text>
    </comment>
    <comment ref="AT12" authorId="0" shapeId="0" xr:uid="{00000000-0006-0000-0100-000002000000}">
      <text>
        <r>
          <rPr>
            <b/>
            <sz val="10"/>
            <color indexed="81"/>
            <rFont val="Tahoma"/>
            <family val="2"/>
          </rPr>
          <t>NDC1: Estimates from the curve in figure 3 - -19%</t>
        </r>
      </text>
    </comment>
    <comment ref="AU12" authorId="0" shapeId="0" xr:uid="{00000000-0006-0000-0100-000003000000}">
      <text>
        <r>
          <rPr>
            <b/>
            <sz val="10"/>
            <color indexed="81"/>
            <rFont val="Tahoma"/>
            <family val="2"/>
          </rPr>
          <t xml:space="preserve">NDC1: Estimates from the curve in figure 3.- -34%
</t>
        </r>
      </text>
    </comment>
    <comment ref="AK14" authorId="0" shapeId="0" xr:uid="{00000000-0006-0000-0100-000004000000}">
      <text>
        <r>
          <rPr>
            <b/>
            <sz val="9"/>
            <color indexed="81"/>
            <rFont val="Tahoma"/>
            <family val="2"/>
          </rPr>
          <t xml:space="preserve">-6.3% in NDC1
</t>
        </r>
      </text>
    </comment>
    <comment ref="AL14" authorId="0" shapeId="0" xr:uid="{00000000-0006-0000-0100-000005000000}">
      <text>
        <r>
          <rPr>
            <b/>
            <sz val="9"/>
            <color indexed="81"/>
            <rFont val="Tahoma"/>
            <family val="2"/>
          </rPr>
          <t>-17.5% in NDC1</t>
        </r>
      </text>
    </comment>
    <comment ref="AT14" authorId="0" shapeId="0" xr:uid="{00000000-0006-0000-0100-000006000000}">
      <text>
        <r>
          <rPr>
            <b/>
            <sz val="9"/>
            <color indexed="81"/>
            <rFont val="Tahoma"/>
            <family val="2"/>
          </rPr>
          <t xml:space="preserve">-6.6% in NDc1
</t>
        </r>
      </text>
    </comment>
    <comment ref="AU14" authorId="0" shapeId="0" xr:uid="{00000000-0006-0000-0100-000007000000}">
      <text>
        <r>
          <rPr>
            <b/>
            <sz val="9"/>
            <color indexed="81"/>
            <rFont val="Tahoma"/>
            <family val="2"/>
          </rPr>
          <t>-18.2% in NDc1</t>
        </r>
      </text>
    </comment>
    <comment ref="AT16" authorId="0" shapeId="0" xr:uid="{00000000-0006-0000-0100-000008000000}">
      <text>
        <r>
          <rPr>
            <b/>
            <sz val="9"/>
            <color indexed="81"/>
            <rFont val="Tahoma"/>
            <family val="2"/>
          </rPr>
          <t>-39.1% in NDC1</t>
        </r>
      </text>
    </comment>
    <comment ref="M28" authorId="0" shapeId="0" xr:uid="{00000000-0006-0000-0100-000009000000}">
      <text>
        <r>
          <rPr>
            <b/>
            <sz val="9"/>
            <color indexed="81"/>
            <rFont val="Tahoma"/>
            <family val="2"/>
          </rPr>
          <t xml:space="preserve">The INDC contains no GHG data except that emissions in 2010 was 6.7 t/capita. Since poplation in 2010 was 700.000 the emission was 4.7 Mt </t>
        </r>
      </text>
    </comment>
    <comment ref="Z29" authorId="0" shapeId="0" xr:uid="{00000000-0006-0000-0100-00000A000000}">
      <text>
        <r>
          <rPr>
            <b/>
            <sz val="9"/>
            <color indexed="81"/>
            <rFont val="Tahoma"/>
            <family val="2"/>
          </rPr>
          <t>BAU for CO2 from fossil fuels</t>
        </r>
      </text>
    </comment>
    <comment ref="AB29" authorId="0" shapeId="0" xr:uid="{00000000-0006-0000-0100-00000B000000}">
      <text>
        <r>
          <rPr>
            <b/>
            <sz val="9"/>
            <color indexed="81"/>
            <rFont val="Tahoma"/>
            <family val="2"/>
          </rPr>
          <t>Reduction of CO2 emissions from fossil fuels</t>
        </r>
      </text>
    </comment>
    <comment ref="AC29" authorId="0" shapeId="0" xr:uid="{00000000-0006-0000-0100-00000C000000}">
      <text>
        <r>
          <rPr>
            <b/>
            <sz val="9"/>
            <color indexed="81"/>
            <rFont val="Tahoma"/>
            <family val="2"/>
          </rPr>
          <t>Reduction of CO2 emissions from fossil fuels</t>
        </r>
      </text>
    </comment>
    <comment ref="AI29" authorId="0" shapeId="0" xr:uid="{00000000-0006-0000-0100-00000D000000}">
      <text>
        <r>
          <rPr>
            <b/>
            <sz val="9"/>
            <color indexed="81"/>
            <rFont val="Tahoma"/>
            <family val="2"/>
          </rPr>
          <t>BAU for CO2 from fossil fuels</t>
        </r>
      </text>
    </comment>
    <comment ref="AK29" authorId="0" shapeId="0" xr:uid="{00000000-0006-0000-0100-00000E000000}">
      <text>
        <r>
          <rPr>
            <b/>
            <sz val="9"/>
            <color indexed="81"/>
            <rFont val="Tahoma"/>
            <family val="2"/>
          </rPr>
          <t>Reduction of CO2 emissions from fossil fuels</t>
        </r>
      </text>
    </comment>
    <comment ref="AL29" authorId="0" shapeId="0" xr:uid="{00000000-0006-0000-0100-00000F000000}">
      <text>
        <r>
          <rPr>
            <b/>
            <sz val="9"/>
            <color indexed="81"/>
            <rFont val="Tahoma"/>
            <family val="2"/>
          </rPr>
          <t>Reduction of CO2 emissions from fossil fuels</t>
        </r>
      </text>
    </comment>
    <comment ref="AR29" authorId="0" shapeId="0" xr:uid="{00000000-0006-0000-0100-000010000000}">
      <text>
        <r>
          <rPr>
            <b/>
            <sz val="9"/>
            <color indexed="81"/>
            <rFont val="Tahoma"/>
            <family val="2"/>
          </rPr>
          <t>BAU for CO2 from fossil fuels</t>
        </r>
      </text>
    </comment>
    <comment ref="AT29" authorId="0" shapeId="0" xr:uid="{00000000-0006-0000-0100-000011000000}">
      <text>
        <r>
          <rPr>
            <b/>
            <sz val="9"/>
            <color indexed="81"/>
            <rFont val="Tahoma"/>
            <family val="2"/>
          </rPr>
          <t>Reduction of CO2 emissions from fossil fuels</t>
        </r>
      </text>
    </comment>
    <comment ref="AU29" authorId="0" shapeId="0" xr:uid="{00000000-0006-0000-0100-000012000000}">
      <text>
        <r>
          <rPr>
            <b/>
            <sz val="9"/>
            <color indexed="81"/>
            <rFont val="Tahoma"/>
            <family val="2"/>
          </rPr>
          <t>Reduction of CO2 emissions from fossil fuels</t>
        </r>
      </text>
    </comment>
    <comment ref="AE32" authorId="0" shapeId="0" xr:uid="{00000000-0006-0000-0100-000013000000}">
      <text>
        <r>
          <rPr>
            <b/>
            <sz val="9"/>
            <color indexed="81"/>
            <rFont val="Tahoma"/>
            <family val="2"/>
          </rPr>
          <t>Measured on figure 1</t>
        </r>
      </text>
    </comment>
    <comment ref="AT32" authorId="0" shapeId="0" xr:uid="{00000000-0006-0000-0100-000014000000}">
      <text>
        <r>
          <rPr>
            <b/>
            <sz val="9"/>
            <color indexed="81"/>
            <rFont val="Tahoma"/>
            <family val="2"/>
          </rPr>
          <t>Jørgen Villy Fenhann:</t>
        </r>
        <r>
          <rPr>
            <sz val="9"/>
            <color indexed="81"/>
            <rFont val="Tahoma"/>
            <family val="2"/>
          </rPr>
          <t xml:space="preserve">
45.4% in NDC1</t>
        </r>
      </text>
    </comment>
    <comment ref="AE33" authorId="0" shapeId="0" xr:uid="{00000000-0006-0000-0100-000015000000}">
      <text>
        <r>
          <rPr>
            <b/>
            <sz val="9"/>
            <color indexed="81"/>
            <rFont val="Tahoma"/>
            <family val="2"/>
          </rPr>
          <t>Measured on figure 1</t>
        </r>
      </text>
    </comment>
    <comment ref="AN33" authorId="0" shapeId="0" xr:uid="{00000000-0006-0000-0100-000016000000}">
      <text>
        <r>
          <rPr>
            <b/>
            <sz val="9"/>
            <color indexed="81"/>
            <rFont val="Tahoma"/>
            <family val="2"/>
          </rPr>
          <t>Measured on figure 1</t>
        </r>
      </text>
    </comment>
    <comment ref="AM36" authorId="0" shapeId="0" xr:uid="{00000000-0006-0000-0100-000017000000}">
      <text>
        <r>
          <rPr>
            <b/>
            <sz val="9"/>
            <color indexed="81"/>
            <rFont val="Tahoma"/>
            <family val="2"/>
          </rPr>
          <t>No numbers in NDC1</t>
        </r>
      </text>
    </comment>
    <comment ref="AU37" authorId="0" shapeId="0" xr:uid="{00000000-0006-0000-0100-000018000000}">
      <text>
        <r>
          <rPr>
            <b/>
            <sz val="9"/>
            <color indexed="81"/>
            <rFont val="Tahoma"/>
            <family val="2"/>
          </rPr>
          <t>-30% in NDC1</t>
        </r>
      </text>
    </comment>
    <comment ref="BO38" authorId="0" shapeId="0" xr:uid="{00000000-0006-0000-0100-000019000000}">
      <text>
        <r>
          <rPr>
            <b/>
            <sz val="9"/>
            <color indexed="81"/>
            <rFont val="Tahoma"/>
            <family val="2"/>
          </rPr>
          <t xml:space="preserve">per capita GHG in 2050 &lt; 2 tons
</t>
        </r>
      </text>
    </comment>
    <comment ref="AT40" authorId="0" shapeId="0" xr:uid="{00000000-0006-0000-0100-00001A000000}">
      <text>
        <r>
          <rPr>
            <b/>
            <sz val="9"/>
            <color indexed="81"/>
            <rFont val="Tahoma"/>
            <family val="2"/>
          </rPr>
          <t>Before 15% for both</t>
        </r>
      </text>
    </comment>
    <comment ref="AT42" authorId="0" shapeId="0" xr:uid="{00000000-0006-0000-0100-00001B000000}">
      <text>
        <r>
          <rPr>
            <b/>
            <sz val="9"/>
            <color indexed="81"/>
            <rFont val="Tahoma"/>
            <family val="2"/>
          </rPr>
          <t>In the unconditional the emission will decrease by 14%</t>
        </r>
      </text>
    </comment>
    <comment ref="AU42" authorId="0" shapeId="0" xr:uid="{00000000-0006-0000-0100-00001C000000}">
      <text>
        <r>
          <rPr>
            <b/>
            <sz val="9"/>
            <color indexed="81"/>
            <rFont val="Tahoma"/>
            <family val="2"/>
          </rPr>
          <t>In the conditional the absorption will increase by 32%</t>
        </r>
      </text>
    </comment>
    <comment ref="AT45" authorId="0" shapeId="0" xr:uid="{00000000-0006-0000-0100-00001D000000}">
      <text>
        <r>
          <rPr>
            <b/>
            <sz val="9"/>
            <color indexed="81"/>
            <rFont val="Tahoma"/>
            <family val="2"/>
          </rPr>
          <t xml:space="preserve">NDC1: -2.7%
</t>
        </r>
      </text>
    </comment>
    <comment ref="AU45" authorId="0" shapeId="0" xr:uid="{00000000-0006-0000-0100-00001E000000}">
      <text>
        <r>
          <rPr>
            <b/>
            <sz val="9"/>
            <color indexed="81"/>
            <rFont val="Tahoma"/>
            <family val="2"/>
          </rPr>
          <t>NDC1: -22.3%</t>
        </r>
      </text>
    </comment>
    <comment ref="AT46" authorId="0" shapeId="0" xr:uid="{00000000-0006-0000-0100-00001F000000}">
      <text>
        <r>
          <rPr>
            <b/>
            <sz val="9"/>
            <color indexed="81"/>
            <rFont val="Tahoma"/>
            <family val="2"/>
          </rPr>
          <t>Jørgen Villy Fenhann:</t>
        </r>
        <r>
          <rPr>
            <sz val="9"/>
            <color indexed="81"/>
            <rFont val="Tahoma"/>
            <family val="2"/>
          </rPr>
          <t xml:space="preserve">
In NDC1: 30%</t>
        </r>
      </text>
    </comment>
    <comment ref="AT47" authorId="0" shapeId="0" xr:uid="{00000000-0006-0000-0100-000020000000}">
      <text>
        <r>
          <rPr>
            <b/>
            <sz val="9"/>
            <color indexed="81"/>
            <rFont val="Tahoma"/>
            <family val="2"/>
          </rPr>
          <t>Jørgen Villy Fenhann:</t>
        </r>
        <r>
          <rPr>
            <sz val="9"/>
            <color indexed="81"/>
            <rFont val="Tahoma"/>
            <family val="2"/>
          </rPr>
          <t xml:space="preserve">
17.2% in NDC1
</t>
        </r>
      </text>
    </comment>
    <comment ref="AU47" authorId="0" shapeId="0" xr:uid="{00000000-0006-0000-0100-000021000000}">
      <text>
        <r>
          <rPr>
            <b/>
            <sz val="9"/>
            <color indexed="81"/>
            <rFont val="Tahoma"/>
            <family val="2"/>
          </rPr>
          <t>Jørgen Villy Fenhann:</t>
        </r>
        <r>
          <rPr>
            <sz val="9"/>
            <color indexed="81"/>
            <rFont val="Tahoma"/>
            <family val="2"/>
          </rPr>
          <t xml:space="preserve">
42.1% in NDC1</t>
        </r>
      </text>
    </comment>
    <comment ref="AT54" authorId="0" shapeId="0" xr:uid="{00000000-0006-0000-0100-000022000000}">
      <text>
        <r>
          <rPr>
            <b/>
            <sz val="9"/>
            <color indexed="81"/>
            <rFont val="Tahoma"/>
            <family val="2"/>
          </rPr>
          <t>89% for both before</t>
        </r>
      </text>
    </comment>
    <comment ref="AT56" authorId="0" shapeId="0" xr:uid="{00000000-0006-0000-0100-000023000000}">
      <text>
        <r>
          <rPr>
            <b/>
            <sz val="9"/>
            <color indexed="81"/>
            <rFont val="Tahoma"/>
            <family val="2"/>
          </rPr>
          <t>Jørgen Villy Fenhann:</t>
        </r>
        <r>
          <rPr>
            <sz val="9"/>
            <color indexed="81"/>
            <rFont val="Tahoma"/>
            <family val="2"/>
          </rPr>
          <t xml:space="preserve">
Same % as in NDC1 but wiyh half BAU</t>
        </r>
      </text>
    </comment>
    <comment ref="V61" authorId="0" shapeId="0" xr:uid="{00000000-0006-0000-0100-000024000000}">
      <text>
        <r>
          <rPr>
            <b/>
            <sz val="9"/>
            <color indexed="81"/>
            <rFont val="Tahoma"/>
            <family val="2"/>
          </rPr>
          <t xml:space="preserve">Measured from graph
</t>
        </r>
      </text>
    </comment>
    <comment ref="AK61" authorId="0" shapeId="0" xr:uid="{00000000-0006-0000-0100-000025000000}">
      <text>
        <r>
          <rPr>
            <b/>
            <sz val="9"/>
            <color indexed="81"/>
            <rFont val="Tahoma"/>
            <family val="2"/>
          </rPr>
          <t>-4% in NDC1</t>
        </r>
      </text>
    </comment>
    <comment ref="AL61" authorId="0" shapeId="0" xr:uid="{00000000-0006-0000-0100-000026000000}">
      <text>
        <r>
          <rPr>
            <b/>
            <sz val="9"/>
            <color indexed="81"/>
            <rFont val="Tahoma"/>
            <family val="2"/>
          </rPr>
          <t>-15% in NDC1</t>
        </r>
      </text>
    </comment>
    <comment ref="AT61" authorId="0" shapeId="0" xr:uid="{00000000-0006-0000-0100-000027000000}">
      <text>
        <r>
          <rPr>
            <b/>
            <sz val="9"/>
            <color indexed="81"/>
            <rFont val="Tahoma"/>
            <family val="2"/>
          </rPr>
          <t>-5% in NDC1</t>
        </r>
      </text>
    </comment>
    <comment ref="AU61" authorId="0" shapeId="0" xr:uid="{00000000-0006-0000-0100-000028000000}">
      <text>
        <r>
          <rPr>
            <b/>
            <sz val="9"/>
            <color indexed="81"/>
            <rFont val="Tahoma"/>
            <family val="2"/>
          </rPr>
          <t xml:space="preserve">-21% in NDC1
</t>
        </r>
      </text>
    </comment>
    <comment ref="AF65" authorId="0" shapeId="0" xr:uid="{00000000-0006-0000-0100-000029000000}">
      <text>
        <r>
          <rPr>
            <b/>
            <sz val="9"/>
            <color indexed="81"/>
            <rFont val="Tahoma"/>
            <family val="2"/>
          </rPr>
          <t>Jørgen Villy Fenhann:</t>
        </r>
        <r>
          <rPr>
            <sz val="9"/>
            <color indexed="81"/>
            <rFont val="Tahoma"/>
            <family val="2"/>
          </rPr>
          <t xml:space="preserve">
IN NDC1: 0.614</t>
        </r>
      </text>
    </comment>
    <comment ref="AG65" authorId="0" shapeId="0" xr:uid="{00000000-0006-0000-0100-00002A000000}">
      <text>
        <r>
          <rPr>
            <b/>
            <sz val="9"/>
            <color indexed="81"/>
            <rFont val="Tahoma"/>
            <family val="2"/>
          </rPr>
          <t>Jørgen Villy Fenhann:</t>
        </r>
        <r>
          <rPr>
            <sz val="9"/>
            <color indexed="81"/>
            <rFont val="Tahoma"/>
            <family val="2"/>
          </rPr>
          <t xml:space="preserve">
Same in NDC1</t>
        </r>
      </text>
    </comment>
    <comment ref="AO65" authorId="0" shapeId="0" xr:uid="{00000000-0006-0000-0100-00002B000000}">
      <text>
        <r>
          <rPr>
            <b/>
            <sz val="9"/>
            <color indexed="81"/>
            <rFont val="Tahoma"/>
            <family val="2"/>
          </rPr>
          <t>Jørgen Villy Fenhann:</t>
        </r>
        <r>
          <rPr>
            <sz val="9"/>
            <color indexed="81"/>
            <rFont val="Tahoma"/>
            <family val="2"/>
          </rPr>
          <t xml:space="preserve">
NDC1: 0.614
</t>
        </r>
      </text>
    </comment>
    <comment ref="AP65" authorId="0" shapeId="0" xr:uid="{00000000-0006-0000-0100-00002C000000}">
      <text>
        <r>
          <rPr>
            <b/>
            <sz val="9"/>
            <color indexed="81"/>
            <rFont val="Tahoma"/>
            <family val="2"/>
          </rPr>
          <t>Jørgen Villy Fenhann:</t>
        </r>
        <r>
          <rPr>
            <sz val="9"/>
            <color indexed="81"/>
            <rFont val="Tahoma"/>
            <family val="2"/>
          </rPr>
          <t xml:space="preserve">
NDC1:0.398
</t>
        </r>
      </text>
    </comment>
    <comment ref="AM73" authorId="0" shapeId="0" xr:uid="{00000000-0006-0000-0100-00002D000000}">
      <text>
        <r>
          <rPr>
            <b/>
            <sz val="9"/>
            <color indexed="81"/>
            <rFont val="Tahoma"/>
            <family val="2"/>
          </rPr>
          <t>Calculated so that the 14% reduction = 1.04 MT</t>
        </r>
      </text>
    </comment>
    <comment ref="AT73" authorId="0" shapeId="0" xr:uid="{00000000-0006-0000-0100-00002E000000}">
      <text>
        <r>
          <rPr>
            <b/>
            <sz val="9"/>
            <color indexed="81"/>
            <rFont val="Tahoma"/>
            <family val="2"/>
          </rPr>
          <t>No values in NDC1</t>
        </r>
      </text>
    </comment>
    <comment ref="AT75" authorId="0" shapeId="0" xr:uid="{00000000-0006-0000-0100-00002F000000}">
      <text>
        <r>
          <rPr>
            <b/>
            <sz val="9"/>
            <color indexed="81"/>
            <rFont val="Tahoma"/>
            <family val="2"/>
          </rPr>
          <t>-11.14 in NDc1</t>
        </r>
      </text>
    </comment>
    <comment ref="AU75" authorId="0" shapeId="0" xr:uid="{00000000-0006-0000-0100-000030000000}">
      <text>
        <r>
          <rPr>
            <b/>
            <sz val="9"/>
            <color indexed="81"/>
            <rFont val="Tahoma"/>
            <family val="2"/>
          </rPr>
          <t>-31.14 in NDC1</t>
        </r>
      </text>
    </comment>
    <comment ref="AK76" authorId="0" shapeId="0" xr:uid="{00000000-0006-0000-0100-000031000000}">
      <text>
        <r>
          <rPr>
            <b/>
            <sz val="9"/>
            <color indexed="81"/>
            <rFont val="Tahoma"/>
            <family val="2"/>
          </rPr>
          <t>-8% in NDC1</t>
        </r>
      </text>
    </comment>
    <comment ref="AL76" authorId="0" shapeId="0" xr:uid="{00000000-0006-0000-0100-000032000000}">
      <text>
        <r>
          <rPr>
            <b/>
            <sz val="9"/>
            <color indexed="81"/>
            <rFont val="Tahoma"/>
            <family val="2"/>
          </rPr>
          <t>-32% in NDC1</t>
        </r>
      </text>
    </comment>
    <comment ref="AT76" authorId="0" shapeId="0" xr:uid="{00000000-0006-0000-0100-000033000000}">
      <text>
        <r>
          <rPr>
            <b/>
            <sz val="9"/>
            <color indexed="81"/>
            <rFont val="Tahoma"/>
            <family val="2"/>
          </rPr>
          <t xml:space="preserve">-9% in NDC1
</t>
        </r>
      </text>
    </comment>
    <comment ref="AO82" authorId="0" shapeId="0" xr:uid="{00000000-0006-0000-0100-000034000000}">
      <text>
        <r>
          <rPr>
            <b/>
            <sz val="9"/>
            <color indexed="81"/>
            <rFont val="Tahoma"/>
            <family val="2"/>
          </rPr>
          <t>NDC1 was a  33% reduction compared to a 2030 baseline = 0.029</t>
        </r>
      </text>
    </comment>
    <comment ref="AT92" authorId="0" shapeId="0" xr:uid="{00000000-0006-0000-0100-000035000000}">
      <text>
        <r>
          <rPr>
            <b/>
            <sz val="9"/>
            <color indexed="81"/>
            <rFont val="Tahoma"/>
            <family val="2"/>
          </rPr>
          <t>Indicative target only.</t>
        </r>
      </text>
    </comment>
    <comment ref="AU92" authorId="0" shapeId="0" xr:uid="{00000000-0006-0000-0100-000036000000}">
      <text>
        <r>
          <rPr>
            <b/>
            <sz val="9"/>
            <color indexed="81"/>
            <rFont val="Tahoma"/>
            <family val="2"/>
          </rPr>
          <t>Indicative target only.</t>
        </r>
      </text>
    </comment>
    <comment ref="Z94" authorId="0" shapeId="0" xr:uid="{00000000-0006-0000-0100-000037000000}">
      <text>
        <r>
          <rPr>
            <b/>
            <sz val="9"/>
            <color indexed="81"/>
            <rFont val="Tahoma"/>
            <family val="2"/>
          </rPr>
          <t xml:space="preserve">Only LULUCF
</t>
        </r>
      </text>
    </comment>
    <comment ref="AB94" authorId="0" shapeId="0" xr:uid="{00000000-0006-0000-0100-000038000000}">
      <text>
        <r>
          <rPr>
            <b/>
            <sz val="9"/>
            <color indexed="81"/>
            <rFont val="Tahoma"/>
            <family val="2"/>
          </rPr>
          <t>Reduction of deforestation</t>
        </r>
      </text>
    </comment>
    <comment ref="AP98" authorId="0" shapeId="0" xr:uid="{00000000-0006-0000-0100-000039000000}">
      <text>
        <r>
          <rPr>
            <b/>
            <sz val="9"/>
            <color indexed="81"/>
            <rFont val="Tahoma"/>
            <family val="2"/>
          </rPr>
          <t>Will reduce GHG emissions per unit of GDP below 2005 level in 2030.</t>
        </r>
      </text>
    </comment>
    <comment ref="BU99" authorId="0" shapeId="0" xr:uid="{00000000-0006-0000-0100-00003A000000}">
      <text>
        <r>
          <rPr>
            <sz val="9"/>
            <color indexed="81"/>
            <rFont val="Tahoma"/>
            <family val="2"/>
          </rPr>
          <t xml:space="preserve">Rio has just launched its goal for being carbon neutral until 2065, fifty years from now.
</t>
        </r>
      </text>
    </comment>
    <comment ref="W102" authorId="0" shapeId="0" xr:uid="{00000000-0006-0000-0100-00003B000000}">
      <text>
        <r>
          <rPr>
            <b/>
            <sz val="9"/>
            <color indexed="81"/>
            <rFont val="Tahoma"/>
            <family val="2"/>
          </rPr>
          <t>2012 goal</t>
        </r>
      </text>
    </comment>
    <comment ref="AT111" authorId="0" shapeId="0" xr:uid="{00000000-0006-0000-0100-00003C000000}">
      <text>
        <r>
          <rPr>
            <b/>
            <sz val="9"/>
            <color indexed="81"/>
            <rFont val="Tahoma"/>
            <family val="2"/>
          </rPr>
          <t>Jørgen Villy Fenhann:</t>
        </r>
        <r>
          <rPr>
            <sz val="9"/>
            <color indexed="81"/>
            <rFont val="Tahoma"/>
            <family val="2"/>
          </rPr>
          <t xml:space="preserve">
Before 30% reduction</t>
        </r>
      </text>
    </comment>
    <comment ref="AX113" authorId="0" shapeId="0" xr:uid="{00000000-0006-0000-0100-00003D000000}">
      <text>
        <r>
          <rPr>
            <b/>
            <sz val="9"/>
            <color indexed="81"/>
            <rFont val="Tahoma"/>
            <family val="2"/>
          </rPr>
          <t>2036 goal</t>
        </r>
      </text>
    </comment>
    <comment ref="BR121" authorId="0" shapeId="0" xr:uid="{00000000-0006-0000-0100-00003E000000}">
      <text>
        <r>
          <rPr>
            <b/>
            <sz val="9"/>
            <color indexed="81"/>
            <rFont val="Tahoma"/>
            <family val="2"/>
          </rPr>
          <t xml:space="preserve">Should have been 2007
</t>
        </r>
      </text>
    </comment>
    <comment ref="BL124" authorId="0" shapeId="0" xr:uid="{00000000-0006-0000-0100-00003F000000}">
      <text>
        <r>
          <rPr>
            <b/>
            <sz val="9"/>
            <color indexed="81"/>
            <rFont val="Tahoma"/>
            <family val="2"/>
          </rPr>
          <t>Corbon intensity reduced  by 40% in 2041 from 8.8t/cap  in 2014</t>
        </r>
      </text>
    </comment>
    <comment ref="Q131" authorId="0" shapeId="0" xr:uid="{00000000-0006-0000-0100-000040000000}">
      <text>
        <r>
          <rPr>
            <b/>
            <sz val="9"/>
            <color indexed="81"/>
            <rFont val="Tahoma"/>
            <family val="2"/>
          </rPr>
          <t>Jørgen Villy Fenhann:</t>
        </r>
        <r>
          <rPr>
            <sz val="9"/>
            <color indexed="81"/>
            <rFont val="Tahoma"/>
            <family val="2"/>
          </rPr>
          <t xml:space="preserve">
Now 44% below 1990</t>
        </r>
      </text>
    </comment>
    <comment ref="T131" authorId="0" shapeId="0" xr:uid="{00000000-0006-0000-0100-000041000000}">
      <text>
        <r>
          <rPr>
            <b/>
            <sz val="9"/>
            <color indexed="81"/>
            <rFont val="Tahoma"/>
            <family val="2"/>
          </rPr>
          <t>Jørgen Villy Fenhann:</t>
        </r>
        <r>
          <rPr>
            <sz val="9"/>
            <color indexed="81"/>
            <rFont val="Tahoma"/>
            <family val="2"/>
          </rPr>
          <t xml:space="preserve">
Now 44% below 1990</t>
        </r>
      </text>
    </comment>
    <comment ref="AK132" authorId="0" shapeId="0" xr:uid="{00000000-0006-0000-0100-000042000000}">
      <text>
        <r>
          <rPr>
            <b/>
            <sz val="9"/>
            <color indexed="81"/>
            <rFont val="Tahoma"/>
            <family val="2"/>
          </rPr>
          <t>This is for 2024</t>
        </r>
      </text>
    </comment>
    <comment ref="W143" authorId="0" shapeId="0" xr:uid="{00000000-0006-0000-0100-000043000000}">
      <text>
        <r>
          <rPr>
            <b/>
            <sz val="9"/>
            <color indexed="81"/>
            <rFont val="Tahoma"/>
            <family val="2"/>
          </rPr>
          <t>2021 goal</t>
        </r>
      </text>
    </comment>
    <comment ref="AT145" authorId="0" shapeId="0" xr:uid="{00000000-0006-0000-0100-000044000000}">
      <text>
        <r>
          <rPr>
            <b/>
            <sz val="9"/>
            <color indexed="81"/>
            <rFont val="Tahoma"/>
            <family val="2"/>
          </rPr>
          <t xml:space="preserve">Announce at 2019 Climate summitt
</t>
        </r>
      </text>
    </comment>
    <comment ref="AK148" authorId="0" shapeId="0" xr:uid="{00000000-0006-0000-0100-000045000000}">
      <text>
        <r>
          <rPr>
            <b/>
            <sz val="9"/>
            <color indexed="81"/>
            <rFont val="Tahoma"/>
            <family val="2"/>
          </rPr>
          <t xml:space="preserve">This is for 2023
</t>
        </r>
      </text>
    </comment>
    <comment ref="AF149" authorId="0" shapeId="0" xr:uid="{00000000-0006-0000-0100-000046000000}">
      <text>
        <r>
          <rPr>
            <b/>
            <sz val="9"/>
            <color indexed="81"/>
            <rFont val="Tahoma"/>
            <family val="2"/>
          </rPr>
          <t>Accumulated emission for the perio 2020-2030: 1110-1175 MTCO2
peaking in 2027</t>
        </r>
      </text>
    </comment>
    <comment ref="W152" authorId="0" shapeId="0" xr:uid="{00000000-0006-0000-0100-000047000000}">
      <text>
        <r>
          <rPr>
            <b/>
            <sz val="9"/>
            <color indexed="81"/>
            <rFont val="Tahoma"/>
            <family val="2"/>
          </rPr>
          <t xml:space="preserve">Measured on the curve in the INDC.
</t>
        </r>
      </text>
    </comment>
    <comment ref="AF152" authorId="0" shapeId="0" xr:uid="{00000000-0006-0000-0100-000048000000}">
      <text>
        <r>
          <rPr>
            <b/>
            <sz val="9"/>
            <color indexed="81"/>
            <rFont val="Tahoma"/>
            <family val="2"/>
          </rPr>
          <t xml:space="preserve">Measured on the curve in the INDC.
</t>
        </r>
      </text>
    </comment>
    <comment ref="AK153" authorId="0" shapeId="0" xr:uid="{00000000-0006-0000-0100-000049000000}">
      <text>
        <r>
          <rPr>
            <b/>
            <sz val="9"/>
            <color indexed="81"/>
            <rFont val="Tahoma"/>
            <family val="2"/>
          </rPr>
          <t>Jørgen Villy Fenhann:</t>
        </r>
        <r>
          <rPr>
            <sz val="9"/>
            <color indexed="81"/>
            <rFont val="Tahoma"/>
            <family val="2"/>
          </rPr>
          <t xml:space="preserve">
for 2024
</t>
        </r>
      </text>
    </comment>
    <comment ref="Y156" authorId="0" shapeId="0" xr:uid="{00000000-0006-0000-0100-00004A000000}">
      <text>
        <r>
          <rPr>
            <b/>
            <sz val="9"/>
            <color indexed="81"/>
            <rFont val="Tahoma"/>
            <family val="2"/>
          </rPr>
          <t xml:space="preserve">Should have been 2009
</t>
        </r>
      </text>
    </comment>
    <comment ref="AB157" authorId="0" shapeId="0" xr:uid="{00000000-0006-0000-0100-00004B000000}">
      <text>
        <r>
          <rPr>
            <b/>
            <sz val="9"/>
            <color indexed="81"/>
            <rFont val="Tahoma"/>
            <family val="2"/>
          </rPr>
          <t>For 2019</t>
        </r>
      </text>
    </comment>
    <comment ref="W158" authorId="0" shapeId="0" xr:uid="{00000000-0006-0000-0100-00004C000000}">
      <text>
        <r>
          <rPr>
            <b/>
            <sz val="9"/>
            <color indexed="81"/>
            <rFont val="Tahoma"/>
            <family val="2"/>
          </rPr>
          <t>Level for 2021</t>
        </r>
      </text>
    </comment>
    <comment ref="AF159" authorId="0" shapeId="0" xr:uid="{00000000-0006-0000-0100-00004D000000}">
      <text>
        <r>
          <rPr>
            <b/>
            <sz val="9"/>
            <color indexed="81"/>
            <rFont val="Tahoma"/>
            <family val="2"/>
          </rPr>
          <t>Accumulated emission for the perio 2020-2030: 1110-1175 MTCO2
peaking in 2027</t>
        </r>
      </text>
    </comment>
    <comment ref="AF167" authorId="0" shapeId="0" xr:uid="{00000000-0006-0000-0100-00004E000000}">
      <text>
        <r>
          <rPr>
            <b/>
            <sz val="9"/>
            <color indexed="81"/>
            <rFont val="Tahoma"/>
            <family val="2"/>
          </rPr>
          <t xml:space="preserve">The 2025 value on the figure in the INDC is about 0.000161
</t>
        </r>
      </text>
    </comment>
    <comment ref="AO167" authorId="0" shapeId="0" xr:uid="{00000000-0006-0000-0100-00004F000000}">
      <text>
        <r>
          <rPr>
            <b/>
            <sz val="9"/>
            <color indexed="81"/>
            <rFont val="Tahoma"/>
            <family val="2"/>
          </rPr>
          <t>Indicative. The commitment is for 2030</t>
        </r>
      </text>
    </comment>
    <comment ref="AT167" authorId="0" shapeId="0" xr:uid="{00000000-0006-0000-0100-000050000000}">
      <text>
        <r>
          <rPr>
            <b/>
            <sz val="9"/>
            <color indexed="81"/>
            <rFont val="Tahoma"/>
            <family val="2"/>
          </rPr>
          <t>Same as for NDC1</t>
        </r>
      </text>
    </comment>
    <comment ref="AR172" authorId="0" shapeId="0" xr:uid="{00000000-0006-0000-0100-000051000000}">
      <text>
        <r>
          <rPr>
            <b/>
            <sz val="10"/>
            <color indexed="81"/>
            <rFont val="Tahoma"/>
            <family val="2"/>
          </rPr>
          <t xml:space="preserve">From the update of NDC1
</t>
        </r>
      </text>
    </comment>
    <comment ref="AT172" authorId="0" shapeId="0" xr:uid="{00000000-0006-0000-0100-000052000000}">
      <text>
        <r>
          <rPr>
            <b/>
            <sz val="10"/>
            <color indexed="81"/>
            <rFont val="Tahoma"/>
            <family val="2"/>
          </rPr>
          <t xml:space="preserve">From the update of NDC1
</t>
        </r>
      </text>
    </comment>
    <comment ref="AU172" authorId="0" shapeId="0" xr:uid="{00000000-0006-0000-0100-000053000000}">
      <text>
        <r>
          <rPr>
            <b/>
            <sz val="10"/>
            <color indexed="81"/>
            <rFont val="Tahoma"/>
            <family val="2"/>
          </rPr>
          <t xml:space="preserve">From the update of NDC1
</t>
        </r>
      </text>
    </comment>
    <comment ref="X185" authorId="0" shapeId="0" xr:uid="{00000000-0006-0000-0100-000054000000}">
      <text>
        <r>
          <rPr>
            <b/>
            <sz val="9"/>
            <color indexed="81"/>
            <rFont val="Tahoma"/>
            <family val="2"/>
          </rPr>
          <t>GHG intesity reduced by 18% compared to 2005</t>
        </r>
      </text>
    </comment>
    <comment ref="AP185" authorId="0" shapeId="0" xr:uid="{00000000-0006-0000-0100-000055000000}">
      <text>
        <r>
          <rPr>
            <b/>
            <sz val="9"/>
            <color indexed="81"/>
            <rFont val="Tahoma"/>
            <family val="2"/>
          </rPr>
          <t xml:space="preserve">GHG intensity in 2030 reduced by 40% compared to 2005
</t>
        </r>
      </text>
    </comment>
    <comment ref="N187" authorId="0" shapeId="0" xr:uid="{00000000-0006-0000-0100-000056000000}">
      <text>
        <r>
          <rPr>
            <b/>
            <sz val="9"/>
            <color indexed="81"/>
            <rFont val="Tahoma"/>
            <family val="2"/>
          </rPr>
          <t xml:space="preserve">Covers: Energy, waste and agriculture
</t>
        </r>
      </text>
    </comment>
    <comment ref="BR188" authorId="0" shapeId="0" xr:uid="{00000000-0006-0000-0100-000057000000}">
      <text>
        <r>
          <rPr>
            <b/>
            <sz val="9"/>
            <color indexed="81"/>
            <rFont val="Tahoma"/>
            <family val="2"/>
          </rPr>
          <t xml:space="preserve">Should have been for 2000
</t>
        </r>
      </text>
    </comment>
    <comment ref="AT196" authorId="0" shapeId="0" xr:uid="{00000000-0006-0000-0100-000058000000}">
      <text>
        <r>
          <rPr>
            <b/>
            <sz val="9"/>
            <color indexed="81"/>
            <rFont val="Tahoma"/>
            <family val="2"/>
          </rPr>
          <t>-20% in NDC1</t>
        </r>
      </text>
    </comment>
    <comment ref="AU196" authorId="0" shapeId="0" xr:uid="{00000000-0006-0000-0100-000059000000}">
      <text>
        <r>
          <rPr>
            <b/>
            <sz val="9"/>
            <color indexed="81"/>
            <rFont val="Tahoma"/>
            <family val="2"/>
          </rPr>
          <t>-30% in NDC1</t>
        </r>
      </text>
    </comment>
    <comment ref="AT198" authorId="0" shapeId="0" xr:uid="{00000000-0006-0000-0100-00005A000000}">
      <text>
        <r>
          <rPr>
            <b/>
            <sz val="9"/>
            <color indexed="81"/>
            <rFont val="Tahoma"/>
            <family val="2"/>
          </rPr>
          <t>0 % in NDC1</t>
        </r>
      </text>
    </comment>
    <comment ref="AU198" authorId="0" shapeId="0" xr:uid="{00000000-0006-0000-0100-00005B000000}">
      <text>
        <r>
          <rPr>
            <b/>
            <sz val="9"/>
            <color indexed="81"/>
            <rFont val="Tahoma"/>
            <family val="2"/>
          </rPr>
          <t>-35% in NDC1 compared to 2030</t>
        </r>
      </text>
    </comment>
    <comment ref="AN202" authorId="0" shapeId="0" xr:uid="{00000000-0006-0000-0100-00005C000000}">
      <text>
        <r>
          <rPr>
            <b/>
            <sz val="9"/>
            <color indexed="81"/>
            <rFont val="Tahoma"/>
            <family val="2"/>
          </rPr>
          <t>FPersonal communication with Ministry of the Environment and Water Resources on Trinidad and Yobago.
The numbers only covers the 3 main sectors: Power generation, Industry and transport</t>
        </r>
      </text>
    </comment>
    <comment ref="AT202" authorId="0" shapeId="0" xr:uid="{00000000-0006-0000-0100-00005D000000}">
      <text>
        <r>
          <rPr>
            <b/>
            <sz val="9"/>
            <color indexed="81"/>
            <rFont val="Tahoma"/>
            <family val="2"/>
          </rPr>
          <t>FPersonal communication with Ministry of the Environment and Water Resources on Trinidad and Yobago</t>
        </r>
      </text>
    </comment>
    <comment ref="AU202" authorId="0" shapeId="0" xr:uid="{00000000-0006-0000-0100-00005E000000}">
      <text>
        <r>
          <rPr>
            <b/>
            <sz val="9"/>
            <color indexed="81"/>
            <rFont val="Tahoma"/>
            <family val="2"/>
          </rPr>
          <t>FPersonal communication with Ministry of the Environment and Water Resources on Trinidad and Yobago.
The numbers only covers the 3 main sectors: Power generation, Industry and transport</t>
        </r>
      </text>
    </comment>
    <comment ref="BL209" authorId="0" shapeId="0" xr:uid="{00000000-0006-0000-0100-00005F000000}">
      <text>
        <r>
          <rPr>
            <b/>
            <sz val="9"/>
            <color indexed="81"/>
            <rFont val="Tahoma"/>
            <family val="2"/>
          </rPr>
          <t>Jørgen Villy Fenhann:</t>
        </r>
        <r>
          <rPr>
            <sz val="9"/>
            <color indexed="81"/>
            <rFont val="Tahoma"/>
            <family val="2"/>
          </rPr>
          <t xml:space="preserve">
In 2060</t>
        </r>
      </text>
    </comment>
    <comment ref="Q258" authorId="0" shapeId="0" xr:uid="{00000000-0006-0000-0100-000060000000}">
      <text>
        <r>
          <rPr>
            <b/>
            <sz val="9"/>
            <color indexed="81"/>
            <rFont val="Tahoma"/>
            <family val="2"/>
          </rPr>
          <t>Jørgen Villy Fenhann:</t>
        </r>
        <r>
          <rPr>
            <sz val="9"/>
            <color indexed="81"/>
            <rFont val="Tahoma"/>
            <family val="2"/>
          </rPr>
          <t xml:space="preserve">
This is a goal
</t>
        </r>
      </text>
    </comment>
    <comment ref="AK273" authorId="0" shapeId="0" xr:uid="{00000000-0006-0000-0100-000061000000}">
      <text>
        <r>
          <rPr>
            <b/>
            <sz val="9"/>
            <color indexed="81"/>
            <rFont val="Tahoma"/>
            <family val="2"/>
          </rPr>
          <t>Jørgen Villy Fenhann:</t>
        </r>
        <r>
          <rPr>
            <sz val="9"/>
            <color indexed="81"/>
            <rFont val="Tahoma"/>
            <family val="2"/>
          </rPr>
          <t xml:space="preserve">
For 2023
</t>
        </r>
      </text>
    </comment>
    <comment ref="Q295" authorId="0" shapeId="0" xr:uid="{00000000-0006-0000-0100-000062000000}">
      <text>
        <r>
          <rPr>
            <b/>
            <sz val="9"/>
            <color indexed="81"/>
            <rFont val="Tahoma"/>
            <family val="2"/>
          </rPr>
          <t>Jørgen Villy Fenhann:</t>
        </r>
        <r>
          <rPr>
            <sz val="9"/>
            <color indexed="81"/>
            <rFont val="Tahoma"/>
            <family val="2"/>
          </rPr>
          <t xml:space="preserve">
A goal</t>
        </r>
      </text>
    </comment>
    <comment ref="AB307" authorId="0" shapeId="0" xr:uid="{00000000-0006-0000-0100-000063000000}">
      <text>
        <r>
          <rPr>
            <b/>
            <sz val="9"/>
            <color indexed="81"/>
            <rFont val="Tahoma"/>
            <family val="2"/>
          </rPr>
          <t xml:space="preserve">State energy plan of 2002
</t>
        </r>
      </text>
    </comment>
    <comment ref="AT319" authorId="0" shapeId="0" xr:uid="{00000000-0006-0000-0100-000064000000}">
      <text>
        <r>
          <rPr>
            <b/>
            <sz val="9"/>
            <color indexed="81"/>
            <rFont val="Tahoma"/>
            <family val="2"/>
          </rPr>
          <t>Actually 2028 goal</t>
        </r>
      </text>
    </comment>
    <comment ref="AK332" authorId="0" shapeId="0" xr:uid="{00000000-0006-0000-0100-000065000000}">
      <text>
        <r>
          <rPr>
            <b/>
            <sz val="9"/>
            <color indexed="81"/>
            <rFont val="Tahoma"/>
            <family val="2"/>
          </rPr>
          <t>Jørgen Villy Fenhann:</t>
        </r>
        <r>
          <rPr>
            <sz val="9"/>
            <color indexed="81"/>
            <rFont val="Tahoma"/>
            <family val="2"/>
          </rPr>
          <t xml:space="preserve">
for 2023</t>
        </r>
      </text>
    </comment>
    <comment ref="AT345" authorId="0" shapeId="0" xr:uid="{00000000-0006-0000-0100-000066000000}">
      <text>
        <r>
          <rPr>
            <b/>
            <sz val="9"/>
            <color indexed="81"/>
            <rFont val="Tahoma"/>
            <family val="2"/>
          </rPr>
          <t xml:space="preserve">2032 goal
</t>
        </r>
      </text>
    </comment>
    <comment ref="W347" authorId="0" shapeId="0" xr:uid="{00000000-0006-0000-0100-000067000000}">
      <text>
        <r>
          <rPr>
            <b/>
            <sz val="9"/>
            <color indexed="81"/>
            <rFont val="Tahoma"/>
            <family val="2"/>
          </rPr>
          <t>These values are for 2028</t>
        </r>
      </text>
    </comment>
    <comment ref="AK348" authorId="0" shapeId="0" xr:uid="{00000000-0006-0000-0100-000068000000}">
      <text>
        <r>
          <rPr>
            <b/>
            <sz val="9"/>
            <color indexed="81"/>
            <rFont val="Tahoma"/>
            <family val="2"/>
          </rPr>
          <t>Jørgen Villy Fenhann:</t>
        </r>
        <r>
          <rPr>
            <sz val="9"/>
            <color indexed="81"/>
            <rFont val="Tahoma"/>
            <family val="2"/>
          </rPr>
          <t xml:space="preserve">
2022 goal
</t>
        </r>
      </text>
    </comment>
    <comment ref="AT363" authorId="0" shapeId="0" xr:uid="{00000000-0006-0000-0100-000069000000}">
      <text>
        <r>
          <rPr>
            <b/>
            <sz val="9"/>
            <color indexed="81"/>
            <rFont val="Tahoma"/>
            <family val="2"/>
          </rPr>
          <t>In 2032</t>
        </r>
      </text>
    </comment>
    <comment ref="U365" authorId="0" shapeId="0" xr:uid="{00000000-0006-0000-0100-00006A000000}">
      <text>
        <r>
          <rPr>
            <b/>
            <sz val="9"/>
            <color indexed="81"/>
            <rFont val="Tahoma"/>
            <family val="2"/>
          </rPr>
          <t>The BAU emission is measure on the curve in the INDC</t>
        </r>
      </text>
    </comment>
    <comment ref="AM365" authorId="0" shapeId="0" xr:uid="{00000000-0006-0000-0100-00006B000000}">
      <text>
        <r>
          <rPr>
            <b/>
            <sz val="9"/>
            <color indexed="81"/>
            <rFont val="Tahoma"/>
            <family val="2"/>
          </rPr>
          <t>The BAU emission is measure on the curve in the INDC</t>
        </r>
      </text>
    </comment>
    <comment ref="Q370" authorId="0" shapeId="0" xr:uid="{00000000-0006-0000-0100-00006C000000}">
      <text>
        <r>
          <rPr>
            <b/>
            <sz val="9"/>
            <color indexed="81"/>
            <rFont val="Tahoma"/>
            <family val="2"/>
          </rPr>
          <t>This value is from p10 inGlobal states and regions annual disclosure 2017, annex</t>
        </r>
      </text>
    </comment>
    <comment ref="BU376" authorId="0" shapeId="0" xr:uid="{00000000-0006-0000-0100-00006D000000}">
      <text>
        <r>
          <rPr>
            <b/>
            <sz val="9"/>
            <color indexed="81"/>
            <rFont val="Tahoma"/>
            <family val="2"/>
          </rPr>
          <t>2045 goal</t>
        </r>
      </text>
    </comment>
    <comment ref="N382" authorId="0" shapeId="0" xr:uid="{00000000-0006-0000-0100-00006E000000}">
      <text>
        <r>
          <rPr>
            <b/>
            <sz val="10"/>
            <color indexed="81"/>
            <rFont val="Tahoma"/>
            <family val="2"/>
          </rPr>
          <t>Only CO2e emission from power, transport and industry</t>
        </r>
      </text>
    </comment>
    <comment ref="AS382" authorId="0" shapeId="0" xr:uid="{00000000-0006-0000-0100-00006F000000}">
      <text>
        <r>
          <rPr>
            <b/>
            <sz val="10"/>
            <color indexed="81"/>
            <rFont val="Tahoma"/>
            <family val="2"/>
          </rPr>
          <t>Only CO2e emission from power, transport and industry</t>
        </r>
      </text>
    </comment>
    <comment ref="AT382" authorId="0" shapeId="0" xr:uid="{00000000-0006-0000-0100-000070000000}">
      <text>
        <r>
          <rPr>
            <b/>
            <sz val="10"/>
            <color indexed="81"/>
            <rFont val="Tahoma"/>
            <family val="2"/>
          </rPr>
          <t>Only CO2e emission from power, transport and industry</t>
        </r>
      </text>
    </comment>
    <comment ref="AU382" authorId="0" shapeId="0" xr:uid="{00000000-0006-0000-0100-000071000000}">
      <text>
        <r>
          <rPr>
            <b/>
            <sz val="10"/>
            <color indexed="81"/>
            <rFont val="Tahoma"/>
            <family val="2"/>
          </rPr>
          <t>Only CO2e emission from power, transport and industry</t>
        </r>
      </text>
    </comment>
    <comment ref="AP385" authorId="0" shapeId="0" xr:uid="{00000000-0006-0000-0100-000072000000}">
      <text>
        <r>
          <rPr>
            <b/>
            <sz val="9"/>
            <color indexed="81"/>
            <rFont val="Tahoma"/>
            <family val="2"/>
          </rPr>
          <t>The impact of increasing the forest area from 57% to 60% will come after finalisation of the REDD+ Strategy</t>
        </r>
      </text>
    </comment>
    <comment ref="AO386" authorId="0" shapeId="0" xr:uid="{00000000-0006-0000-0100-000073000000}">
      <text>
        <r>
          <rPr>
            <b/>
            <sz val="9"/>
            <color indexed="81"/>
            <rFont val="Tahoma"/>
            <family val="2"/>
          </rPr>
          <t>Emission Gap Report 2021</t>
        </r>
      </text>
    </comment>
    <comment ref="AP386" authorId="0" shapeId="0" xr:uid="{00000000-0006-0000-0100-000074000000}">
      <text>
        <r>
          <rPr>
            <b/>
            <sz val="9"/>
            <color indexed="81"/>
            <rFont val="Tahoma"/>
            <family val="2"/>
          </rPr>
          <t>Emission Gap Report 2021</t>
        </r>
      </text>
    </comment>
    <comment ref="BX402" authorId="0" shapeId="0" xr:uid="{00000000-0006-0000-0100-000075000000}">
      <text>
        <r>
          <rPr>
            <b/>
            <sz val="9"/>
            <color indexed="81"/>
            <rFont val="Tahoma"/>
            <family val="2"/>
          </rPr>
          <t>Jørgen Villy Fenhann:</t>
        </r>
        <r>
          <rPr>
            <sz val="9"/>
            <color indexed="81"/>
            <rFont val="Tahoma"/>
            <family val="2"/>
          </rPr>
          <t xml:space="preserve">
Have now 16000 electric buses</t>
        </r>
      </text>
    </comment>
    <comment ref="AO412" authorId="0" shapeId="0" xr:uid="{00000000-0006-0000-0100-000076000000}">
      <text>
        <r>
          <rPr>
            <b/>
            <sz val="9"/>
            <color indexed="81"/>
            <rFont val="Tahoma"/>
            <family val="2"/>
          </rPr>
          <t>Only emissions from the energy sector</t>
        </r>
      </text>
    </comment>
    <comment ref="AO413" authorId="0" shapeId="0" xr:uid="{00000000-0006-0000-0100-000077000000}">
      <text>
        <r>
          <rPr>
            <b/>
            <sz val="9"/>
            <color indexed="81"/>
            <rFont val="Tahoma"/>
            <family val="2"/>
          </rPr>
          <t>Data from Climate Action Tracker 2017 estimateof current policies</t>
        </r>
      </text>
    </comment>
    <comment ref="AP413" authorId="0" shapeId="0" xr:uid="{00000000-0006-0000-0100-000078000000}">
      <text>
        <r>
          <rPr>
            <b/>
            <sz val="9"/>
            <color indexed="81"/>
            <rFont val="Tahoma"/>
            <family val="2"/>
          </rPr>
          <t xml:space="preserve">Data from Climate Action Tracker 2017 estimate
</t>
        </r>
      </text>
    </comment>
    <comment ref="AB607" authorId="0" shapeId="0" xr:uid="{00000000-0006-0000-0100-000079000000}">
      <text>
        <r>
          <rPr>
            <b/>
            <sz val="9"/>
            <color indexed="81"/>
            <rFont val="Tahoma"/>
            <family val="2"/>
          </rPr>
          <t>2019 goal</t>
        </r>
      </text>
    </comment>
    <comment ref="AB615" authorId="0" shapeId="0" xr:uid="{00000000-0006-0000-0100-00007A000000}">
      <text>
        <r>
          <rPr>
            <b/>
            <sz val="9"/>
            <color indexed="81"/>
            <rFont val="Tahoma"/>
            <family val="2"/>
          </rPr>
          <t>Target for 2019</t>
        </r>
      </text>
    </comment>
    <comment ref="AO623" authorId="0" shapeId="0" xr:uid="{00000000-0006-0000-0100-00007B000000}">
      <text>
        <r>
          <rPr>
            <b/>
            <sz val="9"/>
            <color indexed="81"/>
            <rFont val="Tahoma"/>
            <family val="2"/>
          </rPr>
          <t>Assuming a GDP in 2030 0f RM2.6 trillion</t>
        </r>
      </text>
    </comment>
    <comment ref="AT623" authorId="0" shapeId="0" xr:uid="{00000000-0006-0000-0100-00007C000000}">
      <text>
        <r>
          <rPr>
            <b/>
            <sz val="9"/>
            <color indexed="81"/>
            <rFont val="Tahoma"/>
            <family val="2"/>
          </rPr>
          <t>Reduction in CO2e intensity</t>
        </r>
      </text>
    </comment>
    <comment ref="AU623" authorId="0" shapeId="0" xr:uid="{00000000-0006-0000-0100-00007D000000}">
      <text>
        <r>
          <rPr>
            <b/>
            <sz val="9"/>
            <color indexed="81"/>
            <rFont val="Tahoma"/>
            <family val="2"/>
          </rPr>
          <t>Reduction in CO2e intensity</t>
        </r>
      </text>
    </comment>
    <comment ref="AK628" authorId="0" shapeId="0" xr:uid="{00000000-0006-0000-0100-00007E000000}">
      <text>
        <r>
          <rPr>
            <b/>
            <sz val="9"/>
            <color indexed="81"/>
            <rFont val="Tahoma"/>
            <family val="2"/>
          </rPr>
          <t>This is for 2022</t>
        </r>
      </text>
    </comment>
    <comment ref="AT629" authorId="0" shapeId="0" xr:uid="{00000000-0006-0000-0100-00007F000000}">
      <text>
        <r>
          <rPr>
            <b/>
            <sz val="9"/>
            <color indexed="81"/>
            <rFont val="Tahoma"/>
            <family val="2"/>
          </rPr>
          <t xml:space="preserve">-10% in NDc1
</t>
        </r>
      </text>
    </comment>
    <comment ref="AU629" authorId="0" shapeId="0" xr:uid="{00000000-0006-0000-0100-000080000000}">
      <text>
        <r>
          <rPr>
            <b/>
            <sz val="9"/>
            <color indexed="81"/>
            <rFont val="Tahoma"/>
            <family val="2"/>
          </rPr>
          <t xml:space="preserve">-24% in NDC1
</t>
        </r>
      </text>
    </comment>
    <comment ref="AT630" authorId="0" shapeId="0" xr:uid="{00000000-0006-0000-0100-000081000000}">
      <text>
        <r>
          <rPr>
            <b/>
            <sz val="9"/>
            <color indexed="81"/>
            <rFont val="Tahoma"/>
            <family val="2"/>
          </rPr>
          <t xml:space="preserve">Indicative
</t>
        </r>
      </text>
    </comment>
    <comment ref="AU630" authorId="0" shapeId="0" xr:uid="{00000000-0006-0000-0100-000082000000}">
      <text>
        <r>
          <rPr>
            <b/>
            <sz val="9"/>
            <color indexed="81"/>
            <rFont val="Tahoma"/>
            <family val="2"/>
          </rPr>
          <t xml:space="preserve">Indicative
</t>
        </r>
      </text>
    </comment>
    <comment ref="AN632" authorId="0" shapeId="0" xr:uid="{00000000-0006-0000-0100-000083000000}">
      <text>
        <r>
          <rPr>
            <b/>
            <sz val="9"/>
            <color indexed="81"/>
            <rFont val="Tahoma"/>
            <family val="2"/>
          </rPr>
          <t xml:space="preserve">In NDC1=51.3
</t>
        </r>
      </text>
    </comment>
    <comment ref="AT632" authorId="0" shapeId="0" xr:uid="{00000000-0006-0000-0100-000084000000}">
      <text>
        <r>
          <rPr>
            <b/>
            <sz val="9"/>
            <color indexed="81"/>
            <rFont val="Tahoma"/>
            <family val="2"/>
          </rPr>
          <t>14% in NDC1</t>
        </r>
      </text>
    </comment>
    <comment ref="AT633" authorId="0" shapeId="0" xr:uid="{00000000-0006-0000-0100-000085000000}">
      <text>
        <r>
          <rPr>
            <b/>
            <sz val="9"/>
            <color indexed="81"/>
            <rFont val="Tahoma"/>
            <family val="2"/>
          </rPr>
          <t>Jørgen Villy Fenhann:</t>
        </r>
        <r>
          <rPr>
            <sz val="9"/>
            <color indexed="81"/>
            <rFont val="Tahoma"/>
            <family val="2"/>
          </rPr>
          <t xml:space="preserve">
Calculated %</t>
        </r>
      </text>
    </comment>
    <comment ref="AT637" authorId="0" shapeId="0" xr:uid="{00000000-0006-0000-0100-000086000000}">
      <text>
        <r>
          <rPr>
            <b/>
            <sz val="9"/>
            <color indexed="81"/>
            <rFont val="Tahoma"/>
            <family val="2"/>
          </rPr>
          <t>Jørgen Villy Fenhann:</t>
        </r>
        <r>
          <rPr>
            <sz val="9"/>
            <color indexed="81"/>
            <rFont val="Tahoma"/>
            <family val="2"/>
          </rPr>
          <t xml:space="preserve">
Before it was -30%
</t>
        </r>
      </text>
    </comment>
    <comment ref="AU645" authorId="0" shapeId="0" xr:uid="{00000000-0006-0000-0100-000087000000}">
      <text>
        <r>
          <rPr>
            <b/>
            <sz val="9"/>
            <color indexed="81"/>
            <rFont val="Tahoma"/>
            <family val="2"/>
          </rPr>
          <t>-20% IN ndC1</t>
        </r>
      </text>
    </comment>
    <comment ref="AO655" authorId="0" shapeId="0" xr:uid="{00000000-0006-0000-0100-000088000000}">
      <text>
        <r>
          <rPr>
            <b/>
            <sz val="9"/>
            <color indexed="81"/>
            <rFont val="Tahoma"/>
            <family val="2"/>
          </rPr>
          <t xml:space="preserve">Assuming a GDP in 2030 of 558.3 US$ = 413.6 S$ and the INDC of 0.113 kgCO2e/S$
</t>
        </r>
      </text>
    </comment>
    <comment ref="H656" authorId="0" shapeId="0" xr:uid="{00000000-0006-0000-0100-000089000000}">
      <text>
        <r>
          <rPr>
            <b/>
            <sz val="9"/>
            <color indexed="81"/>
            <rFont val="Tahoma"/>
            <family val="2"/>
          </rPr>
          <t xml:space="preserve">Only CO2
</t>
        </r>
      </text>
    </comment>
    <comment ref="P656" authorId="0" shapeId="0" xr:uid="{00000000-0006-0000-0100-00008A000000}">
      <text>
        <r>
          <rPr>
            <b/>
            <sz val="9"/>
            <color indexed="81"/>
            <rFont val="Tahoma"/>
            <family val="2"/>
          </rPr>
          <t xml:space="preserve">CO2 only (95% of emissions)
</t>
        </r>
      </text>
    </comment>
    <comment ref="AM670" authorId="0" shapeId="0" xr:uid="{00000000-0006-0000-0100-00008B000000}">
      <text>
        <r>
          <rPr>
            <b/>
            <sz val="9"/>
            <color indexed="81"/>
            <rFont val="Tahoma"/>
            <family val="2"/>
          </rPr>
          <t xml:space="preserve">From graphs in the NDC2
</t>
        </r>
      </text>
    </comment>
    <comment ref="AN681" authorId="0" shapeId="0" xr:uid="{00000000-0006-0000-0100-00008C000000}">
      <text>
        <r>
          <rPr>
            <b/>
            <sz val="9"/>
            <color indexed="81"/>
            <rFont val="Tahoma"/>
            <family val="2"/>
          </rPr>
          <t>Jørgen Villy Fenhann:</t>
        </r>
        <r>
          <rPr>
            <sz val="9"/>
            <color indexed="81"/>
            <rFont val="Tahoma"/>
            <family val="2"/>
          </rPr>
          <t xml:space="preserve">
Inclusion of LULUCF wil be decided later
</t>
        </r>
      </text>
    </comment>
    <comment ref="AT681" authorId="0" shapeId="0" xr:uid="{00000000-0006-0000-0100-00008D000000}">
      <text>
        <r>
          <rPr>
            <sz val="9"/>
            <color indexed="81"/>
            <rFont val="Tahoma"/>
            <family val="2"/>
          </rPr>
          <t xml:space="preserve">Same as NDC1
</t>
        </r>
      </text>
    </comment>
    <comment ref="AB682" authorId="0" shapeId="0" xr:uid="{00000000-0006-0000-0100-00008E000000}">
      <text>
        <r>
          <rPr>
            <b/>
            <sz val="9"/>
            <color indexed="81"/>
            <rFont val="Tahoma"/>
            <family val="2"/>
          </rPr>
          <t xml:space="preserve">For 2021
</t>
        </r>
      </text>
    </comment>
    <comment ref="AT689" authorId="0" shapeId="0" xr:uid="{00000000-0006-0000-0100-00008F000000}">
      <text>
        <r>
          <rPr>
            <b/>
            <sz val="10"/>
            <color indexed="81"/>
            <rFont val="Tahoma"/>
            <family val="2"/>
          </rPr>
          <t xml:space="preserve">From the update of NDC1
</t>
        </r>
      </text>
    </comment>
    <comment ref="AU689" authorId="0" shapeId="0" xr:uid="{00000000-0006-0000-0100-000090000000}">
      <text>
        <r>
          <rPr>
            <b/>
            <sz val="10"/>
            <color indexed="81"/>
            <rFont val="Tahoma"/>
            <family val="2"/>
          </rPr>
          <t xml:space="preserve">From the update of NDC1
</t>
        </r>
      </text>
    </comment>
    <comment ref="Q790" authorId="0" shapeId="0" xr:uid="{00000000-0006-0000-0100-000091000000}">
      <text>
        <r>
          <rPr>
            <b/>
            <sz val="9"/>
            <color indexed="81"/>
            <rFont val="Tahoma"/>
            <family val="2"/>
          </rPr>
          <t xml:space="preserve">Monitoring report available
</t>
        </r>
      </text>
    </comment>
    <comment ref="T790" authorId="0" shapeId="0" xr:uid="{00000000-0006-0000-0100-000092000000}">
      <text>
        <r>
          <rPr>
            <b/>
            <sz val="9"/>
            <color indexed="81"/>
            <rFont val="Tahoma"/>
            <family val="2"/>
          </rPr>
          <t xml:space="preserve">Monitoring report available
</t>
        </r>
      </text>
    </comment>
    <comment ref="Q791" authorId="0" shapeId="0" xr:uid="{00000000-0006-0000-0100-000093000000}">
      <text>
        <r>
          <rPr>
            <b/>
            <sz val="9"/>
            <color indexed="81"/>
            <rFont val="Tahoma"/>
            <family val="2"/>
          </rPr>
          <t xml:space="preserve">Monitoring report available
</t>
        </r>
      </text>
    </comment>
    <comment ref="T791" authorId="0" shapeId="0" xr:uid="{00000000-0006-0000-0100-000094000000}">
      <text>
        <r>
          <rPr>
            <b/>
            <sz val="9"/>
            <color indexed="81"/>
            <rFont val="Tahoma"/>
            <family val="2"/>
          </rPr>
          <t xml:space="preserve">Monitoring report available
</t>
        </r>
      </text>
    </comment>
    <comment ref="BP819" authorId="0" shapeId="0" xr:uid="{00000000-0006-0000-0100-000095000000}">
      <text>
        <r>
          <rPr>
            <b/>
            <sz val="9"/>
            <color indexed="81"/>
            <rFont val="Tahoma"/>
            <family val="2"/>
          </rPr>
          <t>Jørgen Villy Fenhann:</t>
        </r>
        <r>
          <rPr>
            <sz val="9"/>
            <color indexed="81"/>
            <rFont val="Tahoma"/>
            <family val="2"/>
          </rPr>
          <t xml:space="preserve">
For 2045
</t>
        </r>
      </text>
    </comment>
    <comment ref="AT829" authorId="0" shapeId="0" xr:uid="{00000000-0006-0000-0100-000096000000}">
      <text>
        <r>
          <rPr>
            <b/>
            <sz val="9"/>
            <color indexed="81"/>
            <rFont val="Tahoma"/>
            <family val="2"/>
          </rPr>
          <t>2029 goal</t>
        </r>
      </text>
    </comment>
    <comment ref="B873" authorId="0" shapeId="0" xr:uid="{00000000-0006-0000-0100-000097000000}">
      <text>
        <r>
          <rPr>
            <b/>
            <sz val="9"/>
            <color indexed="81"/>
            <rFont val="Tahoma"/>
            <family val="2"/>
          </rPr>
          <t>Green: province still exist.</t>
        </r>
      </text>
    </comment>
    <comment ref="W873" authorId="0" shapeId="0" xr:uid="{00000000-0006-0000-0100-000098000000}">
      <text>
        <r>
          <rPr>
            <b/>
            <sz val="9"/>
            <color indexed="81"/>
            <rFont val="Tahoma"/>
            <family val="2"/>
          </rPr>
          <t>the target is for 2021</t>
        </r>
      </text>
    </comment>
    <comment ref="B875" authorId="0" shapeId="0" xr:uid="{00000000-0006-0000-0100-000099000000}">
      <text>
        <r>
          <rPr>
            <b/>
            <sz val="9"/>
            <color indexed="81"/>
            <rFont val="Tahoma"/>
            <family val="2"/>
          </rPr>
          <t xml:space="preserve">Sum of data for Auvergne and Rhones-Alpes
</t>
        </r>
        <r>
          <rPr>
            <sz val="9"/>
            <color indexed="81"/>
            <rFont val="Tahoma"/>
            <family val="2"/>
          </rPr>
          <t xml:space="preserve">
</t>
        </r>
      </text>
    </comment>
    <comment ref="AB875" authorId="0" shapeId="0" xr:uid="{00000000-0006-0000-0100-00009A000000}">
      <text>
        <r>
          <rPr>
            <b/>
            <sz val="9"/>
            <color indexed="81"/>
            <rFont val="Tahoma"/>
            <family val="2"/>
          </rPr>
          <t>Reduction% for Auvergne</t>
        </r>
      </text>
    </comment>
    <comment ref="AC875" authorId="0" shapeId="0" xr:uid="{00000000-0006-0000-0100-00009B000000}">
      <text>
        <r>
          <rPr>
            <b/>
            <sz val="9"/>
            <color indexed="81"/>
            <rFont val="Tahoma"/>
            <family val="2"/>
          </rPr>
          <t>Jørgen Villy Fenhann:</t>
        </r>
        <r>
          <rPr>
            <sz val="9"/>
            <color indexed="81"/>
            <rFont val="Tahoma"/>
            <family val="2"/>
          </rPr>
          <t xml:space="preserve">
Reduction % for Rhone Alpes
</t>
        </r>
      </text>
    </comment>
    <comment ref="AT888" authorId="0" shapeId="0" xr:uid="{00000000-0006-0000-0100-00009C000000}">
      <text>
        <r>
          <rPr>
            <b/>
            <sz val="9"/>
            <color indexed="81"/>
            <rFont val="Tahoma"/>
            <family val="2"/>
          </rPr>
          <t>For residence &amp; Tertiary. 10% for mining &amp; metallurgy</t>
        </r>
      </text>
    </comment>
    <comment ref="B889" authorId="0" shapeId="0" xr:uid="{00000000-0006-0000-0100-00009D000000}">
      <text>
        <r>
          <rPr>
            <b/>
            <sz val="9"/>
            <color indexed="81"/>
            <rFont val="Tahoma"/>
            <family val="2"/>
          </rPr>
          <t>This new region is the sum of Lanquedoc-Roussillon and Midi-Pyrénées</t>
        </r>
      </text>
    </comment>
    <comment ref="AB900" authorId="0" shapeId="0" xr:uid="{00000000-0006-0000-0100-00009E000000}">
      <text>
        <r>
          <rPr>
            <b/>
            <sz val="9"/>
            <color indexed="81"/>
            <rFont val="Tahoma"/>
            <family val="2"/>
          </rPr>
          <t>Gernany itself has pledge -40%</t>
        </r>
      </text>
    </comment>
    <comment ref="BQ911" authorId="0" shapeId="0" xr:uid="{00000000-0006-0000-0100-00009F000000}">
      <text>
        <r>
          <rPr>
            <b/>
            <sz val="9"/>
            <color indexed="81"/>
            <rFont val="Tahoma"/>
            <family val="2"/>
          </rPr>
          <t>Per capita goal in 2050: &lt;2 
tons</t>
        </r>
      </text>
    </comment>
    <comment ref="K1086" authorId="0" shapeId="0" xr:uid="{00000000-0006-0000-0100-0000A0000000}">
      <text>
        <r>
          <rPr>
            <b/>
            <sz val="9"/>
            <color indexed="81"/>
            <rFont val="Tahoma"/>
            <family val="2"/>
          </rPr>
          <t>EU-ETS point sources not included</t>
        </r>
      </text>
    </comment>
    <comment ref="AB1835" authorId="0" shapeId="0" xr:uid="{00000000-0006-0000-0100-0000A1000000}">
      <text>
        <r>
          <rPr>
            <b/>
            <sz val="9"/>
            <color indexed="81"/>
            <rFont val="Tahoma"/>
            <family val="2"/>
          </rPr>
          <t xml:space="preserve">Siena carbon neutral in 2015
</t>
        </r>
      </text>
    </comment>
    <comment ref="AB2238" authorId="0" shapeId="0" xr:uid="{00000000-0006-0000-0100-0000A2000000}">
      <text>
        <r>
          <rPr>
            <b/>
            <sz val="9"/>
            <color indexed="81"/>
            <rFont val="Tahoma"/>
            <family val="2"/>
          </rPr>
          <t>Same as 35% reduction from 2005</t>
        </r>
      </text>
    </comment>
    <comment ref="AB2350" authorId="0" shapeId="0" xr:uid="{00000000-0006-0000-0100-0000A3000000}">
      <text>
        <r>
          <rPr>
            <b/>
            <sz val="9"/>
            <color indexed="81"/>
            <rFont val="Tahoma"/>
            <family val="2"/>
          </rPr>
          <t>Sweden itself has pledged -40%</t>
        </r>
      </text>
    </comment>
    <comment ref="BU2350" authorId="0" shapeId="0" xr:uid="{00000000-0006-0000-0100-0000A4000000}">
      <text>
        <r>
          <rPr>
            <b/>
            <sz val="9"/>
            <color indexed="81"/>
            <rFont val="Tahoma"/>
            <family val="2"/>
          </rPr>
          <t>Swene say carbon neutral in 2045</t>
        </r>
      </text>
    </comment>
    <comment ref="BU2376" authorId="0" shapeId="0" xr:uid="{00000000-0006-0000-0100-0000A5000000}">
      <text>
        <r>
          <rPr>
            <b/>
            <sz val="9"/>
            <color indexed="81"/>
            <rFont val="Tahoma"/>
            <family val="2"/>
          </rPr>
          <t>Jørgen Villy Fenhann:</t>
        </r>
        <r>
          <rPr>
            <sz val="9"/>
            <color indexed="81"/>
            <rFont val="Tahoma"/>
            <family val="2"/>
          </rPr>
          <t xml:space="preserve">
In 2045
</t>
        </r>
      </text>
    </comment>
    <comment ref="BU2384" authorId="0" shapeId="0" xr:uid="{00000000-0006-0000-0100-0000A6000000}">
      <text>
        <r>
          <rPr>
            <b/>
            <sz val="9"/>
            <color indexed="81"/>
            <rFont val="Tahoma"/>
            <family val="2"/>
          </rPr>
          <t>Jørgen Villy Fenhann:</t>
        </r>
        <r>
          <rPr>
            <sz val="9"/>
            <color indexed="81"/>
            <rFont val="Tahoma"/>
            <family val="2"/>
          </rPr>
          <t xml:space="preserve">
In 2045</t>
        </r>
      </text>
    </comment>
    <comment ref="BU2387" authorId="0" shapeId="0" xr:uid="{00000000-0006-0000-0100-0000A7000000}">
      <text>
        <r>
          <rPr>
            <sz val="9"/>
            <color indexed="81"/>
            <rFont val="Tahoma"/>
            <family val="2"/>
          </rPr>
          <t xml:space="preserve">100% in 2045
</t>
        </r>
      </text>
    </comment>
    <comment ref="AT2397" authorId="0" shapeId="0" xr:uid="{00000000-0006-0000-0100-0000A8000000}">
      <text>
        <r>
          <rPr>
            <b/>
            <sz val="9"/>
            <color indexed="81"/>
            <rFont val="Tahoma"/>
            <family val="2"/>
          </rPr>
          <t>2032 goal</t>
        </r>
      </text>
    </comment>
    <comment ref="BP2398" authorId="1" shapeId="0" xr:uid="{5FBD02AD-CB5E-4B04-A565-05E0E11A4966}">
      <text>
        <r>
          <rPr>
            <b/>
            <sz val="9"/>
            <color indexed="81"/>
            <rFont val="Tahoma"/>
            <family val="2"/>
          </rPr>
          <t>Jorgen Fenhann:</t>
        </r>
        <r>
          <rPr>
            <sz val="9"/>
            <color indexed="81"/>
            <rFont val="Tahoma"/>
            <family val="2"/>
          </rPr>
          <t xml:space="preserve">
Net zero target in 2045</t>
        </r>
      </text>
    </comment>
    <comment ref="AK2405" authorId="0" shapeId="0" xr:uid="{00000000-0006-0000-0100-0000A9000000}">
      <text>
        <r>
          <rPr>
            <b/>
            <sz val="9"/>
            <color indexed="81"/>
            <rFont val="Tahoma"/>
            <family val="2"/>
          </rPr>
          <t>Jørgen Villy Fenhann:</t>
        </r>
        <r>
          <rPr>
            <sz val="9"/>
            <color indexed="81"/>
            <rFont val="Tahoma"/>
            <family val="2"/>
          </rPr>
          <t xml:space="preserve">
In 2027
</t>
        </r>
      </text>
    </comment>
    <comment ref="AK2411" authorId="0" shapeId="0" xr:uid="{00000000-0006-0000-0100-0000AA000000}">
      <text>
        <r>
          <rPr>
            <b/>
            <sz val="9"/>
            <color indexed="81"/>
            <rFont val="Tahoma"/>
            <family val="2"/>
          </rPr>
          <t>2027 goal</t>
        </r>
      </text>
    </comment>
    <comment ref="BL2417" authorId="0" shapeId="0" xr:uid="{00000000-0006-0000-0100-0000AB000000}">
      <text>
        <r>
          <rPr>
            <b/>
            <sz val="9"/>
            <color indexed="81"/>
            <rFont val="Tahoma"/>
            <family val="2"/>
          </rPr>
          <t>Jørgen Villy Fenhann:</t>
        </r>
        <r>
          <rPr>
            <sz val="9"/>
            <color indexed="81"/>
            <rFont val="Tahoma"/>
            <family val="2"/>
          </rPr>
          <t xml:space="preserve">
In 2038
</t>
        </r>
      </text>
    </comment>
    <comment ref="AT2426" authorId="0" shapeId="0" xr:uid="{00000000-0006-0000-0100-0000AC000000}">
      <text>
        <r>
          <rPr>
            <b/>
            <sz val="9"/>
            <color indexed="81"/>
            <rFont val="Tahoma"/>
            <family val="2"/>
          </rPr>
          <t xml:space="preserve">-11.5% in NDc1
</t>
        </r>
      </text>
    </comment>
    <comment ref="AT2429" authorId="0" shapeId="0" xr:uid="{00000000-0006-0000-0100-0000AF000000}">
      <text>
        <r>
          <rPr>
            <b/>
            <sz val="9"/>
            <color indexed="81"/>
            <rFont val="Tahoma"/>
            <family val="2"/>
          </rPr>
          <t>Jørgen Villy Fenhann:</t>
        </r>
        <r>
          <rPr>
            <sz val="9"/>
            <color indexed="81"/>
            <rFont val="Tahoma"/>
            <family val="2"/>
          </rPr>
          <t xml:space="preserve">
Before -32%
</t>
        </r>
      </text>
    </comment>
    <comment ref="AU2429" authorId="0" shapeId="0" xr:uid="{00000000-0006-0000-0100-0000B0000000}">
      <text>
        <r>
          <rPr>
            <b/>
            <sz val="9"/>
            <color indexed="81"/>
            <rFont val="Tahoma"/>
            <family val="2"/>
          </rPr>
          <t>Jørgen Villy Fenhann:</t>
        </r>
        <r>
          <rPr>
            <sz val="9"/>
            <color indexed="81"/>
            <rFont val="Tahoma"/>
            <family val="2"/>
          </rPr>
          <t xml:space="preserve">
Before -36%</t>
        </r>
      </text>
    </comment>
    <comment ref="AT2440" authorId="0" shapeId="0" xr:uid="{00000000-0006-0000-0100-0000B1000000}">
      <text>
        <r>
          <rPr>
            <b/>
            <sz val="9"/>
            <color indexed="81"/>
            <rFont val="Tahoma"/>
            <family val="2"/>
          </rPr>
          <t>-28% in NDc1</t>
        </r>
      </text>
    </comment>
    <comment ref="AK2489" authorId="0" shapeId="0" xr:uid="{00000000-0006-0000-0100-0000B2000000}">
      <text>
        <r>
          <rPr>
            <b/>
            <sz val="9"/>
            <color indexed="81"/>
            <rFont val="Tahoma"/>
            <family val="2"/>
          </rPr>
          <t>12.6% in NDC1</t>
        </r>
      </text>
    </comment>
    <comment ref="AL2489" authorId="0" shapeId="0" xr:uid="{00000000-0006-0000-0100-0000B3000000}">
      <text>
        <r>
          <rPr>
            <b/>
            <sz val="9"/>
            <color indexed="81"/>
            <rFont val="Tahoma"/>
            <family val="2"/>
          </rPr>
          <t>29.9% in NDC1</t>
        </r>
      </text>
    </comment>
    <comment ref="AT2489" authorId="0" shapeId="0" xr:uid="{00000000-0006-0000-0100-0000B4000000}">
      <text>
        <r>
          <rPr>
            <b/>
            <sz val="9"/>
            <color indexed="81"/>
            <rFont val="Tahoma"/>
            <family val="2"/>
          </rPr>
          <t>12.6% in NDC1</t>
        </r>
      </text>
    </comment>
    <comment ref="AU2489" authorId="0" shapeId="0" xr:uid="{00000000-0006-0000-0100-0000B5000000}">
      <text>
        <r>
          <rPr>
            <b/>
            <sz val="9"/>
            <color indexed="81"/>
            <rFont val="Tahoma"/>
            <family val="2"/>
          </rPr>
          <t>29.9% in NDC1</t>
        </r>
      </text>
    </comment>
    <comment ref="AT2493" authorId="0" shapeId="0" xr:uid="{00000000-0006-0000-0100-0000B6000000}">
      <text>
        <r>
          <rPr>
            <b/>
            <sz val="9"/>
            <color indexed="81"/>
            <rFont val="Tahoma"/>
            <family val="2"/>
          </rPr>
          <t>Jørgen Villy Fenhann:</t>
        </r>
        <r>
          <rPr>
            <sz val="9"/>
            <color indexed="81"/>
            <rFont val="Tahoma"/>
            <family val="2"/>
          </rPr>
          <t xml:space="preserve">
64% in NDC1
</t>
        </r>
      </text>
    </comment>
    <comment ref="AU2493" authorId="0" shapeId="0" xr:uid="{00000000-0006-0000-0100-0000B7000000}">
      <text>
        <r>
          <rPr>
            <b/>
            <sz val="9"/>
            <color indexed="81"/>
            <rFont val="Tahoma"/>
            <family val="2"/>
          </rPr>
          <t>Jørgen Villy Fenhann:</t>
        </r>
        <r>
          <rPr>
            <sz val="9"/>
            <color indexed="81"/>
            <rFont val="Tahoma"/>
            <family val="2"/>
          </rPr>
          <t xml:space="preserve">
78% in NDC1</t>
        </r>
      </text>
    </comment>
    <comment ref="AT2507" authorId="0" shapeId="0" xr:uid="{00000000-0006-0000-0100-0000B8000000}">
      <text>
        <r>
          <rPr>
            <b/>
            <sz val="9"/>
            <color indexed="81"/>
            <rFont val="Tahoma"/>
            <family val="2"/>
          </rPr>
          <t xml:space="preserve">-50% in NDc1
</t>
        </r>
      </text>
    </comment>
    <comment ref="AU2507" authorId="0" shapeId="0" xr:uid="{00000000-0006-0000-0100-0000B9000000}">
      <text>
        <r>
          <rPr>
            <b/>
            <sz val="9"/>
            <color indexed="81"/>
            <rFont val="Tahoma"/>
            <family val="2"/>
          </rPr>
          <t xml:space="preserve">-50% in NDc1
</t>
        </r>
      </text>
    </comment>
    <comment ref="AT2508" authorId="0" shapeId="0" xr:uid="{00000000-0006-0000-0100-0000BA000000}">
      <text>
        <r>
          <rPr>
            <b/>
            <sz val="9"/>
            <color indexed="81"/>
            <rFont val="Tahoma"/>
            <family val="2"/>
          </rPr>
          <t>Jørgen Villy Fenhann:</t>
        </r>
        <r>
          <rPr>
            <sz val="9"/>
            <color indexed="81"/>
            <rFont val="Tahoma"/>
            <family val="2"/>
          </rPr>
          <t xml:space="preserve">
35% in NDC1</t>
        </r>
      </text>
    </comment>
    <comment ref="AT2512" authorId="0" shapeId="0" xr:uid="{00000000-0006-0000-0100-0000BB000000}">
      <text>
        <r>
          <rPr>
            <b/>
            <sz val="9"/>
            <color indexed="81"/>
            <rFont val="Tahoma"/>
            <family val="2"/>
          </rPr>
          <t>For NDC1 it was 40%</t>
        </r>
      </text>
    </comment>
    <comment ref="AK2514" authorId="0" shapeId="0" xr:uid="{00000000-0006-0000-0100-0000BC000000}">
      <text>
        <r>
          <rPr>
            <b/>
            <sz val="9"/>
            <color indexed="81"/>
            <rFont val="Tahoma"/>
            <family val="2"/>
          </rPr>
          <t>Carbon neutral in 2025</t>
        </r>
      </text>
    </comment>
    <comment ref="AT2540" authorId="0" shapeId="0" xr:uid="{00000000-0006-0000-0100-0000BD000000}">
      <text>
        <r>
          <rPr>
            <b/>
            <sz val="9"/>
            <color indexed="81"/>
            <rFont val="Tahoma"/>
            <family val="2"/>
          </rPr>
          <t xml:space="preserve">NDC1: -20% compared to 1990
now compared to 2030
</t>
        </r>
      </text>
    </comment>
    <comment ref="AU2540" authorId="0" shapeId="0" xr:uid="{00000000-0006-0000-0100-0000BE000000}">
      <text>
        <r>
          <rPr>
            <b/>
            <sz val="9"/>
            <color indexed="81"/>
            <rFont val="Tahoma"/>
            <family val="2"/>
          </rPr>
          <t>NDC1: -35%</t>
        </r>
      </text>
    </comment>
    <comment ref="N2643" authorId="0" shapeId="0" xr:uid="{00000000-0006-0000-0100-0000BF000000}">
      <text>
        <r>
          <rPr>
            <b/>
            <sz val="9"/>
            <color indexed="81"/>
            <rFont val="Tahoma"/>
            <family val="2"/>
          </rPr>
          <t>Only buildings and industry</t>
        </r>
      </text>
    </comment>
    <comment ref="AE2649" authorId="0" shapeId="0" xr:uid="{00000000-0006-0000-0100-0000C0000000}">
      <text>
        <r>
          <rPr>
            <b/>
            <sz val="9"/>
            <color indexed="81"/>
            <rFont val="Tahoma"/>
            <family val="2"/>
          </rPr>
          <t xml:space="preserve">Average for Inertial scenario
</t>
        </r>
      </text>
    </comment>
    <comment ref="AF2649" authorId="0" shapeId="0" xr:uid="{00000000-0006-0000-0100-0000C1000000}">
      <text>
        <r>
          <rPr>
            <b/>
            <sz val="9"/>
            <color indexed="81"/>
            <rFont val="Tahoma"/>
            <family val="2"/>
          </rPr>
          <t>Jørgen Villy Fenhann:</t>
        </r>
        <r>
          <rPr>
            <sz val="9"/>
            <color indexed="81"/>
            <rFont val="Tahoma"/>
            <family val="2"/>
          </rPr>
          <t xml:space="preserve">
For Realistic scenario</t>
        </r>
      </text>
    </comment>
    <comment ref="AG2649" authorId="0" shapeId="0" xr:uid="{00000000-0006-0000-0100-0000C2000000}">
      <text>
        <r>
          <rPr>
            <b/>
            <sz val="9"/>
            <color indexed="81"/>
            <rFont val="Tahoma"/>
            <family val="2"/>
          </rPr>
          <t>Average for ambitious scenario</t>
        </r>
        <r>
          <rPr>
            <sz val="9"/>
            <color indexed="81"/>
            <rFont val="Tahoma"/>
            <family val="2"/>
          </rPr>
          <t xml:space="preserve">
</t>
        </r>
      </text>
    </comment>
    <comment ref="AN2649" authorId="0" shapeId="0" xr:uid="{00000000-0006-0000-0100-0000C3000000}">
      <text>
        <r>
          <rPr>
            <b/>
            <sz val="9"/>
            <color indexed="81"/>
            <rFont val="Tahoma"/>
            <family val="2"/>
          </rPr>
          <t>Average for Inertial scenario</t>
        </r>
      </text>
    </comment>
    <comment ref="AO2649" authorId="0" shapeId="0" xr:uid="{00000000-0006-0000-0100-0000C4000000}">
      <text>
        <r>
          <rPr>
            <b/>
            <sz val="9"/>
            <color indexed="81"/>
            <rFont val="Tahoma"/>
            <family val="2"/>
          </rPr>
          <t>Jørgen Villy Fenhann:</t>
        </r>
        <r>
          <rPr>
            <sz val="9"/>
            <color indexed="81"/>
            <rFont val="Tahoma"/>
            <family val="2"/>
          </rPr>
          <t xml:space="preserve">
For Realistic scenario</t>
        </r>
      </text>
    </comment>
    <comment ref="AP2649" authorId="0" shapeId="0" xr:uid="{00000000-0006-0000-0100-0000C5000000}">
      <text>
        <r>
          <rPr>
            <b/>
            <sz val="9"/>
            <color indexed="81"/>
            <rFont val="Tahoma"/>
            <family val="2"/>
          </rPr>
          <t>Average for ambitious scenario</t>
        </r>
        <r>
          <rPr>
            <sz val="9"/>
            <color indexed="81"/>
            <rFont val="Tahoma"/>
            <family val="2"/>
          </rPr>
          <t xml:space="preserve">
</t>
        </r>
      </text>
    </comment>
    <comment ref="AT2659" authorId="0" shapeId="0" xr:uid="{00000000-0006-0000-0100-0000C6000000}">
      <text>
        <r>
          <rPr>
            <b/>
            <sz val="9"/>
            <color indexed="81"/>
            <rFont val="Tahoma"/>
            <family val="2"/>
          </rPr>
          <t>In NDC1 -1.5%</t>
        </r>
      </text>
    </comment>
    <comment ref="AU2659" authorId="0" shapeId="0" xr:uid="{00000000-0006-0000-0100-0000C7000000}">
      <text>
        <r>
          <rPr>
            <b/>
            <sz val="9"/>
            <color indexed="81"/>
            <rFont val="Tahoma"/>
            <family val="2"/>
          </rPr>
          <t>In NDC1 -14%</t>
        </r>
      </text>
    </comment>
    <comment ref="AT2665" authorId="0" shapeId="0" xr:uid="{00000000-0006-0000-0100-0000C8000000}">
      <text>
        <r>
          <rPr>
            <b/>
            <sz val="9"/>
            <color indexed="81"/>
            <rFont val="Tahoma"/>
            <family val="2"/>
          </rPr>
          <t>Jørgen Villy Fenhann:</t>
        </r>
        <r>
          <rPr>
            <sz val="9"/>
            <color indexed="81"/>
            <rFont val="Tahoma"/>
            <family val="2"/>
          </rPr>
          <t xml:space="preserve">
Before -15% to -30%</t>
        </r>
      </text>
    </comment>
    <comment ref="AT2669" authorId="0" shapeId="0" xr:uid="{00000000-0006-0000-0100-0000C9000000}">
      <text>
        <r>
          <rPr>
            <b/>
            <sz val="9"/>
            <color indexed="81"/>
            <rFont val="Tahoma"/>
            <family val="2"/>
          </rPr>
          <t>Before 2% for both</t>
        </r>
      </text>
    </comment>
    <comment ref="BL2670" authorId="0" shapeId="0" xr:uid="{00000000-0006-0000-0100-0000CA000000}">
      <text>
        <r>
          <rPr>
            <b/>
            <sz val="9"/>
            <color indexed="81"/>
            <rFont val="Tahoma"/>
            <family val="2"/>
          </rPr>
          <t>NDC1: -12.8%</t>
        </r>
      </text>
    </comment>
    <comment ref="BM2670" authorId="0" shapeId="0" xr:uid="{00000000-0006-0000-0100-0000CB000000}">
      <text>
        <r>
          <rPr>
            <b/>
            <sz val="9"/>
            <color indexed="81"/>
            <rFont val="Tahoma"/>
            <family val="2"/>
          </rPr>
          <t xml:space="preserve">NDC1: -24.4%
</t>
        </r>
      </text>
    </comment>
    <comment ref="AN2675" authorId="0" shapeId="0" xr:uid="{00000000-0006-0000-0100-0000CC000000}">
      <text>
        <r>
          <rPr>
            <b/>
            <sz val="9"/>
            <color indexed="81"/>
            <rFont val="Tahoma"/>
            <family val="2"/>
          </rPr>
          <t>Jørgen Villy Fenhann:</t>
        </r>
        <r>
          <rPr>
            <sz val="9"/>
            <color indexed="81"/>
            <rFont val="Tahoma"/>
            <family val="2"/>
          </rPr>
          <t xml:space="preserve">
A 60% increase to 20230 from 2007 is assumed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Jørgen Villy Fenhann</author>
  </authors>
  <commentList>
    <comment ref="M4" authorId="0" shapeId="0" xr:uid="{00000000-0006-0000-0200-000001000000}">
      <text>
        <r>
          <rPr>
            <b/>
            <sz val="9"/>
            <color indexed="81"/>
            <rFont val="Tahoma"/>
            <family val="2"/>
          </rPr>
          <t>Cities in covered regions are included here</t>
        </r>
        <r>
          <rPr>
            <sz val="9"/>
            <color indexed="81"/>
            <rFont val="Tahoma"/>
            <family val="2"/>
          </rPr>
          <t xml:space="preserve">
</t>
        </r>
      </text>
    </comment>
    <comment ref="N4" authorId="0" shapeId="0" xr:uid="{00000000-0006-0000-0200-000002000000}">
      <text>
        <r>
          <rPr>
            <b/>
            <sz val="9"/>
            <color indexed="81"/>
            <rFont val="Tahoma"/>
            <family val="2"/>
          </rPr>
          <t>Not in covered regions</t>
        </r>
      </text>
    </comment>
    <comment ref="Q4" authorId="0" shapeId="0" xr:uid="{00000000-0006-0000-0200-000003000000}">
      <text>
        <r>
          <rPr>
            <b/>
            <sz val="9"/>
            <color indexed="81"/>
            <rFont val="Tahoma"/>
            <family val="2"/>
          </rPr>
          <t>In the reducing regions and cities</t>
        </r>
      </text>
    </comment>
  </commentList>
</comments>
</file>

<file path=xl/sharedStrings.xml><?xml version="1.0" encoding="utf-8"?>
<sst xmlns="http://schemas.openxmlformats.org/spreadsheetml/2006/main" count="9546" uniqueCount="3355">
  <si>
    <t>Intervention by H. E. Dr. Susilo Bambang Yudhoyono President of the Republic of Indonesia at the G-20 Leaders Summit, September 2009, Pittsburg. 
http://redd-indonesia.org/publikasi/detail/read/indonesia-presidents-speech-on-climate-change-at-2009-g-20-me</t>
  </si>
  <si>
    <t>Cheong Wa Dae. Office of the President: Korea to Lower Carbon Emissions by 30% by 2020, November 17 2009 http://english.president.go.kr/government/arirang/anews_view.php?uno=2162&amp;board_no=E09&amp;search_key=&amp;search_value=&amp;search_cate_code=&amp;cur_page_no=1</t>
  </si>
  <si>
    <t>Australia</t>
  </si>
  <si>
    <t>Austria</t>
  </si>
  <si>
    <t>Estonia</t>
  </si>
  <si>
    <t>Belarus</t>
  </si>
  <si>
    <t>Belgium</t>
  </si>
  <si>
    <t>Russian Federation</t>
  </si>
  <si>
    <t>Bulgaria</t>
  </si>
  <si>
    <t>Canada</t>
  </si>
  <si>
    <t>Czech Republic</t>
  </si>
  <si>
    <t>Croatia</t>
  </si>
  <si>
    <t>Ukraine</t>
  </si>
  <si>
    <t>Poland</t>
  </si>
  <si>
    <t>Denmark</t>
  </si>
  <si>
    <t>Germany</t>
  </si>
  <si>
    <t>Finland</t>
  </si>
  <si>
    <t>France</t>
  </si>
  <si>
    <t>Slovakia</t>
  </si>
  <si>
    <t>Greece</t>
  </si>
  <si>
    <t>Netherlands</t>
  </si>
  <si>
    <t>Hungary</t>
  </si>
  <si>
    <t>Iceland</t>
  </si>
  <si>
    <t>Ireland</t>
  </si>
  <si>
    <t>Italy</t>
  </si>
  <si>
    <t>Japan</t>
  </si>
  <si>
    <t>Lithuania</t>
  </si>
  <si>
    <t>Latvia</t>
  </si>
  <si>
    <t>Liechtenstein</t>
  </si>
  <si>
    <t>Norway</t>
  </si>
  <si>
    <t>Monaco</t>
  </si>
  <si>
    <t>Romania</t>
  </si>
  <si>
    <t>New Zealand</t>
  </si>
  <si>
    <t>Slovenia</t>
  </si>
  <si>
    <t>Portugal</t>
  </si>
  <si>
    <t>Sweden</t>
  </si>
  <si>
    <t>Switzerland</t>
  </si>
  <si>
    <t>Spain</t>
  </si>
  <si>
    <t>United States of America</t>
  </si>
  <si>
    <t>Albania</t>
  </si>
  <si>
    <t>Algeria</t>
  </si>
  <si>
    <t>Angola</t>
  </si>
  <si>
    <t>Argentina</t>
  </si>
  <si>
    <t>Armenia</t>
  </si>
  <si>
    <t>Azerbaijan</t>
  </si>
  <si>
    <t>Bahrain</t>
  </si>
  <si>
    <t>Bangladesh</t>
  </si>
  <si>
    <t>Benin</t>
  </si>
  <si>
    <t>Bolivia</t>
  </si>
  <si>
    <t>Bosnia &amp; Herzegovina</t>
  </si>
  <si>
    <t>Botswana</t>
  </si>
  <si>
    <t>Brazil</t>
  </si>
  <si>
    <t>Brunei</t>
  </si>
  <si>
    <t>Cambodia</t>
  </si>
  <si>
    <t>Cameroon</t>
  </si>
  <si>
    <t>Chile</t>
  </si>
  <si>
    <t>Colombia</t>
  </si>
  <si>
    <t>Congo</t>
  </si>
  <si>
    <t>Congo DR</t>
  </si>
  <si>
    <t>Costa Rica</t>
  </si>
  <si>
    <t>Côte d'Ivoire</t>
  </si>
  <si>
    <t>Cuba</t>
  </si>
  <si>
    <t>Cyprus</t>
  </si>
  <si>
    <t>Ecuador</t>
  </si>
  <si>
    <t>Egypt</t>
  </si>
  <si>
    <t>El Salvador</t>
  </si>
  <si>
    <t>Eritrea</t>
  </si>
  <si>
    <t>Ethiopia</t>
  </si>
  <si>
    <t>Gabon</t>
  </si>
  <si>
    <t>Georgia</t>
  </si>
  <si>
    <t>Ghana</t>
  </si>
  <si>
    <t>Guatemala</t>
  </si>
  <si>
    <t>Haiti</t>
  </si>
  <si>
    <t>Honduras</t>
  </si>
  <si>
    <t>India</t>
  </si>
  <si>
    <t>Indonesia</t>
  </si>
  <si>
    <t>Iran</t>
  </si>
  <si>
    <t>Iraq</t>
  </si>
  <si>
    <t>Israel</t>
  </si>
  <si>
    <t>Jamaica</t>
  </si>
  <si>
    <t>Kazakhstan</t>
  </si>
  <si>
    <t>Kenya</t>
  </si>
  <si>
    <t>Kuwait</t>
  </si>
  <si>
    <t>Kyrgyzstan</t>
  </si>
  <si>
    <t>Lebanon</t>
  </si>
  <si>
    <t>Libya</t>
  </si>
  <si>
    <t>Macedonia</t>
  </si>
  <si>
    <t>Malaysia</t>
  </si>
  <si>
    <t>Malta</t>
  </si>
  <si>
    <t>Mexico</t>
  </si>
  <si>
    <t>Moldova</t>
  </si>
  <si>
    <t>Mongolia</t>
  </si>
  <si>
    <t>Morocco</t>
  </si>
  <si>
    <t>Mozambique</t>
  </si>
  <si>
    <t>Myanmar</t>
  </si>
  <si>
    <t>Namibia</t>
  </si>
  <si>
    <t>Nepal</t>
  </si>
  <si>
    <t>Nicaragua</t>
  </si>
  <si>
    <t>Nigeria</t>
  </si>
  <si>
    <t>Oman</t>
  </si>
  <si>
    <t>Pakistan</t>
  </si>
  <si>
    <t>Panama</t>
  </si>
  <si>
    <t>Paraguay</t>
  </si>
  <si>
    <t>Peru</t>
  </si>
  <si>
    <t>Philippines</t>
  </si>
  <si>
    <t>Qatar</t>
  </si>
  <si>
    <t>Saudi Arabia</t>
  </si>
  <si>
    <t>Senegal</t>
  </si>
  <si>
    <t>Serbia</t>
  </si>
  <si>
    <t>Singapore</t>
  </si>
  <si>
    <t>South Africa</t>
  </si>
  <si>
    <t>Sri Lanka</t>
  </si>
  <si>
    <t>Sudan</t>
  </si>
  <si>
    <t>Syria</t>
  </si>
  <si>
    <t>Tajikistan</t>
  </si>
  <si>
    <t>Tanzania</t>
  </si>
  <si>
    <t>Thailand</t>
  </si>
  <si>
    <t>Togo</t>
  </si>
  <si>
    <t>Trinidad and Tobago</t>
  </si>
  <si>
    <t>Tunisia</t>
  </si>
  <si>
    <t>Turkmenistan</t>
  </si>
  <si>
    <t>United Arab Emirates</t>
  </si>
  <si>
    <t>Uruguay</t>
  </si>
  <si>
    <t>Uzbekistan</t>
  </si>
  <si>
    <t>Venezuela</t>
  </si>
  <si>
    <t>Vietnam</t>
  </si>
  <si>
    <t>Yemen</t>
  </si>
  <si>
    <t>Zambia</t>
  </si>
  <si>
    <t>Zimbabwe</t>
  </si>
  <si>
    <t>Country or Group of Countries</t>
  </si>
  <si>
    <t>Maldives</t>
  </si>
  <si>
    <t>UNEP Climate Neutral Network, Republic of Maldives, 2009. 
http://www.unep.org/climateneutral/Default.aspx?tabid=881</t>
  </si>
  <si>
    <t>Luxemburg</t>
  </si>
  <si>
    <t>Turkey</t>
  </si>
  <si>
    <t>1990 MtCO2eq</t>
  </si>
  <si>
    <t xml:space="preserve">UK </t>
  </si>
  <si>
    <t>First year</t>
  </si>
  <si>
    <t>Last year</t>
  </si>
  <si>
    <t>Year</t>
  </si>
  <si>
    <t>excl LULUCF</t>
  </si>
  <si>
    <t>incl LULUCF</t>
  </si>
  <si>
    <t>Historic GHG Source</t>
  </si>
  <si>
    <t>South Korea</t>
  </si>
  <si>
    <t>Global aggregate GHG emissions</t>
  </si>
  <si>
    <t xml:space="preserve">Ministerio do Meio Ambiente Press Office, Brazil presents its proposal for the UN Convention on Climate Change, November  2009. J12/sitio/en/index.php?ido=ascom.noticiaMMA&amp;idEstrutura=8&amp;codigo=5329                                        </t>
  </si>
  <si>
    <t>2020 GtCO2eq with reductions</t>
  </si>
  <si>
    <t>2050 GtCO2eq with reductions</t>
  </si>
  <si>
    <t>Guyana</t>
  </si>
  <si>
    <t>Montenegro</t>
  </si>
  <si>
    <t>Jordan</t>
  </si>
  <si>
    <t>Madagascar</t>
  </si>
  <si>
    <t>Marshall Islands</t>
  </si>
  <si>
    <t>Carbon neutrality by 2020</t>
  </si>
  <si>
    <t>2005 MtCO2eq</t>
  </si>
  <si>
    <t>2010 MtCO2eq</t>
  </si>
  <si>
    <t>second year</t>
  </si>
  <si>
    <t>Bahamas</t>
  </si>
  <si>
    <t>Belize</t>
  </si>
  <si>
    <t>Bhutan</t>
  </si>
  <si>
    <t>Fiji</t>
  </si>
  <si>
    <t>No data</t>
  </si>
  <si>
    <t>North Korea</t>
  </si>
  <si>
    <t>Lao PDR</t>
  </si>
  <si>
    <t>Burundi</t>
  </si>
  <si>
    <t>Cape Verde</t>
  </si>
  <si>
    <t>Equatorial Guinea</t>
  </si>
  <si>
    <t>Lesotho</t>
  </si>
  <si>
    <t>Liberia</t>
  </si>
  <si>
    <t>Malawi</t>
  </si>
  <si>
    <t>Mali</t>
  </si>
  <si>
    <t>Mauritius</t>
  </si>
  <si>
    <t>Mauritania</t>
  </si>
  <si>
    <t>Niger</t>
  </si>
  <si>
    <t>Rwanda</t>
  </si>
  <si>
    <t>Sierra Leone</t>
  </si>
  <si>
    <t>Swaziland</t>
  </si>
  <si>
    <t>Uganda</t>
  </si>
  <si>
    <t>Comoros</t>
  </si>
  <si>
    <t>Guinea-Bissau</t>
  </si>
  <si>
    <t>Djibouti</t>
  </si>
  <si>
    <t>Afghanistan</t>
  </si>
  <si>
    <t>Andorra</t>
  </si>
  <si>
    <t>Antigua and Barbuda</t>
  </si>
  <si>
    <t>Barbados</t>
  </si>
  <si>
    <t>Burkina Faso</t>
  </si>
  <si>
    <t>Central African Republic</t>
  </si>
  <si>
    <t>Chad</t>
  </si>
  <si>
    <t>Cook Islands</t>
  </si>
  <si>
    <t>Gambia</t>
  </si>
  <si>
    <t>Grenada</t>
  </si>
  <si>
    <t>Kiribati</t>
  </si>
  <si>
    <t>Micronesia</t>
  </si>
  <si>
    <t>Nauru</t>
  </si>
  <si>
    <t>Niue</t>
  </si>
  <si>
    <t>Palau</t>
  </si>
  <si>
    <t>Papua New Guinea</t>
  </si>
  <si>
    <t>Dominica</t>
  </si>
  <si>
    <t>Saint Lucia</t>
  </si>
  <si>
    <t>Saint Vincent and the Grenadines</t>
  </si>
  <si>
    <t>Samoa</t>
  </si>
  <si>
    <t>San Marino</t>
  </si>
  <si>
    <t>Sao Tome and Principe</t>
  </si>
  <si>
    <t>Solomon Islands</t>
  </si>
  <si>
    <t>Somalia</t>
  </si>
  <si>
    <t>Suriname</t>
  </si>
  <si>
    <t>Timor-Leste</t>
  </si>
  <si>
    <t>Tonga</t>
  </si>
  <si>
    <t>Tuvalu</t>
  </si>
  <si>
    <t>Vanuatu</t>
  </si>
  <si>
    <t>2020 MtCO2eq</t>
  </si>
  <si>
    <t>2020 BAU</t>
  </si>
  <si>
    <t>Base year of the pledge</t>
  </si>
  <si>
    <t>Indonesia's 2nd National Communication</t>
  </si>
  <si>
    <t>Brazilian Government. Decree No. 7390. December 9, 2010</t>
  </si>
  <si>
    <t>Republic of S Africa Dept of Environmental Affairs</t>
  </si>
  <si>
    <t>Copenhagen Accord</t>
  </si>
  <si>
    <t>Ministry of Foreign Affairs</t>
  </si>
  <si>
    <t>Australia's emission projections 2010</t>
  </si>
  <si>
    <t>Canada's Emission Trends 2012</t>
  </si>
  <si>
    <t>The Sunday Morning Herald, November 19, 2009: Russia pledges deeper emission cuts</t>
  </si>
  <si>
    <t>2nd National communication, 2009</t>
  </si>
  <si>
    <t>Planning Commission, Government of India (2011). Low-Carbon Strategies for Inclusive Growth: An Interim Report, Interim Report of the Expert Group on Low Carbon Strategies for Inclusive Growth, New Delhi, India, http://planningcommission.nic.in/reports/genrep/Inter_Exp.pdf</t>
  </si>
  <si>
    <t>Copenhagen Accord: Decrease CHG emissions at least 50% before 2030 while becoming carbon neutral before 2050</t>
  </si>
  <si>
    <t>Faumuina Tiatia's, Minister of Natural Resources and Environment, Statement, Second Meeting of the Cartagena Group/Dialogue for Progressive Action,  18 July, 2010</t>
  </si>
  <si>
    <t>Ministry of Foreign Affairs http://app.mfa.gov.sg/2006/lowRes/press/view_press.asp?post_id=5653</t>
  </si>
  <si>
    <t>FCCC/KP/AWG/2009/10/Add.4/Rev.2 19 Oct. 2009</t>
  </si>
  <si>
    <t>FCCC/KP/AWG/2009/10/Add.4/Rev.2 19 Oct. 2009, Carbon neutrality by 2030</t>
  </si>
  <si>
    <t>Climate Cure 2020, http://www.klif.no/publikasjoner/2678/ta2678.pdf</t>
  </si>
  <si>
    <t xml:space="preserve"> H.R. 2454: American American Clean Energy &amp; Security Act of 2009 (Waxman-Markey Bill). Passed by the House of Representatives 26 June 2009. www.govtrack.us/congress/bill.xpd?bill=h111-2454                       </t>
  </si>
  <si>
    <t>?</t>
  </si>
  <si>
    <t>UNFCCC, GHG data</t>
  </si>
  <si>
    <t>UNFCCC, 2nd Nat. Communication</t>
  </si>
  <si>
    <t>Guinea</t>
  </si>
  <si>
    <t>Kosovo</t>
  </si>
  <si>
    <t>Seychelles</t>
  </si>
  <si>
    <t xml:space="preserve">Pledges for
2020 compared to base year(%)
</t>
  </si>
  <si>
    <t xml:space="preserve">Pledges for
2050 compared to base year(%)
</t>
  </si>
  <si>
    <t>Kyoto - CP2 QELRO</t>
  </si>
  <si>
    <t>Pledge at Doha: reach 12% renewable energy in rhe emergy mix at 2020</t>
  </si>
  <si>
    <t>Kenya's Climate Change Action Plan www.kccap.info</t>
  </si>
  <si>
    <t xml:space="preserve"> 2000 data from 2nd national communication</t>
  </si>
  <si>
    <t>2000 data from 2nd national communication</t>
  </si>
  <si>
    <t>Mexico's 5th National Communication, dec 2012</t>
  </si>
  <si>
    <t>Greenhouse Gas Mitigation Asessment for Dominica, Oct. 2010</t>
  </si>
  <si>
    <t>NAMA0216: Implementation of the Low Carbon Climate Resilient Development Strategy.</t>
  </si>
  <si>
    <t>UK Climate Change Act, 2008</t>
  </si>
  <si>
    <t>South Sudan</t>
  </si>
  <si>
    <t>Western Sahara</t>
  </si>
  <si>
    <t>Saint Kitts and Nevis</t>
  </si>
  <si>
    <t>Taiwan</t>
  </si>
  <si>
    <t>Palestine</t>
  </si>
  <si>
    <t>Have pledged to develop a low-emission development strategy</t>
  </si>
  <si>
    <t>COP19 statement in Warsaw</t>
  </si>
  <si>
    <t>2030 GtCO2eq with reductions</t>
  </si>
  <si>
    <t xml:space="preserve">Pledges for
2030 compared to base year(%)
</t>
  </si>
  <si>
    <t>Climate Compatible Development Plan (CCDP)</t>
  </si>
  <si>
    <t>http://blogs.worldwatch.org/revolt/wp-content/uploads/2011/09/DR-ClimateCompatibleDevPlan-Sep-2011.pdf</t>
  </si>
  <si>
    <t>EU-28</t>
  </si>
  <si>
    <t>GAP5 average</t>
  </si>
  <si>
    <t>2020 BAU: GAP5 average</t>
  </si>
  <si>
    <t>2025 GtCO2eq with reductions</t>
  </si>
  <si>
    <t xml:space="preserve">Pledges for
2025 compared to base year(%)
</t>
  </si>
  <si>
    <t>2040 GtCO2eq with reductions</t>
  </si>
  <si>
    <t xml:space="preserve">Pledges for
2040 compared to base year(%)
</t>
  </si>
  <si>
    <t>UN Climate Summit 2014</t>
  </si>
  <si>
    <t>45% of power generation installed between now and 2025 will come from renewable energy sources</t>
  </si>
  <si>
    <t>50 % af elelctricity supply from wind in 2050</t>
  </si>
  <si>
    <t>The country plan to develop a carbon neutral, green economy by 2025.</t>
  </si>
  <si>
    <t>The Government has issued the Climate‐Resilient Green Economy (CRGE) strategy in 2011</t>
  </si>
  <si>
    <t>Reducing deforestation by 80% by 2020 compared to average 1996-2005 level (PPCDAm)</t>
  </si>
  <si>
    <t>50% renewable energy mix and 90% electricity generation from renewables in 2015.</t>
  </si>
  <si>
    <t>Energy Poilicy of Uruguay</t>
  </si>
  <si>
    <t>Energiwende</t>
  </si>
  <si>
    <t>Share of renewable electricity: 35% in2020, 40-45% in 2025, 55-60% in 2035, 80% in 2050</t>
  </si>
  <si>
    <t>UNFCCC, GHG data, 2nd NC</t>
  </si>
  <si>
    <t>BUR1</t>
  </si>
  <si>
    <t>Draft LCDS</t>
  </si>
  <si>
    <t>2025 BAU</t>
  </si>
  <si>
    <t>2025 GtCO2</t>
  </si>
  <si>
    <t>2030 BAU</t>
  </si>
  <si>
    <t>2030 GtCO2</t>
  </si>
  <si>
    <t>2040 BAU</t>
  </si>
  <si>
    <t>2040 GtCO2</t>
  </si>
  <si>
    <t>2050 BAU</t>
  </si>
  <si>
    <t>2050 GtCO2</t>
  </si>
  <si>
    <t>Source of projections</t>
  </si>
  <si>
    <t>INDC (2025 is given for international comparability)</t>
  </si>
  <si>
    <t>Long term goal: reduce to 1-1.5 tCO2/capita</t>
  </si>
  <si>
    <t xml:space="preserve"> NC3:2006, 2010, 2020, 2025, 2030, 2040</t>
  </si>
  <si>
    <t>BUR1: 2020 (WOM), 2030 (WAM)</t>
  </si>
  <si>
    <t xml:space="preserve"> NC2: BAU for 2020,2025,2030</t>
  </si>
  <si>
    <r>
      <t xml:space="preserve">BR1: BAU, </t>
    </r>
    <r>
      <rPr>
        <sz val="10"/>
        <color rgb="FF0000FF"/>
        <rFont val="Arial"/>
        <family val="2"/>
      </rPr>
      <t>rest INDC</t>
    </r>
  </si>
  <si>
    <t>Local data</t>
  </si>
  <si>
    <t>http://www.taiwanembassy.org/US/MIA/ct.asp?xItem=294319&amp;ctNode=11325&amp;mp=57</t>
  </si>
  <si>
    <t>www.ammk-rks.net/repository/docs/Brochure_Kosovo_Greenhouse_Gas_Emissions_Eng.pdf</t>
  </si>
  <si>
    <t>Only GHG data for 2008 and 2009</t>
  </si>
  <si>
    <r>
      <rPr>
        <sz val="10"/>
        <color rgb="FF0000FF"/>
        <rFont val="Arial"/>
        <family val="2"/>
      </rPr>
      <t>Reach a rate of 0% deforestation by the year 2030.</t>
    </r>
    <r>
      <rPr>
        <sz val="10"/>
        <rFont val="Arial"/>
        <family val="2"/>
      </rPr>
      <t xml:space="preserve"> 25% electricity coming from renewables before 2018</t>
    </r>
  </si>
  <si>
    <t>Primary focu will be givenon domestic GHG reductions</t>
  </si>
  <si>
    <t>Statement from Minister Quintanilla of Peru, it commits Peru to 60% renewables in power by 2024</t>
  </si>
  <si>
    <t>BAU GHGs in pledge Base year                  GtCO2eq            incl. LULUCF</t>
  </si>
  <si>
    <t>BAU GHGs in pledge Base year                  GtCO2eq            excl. LULUCF</t>
  </si>
  <si>
    <t>Share of 10% renewable energy in grid electricity by 2020</t>
  </si>
  <si>
    <t>2020 GHG emission will be equal to 2005 GHg emissions. Taiwan's 2015 climate law requires a 50 percent emissions cut by 2050 from 2005 levels</t>
  </si>
  <si>
    <t>Conditional: 15% below BAU emission levels by December 31, 2030. Unconditional: 30% reduction  in 2030 in the public transportation sector compared to 2013</t>
  </si>
  <si>
    <t>NC2: 1994, 2000</t>
  </si>
  <si>
    <t>GACMO used in INDC</t>
  </si>
  <si>
    <t>Mitigation optionhs shown in INDC</t>
  </si>
  <si>
    <t>The reduction in 2030 should be 25 MtCO2e</t>
  </si>
  <si>
    <t>NC1: 1994, NC2: 2000</t>
  </si>
  <si>
    <t>Dominican Republic</t>
  </si>
  <si>
    <t>UNFCCC, GHG data:1994; NC2: 2004, 2008</t>
  </si>
  <si>
    <t>Sectoral goals</t>
  </si>
  <si>
    <t>2035 BAU</t>
  </si>
  <si>
    <t>2035 GtCO2</t>
  </si>
  <si>
    <t>2035 GtCO2eq with reductions</t>
  </si>
  <si>
    <t xml:space="preserve">Pledges for
2035 compared to base year(%)
</t>
  </si>
  <si>
    <t>NC2: 1995, 2000</t>
  </si>
  <si>
    <t>NC2: 1994, 2004</t>
  </si>
  <si>
    <t>zero carbon power</t>
  </si>
  <si>
    <t>NC2: 2005, 2010</t>
  </si>
  <si>
    <t>No BAU</t>
  </si>
  <si>
    <t>Target of 24% of nuclear &amp; renewable energy in the energy mix in 2021</t>
  </si>
  <si>
    <t>renewable energy share in electricity generation to approach 100% by 2030 from around 60% in 2013</t>
  </si>
  <si>
    <t>Study underway</t>
  </si>
  <si>
    <t>All from INDC graph</t>
  </si>
  <si>
    <t>Renewables in the energy mix to a minimum of 30% by 2030</t>
  </si>
  <si>
    <t>NC1: 1990, 1997</t>
  </si>
  <si>
    <t>35% Renewable Energy Target by 2025 and 50% by 2030</t>
  </si>
  <si>
    <t>50% renewable electricity in 2015, and 100% in 2020.</t>
  </si>
  <si>
    <t>Renewable electricity</t>
  </si>
  <si>
    <t>will meet 80% of its electricity needs from renewable energy sources by 2025.</t>
  </si>
  <si>
    <t>GHG from energy -60%, GHG from electricity -100% in 2025</t>
  </si>
  <si>
    <t>NC2: 1994</t>
  </si>
  <si>
    <t>Inventory of U.S. Greenhouse Gas Emissions and Sinks: 1990-2013</t>
  </si>
  <si>
    <t>NC2: 1990, 2004</t>
  </si>
  <si>
    <t>Edgar 4.2: 1990, 2005, 2010</t>
  </si>
  <si>
    <t>Asia &amp; Pacific</t>
  </si>
  <si>
    <t>Africa</t>
  </si>
  <si>
    <t>Middle East</t>
  </si>
  <si>
    <t>America</t>
  </si>
  <si>
    <t>Other Europe &amp; Central Asia</t>
  </si>
  <si>
    <t>City</t>
  </si>
  <si>
    <t>Berlin</t>
  </si>
  <si>
    <t>Berlin committed itself to reducing its CO2 emissions by more than 40 % by 2020 compared to the baseline of 1990. This committment is laid down in the Climate Policy Work Programme (Action Plan) which was approved by Berlin’s Senate in July 2008.  Feasibility study „Climate-neutral Berlin 2050“ in cooperation with the Potsdam Institute for Climate Impact Research (PIK) published March 17, 2014; This target corresponds to a reduction of approx. 85% compared with the base year 1990.</t>
  </si>
  <si>
    <t>Amsterdam</t>
  </si>
  <si>
    <t>Madrid</t>
  </si>
  <si>
    <t>Copenhagen</t>
  </si>
  <si>
    <t>Lisbon</t>
  </si>
  <si>
    <t>Oslo</t>
  </si>
  <si>
    <t>Paris</t>
  </si>
  <si>
    <t>Region</t>
  </si>
  <si>
    <t>Plan Climate Energie 2007</t>
  </si>
  <si>
    <t>Provence-Alpes-Côte d'Azur</t>
  </si>
  <si>
    <t>La Reunion</t>
  </si>
  <si>
    <t>None</t>
  </si>
  <si>
    <t>New Caledonia</t>
  </si>
  <si>
    <t>Lombardy</t>
  </si>
  <si>
    <t>Emilia-Romagna</t>
  </si>
  <si>
    <t>Bueno Aires</t>
  </si>
  <si>
    <t>Boston</t>
  </si>
  <si>
    <t>Boulder</t>
  </si>
  <si>
    <t>Seattle</t>
  </si>
  <si>
    <t>Minneapolis</t>
  </si>
  <si>
    <t>New York City</t>
  </si>
  <si>
    <t>Portland</t>
  </si>
  <si>
    <t>San Francisco</t>
  </si>
  <si>
    <t>Vancouver</t>
  </si>
  <si>
    <t>Washington DC</t>
  </si>
  <si>
    <t>Melbourne</t>
  </si>
  <si>
    <t>Stockholm</t>
  </si>
  <si>
    <t>Yokohama</t>
  </si>
  <si>
    <t>Under 2 MOU</t>
  </si>
  <si>
    <t>California</t>
  </si>
  <si>
    <t>Los Angeles</t>
  </si>
  <si>
    <t>Minnesota</t>
  </si>
  <si>
    <t>Oregon</t>
  </si>
  <si>
    <t>www.oregon.gov/deq/AQ/Pages/Greenhouse-Gas-Inventory-Report.aspx</t>
  </si>
  <si>
    <t>Vermont</t>
  </si>
  <si>
    <t>http://anr.vermont.gov/sites/anr/files/specialtopics/climate/documents/emissions/Vermont%20GHG%20Emissions%20Inventory%20Update%201990-2012_June%20-2015.pdf</t>
  </si>
  <si>
    <t>Washington</t>
  </si>
  <si>
    <t>C40</t>
  </si>
  <si>
    <t>Compact of States and Regions</t>
  </si>
  <si>
    <t>Austin</t>
  </si>
  <si>
    <t>http://austintexas.gov/sites/default/files/files/Sustainability/FINAL_-_OOS_AustinClimatePlan_061015.pdf</t>
  </si>
  <si>
    <t>Chicago</t>
  </si>
  <si>
    <t>Philadelphia</t>
  </si>
  <si>
    <t>St. Louis</t>
  </si>
  <si>
    <t>CDP</t>
  </si>
  <si>
    <t>Burlington</t>
  </si>
  <si>
    <t>New York</t>
  </si>
  <si>
    <t>Connecticut</t>
  </si>
  <si>
    <t>Atlanta</t>
  </si>
  <si>
    <t>Carbonn</t>
  </si>
  <si>
    <t>https://atlantaclimateactionplan.wordpress.com/ghg-emissions-and-reduction-targets/</t>
  </si>
  <si>
    <t>British Colombia</t>
  </si>
  <si>
    <t>Ontario</t>
  </si>
  <si>
    <t>Quebec</t>
  </si>
  <si>
    <t>New Foundland and Labrador</t>
  </si>
  <si>
    <t>Northwest Territories</t>
  </si>
  <si>
    <t>Manitoba</t>
  </si>
  <si>
    <t>Toronto</t>
  </si>
  <si>
    <t>Ajax</t>
  </si>
  <si>
    <t>Caledon</t>
  </si>
  <si>
    <t>Calgary</t>
  </si>
  <si>
    <t>Colwood</t>
  </si>
  <si>
    <t>Delta</t>
  </si>
  <si>
    <t>Winnipeg</t>
  </si>
  <si>
    <t>Montreal</t>
  </si>
  <si>
    <t>CDP, Carbonn</t>
  </si>
  <si>
    <t>Sao Paulo</t>
  </si>
  <si>
    <t>Rio de Janeiro</t>
  </si>
  <si>
    <t>Belo Horisonte</t>
  </si>
  <si>
    <t>Baja California</t>
  </si>
  <si>
    <t>http://www3.epa.gov/region9/climatechange/pdfs/ghg-baja-executive-summary.pdf</t>
  </si>
  <si>
    <t>Jalisco</t>
  </si>
  <si>
    <t>Puebla</t>
  </si>
  <si>
    <t>Laikipia County</t>
  </si>
  <si>
    <t>South Australia</t>
  </si>
  <si>
    <t>Changwon city</t>
  </si>
  <si>
    <t>Baltimore</t>
  </si>
  <si>
    <t>Nagoya</t>
  </si>
  <si>
    <t>Kaohsiung city</t>
  </si>
  <si>
    <t>Seoul</t>
  </si>
  <si>
    <t>Taipei city</t>
  </si>
  <si>
    <t>Tokyo</t>
  </si>
  <si>
    <t>Baden-Württemberg</t>
  </si>
  <si>
    <t>Bavaria</t>
  </si>
  <si>
    <t>Brandenburg</t>
  </si>
  <si>
    <t>Bremen</t>
  </si>
  <si>
    <t>Hamburg</t>
  </si>
  <si>
    <t>Mecklenburg-West Pomerania</t>
  </si>
  <si>
    <t>Niedersachen</t>
  </si>
  <si>
    <t>North Rhine-Westphalia</t>
  </si>
  <si>
    <t>Rhineland-Palatinate</t>
  </si>
  <si>
    <t>Saarland</t>
  </si>
  <si>
    <t>Saxony</t>
  </si>
  <si>
    <t>Saxony-Anhalt</t>
  </si>
  <si>
    <t>Schleswig-Holstein</t>
  </si>
  <si>
    <t>Thuringia</t>
  </si>
  <si>
    <t>NAZCA</t>
  </si>
  <si>
    <t>Emission targets: https://www.umweltbundesamt.de/sites/default/files/medien/461/publikationen/4146.pdf</t>
  </si>
  <si>
    <t>Emission data: https://www.umweltbundesamt.de/sites/default/files/medien/378/publikationen/climate-change_24_2014_nationaler_inventarbericht_0.pdf</t>
  </si>
  <si>
    <t>Basque Country</t>
  </si>
  <si>
    <t>Catalonia</t>
  </si>
  <si>
    <t>Alberta</t>
  </si>
  <si>
    <t>Brittany</t>
  </si>
  <si>
    <t>Centre-Val de Loire</t>
  </si>
  <si>
    <t>Île-de-France</t>
  </si>
  <si>
    <t>Pay de la Loire</t>
  </si>
  <si>
    <t>Scotland</t>
  </si>
  <si>
    <t>Wales</t>
  </si>
  <si>
    <t>Hawaii</t>
  </si>
  <si>
    <t>Blekinge</t>
  </si>
  <si>
    <t>Jämtland</t>
  </si>
  <si>
    <t>Kronoberg</t>
  </si>
  <si>
    <t>Carinthia</t>
  </si>
  <si>
    <t>Drenthe</t>
  </si>
  <si>
    <t>North Brabant</t>
  </si>
  <si>
    <t>Gifu</t>
  </si>
  <si>
    <t>UK</t>
  </si>
  <si>
    <t>Greater Manchester</t>
  </si>
  <si>
    <t>Sardinia</t>
  </si>
  <si>
    <t>Nordjylland</t>
  </si>
  <si>
    <t>Madeira</t>
  </si>
  <si>
    <t>Valencia</t>
  </si>
  <si>
    <t>Reduce community-wide CO2e emissions by 20% from 2007 to 2020</t>
  </si>
  <si>
    <t>NC1: 1990, NC2: 2005</t>
  </si>
  <si>
    <t>C40, CDP</t>
  </si>
  <si>
    <t>Carbonn, CDP</t>
  </si>
  <si>
    <t>Turku</t>
  </si>
  <si>
    <t>Warsaw</t>
  </si>
  <si>
    <t>Porto</t>
  </si>
  <si>
    <t>Zaragoza</t>
  </si>
  <si>
    <t>Bologna</t>
  </si>
  <si>
    <t>Genova</t>
  </si>
  <si>
    <t>Napoli</t>
  </si>
  <si>
    <t>Oristano</t>
  </si>
  <si>
    <t xml:space="preserve"> -</t>
  </si>
  <si>
    <t>Padova</t>
  </si>
  <si>
    <t>Piacenza</t>
  </si>
  <si>
    <t>Torino</t>
  </si>
  <si>
    <t>Venice</t>
  </si>
  <si>
    <t>Dublin</t>
  </si>
  <si>
    <t>Glasgow</t>
  </si>
  <si>
    <t>Uk</t>
  </si>
  <si>
    <t>Greater London</t>
  </si>
  <si>
    <t>Zürich</t>
  </si>
  <si>
    <t>Vilnius</t>
  </si>
  <si>
    <t>Wellington</t>
  </si>
  <si>
    <t>Milan</t>
  </si>
  <si>
    <t>Moscow</t>
  </si>
  <si>
    <t>Växjö</t>
  </si>
  <si>
    <t>Östersund</t>
  </si>
  <si>
    <t>http://green.terresiena.it/en/project/carbon-free/the-project</t>
  </si>
  <si>
    <t>Data details</t>
  </si>
  <si>
    <t>Source of the data</t>
  </si>
  <si>
    <t>Siena province</t>
  </si>
  <si>
    <t>Antwerp</t>
  </si>
  <si>
    <t>Gävle</t>
  </si>
  <si>
    <t>Lund</t>
  </si>
  <si>
    <t>Lappeenranta</t>
  </si>
  <si>
    <t>www.lappeenranta.fi/en/Our-City/Green-Lappeenranta</t>
  </si>
  <si>
    <t>Asikkala</t>
  </si>
  <si>
    <t>Hanko</t>
  </si>
  <si>
    <t>Ii</t>
  </si>
  <si>
    <t>Ilomantsi</t>
  </si>
  <si>
    <t>Inkoo</t>
  </si>
  <si>
    <t>Joensuu</t>
  </si>
  <si>
    <t>Kitee</t>
  </si>
  <si>
    <t>Kuhmoinen</t>
  </si>
  <si>
    <t>Laitila</t>
  </si>
  <si>
    <t>Lieksa</t>
  </si>
  <si>
    <t>Liperi</t>
  </si>
  <si>
    <t>Lohja</t>
  </si>
  <si>
    <t>Masku</t>
  </si>
  <si>
    <t>Muhos</t>
  </si>
  <si>
    <t>Mynämäki</t>
  </si>
  <si>
    <t>Nurmes</t>
  </si>
  <si>
    <t>Outokumpu</t>
  </si>
  <si>
    <t>Padasjoki</t>
  </si>
  <si>
    <t>Parikkala</t>
  </si>
  <si>
    <t>Porvoo</t>
  </si>
  <si>
    <t>Raasepori</t>
  </si>
  <si>
    <t>Rauma</t>
  </si>
  <si>
    <t>Rautjärvi</t>
  </si>
  <si>
    <t>Ruokolahti</t>
  </si>
  <si>
    <t>Siuntio</t>
  </si>
  <si>
    <t>Tohmajärvi</t>
  </si>
  <si>
    <t>Uusikaupunki</t>
  </si>
  <si>
    <t>Valtimo</t>
  </si>
  <si>
    <t>Hinku Municipality</t>
  </si>
  <si>
    <t>www.hinku-foorumi.fi/en-US</t>
  </si>
  <si>
    <t>Hinku municipality</t>
  </si>
  <si>
    <t>Carbonn, Hinku municipality</t>
  </si>
  <si>
    <t>Espoo</t>
  </si>
  <si>
    <t>Lahti</t>
  </si>
  <si>
    <t>www.lahti.fi/www/cms.nsf/pages/A7538F9AA0BE1BFFC22576C400426E3D</t>
  </si>
  <si>
    <t>track0.org/cities-regions</t>
  </si>
  <si>
    <t>Maple Ridge</t>
  </si>
  <si>
    <t>http://mapleridge.ca/DocumentCenter/View/924</t>
  </si>
  <si>
    <t>Beaverton</t>
  </si>
  <si>
    <t>Himeji</t>
  </si>
  <si>
    <t>Japan for Sustainability</t>
  </si>
  <si>
    <t>www.japanfs.org/en/news/archives/news_id032745.html</t>
  </si>
  <si>
    <t>Kanagawa prefecture</t>
  </si>
  <si>
    <t>Hiroshima</t>
  </si>
  <si>
    <t>Toyama</t>
  </si>
  <si>
    <t>Aarhus</t>
  </si>
  <si>
    <t>Adelaide</t>
  </si>
  <si>
    <t>www.theguardian.com/australia-news/2015/sep/09/adelaide-joins-race-to-become-worlds-first-carbon-neutral-city</t>
  </si>
  <si>
    <t>Sydney</t>
  </si>
  <si>
    <t>Auckland</t>
  </si>
  <si>
    <t>Jakarta</t>
  </si>
  <si>
    <t>Quito</t>
  </si>
  <si>
    <t>Addis Ababa</t>
  </si>
  <si>
    <t>www.echnoserve.com/publications/Final%20aa-inventory-low-res(encrypted).pdf</t>
  </si>
  <si>
    <t>Durban</t>
  </si>
  <si>
    <t>www.bbsr.bund.de/BBSR/DE/Veroeffentlichungen/IzR/2012/5_6/Inhalt/DL_DiabRoberts.pdf?__blob=publicationFile&amp;v=2</t>
  </si>
  <si>
    <t>Johannesburg</t>
  </si>
  <si>
    <t>Ann Arbor</t>
  </si>
  <si>
    <t>http://www.a2gov.org/departments/systems-planning/energy/Documents/CityofAnnArborClimateActionPlan_low%20res_12_17_12.pdf</t>
  </si>
  <si>
    <t>www.aspenpitkin.com/Portals/0/docs/City/envhealth/2014%20Aspen%20Community-wide%20GHG%20Inventory.pdf</t>
  </si>
  <si>
    <t>Charleston</t>
  </si>
  <si>
    <t>Cleveland</t>
  </si>
  <si>
    <t>Hayward</t>
  </si>
  <si>
    <t>http://urbanaillinois.us/sites/default/files/attachments/city-urbana-cap-phase-i-final.pdf</t>
  </si>
  <si>
    <t>Urbana</t>
  </si>
  <si>
    <t>Antioch</t>
  </si>
  <si>
    <t>Knoxville</t>
  </si>
  <si>
    <t>Miami</t>
  </si>
  <si>
    <t>Nashville</t>
  </si>
  <si>
    <t>https://www.cityoftacoma.org/cms/One.aspx?portalId=169&amp;pageId=9659</t>
  </si>
  <si>
    <t>Tacoma</t>
  </si>
  <si>
    <t>Hermosillo</t>
  </si>
  <si>
    <t>Toluca de Lerdo</t>
  </si>
  <si>
    <t>Surrey</t>
  </si>
  <si>
    <t>Monteria</t>
  </si>
  <si>
    <t>Bogota</t>
  </si>
  <si>
    <t>www.compactofmayors.org/content/uploads/sites/14/2015/06/youblisher.com-1266029-Plan_Distrital_de_Adaptaci_n_y_Mitigaci_na_al_Cambio_Clim_tico.pdf</t>
  </si>
  <si>
    <t>Jerusalem</t>
  </si>
  <si>
    <t>Metropolitan Florence</t>
  </si>
  <si>
    <t>Forli</t>
  </si>
  <si>
    <t>Sandnes</t>
  </si>
  <si>
    <t>Uppsala</t>
  </si>
  <si>
    <t>Oeiras</t>
  </si>
  <si>
    <t>Almada</t>
  </si>
  <si>
    <t>Nantes</t>
  </si>
  <si>
    <t>Besancon</t>
  </si>
  <si>
    <t>Lyon</t>
  </si>
  <si>
    <t>Cordoba</t>
  </si>
  <si>
    <t>Akita</t>
  </si>
  <si>
    <t>Aomori</t>
  </si>
  <si>
    <t>Fujisawa</t>
  </si>
  <si>
    <t>Hakodate</t>
  </si>
  <si>
    <t>Hamamatsu</t>
  </si>
  <si>
    <t>Lida</t>
  </si>
  <si>
    <t>Kakogawa</t>
  </si>
  <si>
    <t>Kawasaki</t>
  </si>
  <si>
    <t>Kitakyushu</t>
  </si>
  <si>
    <t>Koriyama</t>
  </si>
  <si>
    <t>Koto</t>
  </si>
  <si>
    <t>Kumamoto</t>
  </si>
  <si>
    <t>Minato</t>
  </si>
  <si>
    <t>Miyoshi</t>
  </si>
  <si>
    <t>Nagahama</t>
  </si>
  <si>
    <t>Nagareyama</t>
  </si>
  <si>
    <t>Naha</t>
  </si>
  <si>
    <t>Nara</t>
  </si>
  <si>
    <t>Niigata</t>
  </si>
  <si>
    <t>Odawara</t>
  </si>
  <si>
    <t>Saitama</t>
  </si>
  <si>
    <t>Sakai</t>
  </si>
  <si>
    <t>Sapporo</t>
  </si>
  <si>
    <t>Sendai</t>
  </si>
  <si>
    <t>Shimonoseki</t>
  </si>
  <si>
    <t>Shinjuku</t>
  </si>
  <si>
    <t>Shizuoka</t>
  </si>
  <si>
    <t>Suita</t>
  </si>
  <si>
    <t>Taito</t>
  </si>
  <si>
    <t>Takatsuki</t>
  </si>
  <si>
    <t>Toyonaka</t>
  </si>
  <si>
    <t>Tsukuba</t>
  </si>
  <si>
    <t>Yao</t>
  </si>
  <si>
    <t>Gangneung</t>
  </si>
  <si>
    <t>Pyeongchang county</t>
  </si>
  <si>
    <t>Wonju</t>
  </si>
  <si>
    <t>Santa Rosa</t>
  </si>
  <si>
    <t>Palmerston North</t>
  </si>
  <si>
    <t>Wellington city</t>
  </si>
  <si>
    <t>http://wellington.govt.nz/~/media/services/environment-and-waste/environment/files/greenhouse-gas-inventory-web.pdf</t>
  </si>
  <si>
    <t>Batna</t>
  </si>
  <si>
    <t>Covenant of Mayors SEAP</t>
  </si>
  <si>
    <t>Boumerdés</t>
  </si>
  <si>
    <t>Sidi Bel Abbes</t>
  </si>
  <si>
    <t>Icherisheher</t>
  </si>
  <si>
    <t>Navahrudak</t>
  </si>
  <si>
    <t>Braslau</t>
  </si>
  <si>
    <t>E4EM Project – Energy for Eastern Mayors</t>
  </si>
  <si>
    <t>Rogachev</t>
  </si>
  <si>
    <t>Polotsk</t>
  </si>
  <si>
    <t>Chausy</t>
  </si>
  <si>
    <t>Ashmyany</t>
  </si>
  <si>
    <t>Gracanica</t>
  </si>
  <si>
    <t>Sarajevo</t>
  </si>
  <si>
    <t>Livno</t>
  </si>
  <si>
    <t>Travnik</t>
  </si>
  <si>
    <t>Gradiska</t>
  </si>
  <si>
    <t>Zenica</t>
  </si>
  <si>
    <t>Trebinje</t>
  </si>
  <si>
    <t>Prijedor</t>
  </si>
  <si>
    <t>Bijeljina</t>
  </si>
  <si>
    <t>Tuzla</t>
  </si>
  <si>
    <t>Zvornik</t>
  </si>
  <si>
    <t>Laktasi</t>
  </si>
  <si>
    <t>Banja Luka</t>
  </si>
  <si>
    <t>Kakanj</t>
  </si>
  <si>
    <t>Bihac</t>
  </si>
  <si>
    <t>Taraz</t>
  </si>
  <si>
    <t>Skopje</t>
  </si>
  <si>
    <t>Cantemir</t>
  </si>
  <si>
    <t>Soroca</t>
  </si>
  <si>
    <t>Festelita</t>
  </si>
  <si>
    <t>Anenii Noi</t>
  </si>
  <si>
    <t>Ungheni</t>
  </si>
  <si>
    <t>Ocnita</t>
  </si>
  <si>
    <t>Calarasi</t>
  </si>
  <si>
    <t>Causeni</t>
  </si>
  <si>
    <t>Drichia</t>
  </si>
  <si>
    <t>Podgorica</t>
  </si>
  <si>
    <t>Kolasin</t>
  </si>
  <si>
    <t>Zabljak</t>
  </si>
  <si>
    <t>Salé</t>
  </si>
  <si>
    <t>Christchurch</t>
  </si>
  <si>
    <t>Trondheim</t>
  </si>
  <si>
    <t>Porsgrunn</t>
  </si>
  <si>
    <t>Bergen</t>
  </si>
  <si>
    <t>Stavanger</t>
  </si>
  <si>
    <t>Aalesund</t>
  </si>
  <si>
    <t>Abasan Al-Kabira</t>
  </si>
  <si>
    <t>Nis</t>
  </si>
  <si>
    <t>Lausanne</t>
  </si>
  <si>
    <t>Neuchatel</t>
  </si>
  <si>
    <t>Ayent-Anzere</t>
  </si>
  <si>
    <t>CDP, Covenant of Mayors SEAP</t>
  </si>
  <si>
    <t>Geneve</t>
  </si>
  <si>
    <t>The 2050 goal was part of Aalborg commitments from 1995</t>
  </si>
  <si>
    <t>Montreux</t>
  </si>
  <si>
    <t>Martigny</t>
  </si>
  <si>
    <t>Vevey</t>
  </si>
  <si>
    <t>Somoniyon</t>
  </si>
  <si>
    <t>Eskehir Tepebasi</t>
  </si>
  <si>
    <t>Seferihisar</t>
  </si>
  <si>
    <t>Bornova</t>
  </si>
  <si>
    <t>Antalya</t>
  </si>
  <si>
    <t>Karsiyaka</t>
  </si>
  <si>
    <t>Kramatorsk</t>
  </si>
  <si>
    <t>Zhytomyr</t>
  </si>
  <si>
    <t>Kherson</t>
  </si>
  <si>
    <t>Shchors</t>
  </si>
  <si>
    <t>Hola Prystan</t>
  </si>
  <si>
    <t>Kamianka-Buzka</t>
  </si>
  <si>
    <t>Novoyavorivsk</t>
  </si>
  <si>
    <t>Korop</t>
  </si>
  <si>
    <t>Novovolynsk</t>
  </si>
  <si>
    <t>Pryluky</t>
  </si>
  <si>
    <t>Berdyansk</t>
  </si>
  <si>
    <t>Mena</t>
  </si>
  <si>
    <t>Ukrainka</t>
  </si>
  <si>
    <t>Velyki Mosty</t>
  </si>
  <si>
    <t>Konotop</t>
  </si>
  <si>
    <t>Zhovkva</t>
  </si>
  <si>
    <t>Ivano-Frankivsk</t>
  </si>
  <si>
    <t>Zhmerinka</t>
  </si>
  <si>
    <t>Ternopi</t>
  </si>
  <si>
    <t>Myrhorod</t>
  </si>
  <si>
    <t>Cherkasy</t>
  </si>
  <si>
    <t>Sambir</t>
  </si>
  <si>
    <t>Yevpatoria</t>
  </si>
  <si>
    <t>Kovel</t>
  </si>
  <si>
    <t>Novorad-Volynskyy</t>
  </si>
  <si>
    <t>Slavuta</t>
  </si>
  <si>
    <t>Lviv</t>
  </si>
  <si>
    <t>Dolya</t>
  </si>
  <si>
    <t>Pervomaisk</t>
  </si>
  <si>
    <t>Kamyanets-Podilsky</t>
  </si>
  <si>
    <t>Voznesensk</t>
  </si>
  <si>
    <t>Omylnyk</t>
  </si>
  <si>
    <t>Varva</t>
  </si>
  <si>
    <t>Korosten</t>
  </si>
  <si>
    <t>Berdychiv</t>
  </si>
  <si>
    <t>Komsomolsk</t>
  </si>
  <si>
    <t>Chernivtsi</t>
  </si>
  <si>
    <t>Melitopol</t>
  </si>
  <si>
    <t>Chernihiv</t>
  </si>
  <si>
    <t>Chuguiv</t>
  </si>
  <si>
    <t>Dubno</t>
  </si>
  <si>
    <t>Bilyayivka</t>
  </si>
  <si>
    <t>Rivne</t>
  </si>
  <si>
    <t>Slavutich</t>
  </si>
  <si>
    <t>Lutsk</t>
  </si>
  <si>
    <t>Tirana</t>
  </si>
  <si>
    <t>Akhaltsikhe</t>
  </si>
  <si>
    <t>Gori</t>
  </si>
  <si>
    <t>Kutaisi</t>
  </si>
  <si>
    <t>Batumi</t>
  </si>
  <si>
    <t>Zugdidi</t>
  </si>
  <si>
    <t>Rustavi</t>
  </si>
  <si>
    <t>Tbilisi</t>
  </si>
  <si>
    <t xml:space="preserve">Telavi </t>
  </si>
  <si>
    <t>Klagenfurt am Wörthersee</t>
  </si>
  <si>
    <t>Tulin</t>
  </si>
  <si>
    <t>Judenburg</t>
  </si>
  <si>
    <t>Saint-Hubert</t>
  </si>
  <si>
    <t>Kruibeke</t>
  </si>
  <si>
    <t>Gembloux</t>
  </si>
  <si>
    <t>Viroinval</t>
  </si>
  <si>
    <t>Wance</t>
  </si>
  <si>
    <t>Attert</t>
  </si>
  <si>
    <t>Lummen</t>
  </si>
  <si>
    <t>Dilsen-Stokkem</t>
  </si>
  <si>
    <t>Halen</t>
  </si>
  <si>
    <t>Sivry-rance</t>
  </si>
  <si>
    <t>Carbonn, Covenant of Mayors SEAP</t>
  </si>
  <si>
    <t>Krushari</t>
  </si>
  <si>
    <t>Aksakovo</t>
  </si>
  <si>
    <t>Kostinbrod</t>
  </si>
  <si>
    <t>Mezra</t>
  </si>
  <si>
    <t>Petrich</t>
  </si>
  <si>
    <t>Dobrich</t>
  </si>
  <si>
    <t>Varna</t>
  </si>
  <si>
    <t>Gabrovo</t>
  </si>
  <si>
    <t>Vratsa</t>
  </si>
  <si>
    <t>Asenovgrad</t>
  </si>
  <si>
    <t>Burgas</t>
  </si>
  <si>
    <t>Karlovo</t>
  </si>
  <si>
    <t>General Toshevo</t>
  </si>
  <si>
    <t>Kozloduy</t>
  </si>
  <si>
    <t>Ihtiman</t>
  </si>
  <si>
    <t>Velica Gorica</t>
  </si>
  <si>
    <t>Parec-Parenzo</t>
  </si>
  <si>
    <t>Buzet</t>
  </si>
  <si>
    <t>Umag</t>
  </si>
  <si>
    <t>Barban</t>
  </si>
  <si>
    <t>Buja</t>
  </si>
  <si>
    <t>Groznjan</t>
  </si>
  <si>
    <t>Oprtalj</t>
  </si>
  <si>
    <t>Jastrebarsko</t>
  </si>
  <si>
    <t>Sveta Nedelja</t>
  </si>
  <si>
    <t>Kopruvnica</t>
  </si>
  <si>
    <t>Klanjec</t>
  </si>
  <si>
    <t>Mezilesi</t>
  </si>
  <si>
    <t>Ostrava</t>
  </si>
  <si>
    <t>Ærø</t>
  </si>
  <si>
    <t>Albertslund</t>
  </si>
  <si>
    <t>Skive</t>
  </si>
  <si>
    <t>Ringkøbing-Skjern</t>
  </si>
  <si>
    <t>Sønderborg</t>
  </si>
  <si>
    <t>Hjørring</t>
  </si>
  <si>
    <t>Roskilde</t>
  </si>
  <si>
    <t>Helsingør</t>
  </si>
  <si>
    <t>Næstved</t>
  </si>
  <si>
    <t>Solrød</t>
  </si>
  <si>
    <t>Frederikshavn</t>
  </si>
  <si>
    <t>Rakvere</t>
  </si>
  <si>
    <t>Hinku municipality, Covenant of Mayors SEAP</t>
  </si>
  <si>
    <t>Kainuu region</t>
  </si>
  <si>
    <t>Tampere</t>
  </si>
  <si>
    <t>Vantaa</t>
  </si>
  <si>
    <t>Grande-Synthe</t>
  </si>
  <si>
    <t>Grenoble-Alpes-Metropole</t>
  </si>
  <si>
    <t>Lille Metropole</t>
  </si>
  <si>
    <t>Nice</t>
  </si>
  <si>
    <t>Bordeaux metropole</t>
  </si>
  <si>
    <t>Hagen</t>
  </si>
  <si>
    <t>Offenbach am Main</t>
  </si>
  <si>
    <t>Greislingen</t>
  </si>
  <si>
    <t>Pforzheim</t>
  </si>
  <si>
    <t>Eggenfelden</t>
  </si>
  <si>
    <t>Kaiserlautern</t>
  </si>
  <si>
    <t>Karlsruhe</t>
  </si>
  <si>
    <t>Bielefeld</t>
  </si>
  <si>
    <t>Wiesloch</t>
  </si>
  <si>
    <t>Essen</t>
  </si>
  <si>
    <t>Altötting</t>
  </si>
  <si>
    <t>Fürstenfeldbruck</t>
  </si>
  <si>
    <t>Landau in der Pfalz</t>
  </si>
  <si>
    <t>Lörrach</t>
  </si>
  <si>
    <t>Rheinberg</t>
  </si>
  <si>
    <t>Böhl-Iggelheim</t>
  </si>
  <si>
    <t>Bottorp</t>
  </si>
  <si>
    <t>Aachen</t>
  </si>
  <si>
    <t>Esslingen am Nectar</t>
  </si>
  <si>
    <t>München</t>
  </si>
  <si>
    <t>Münster</t>
  </si>
  <si>
    <t>Herten</t>
  </si>
  <si>
    <t>Franfurt</t>
  </si>
  <si>
    <t xml:space="preserve">  -</t>
  </si>
  <si>
    <t>Neumarkt inder Oberpfalz</t>
  </si>
  <si>
    <t>Mannheim</t>
  </si>
  <si>
    <t>Mainz</t>
  </si>
  <si>
    <t>Dortmund</t>
  </si>
  <si>
    <t>Duisburg</t>
  </si>
  <si>
    <t>Hannover</t>
  </si>
  <si>
    <t>Nürnberg</t>
  </si>
  <si>
    <t>Freiburg</t>
  </si>
  <si>
    <t>Düsseldorf</t>
  </si>
  <si>
    <t>Argos-Mykines</t>
  </si>
  <si>
    <t>Chalkidona</t>
  </si>
  <si>
    <t>Nisyros island</t>
  </si>
  <si>
    <t>Skyros island</t>
  </si>
  <si>
    <t>Lipsi island</t>
  </si>
  <si>
    <t>Moudros island</t>
  </si>
  <si>
    <t>Kéa island</t>
  </si>
  <si>
    <t>Korthi island</t>
  </si>
  <si>
    <t>Ios island</t>
  </si>
  <si>
    <t>Milos island</t>
  </si>
  <si>
    <t>Platanias</t>
  </si>
  <si>
    <t>Tripolis</t>
  </si>
  <si>
    <t>Korinthos</t>
  </si>
  <si>
    <t>Minoa Pediadas</t>
  </si>
  <si>
    <t>Edessa</t>
  </si>
  <si>
    <t>Rethymno</t>
  </si>
  <si>
    <t>Megara</t>
  </si>
  <si>
    <t>Heraklion</t>
  </si>
  <si>
    <t>Hersonisos</t>
  </si>
  <si>
    <t>Dimos Volvis</t>
  </si>
  <si>
    <t>Monemvasia</t>
  </si>
  <si>
    <t>Notia Kynouria</t>
  </si>
  <si>
    <t>Szarvas</t>
  </si>
  <si>
    <t>Martfü</t>
  </si>
  <si>
    <t>Hajduszoboszlo</t>
  </si>
  <si>
    <t>Tab</t>
  </si>
  <si>
    <t>Budapest iV distric Ujpest</t>
  </si>
  <si>
    <t>Bükkszentkereszt</t>
  </si>
  <si>
    <t>Felsötarkany</t>
  </si>
  <si>
    <t>Ozd</t>
  </si>
  <si>
    <t>Sarospatak</t>
  </si>
  <si>
    <t>Nagykanizsa</t>
  </si>
  <si>
    <t>Pecs</t>
  </si>
  <si>
    <t>Tokaj</t>
  </si>
  <si>
    <t>Riga</t>
  </si>
  <si>
    <t>Liepaja</t>
  </si>
  <si>
    <t>Kaunas</t>
  </si>
  <si>
    <t>Vilkaviskis</t>
  </si>
  <si>
    <t>Trakai</t>
  </si>
  <si>
    <t>Beckerich</t>
  </si>
  <si>
    <t>Kirkop</t>
  </si>
  <si>
    <t>Mdina</t>
  </si>
  <si>
    <t>Ghaxaq</t>
  </si>
  <si>
    <t>Xewkija</t>
  </si>
  <si>
    <t>Santa Lucija</t>
  </si>
  <si>
    <t>Kalkara</t>
  </si>
  <si>
    <t>Pembroke</t>
  </si>
  <si>
    <t>Taxbiex</t>
  </si>
  <si>
    <t>Heerhugowaard</t>
  </si>
  <si>
    <t>Lingewaard</t>
  </si>
  <si>
    <t>Delft</t>
  </si>
  <si>
    <t>Breda</t>
  </si>
  <si>
    <t>Haarlem</t>
  </si>
  <si>
    <t>Nijmegen</t>
  </si>
  <si>
    <t>Midden-Delfland</t>
  </si>
  <si>
    <t>The hague</t>
  </si>
  <si>
    <t>Raciechowice</t>
  </si>
  <si>
    <t>Kozy</t>
  </si>
  <si>
    <t>Wladyslawowo</t>
  </si>
  <si>
    <t>Elk</t>
  </si>
  <si>
    <t>Lubianka</t>
  </si>
  <si>
    <t>Sopot</t>
  </si>
  <si>
    <t>Porto Santa</t>
  </si>
  <si>
    <t>Sao Vicente</t>
  </si>
  <si>
    <t>Porto Moniz</t>
  </si>
  <si>
    <t>Torres Vedras</t>
  </si>
  <si>
    <t>Barreiro</t>
  </si>
  <si>
    <t>Avis</t>
  </si>
  <si>
    <t>Marvao</t>
  </si>
  <si>
    <t>Alter do Chao</t>
  </si>
  <si>
    <t>Seia</t>
  </si>
  <si>
    <t>Coruche</t>
  </si>
  <si>
    <t>Villa Nova de Gaia</t>
  </si>
  <si>
    <t>Loures</t>
  </si>
  <si>
    <t>Moura</t>
  </si>
  <si>
    <t>Agueda</t>
  </si>
  <si>
    <t>Pitesti</t>
  </si>
  <si>
    <t>Moinesti</t>
  </si>
  <si>
    <t>Brasov</t>
  </si>
  <si>
    <t>Lendava</t>
  </si>
  <si>
    <t>Lerum</t>
  </si>
  <si>
    <t>Oskarshamn</t>
  </si>
  <si>
    <t>Eskilstuna</t>
  </si>
  <si>
    <t>Luleå</t>
  </si>
  <si>
    <t>Ronneby</t>
  </si>
  <si>
    <t>Karlskrona</t>
  </si>
  <si>
    <t>Piteå</t>
  </si>
  <si>
    <t>Kristianstad</t>
  </si>
  <si>
    <t>Haninge</t>
  </si>
  <si>
    <t>Lidköping</t>
  </si>
  <si>
    <t>Örebro</t>
  </si>
  <si>
    <t>Umeå</t>
  </si>
  <si>
    <t>Linköping</t>
  </si>
  <si>
    <t>Göteborg</t>
  </si>
  <si>
    <t>Södertälje</t>
  </si>
  <si>
    <t>Skövde</t>
  </si>
  <si>
    <t>Jönköping</t>
  </si>
  <si>
    <t>Tyresö</t>
  </si>
  <si>
    <t>Alvesta</t>
  </si>
  <si>
    <t>Nynäshamn</t>
  </si>
  <si>
    <t>Halmstad</t>
  </si>
  <si>
    <t>Helsingborg</t>
  </si>
  <si>
    <t>Kungälv</t>
  </si>
  <si>
    <t>Finspång</t>
  </si>
  <si>
    <t>Gislaveds</t>
  </si>
  <si>
    <t>Kalmar</t>
  </si>
  <si>
    <t>Västerås</t>
  </si>
  <si>
    <t>Karlstad</t>
  </si>
  <si>
    <t>Malmö</t>
  </si>
  <si>
    <t>Aberdeen</t>
  </si>
  <si>
    <t>Edinburgh</t>
  </si>
  <si>
    <t>Cardiff</t>
  </si>
  <si>
    <t>Knowsley Council</t>
  </si>
  <si>
    <t>Bath &amp; Northeast Somerset</t>
  </si>
  <si>
    <t>Southampton</t>
  </si>
  <si>
    <t>Poole</t>
  </si>
  <si>
    <t>Milton Keynes</t>
  </si>
  <si>
    <t>Birmingham</t>
  </si>
  <si>
    <t>Nottingham</t>
  </si>
  <si>
    <t>Sunderland</t>
  </si>
  <si>
    <t>Bristol</t>
  </si>
  <si>
    <t>Leicester</t>
  </si>
  <si>
    <t>Cornwall</t>
  </si>
  <si>
    <t>Herencia</t>
  </si>
  <si>
    <t>Pedro Munoz</t>
  </si>
  <si>
    <t>Setcases</t>
  </si>
  <si>
    <t>Alcala de Ebro</t>
  </si>
  <si>
    <t>Calatorao</t>
  </si>
  <si>
    <t>Caspe</t>
  </si>
  <si>
    <t>Castejon de Valdejasa</t>
  </si>
  <si>
    <t>Cerveruela</t>
  </si>
  <si>
    <t>Daroca</t>
  </si>
  <si>
    <t>Escatron</t>
  </si>
  <si>
    <t>Fuendejalon</t>
  </si>
  <si>
    <t>Grisel</t>
  </si>
  <si>
    <t>Isuerre</t>
  </si>
  <si>
    <t>La Zaida</t>
  </si>
  <si>
    <t>Luesia</t>
  </si>
  <si>
    <t>Rueda de Jalon</t>
  </si>
  <si>
    <t>Terrer</t>
  </si>
  <si>
    <t>Torrijo de la Canada</t>
  </si>
  <si>
    <t>Trasmoz</t>
  </si>
  <si>
    <t>Velilla de Ebro</t>
  </si>
  <si>
    <t>Vistabella de Hueva</t>
  </si>
  <si>
    <t>Garrigas</t>
  </si>
  <si>
    <t>Sabadell</t>
  </si>
  <si>
    <t>Collbato</t>
  </si>
  <si>
    <t>Santa Margalida</t>
  </si>
  <si>
    <t>Sant Hipolit de Voltrega</t>
  </si>
  <si>
    <t>La Matanza de Acentejo</t>
  </si>
  <si>
    <t>La Coma I la Pedra</t>
  </si>
  <si>
    <t>Arenales de San Gregorio</t>
  </si>
  <si>
    <t>Sora</t>
  </si>
  <si>
    <t>Balones</t>
  </si>
  <si>
    <t>Tarbena</t>
  </si>
  <si>
    <t>Teulada</t>
  </si>
  <si>
    <t>Gorga</t>
  </si>
  <si>
    <t>San Isidro</t>
  </si>
  <si>
    <t>Beniarda</t>
  </si>
  <si>
    <t>Tibi</t>
  </si>
  <si>
    <t>Campdevanol</t>
  </si>
  <si>
    <t>Denia</t>
  </si>
  <si>
    <t>Toses</t>
  </si>
  <si>
    <t>Cervia de les Garriges</t>
  </si>
  <si>
    <t>Madremanya</t>
  </si>
  <si>
    <t>Ibi</t>
  </si>
  <si>
    <t>Sant Feliu de Buixalleu</t>
  </si>
  <si>
    <t>Sant LLorenc de Morunys</t>
  </si>
  <si>
    <t>Vinaixa</t>
  </si>
  <si>
    <t>Balsareny</t>
  </si>
  <si>
    <t>Sort</t>
  </si>
  <si>
    <t>Sidamon</t>
  </si>
  <si>
    <t>Viladrau</t>
  </si>
  <si>
    <t>La Guingueta</t>
  </si>
  <si>
    <t>Torres de Segre</t>
  </si>
  <si>
    <t>Camarasa</t>
  </si>
  <si>
    <t>Lebrija</t>
  </si>
  <si>
    <t>Torroella de Montgri</t>
  </si>
  <si>
    <t>Amurrio</t>
  </si>
  <si>
    <t>Palafolls</t>
  </si>
  <si>
    <t>Benejuzar</t>
  </si>
  <si>
    <t>Beniarbeig</t>
  </si>
  <si>
    <t>Catral</t>
  </si>
  <si>
    <t>Jacarilla</t>
  </si>
  <si>
    <t>Crevillent</t>
  </si>
  <si>
    <t>Senija</t>
  </si>
  <si>
    <t>Ordis</t>
  </si>
  <si>
    <t>Juneda</t>
  </si>
  <si>
    <t>Calldetenes</t>
  </si>
  <si>
    <t>Capmany</t>
  </si>
  <si>
    <t>Mollo</t>
  </si>
  <si>
    <t>Rafal</t>
  </si>
  <si>
    <t>Alcoi</t>
  </si>
  <si>
    <t>Sant Pol de Mar</t>
  </si>
  <si>
    <t>Queralbs</t>
  </si>
  <si>
    <t>Rioja</t>
  </si>
  <si>
    <t>Llanars</t>
  </si>
  <si>
    <t>Sant Llorencde Hortons</t>
  </si>
  <si>
    <t>Arjonilla</t>
  </si>
  <si>
    <t>Argencola</t>
  </si>
  <si>
    <t>Irun</t>
  </si>
  <si>
    <t>Banos de la Encina</t>
  </si>
  <si>
    <t>Santiago de Caltrava</t>
  </si>
  <si>
    <t>Jabalquinto</t>
  </si>
  <si>
    <t>Escanuela</t>
  </si>
  <si>
    <t>Solsona</t>
  </si>
  <si>
    <t>Basauri</t>
  </si>
  <si>
    <t>Aznalcollar</t>
  </si>
  <si>
    <t>Odena</t>
  </si>
  <si>
    <t>Huescar</t>
  </si>
  <si>
    <t>Librilla</t>
  </si>
  <si>
    <t>Pechina</t>
  </si>
  <si>
    <t>Huevar del Aljarafe</t>
  </si>
  <si>
    <t>Mutxamel</t>
  </si>
  <si>
    <t>Algarrobo</t>
  </si>
  <si>
    <t>El Campello</t>
  </si>
  <si>
    <t>Las Cabezas de San Juan</t>
  </si>
  <si>
    <t>Rojales</t>
  </si>
  <si>
    <t>Monovar</t>
  </si>
  <si>
    <t>Fuentes de Andalucia</t>
  </si>
  <si>
    <t>Hueneja</t>
  </si>
  <si>
    <t>Ager</t>
  </si>
  <si>
    <t>Els Torms</t>
  </si>
  <si>
    <t>Galera</t>
  </si>
  <si>
    <t>Areatza</t>
  </si>
  <si>
    <t>Pulpi</t>
  </si>
  <si>
    <t>Calp</t>
  </si>
  <si>
    <t>Canada Rosal</t>
  </si>
  <si>
    <t>Llauri</t>
  </si>
  <si>
    <t>Vacarisses</t>
  </si>
  <si>
    <t>Tarifa</t>
  </si>
  <si>
    <t>La Puebla de Cazalla</t>
  </si>
  <si>
    <t>Marinaleda</t>
  </si>
  <si>
    <t>Los Corrales</t>
  </si>
  <si>
    <t>l'Alcudia</t>
  </si>
  <si>
    <t>Castril</t>
  </si>
  <si>
    <t>Beas de Segura</t>
  </si>
  <si>
    <t>Campillos</t>
  </si>
  <si>
    <t>Aguadulce</t>
  </si>
  <si>
    <t>Villanueva del Arzobispo</t>
  </si>
  <si>
    <t>Lora de Estepa</t>
  </si>
  <si>
    <t>Aznalcazar</t>
  </si>
  <si>
    <t>Osuna</t>
  </si>
  <si>
    <t>El Carpio</t>
  </si>
  <si>
    <t>Alcolea del Rio</t>
  </si>
  <si>
    <t>Artes</t>
  </si>
  <si>
    <t>Arboleas</t>
  </si>
  <si>
    <t>Arjona</t>
  </si>
  <si>
    <t>Larva</t>
  </si>
  <si>
    <t>Los Villares</t>
  </si>
  <si>
    <t>Aigues</t>
  </si>
  <si>
    <t>Jijona</t>
  </si>
  <si>
    <t>La Torre de les Macanes</t>
  </si>
  <si>
    <t>Sella</t>
  </si>
  <si>
    <t>Santa Coloma de Cervello</t>
  </si>
  <si>
    <t>Ciutadella de Menorca</t>
  </si>
  <si>
    <t>Polopos</t>
  </si>
  <si>
    <t>Benifato</t>
  </si>
  <si>
    <t>Bolulla</t>
  </si>
  <si>
    <t>Finistrat</t>
  </si>
  <si>
    <t>Els Poblets</t>
  </si>
  <si>
    <t>Ondora</t>
  </si>
  <si>
    <t>Parcent</t>
  </si>
  <si>
    <t>Xalo</t>
  </si>
  <si>
    <t>Alcalali</t>
  </si>
  <si>
    <t>Benigembla</t>
  </si>
  <si>
    <t>Lliber</t>
  </si>
  <si>
    <t>Lorcha</t>
  </si>
  <si>
    <t>Relleu</t>
  </si>
  <si>
    <t>Sanet y Negrals</t>
  </si>
  <si>
    <t>Benidoleig</t>
  </si>
  <si>
    <t>Benimeli</t>
  </si>
  <si>
    <t>El Rafol d'Almunia</t>
  </si>
  <si>
    <t>Orba</t>
  </si>
  <si>
    <t>Jerez del Marquesado</t>
  </si>
  <si>
    <t>Laroya</t>
  </si>
  <si>
    <t>Lupion</t>
  </si>
  <si>
    <t>Orcera</t>
  </si>
  <si>
    <t>Tormos</t>
  </si>
  <si>
    <t>Torredelcampo</t>
  </si>
  <si>
    <t>Castro de Filabres</t>
  </si>
  <si>
    <t>Benimassot</t>
  </si>
  <si>
    <t>Castell de Castells</t>
  </si>
  <si>
    <t>Isla Mayor</t>
  </si>
  <si>
    <t>Onil</t>
  </si>
  <si>
    <t>Pedreguer</t>
  </si>
  <si>
    <t>Polop de la Marina</t>
  </si>
  <si>
    <t>Sagra</t>
  </si>
  <si>
    <t>El Ronquillo</t>
  </si>
  <si>
    <t>Arcos de la Frontera</t>
  </si>
  <si>
    <t>El Cuervo de Sevilla</t>
  </si>
  <si>
    <t>Alcontar</t>
  </si>
  <si>
    <t>Armuna de Almanzora</t>
  </si>
  <si>
    <t>Benitagla</t>
  </si>
  <si>
    <t>Chercos</t>
  </si>
  <si>
    <t>Cobdar</t>
  </si>
  <si>
    <t>Mancor de la Vall</t>
  </si>
  <si>
    <t>Maria</t>
  </si>
  <si>
    <t>Oria</t>
  </si>
  <si>
    <t>Somontin</t>
  </si>
  <si>
    <t>Sufli</t>
  </si>
  <si>
    <t>Taberno</t>
  </si>
  <si>
    <t>Urracal</t>
  </si>
  <si>
    <t>Ferreries</t>
  </si>
  <si>
    <t>Puigpunyent</t>
  </si>
  <si>
    <t>Cortes de Baza</t>
  </si>
  <si>
    <t>Espera</t>
  </si>
  <si>
    <t>Andujar</t>
  </si>
  <si>
    <t>Caniles</t>
  </si>
  <si>
    <t>Guillena</t>
  </si>
  <si>
    <t>Linares</t>
  </si>
  <si>
    <t>El Saucejo</t>
  </si>
  <si>
    <t>Guadalcanal</t>
  </si>
  <si>
    <t>Almaden de la Plata</t>
  </si>
  <si>
    <t>Martin de la Jara</t>
  </si>
  <si>
    <t>Alcaudete</t>
  </si>
  <si>
    <t>Berja</t>
  </si>
  <si>
    <t>Alcorcon</t>
  </si>
  <si>
    <t>Villena</t>
  </si>
  <si>
    <t>Callus</t>
  </si>
  <si>
    <t>Adra</t>
  </si>
  <si>
    <t>Alcala de los Gazules</t>
  </si>
  <si>
    <t>Archidona</t>
  </si>
  <si>
    <t>Barbate</t>
  </si>
  <si>
    <t>Cazalilla</t>
  </si>
  <si>
    <t>Gerena</t>
  </si>
  <si>
    <t>Huercal-Overa</t>
  </si>
  <si>
    <t>Motril</t>
  </si>
  <si>
    <t>Padul</t>
  </si>
  <si>
    <t>Santa Elena</t>
  </si>
  <si>
    <t>Sierra de Yeguas</t>
  </si>
  <si>
    <t>Teba</t>
  </si>
  <si>
    <t>Trebujena</t>
  </si>
  <si>
    <t>Valdepenas de Jaen</t>
  </si>
  <si>
    <t>Villanueva de Algaidas</t>
  </si>
  <si>
    <t>Los Gallardos</t>
  </si>
  <si>
    <t>Girona</t>
  </si>
  <si>
    <t>L'Esquirol</t>
  </si>
  <si>
    <t>Llica d'Amunt</t>
  </si>
  <si>
    <t>Albolote</t>
  </si>
  <si>
    <t>La Mojonera</t>
  </si>
  <si>
    <t>Maracena</t>
  </si>
  <si>
    <t>Carme</t>
  </si>
  <si>
    <t>Balmaseda</t>
  </si>
  <si>
    <t>Santa Margarida de Montbui</t>
  </si>
  <si>
    <t>Martorelles</t>
  </si>
  <si>
    <t>Vitoria - Gasteiz</t>
  </si>
  <si>
    <t>Palau-solita i Plegamans</t>
  </si>
  <si>
    <t>Bilbao</t>
  </si>
  <si>
    <t>Sant Bartomeu del Grau</t>
  </si>
  <si>
    <t>Medina Sidonia</t>
  </si>
  <si>
    <t>Castellar del Riu</t>
  </si>
  <si>
    <t>Mortorell</t>
  </si>
  <si>
    <t>Santa Coloma de Gramenet</t>
  </si>
  <si>
    <t>Montmelo</t>
  </si>
  <si>
    <t>Ullastrell</t>
  </si>
  <si>
    <t>Cardedeu</t>
  </si>
  <si>
    <t>Mediona</t>
  </si>
  <si>
    <t>Bigues i Riells</t>
  </si>
  <si>
    <t>Carboneros</t>
  </si>
  <si>
    <t>Vilanant</t>
  </si>
  <si>
    <t>Angles</t>
  </si>
  <si>
    <t>Campelles</t>
  </si>
  <si>
    <t>Masarac</t>
  </si>
  <si>
    <t>La Union</t>
  </si>
  <si>
    <t xml:space="preserve">Palau de Santa Eulalia </t>
  </si>
  <si>
    <t>Ogassa</t>
  </si>
  <si>
    <t>Tarres</t>
  </si>
  <si>
    <t>Sunyer</t>
  </si>
  <si>
    <t>El Palau d'Anglesola</t>
  </si>
  <si>
    <t>Albeta</t>
  </si>
  <si>
    <t>Alcala de Moncayo</t>
  </si>
  <si>
    <t>Alfamen</t>
  </si>
  <si>
    <t>Almonacid de la Cuba</t>
  </si>
  <si>
    <t>Almonacid de la Sierra</t>
  </si>
  <si>
    <t>Asin</t>
  </si>
  <si>
    <t>Barboles</t>
  </si>
  <si>
    <t>Bijuesca</t>
  </si>
  <si>
    <t>Brea de Aragon</t>
  </si>
  <si>
    <t>Calatayud</t>
  </si>
  <si>
    <t>Jaulin</t>
  </si>
  <si>
    <t>La Almolda</t>
  </si>
  <si>
    <t>Lechon</t>
  </si>
  <si>
    <t>Monegrillo</t>
  </si>
  <si>
    <t>Monterde</t>
  </si>
  <si>
    <t>Mozota</t>
  </si>
  <si>
    <t>Nombrevilla</t>
  </si>
  <si>
    <t>Ontinar de Salz</t>
  </si>
  <si>
    <t>Osero de Ebro</t>
  </si>
  <si>
    <t>Perdiguera</t>
  </si>
  <si>
    <t>Pradilla de Ebro</t>
  </si>
  <si>
    <t>Ricla</t>
  </si>
  <si>
    <t>San Mateo de Gallego</t>
  </si>
  <si>
    <t>Albesa</t>
  </si>
  <si>
    <t>Fulleda</t>
  </si>
  <si>
    <t>Belianes</t>
  </si>
  <si>
    <t>Els Omellons</t>
  </si>
  <si>
    <t>Josa I Tuixen</t>
  </si>
  <si>
    <t>La Granadella</t>
  </si>
  <si>
    <t>Blanes</t>
  </si>
  <si>
    <t>Biure</t>
  </si>
  <si>
    <t>Esterri d'Aneu</t>
  </si>
  <si>
    <t>Rabos d'Emporda</t>
  </si>
  <si>
    <t>Serinya</t>
  </si>
  <si>
    <t>Riudarenes</t>
  </si>
  <si>
    <t>Ventallo</t>
  </si>
  <si>
    <t>Gijon</t>
  </si>
  <si>
    <t>Saus</t>
  </si>
  <si>
    <t>Sant Mori</t>
  </si>
  <si>
    <t>Montejicar</t>
  </si>
  <si>
    <t>Alhama de Murcia</t>
  </si>
  <si>
    <t>Pedro Abad</t>
  </si>
  <si>
    <t>Sevilla</t>
  </si>
  <si>
    <t>Gibraleon</t>
  </si>
  <si>
    <t>Arecena</t>
  </si>
  <si>
    <t>Cumbres de Enmedio</t>
  </si>
  <si>
    <t>La Granada de Rio Tinto</t>
  </si>
  <si>
    <t>Almonaster la Real</t>
  </si>
  <si>
    <t>Castellvi de la Marca</t>
  </si>
  <si>
    <t>Os de Balaguer</t>
  </si>
  <si>
    <t>Boretto</t>
  </si>
  <si>
    <t>Cinto Caomaggiore</t>
  </si>
  <si>
    <t>Guanzate</t>
  </si>
  <si>
    <t>San Bellino</t>
  </si>
  <si>
    <t>San Polo d'Enza</t>
  </si>
  <si>
    <t>Fiscaglia</t>
  </si>
  <si>
    <t>Sant'Ilario d'Enza</t>
  </si>
  <si>
    <t>Brenna</t>
  </si>
  <si>
    <t>Casaletto Ceredano</t>
  </si>
  <si>
    <t>Castelbaldo</t>
  </si>
  <si>
    <t>Gombito</t>
  </si>
  <si>
    <t>Nurachi</t>
  </si>
  <si>
    <t>Chioggia</t>
  </si>
  <si>
    <t>Polverara</t>
  </si>
  <si>
    <t>Polesella</t>
  </si>
  <si>
    <t>Crespino</t>
  </si>
  <si>
    <t>Tiggiano</t>
  </si>
  <si>
    <t>Burgos</t>
  </si>
  <si>
    <t>Cheremule</t>
  </si>
  <si>
    <t xml:space="preserve">Monteleone Rocca Doria </t>
  </si>
  <si>
    <t>Giave</t>
  </si>
  <si>
    <t>Pallanzeno</t>
  </si>
  <si>
    <t>Manopello</t>
  </si>
  <si>
    <t>Civitaquana</t>
  </si>
  <si>
    <t>Castiglione a Casauria</t>
  </si>
  <si>
    <t>Alpago</t>
  </si>
  <si>
    <t>Berbenno di Valtellina</t>
  </si>
  <si>
    <t>Gesico</t>
  </si>
  <si>
    <t>Stra</t>
  </si>
  <si>
    <t>Poirino</t>
  </si>
  <si>
    <t>Ussana</t>
  </si>
  <si>
    <t>Cinisi</t>
  </si>
  <si>
    <t>San Pietro in Lama</t>
  </si>
  <si>
    <t>Sartirana Lomellina</t>
  </si>
  <si>
    <t>Carona</t>
  </si>
  <si>
    <t>Rosignano Marittimo</t>
  </si>
  <si>
    <t>Codigoro</t>
  </si>
  <si>
    <t>Mossa</t>
  </si>
  <si>
    <t>Cavriago</t>
  </si>
  <si>
    <t>Gattatico</t>
  </si>
  <si>
    <t>Lusciano</t>
  </si>
  <si>
    <t>Bibbiano</t>
  </si>
  <si>
    <t>Albinea</t>
  </si>
  <si>
    <t>Motta D'Affermo</t>
  </si>
  <si>
    <t>Quattro Castella</t>
  </si>
  <si>
    <t>Comitini</t>
  </si>
  <si>
    <t>Bauladu</t>
  </si>
  <si>
    <t>Santa Margherita di Belice</t>
  </si>
  <si>
    <t>Casteldaccia</t>
  </si>
  <si>
    <t>Bisacquino</t>
  </si>
  <si>
    <t>Sant'Alfio</t>
  </si>
  <si>
    <t>Sambuca di Sicilia</t>
  </si>
  <si>
    <t>Mori</t>
  </si>
  <si>
    <t>Selva di Progno</t>
  </si>
  <si>
    <t>Fosso</t>
  </si>
  <si>
    <t>Pedavena</t>
  </si>
  <si>
    <t>Sclafani Bagni</t>
  </si>
  <si>
    <t>Santa Maria di Licodia</t>
  </si>
  <si>
    <t>Desulo</t>
  </si>
  <si>
    <t>Sappada</t>
  </si>
  <si>
    <t>Resana</t>
  </si>
  <si>
    <t>Borgofranco d'Ivrea</t>
  </si>
  <si>
    <t>Caerano di San Marco</t>
  </si>
  <si>
    <t>Lentiai</t>
  </si>
  <si>
    <t>Budrio</t>
  </si>
  <si>
    <t>La Valle Agordina</t>
  </si>
  <si>
    <t>Leverano</t>
  </si>
  <si>
    <t>Medicina</t>
  </si>
  <si>
    <t>Moglia</t>
  </si>
  <si>
    <t>Stella</t>
  </si>
  <si>
    <t>Baricella</t>
  </si>
  <si>
    <t>Paludi</t>
  </si>
  <si>
    <t>Cassolnovo</t>
  </si>
  <si>
    <t>Latina</t>
  </si>
  <si>
    <t>Ottana</t>
  </si>
  <si>
    <t>Castello d' Agogna</t>
  </si>
  <si>
    <t>Selargius</t>
  </si>
  <si>
    <t>Camairago</t>
  </si>
  <si>
    <t>Casaletto Lodigiano</t>
  </si>
  <si>
    <t>Borgoforte</t>
  </si>
  <si>
    <t>Altavilla Milicia</t>
  </si>
  <si>
    <t>Mede</t>
  </si>
  <si>
    <t>Lavarone</t>
  </si>
  <si>
    <t>Rosasco</t>
  </si>
  <si>
    <t>Pontevico</t>
  </si>
  <si>
    <t>Albisola Superiore</t>
  </si>
  <si>
    <t>Azzano Mella</t>
  </si>
  <si>
    <t>Alessano</t>
  </si>
  <si>
    <t>Latronico</t>
  </si>
  <si>
    <t>Isola D’Elba</t>
  </si>
  <si>
    <t>Quiliano</t>
  </si>
  <si>
    <t>Spormaggiore</t>
  </si>
  <si>
    <t>Aliano</t>
  </si>
  <si>
    <t>Cassano d'Adda</t>
  </si>
  <si>
    <t>Zambana</t>
  </si>
  <si>
    <t>Milzano</t>
  </si>
  <si>
    <t>Casaletto di Sopra</t>
  </si>
  <si>
    <t>Ulassai</t>
  </si>
  <si>
    <t>Cavedago</t>
  </si>
  <si>
    <t>Picerno</t>
  </si>
  <si>
    <t>Palu del Fersina</t>
  </si>
  <si>
    <t>Bagnacavallo</t>
  </si>
  <si>
    <t>Sant'Agata sul Santerno</t>
  </si>
  <si>
    <t>Bagnara di Romagna</t>
  </si>
  <si>
    <t>Lugo</t>
  </si>
  <si>
    <t>Neviano</t>
  </si>
  <si>
    <t>Alfonsine</t>
  </si>
  <si>
    <t>Rialto</t>
  </si>
  <si>
    <t>Sant'Egidio alla Vibrata</t>
  </si>
  <si>
    <t>Sogliano Cavour</t>
  </si>
  <si>
    <t>Sovicille</t>
  </si>
  <si>
    <t>Montoro Superiore</t>
  </si>
  <si>
    <t>Fisciano</t>
  </si>
  <si>
    <t>Mira</t>
  </si>
  <si>
    <t>Cantello</t>
  </si>
  <si>
    <t>Mozzecane</t>
  </si>
  <si>
    <t>Rivoli Veronese</t>
  </si>
  <si>
    <t>Torre di Mosto</t>
  </si>
  <si>
    <t>Sarcedo</t>
  </si>
  <si>
    <t>Villa Verde</t>
  </si>
  <si>
    <t>Castiadas</t>
  </si>
  <si>
    <t>Suelli</t>
  </si>
  <si>
    <t>Monchio delle Corti</t>
  </si>
  <si>
    <t>Campitello di Fassa</t>
  </si>
  <si>
    <t>Berchidda</t>
  </si>
  <si>
    <t>Ollolai</t>
  </si>
  <si>
    <t>Decimomannu</t>
  </si>
  <si>
    <t>Ruffano</t>
  </si>
  <si>
    <t>Dosolo</t>
  </si>
  <si>
    <t>Casaleone</t>
  </si>
  <si>
    <t>Notaresco</t>
  </si>
  <si>
    <t>Colledara</t>
  </si>
  <si>
    <t>Controguerra</t>
  </si>
  <si>
    <t>Campli</t>
  </si>
  <si>
    <t>Castelvisconti</t>
  </si>
  <si>
    <t>Castilenti</t>
  </si>
  <si>
    <t>Valfurva</t>
  </si>
  <si>
    <t>Cadrezzate</t>
  </si>
  <si>
    <t>Caorle</t>
  </si>
  <si>
    <t>Cappella Cantone</t>
  </si>
  <si>
    <t>Rocca Santa Maria</t>
  </si>
  <si>
    <t>Secli</t>
  </si>
  <si>
    <t>Mercallo</t>
  </si>
  <si>
    <t>Livigno</t>
  </si>
  <si>
    <t>Bregano</t>
  </si>
  <si>
    <t>Palu</t>
  </si>
  <si>
    <t>Rofrano</t>
  </si>
  <si>
    <t>Sepino</t>
  </si>
  <si>
    <t>Pomezia</t>
  </si>
  <si>
    <t>Colonnella</t>
  </si>
  <si>
    <t>Loceri</t>
  </si>
  <si>
    <t>Villanova Tulo</t>
  </si>
  <si>
    <t>Mendatica</t>
  </si>
  <si>
    <t>Collepasso</t>
  </si>
  <si>
    <t>Guagnano</t>
  </si>
  <si>
    <t>Belvi</t>
  </si>
  <si>
    <t>Bergantino</t>
  </si>
  <si>
    <t>Matino</t>
  </si>
  <si>
    <t>Borutta</t>
  </si>
  <si>
    <t>Florinas</t>
  </si>
  <si>
    <t>Villagrande Strisaili</t>
  </si>
  <si>
    <t>Vogogna</t>
  </si>
  <si>
    <t>Seulo</t>
  </si>
  <si>
    <t>Arzana</t>
  </si>
  <si>
    <t>Galatona</t>
  </si>
  <si>
    <t>Oniferi</t>
  </si>
  <si>
    <t>Assolo</t>
  </si>
  <si>
    <t>Ballao</t>
  </si>
  <si>
    <t>Baradili</t>
  </si>
  <si>
    <t>Lequile</t>
  </si>
  <si>
    <t>Carunchio</t>
  </si>
  <si>
    <t>Ancarano</t>
  </si>
  <si>
    <t>Atri</t>
  </si>
  <si>
    <t>Castellalto</t>
  </si>
  <si>
    <t>Gessate</t>
  </si>
  <si>
    <t>Torano Nuovo</t>
  </si>
  <si>
    <t>Albairate</t>
  </si>
  <si>
    <t>Chiaromonte</t>
  </si>
  <si>
    <t>Mesenzana</t>
  </si>
  <si>
    <t>Ossona</t>
  </si>
  <si>
    <t>Casorezzo</t>
  </si>
  <si>
    <t>San Donato di Lecce</t>
  </si>
  <si>
    <t>Canzano</t>
  </si>
  <si>
    <t>Rosate</t>
  </si>
  <si>
    <t>Sant'Omero</t>
  </si>
  <si>
    <t>Mosciano Sant'Angelo</t>
  </si>
  <si>
    <t>Marcallo con Casone</t>
  </si>
  <si>
    <t>Vizzola Ticino</t>
  </si>
  <si>
    <t>Vestone</t>
  </si>
  <si>
    <t>Basciano</t>
  </si>
  <si>
    <t>Cimbergo</t>
  </si>
  <si>
    <t>Paspardo</t>
  </si>
  <si>
    <t>Bellante</t>
  </si>
  <si>
    <t>Cavalese</t>
  </si>
  <si>
    <t>Rumo</t>
  </si>
  <si>
    <t>Cis</t>
  </si>
  <si>
    <t>Roncegno Terme</t>
  </si>
  <si>
    <t>Spiazzo</t>
  </si>
  <si>
    <t>Cagno</t>
  </si>
  <si>
    <t>Morro d'Oro</t>
  </si>
  <si>
    <t>Saviore dell'Adamello</t>
  </si>
  <si>
    <t>Castel Castagna</t>
  </si>
  <si>
    <t>Tavagnacco</t>
  </si>
  <si>
    <t>Cevo</t>
  </si>
  <si>
    <t>Serre</t>
  </si>
  <si>
    <t>Montefino</t>
  </si>
  <si>
    <t>Celenza sul Trigno</t>
  </si>
  <si>
    <t>Rapolano</t>
  </si>
  <si>
    <t>Melissano</t>
  </si>
  <si>
    <t>Tolve</t>
  </si>
  <si>
    <t>Montenerodomo</t>
  </si>
  <si>
    <t>Condove</t>
  </si>
  <si>
    <t>Carloforte</t>
  </si>
  <si>
    <t>Casto</t>
  </si>
  <si>
    <t>Gironico</t>
  </si>
  <si>
    <t>Francavilla Bisio</t>
  </si>
  <si>
    <t>Montemarzino</t>
  </si>
  <si>
    <t>Esine</t>
  </si>
  <si>
    <t>Corzano</t>
  </si>
  <si>
    <t>Canazei</t>
  </si>
  <si>
    <t>Frascarolo</t>
  </si>
  <si>
    <t>Comabbio</t>
  </si>
  <si>
    <t>Nazzano</t>
  </si>
  <si>
    <t>Grugliasco</t>
  </si>
  <si>
    <t>Cesano Boscone</t>
  </si>
  <si>
    <t>Cervignano d'Adda</t>
  </si>
  <si>
    <t>Galgagnano</t>
  </si>
  <si>
    <t>San Pietro Avellana</t>
  </si>
  <si>
    <t>Castelverde</t>
  </si>
  <si>
    <t>San Benedetto Po</t>
  </si>
  <si>
    <t>Artogne</t>
  </si>
  <si>
    <t>Dairago</t>
  </si>
  <si>
    <t>Oneta</t>
  </si>
  <si>
    <t>Pegognaga</t>
  </si>
  <si>
    <t>Gianico</t>
  </si>
  <si>
    <t>Abbiategrasso</t>
  </si>
  <si>
    <t>Cornalba</t>
  </si>
  <si>
    <t>Taleggio</t>
  </si>
  <si>
    <t>Marciana Marina</t>
  </si>
  <si>
    <t>Copparo</t>
  </si>
  <si>
    <t>Zogno</t>
  </si>
  <si>
    <t>Serina</t>
  </si>
  <si>
    <t>Averara</t>
  </si>
  <si>
    <t>Vaprio D'Adda</t>
  </si>
  <si>
    <t>Bari</t>
  </si>
  <si>
    <t>San Pellegrino Terme</t>
  </si>
  <si>
    <t>Valnegra</t>
  </si>
  <si>
    <t>San Giovanni Bianco</t>
  </si>
  <si>
    <t>Lenna</t>
  </si>
  <si>
    <t>Piazzatorre</t>
  </si>
  <si>
    <t>Coassolo Torinese</t>
  </si>
  <si>
    <t>Oltre il Colle</t>
  </si>
  <si>
    <t>Santa Brigida</t>
  </si>
  <si>
    <t>Ubiale Clanezzo</t>
  </si>
  <si>
    <t>Cusio</t>
  </si>
  <si>
    <t>Mezzoldo</t>
  </si>
  <si>
    <t>Piazza Brembana</t>
  </si>
  <si>
    <t>Blello</t>
  </si>
  <si>
    <t>Cassiglio</t>
  </si>
  <si>
    <t>Isola di Fondra</t>
  </si>
  <si>
    <t>Vedeseta</t>
  </si>
  <si>
    <t>Bracca</t>
  </si>
  <si>
    <t>Ornica</t>
  </si>
  <si>
    <t>Piazzolo</t>
  </si>
  <si>
    <t>Costa Serina</t>
  </si>
  <si>
    <t>Olmo al Brembo</t>
  </si>
  <si>
    <t>Foppolo</t>
  </si>
  <si>
    <t>Gerosa</t>
  </si>
  <si>
    <t>Valtorta</t>
  </si>
  <si>
    <t>Moio de Calvi</t>
  </si>
  <si>
    <t>Groscavallo</t>
  </si>
  <si>
    <t>Borno</t>
  </si>
  <si>
    <t>Branzi</t>
  </si>
  <si>
    <t>Algua</t>
  </si>
  <si>
    <t>Roncobello</t>
  </si>
  <si>
    <t>Valleve</t>
  </si>
  <si>
    <t>Camerata Cornello</t>
  </si>
  <si>
    <t>Montoggio</t>
  </si>
  <si>
    <t>Buttigliera Alta</t>
  </si>
  <si>
    <t>Neirone</t>
  </si>
  <si>
    <t>Bergamo</t>
  </si>
  <si>
    <t>Palena</t>
  </si>
  <si>
    <t>Framura</t>
  </si>
  <si>
    <t>Levanto</t>
  </si>
  <si>
    <t>Zignago</t>
  </si>
  <si>
    <t>Sesta Godano</t>
  </si>
  <si>
    <t>Beverino</t>
  </si>
  <si>
    <t>Affi</t>
  </si>
  <si>
    <t>Alessandria</t>
  </si>
  <si>
    <t>Sessa Aurunca</t>
  </si>
  <si>
    <t>Pollena Trocchia</t>
  </si>
  <si>
    <t>Barbona</t>
  </si>
  <si>
    <t>Ottaviano</t>
  </si>
  <si>
    <t>Somma Vesuviana</t>
  </si>
  <si>
    <t>Casavatore</t>
  </si>
  <si>
    <t>Arzano</t>
  </si>
  <si>
    <t>Bovolenta</t>
  </si>
  <si>
    <t>Crispano</t>
  </si>
  <si>
    <t>Melito de Napoli</t>
  </si>
  <si>
    <t>Cardito</t>
  </si>
  <si>
    <t>Revine Lago</t>
  </si>
  <si>
    <t>Santa Maria Capua Vetere</t>
  </si>
  <si>
    <t>Coazze</t>
  </si>
  <si>
    <t>Cambiano</t>
  </si>
  <si>
    <t>Transacqua</t>
  </si>
  <si>
    <t>Sant' Agostino</t>
  </si>
  <si>
    <t>Vigarano Mainarda</t>
  </si>
  <si>
    <t>Poggio Renatico</t>
  </si>
  <si>
    <t>Saint-Denis</t>
  </si>
  <si>
    <t>Reggiolo</t>
  </si>
  <si>
    <t>Gualtieri</t>
  </si>
  <si>
    <t>Villa di Briano</t>
  </si>
  <si>
    <t>Frignano</t>
  </si>
  <si>
    <t>Trentola Ducenta</t>
  </si>
  <si>
    <t>San Marcellino</t>
  </si>
  <si>
    <t>Strigno</t>
  </si>
  <si>
    <t>Cimone</t>
  </si>
  <si>
    <t>Farra d'Isonzo</t>
  </si>
  <si>
    <t>Ledro</t>
  </si>
  <si>
    <t>Vittoria</t>
  </si>
  <si>
    <t>Grazzanise</t>
  </si>
  <si>
    <t>Rosta</t>
  </si>
  <si>
    <t>Dimaro</t>
  </si>
  <si>
    <t>San Maurizio Canavese</t>
  </si>
  <si>
    <t>Gonnosfanadiga</t>
  </si>
  <si>
    <t>San Lorenzo Isontino</t>
  </si>
  <si>
    <t>Sedilo</t>
  </si>
  <si>
    <t>Monzuno</t>
  </si>
  <si>
    <t>Monterenzio</t>
  </si>
  <si>
    <t>Vermiglio</t>
  </si>
  <si>
    <t>Bonorva</t>
  </si>
  <si>
    <t>Bulzi</t>
  </si>
  <si>
    <t>Villanova Monteleone</t>
  </si>
  <si>
    <t>Bonnanaro</t>
  </si>
  <si>
    <t>Padria</t>
  </si>
  <si>
    <t>Mezzocorona</t>
  </si>
  <si>
    <t>Santa Cristina e Bissone</t>
  </si>
  <si>
    <t>Malegno</t>
  </si>
  <si>
    <t>Leni</t>
  </si>
  <si>
    <t>Manfredonia</t>
  </si>
  <si>
    <t>Whole country</t>
  </si>
  <si>
    <t>China</t>
  </si>
  <si>
    <t>www.mbbl.dk/sites/mbbl.dk/files/dokumenter/publikationer/green_urban_dk_03072014.pdf</t>
  </si>
  <si>
    <t>CDP States and Regions responses 2015</t>
  </si>
  <si>
    <t>Country</t>
  </si>
  <si>
    <t>Absolute</t>
  </si>
  <si>
    <t>Extra</t>
  </si>
  <si>
    <t>Santa Fe</t>
  </si>
  <si>
    <t>Local reference</t>
  </si>
  <si>
    <t>www.santafenm.gov/media/files/Sustainable_SF_Commission/Sustainable_SF_Commission_Benchmarks_Final.pdf</t>
  </si>
  <si>
    <t>Charlotte</t>
  </si>
  <si>
    <t>http://charmeck.org/p2c/2lead/documents/final%20charlotte%20community%20ghg%20emissions%20inventory%20rpt.pdf</t>
  </si>
  <si>
    <t>Somerville</t>
  </si>
  <si>
    <t>Cincinnati</t>
  </si>
  <si>
    <t>Oakland</t>
  </si>
  <si>
    <t>http://www.abetteroakland.com/wp-content/uploads/2010/11/DraftECAP.pdf</t>
  </si>
  <si>
    <t>Massachusetts</t>
  </si>
  <si>
    <t>New Hampshire</t>
  </si>
  <si>
    <t>Rhode Island</t>
  </si>
  <si>
    <t>http://www.dem.ri.gov/climate/pdf/gginv2010.pdf</t>
  </si>
  <si>
    <t>Wallonia</t>
  </si>
  <si>
    <t>http://www.awac.be/index.php/thematiques/changement-climatique/les-politiques/politique-wallonne</t>
  </si>
  <si>
    <t>Will be carbon neutral in 2080</t>
  </si>
  <si>
    <t>http://www.cbc.ca/news/canada/manitoba/manitoba-climate-change-plan-1.3348572</t>
  </si>
  <si>
    <t>Tasmania</t>
  </si>
  <si>
    <t>The Climate group</t>
  </si>
  <si>
    <t>http://www.dpac.tas.gov.au/__data/assets/pdf_file/0014/117410/Wedges_Fact_Sheet.pdf</t>
  </si>
  <si>
    <r>
      <t xml:space="preserve">Carbon Disclosure Project (CDP) - for cities and for regions (Compact of States and Regions) </t>
    </r>
    <r>
      <rPr>
        <sz val="10"/>
        <rFont val="Arial"/>
        <family val="2"/>
      </rPr>
      <t>at https://data.cdp.net/</t>
    </r>
  </si>
  <si>
    <r>
      <t xml:space="preserve">C40 </t>
    </r>
    <r>
      <rPr>
        <sz val="10"/>
        <rFont val="Arial"/>
        <family val="2"/>
      </rPr>
      <t>at http://www.c40.org/cities</t>
    </r>
  </si>
  <si>
    <r>
      <t xml:space="preserve">Under 2 MOU </t>
    </r>
    <r>
      <rPr>
        <sz val="10"/>
        <rFont val="Arial"/>
        <family val="2"/>
      </rPr>
      <t>at http://under2mou.org/?page_id=238</t>
    </r>
  </si>
  <si>
    <r>
      <t xml:space="preserve">Carbonn </t>
    </r>
    <r>
      <rPr>
        <sz val="10"/>
        <rFont val="Arial"/>
        <family val="2"/>
      </rPr>
      <t>at http://carbonn.org/data/</t>
    </r>
  </si>
  <si>
    <r>
      <t xml:space="preserve">Carbon Neutral Cities Alliance (CNCA) </t>
    </r>
    <r>
      <rPr>
        <sz val="10"/>
        <rFont val="Arial"/>
        <family val="2"/>
      </rPr>
      <t>at http://usdn.org/public/page/13/CNCA</t>
    </r>
  </si>
  <si>
    <r>
      <t xml:space="preserve">Compact of Mayors </t>
    </r>
    <r>
      <rPr>
        <sz val="10"/>
        <rFont val="Arial"/>
        <family val="2"/>
      </rPr>
      <t>at http://www.compactofmayors.org/</t>
    </r>
  </si>
  <si>
    <r>
      <t xml:space="preserve">Hinku municipality (in Finland) </t>
    </r>
    <r>
      <rPr>
        <sz val="10"/>
        <rFont val="Arial"/>
        <family val="2"/>
      </rPr>
      <t>at http://www.hinku-foorumi.fi/en-US</t>
    </r>
  </si>
  <si>
    <r>
      <t xml:space="preserve">Japan for Sustainability </t>
    </r>
    <r>
      <rPr>
        <sz val="10"/>
        <rFont val="Arial"/>
        <family val="2"/>
      </rPr>
      <t>at http://www.japanfs.org/en/news/archives/news_id032745.html</t>
    </r>
  </si>
  <si>
    <t>Here we used the following selection criteria:</t>
  </si>
  <si>
    <r>
      <t xml:space="preserve">Covenant of Mayors, Sustainable Energy Action Plan (SEAP) </t>
    </r>
    <r>
      <rPr>
        <sz val="10"/>
        <rFont val="Arial"/>
        <family val="2"/>
      </rPr>
      <t>at http://www.covenantofmayors.eu/actions/sustainable-energy-action-plans_en.html</t>
    </r>
  </si>
  <si>
    <t>Luzzara</t>
  </si>
  <si>
    <t>Poviglio</t>
  </si>
  <si>
    <t>Magnago</t>
  </si>
  <si>
    <t>Gambolò</t>
  </si>
  <si>
    <t>Lavena-Mombello</t>
  </si>
  <si>
    <t>Sassano</t>
  </si>
  <si>
    <t>Mascalucia</t>
  </si>
  <si>
    <t>Pescosansonesco</t>
  </si>
  <si>
    <t>Popoli</t>
  </si>
  <si>
    <t>Bussi sul Tirino</t>
  </si>
  <si>
    <t>Lettomanoppello</t>
  </si>
  <si>
    <t>Persico Dosimo</t>
  </si>
  <si>
    <t>Nogarole Rocca</t>
  </si>
  <si>
    <t>Loculi</t>
  </si>
  <si>
    <t>Forlimpopli</t>
  </si>
  <si>
    <t>Meldola</t>
  </si>
  <si>
    <t>Bertinoro</t>
  </si>
  <si>
    <t>Castrocaro Terme e Terre del Sole</t>
  </si>
  <si>
    <t>Civitella di Romagna</t>
  </si>
  <si>
    <t>Dovadola</t>
  </si>
  <si>
    <t>Galeata</t>
  </si>
  <si>
    <t>Modigliana</t>
  </si>
  <si>
    <t>Portico e San Benedetto</t>
  </si>
  <si>
    <t>Predappio</t>
  </si>
  <si>
    <t>Premilcuore</t>
  </si>
  <si>
    <t>Rocca San Casciano</t>
  </si>
  <si>
    <t>Santa Sofia</t>
  </si>
  <si>
    <t>Tredozio</t>
  </si>
  <si>
    <t>Numbers accessed throught the action plan submitted by the municipality of Meldola.</t>
  </si>
  <si>
    <t>Torpè</t>
  </si>
  <si>
    <t>Aliminusa</t>
  </si>
  <si>
    <t>Francofonte</t>
  </si>
  <si>
    <t>Giardinello</t>
  </si>
  <si>
    <t>Meri</t>
  </si>
  <si>
    <t>Santa Croce Camerina</t>
  </si>
  <si>
    <t>Gualtieri Sicaminò</t>
  </si>
  <si>
    <t>Tizzano val Parma</t>
  </si>
  <si>
    <t>Neviano degli Arduini</t>
  </si>
  <si>
    <t>Monte di Malo</t>
  </si>
  <si>
    <t>Ronco all'Adige</t>
  </si>
  <si>
    <t>Velo Veronese</t>
  </si>
  <si>
    <t>Sanguinetto</t>
  </si>
  <si>
    <t>Teti</t>
  </si>
  <si>
    <t>Taggia</t>
  </si>
  <si>
    <t>Laconi</t>
  </si>
  <si>
    <t>Salizzole</t>
  </si>
  <si>
    <t>Oppeano</t>
  </si>
  <si>
    <t>Santa Lucia di Piave</t>
  </si>
  <si>
    <t>Cison di Valmarino</t>
  </si>
  <si>
    <t>Limana</t>
  </si>
  <si>
    <t>Petralia Sottana</t>
  </si>
  <si>
    <t>Albonese</t>
  </si>
  <si>
    <t>Ponte di Piave</t>
  </si>
  <si>
    <t>Valmadrera</t>
  </si>
  <si>
    <t>Carpi</t>
  </si>
  <si>
    <t>Pignola</t>
  </si>
  <si>
    <t>Monza</t>
  </si>
  <si>
    <t>Malgrate</t>
  </si>
  <si>
    <t>Cergnago</t>
  </si>
  <si>
    <t>Fiesco</t>
  </si>
  <si>
    <t>Besana in Brianza</t>
  </si>
  <si>
    <t>Filiano</t>
  </si>
  <si>
    <t>Castelleone</t>
  </si>
  <si>
    <t>Cornegliano Laudense</t>
  </si>
  <si>
    <t>Guidizzolo</t>
  </si>
  <si>
    <t>Molveno</t>
  </si>
  <si>
    <t>Buguggiate</t>
  </si>
  <si>
    <t>Carbone</t>
  </si>
  <si>
    <t>Sala Baganza</t>
  </si>
  <si>
    <t>Crespellano</t>
  </si>
  <si>
    <t>Besozzo</t>
  </si>
  <si>
    <t>Genzano di Lucania</t>
  </si>
  <si>
    <t>San Giovanni in Perscieto</t>
  </si>
  <si>
    <t>Melfi</t>
  </si>
  <si>
    <t>Silvi</t>
  </si>
  <si>
    <t>Montepulciano</t>
  </si>
  <si>
    <t>Leggiuno</t>
  </si>
  <si>
    <t>Taino</t>
  </si>
  <si>
    <t>Tossicia</t>
  </si>
  <si>
    <t>Varano Borghi</t>
  </si>
  <si>
    <t>Trigolo</t>
  </si>
  <si>
    <t>Ranco</t>
  </si>
  <si>
    <t>Brebbia</t>
  </si>
  <si>
    <t>Casalmorano</t>
  </si>
  <si>
    <t>Monvalle</t>
  </si>
  <si>
    <t>Azzanello</t>
  </si>
  <si>
    <t>Valdisotto</t>
  </si>
  <si>
    <t>Albano Laziale</t>
  </si>
  <si>
    <t>Martirano</t>
  </si>
  <si>
    <t>Sale Marasino</t>
  </si>
  <si>
    <t>Torrebruna</t>
  </si>
  <si>
    <t>Samassi</t>
  </si>
  <si>
    <t>Palmoli</t>
  </si>
  <si>
    <t>Pineto</t>
  </si>
  <si>
    <t>Crecchio</t>
  </si>
  <si>
    <t>Monteodorisio</t>
  </si>
  <si>
    <t>Palombaro</t>
  </si>
  <si>
    <t>Ferrera di Varese</t>
  </si>
  <si>
    <t>Gissi</t>
  </si>
  <si>
    <t>Masciago Primo</t>
  </si>
  <si>
    <t>Oliveto Lario</t>
  </si>
  <si>
    <t>Gussago</t>
  </si>
  <si>
    <t>Morbegno</t>
  </si>
  <si>
    <t>Ari</t>
  </si>
  <si>
    <t>Torricella Sicura</t>
  </si>
  <si>
    <t>Tortoreto</t>
  </si>
  <si>
    <t>Canosa Sannita</t>
  </si>
  <si>
    <t>Cittiglio</t>
  </si>
  <si>
    <t>Lettopalena</t>
  </si>
  <si>
    <t>Archi</t>
  </si>
  <si>
    <t>Treviglio</t>
  </si>
  <si>
    <t>Lonate Pozzolo</t>
  </si>
  <si>
    <t>Borgolavezzaro</t>
  </si>
  <si>
    <t>Liscia</t>
  </si>
  <si>
    <t>Panettieri</t>
  </si>
  <si>
    <t>Riccia</t>
  </si>
  <si>
    <t>Fraine</t>
  </si>
  <si>
    <t>Scerni</t>
  </si>
  <si>
    <t>Cicala</t>
  </si>
  <si>
    <t>Altilia</t>
  </si>
  <si>
    <t>Casacanditella</t>
  </si>
  <si>
    <t>Miglianico</t>
  </si>
  <si>
    <t>Taranta Peligna</t>
  </si>
  <si>
    <t>Ripa Teatina</t>
  </si>
  <si>
    <t>Roccascalegna</t>
  </si>
  <si>
    <t>San Buono</t>
  </si>
  <si>
    <t>Santo Stefano di Rogliano</t>
  </si>
  <si>
    <t>Civitaluparella</t>
  </si>
  <si>
    <t>Bovisio Masciago</t>
  </si>
  <si>
    <t>Barlassina</t>
  </si>
  <si>
    <t>Varedo</t>
  </si>
  <si>
    <t>Miglierina</t>
  </si>
  <si>
    <t>Pennadomo</t>
  </si>
  <si>
    <t>Bovegno</t>
  </si>
  <si>
    <t>Belsito</t>
  </si>
  <si>
    <t>Paderno Franciacorta</t>
  </si>
  <si>
    <t>Castegnato</t>
  </si>
  <si>
    <t>Rubiana</t>
  </si>
  <si>
    <t>Dipignano</t>
  </si>
  <si>
    <t>Carfizzi</t>
  </si>
  <si>
    <t>Magliano Sabina</t>
  </si>
  <si>
    <t>Forlí</t>
  </si>
  <si>
    <t>Oltressenda Alta</t>
  </si>
  <si>
    <t>Pian Camuno</t>
  </si>
  <si>
    <t>Vanzaghello</t>
  </si>
  <si>
    <t>Cavenago Brianza</t>
  </si>
  <si>
    <t>Cernusco Sul Naviglio</t>
  </si>
  <si>
    <t>Madone</t>
  </si>
  <si>
    <t>Traves</t>
  </si>
  <si>
    <t>Burago di Molgora</t>
  </si>
  <si>
    <t>Fallo</t>
  </si>
  <si>
    <t>Val Brembilla</t>
  </si>
  <si>
    <t>Bucchianico</t>
  </si>
  <si>
    <t>Givoletto</t>
  </si>
  <si>
    <t>Albino</t>
  </si>
  <si>
    <t>Sarnico</t>
  </si>
  <si>
    <t>Ramiseto</t>
  </si>
  <si>
    <t>Malagnino</t>
  </si>
  <si>
    <t>Olmenta</t>
  </si>
  <si>
    <t>Druento</t>
  </si>
  <si>
    <t>Semestene</t>
  </si>
  <si>
    <t>Valledoria</t>
  </si>
  <si>
    <t>Capitignano</t>
  </si>
  <si>
    <t>Navelli</t>
  </si>
  <si>
    <t>San Demetrio ne' Vestini</t>
  </si>
  <si>
    <t>Acciano</t>
  </si>
  <si>
    <t>Spinone al Lago</t>
  </si>
  <si>
    <t>Agazzano</t>
  </si>
  <si>
    <t>Calendasco</t>
  </si>
  <si>
    <t>Gazzola</t>
  </si>
  <si>
    <t>Gossolengo</t>
  </si>
  <si>
    <t>Gragnano Trebbiense</t>
  </si>
  <si>
    <t>Rivergaro</t>
  </si>
  <si>
    <t>Sarmato</t>
  </si>
  <si>
    <t>Capriva del Friuli</t>
  </si>
  <si>
    <t>Poggiardo</t>
  </si>
  <si>
    <t>Santa Lucia del Mela</t>
  </si>
  <si>
    <t>Lascari</t>
  </si>
  <si>
    <t>Pietraperzia</t>
  </si>
  <si>
    <t>Alanno</t>
  </si>
  <si>
    <t>Pietranico</t>
  </si>
  <si>
    <t>Villa Celiera</t>
  </si>
  <si>
    <t>Vedelago</t>
  </si>
  <si>
    <t>Collesalvetti</t>
  </si>
  <si>
    <t>Castroreale</t>
  </si>
  <si>
    <t>Sinagra</t>
  </si>
  <si>
    <t>Mazzarino</t>
  </si>
  <si>
    <t>San Mauro Castelverde</t>
  </si>
  <si>
    <t>Torrenova</t>
  </si>
  <si>
    <t>Santa Venerina</t>
  </si>
  <si>
    <t>Campobello di Licata</t>
  </si>
  <si>
    <t>Campobello di Roccella</t>
  </si>
  <si>
    <t>Livorno</t>
  </si>
  <si>
    <t>San Pietro di Morubio</t>
  </si>
  <si>
    <t>Ponte nelle Alpi</t>
  </si>
  <si>
    <t>Unione Reno Galliera</t>
  </si>
  <si>
    <t>Cagliari</t>
  </si>
  <si>
    <t>Savona</t>
  </si>
  <si>
    <t>Cutrofiano</t>
  </si>
  <si>
    <t>Santa Maria Nuova</t>
  </si>
  <si>
    <t>Cozzo</t>
  </si>
  <si>
    <t>Vado Ligure</t>
  </si>
  <si>
    <t>Bra</t>
  </si>
  <si>
    <t>Auronzo di Cadore</t>
  </si>
  <si>
    <t>Francavilla in Sinni</t>
  </si>
  <si>
    <t>Cucciago</t>
  </si>
  <si>
    <t>Cassina Rizzardi</t>
  </si>
  <si>
    <t>Azzone</t>
  </si>
  <si>
    <t>Fumane</t>
  </si>
  <si>
    <t>Prestine</t>
  </si>
  <si>
    <t>Vigo di Fassa</t>
  </si>
  <si>
    <t>Ariccia</t>
  </si>
  <si>
    <t>Castello di Serravalle</t>
  </si>
  <si>
    <t>Vittorio Veneto</t>
  </si>
  <si>
    <t>Barletta</t>
  </si>
  <si>
    <t>Trinitapoli</t>
  </si>
  <si>
    <t>Gonnesa</t>
  </si>
  <si>
    <t>Trevignano Romano</t>
  </si>
  <si>
    <t>Bonefro</t>
  </si>
  <si>
    <t>Cerveteri</t>
  </si>
  <si>
    <t>Montedinove</t>
  </si>
  <si>
    <t>Rosello</t>
  </si>
  <si>
    <t>Rivoli</t>
  </si>
  <si>
    <t>San Giovanni Lipioni</t>
  </si>
  <si>
    <t>Montazzoli</t>
  </si>
  <si>
    <t>Sorso</t>
  </si>
  <si>
    <t>Pennapiedimonte</t>
  </si>
  <si>
    <t>Santa Maria Imbaro</t>
  </si>
  <si>
    <t>Lentella</t>
  </si>
  <si>
    <t>San Martino Sulla Marrucina</t>
  </si>
  <si>
    <t>Giuliano Teatino</t>
  </si>
  <si>
    <t>Roio del Sangro</t>
  </si>
  <si>
    <t>Cenate Sotto</t>
  </si>
  <si>
    <t>Villamagna</t>
  </si>
  <si>
    <t>Villa Santa Maria</t>
  </si>
  <si>
    <t>Torri di Quartesolo</t>
  </si>
  <si>
    <t>Colico</t>
  </si>
  <si>
    <t>Cermignano</t>
  </si>
  <si>
    <t>Parlasco</t>
  </si>
  <si>
    <t>Anzi</t>
  </si>
  <si>
    <t>Guilmi</t>
  </si>
  <si>
    <t>Lama dei Peligni</t>
  </si>
  <si>
    <t>Tito</t>
  </si>
  <si>
    <t>Bagnatica</t>
  </si>
  <si>
    <t>Quinto Vicentino</t>
  </si>
  <si>
    <t>San Paolo</t>
  </si>
  <si>
    <t>Passirano</t>
  </si>
  <si>
    <t>Provaglio d'Iseo</t>
  </si>
  <si>
    <t>Marano Principato</t>
  </si>
  <si>
    <t>Bracciano</t>
  </si>
  <si>
    <t>Borghetto Lodigiano</t>
  </si>
  <si>
    <t>Viadana</t>
  </si>
  <si>
    <t>Lovero</t>
  </si>
  <si>
    <t>Borrello</t>
  </si>
  <si>
    <t>Germagnano</t>
  </si>
  <si>
    <t>Roveredo di Guà</t>
  </si>
  <si>
    <t>Ceneselli</t>
  </si>
  <si>
    <t>Casier</t>
  </si>
  <si>
    <t>Casale sul Sile</t>
  </si>
  <si>
    <t>Bonemerse</t>
  </si>
  <si>
    <t>Gadesco-Pieve Delmona</t>
  </si>
  <si>
    <t>Ruviano</t>
  </si>
  <si>
    <t>Rivalta di Torino</t>
  </si>
  <si>
    <t>Benetutti</t>
  </si>
  <si>
    <t>Bottidda</t>
  </si>
  <si>
    <t>San Benedetto in Perillis</t>
  </si>
  <si>
    <t>Sant'Eusanio Forconese</t>
  </si>
  <si>
    <t>Trecasali</t>
  </si>
  <si>
    <t>San Valentino in Abruzzo Citeriore</t>
  </si>
  <si>
    <t>Torre dei Passeri</t>
  </si>
  <si>
    <t>Penne</t>
  </si>
  <si>
    <t>Carpineto della Nora</t>
  </si>
  <si>
    <t>Third year</t>
  </si>
  <si>
    <t>Pompei</t>
  </si>
  <si>
    <t>Procida</t>
  </si>
  <si>
    <t>Paese</t>
  </si>
  <si>
    <t>Campegine</t>
  </si>
  <si>
    <t>Binago</t>
  </si>
  <si>
    <t>Campofranco</t>
  </si>
  <si>
    <t>Chiusa Sclafani</t>
  </si>
  <si>
    <t>Palma di Montechiaro</t>
  </si>
  <si>
    <t>Bosco Chiesanuova</t>
  </si>
  <si>
    <t>Zibello</t>
  </si>
  <si>
    <t>Orbassano</t>
  </si>
  <si>
    <t>Saluzzo</t>
  </si>
  <si>
    <t>Sant'Agata Bolognese</t>
  </si>
  <si>
    <t>Carbonera</t>
  </si>
  <si>
    <t>Porto Tolle</t>
  </si>
  <si>
    <t>Carmagnola</t>
  </si>
  <si>
    <t>Minerbe</t>
  </si>
  <si>
    <t>Urbisaglia</t>
  </si>
  <si>
    <t>Castelsaraceno</t>
  </si>
  <si>
    <t>Fusignano</t>
  </si>
  <si>
    <t>Conselice</t>
  </si>
  <si>
    <t>San Germano dei Berici</t>
  </si>
  <si>
    <t>Pieve di Coriando</t>
  </si>
  <si>
    <t>Valvestino</t>
  </si>
  <si>
    <t>Parabita</t>
  </si>
  <si>
    <t>Fiavé</t>
  </si>
  <si>
    <t>Seborga</t>
  </si>
  <si>
    <t>San Ferdinando di Puglia</t>
  </si>
  <si>
    <t>Manziana</t>
  </si>
  <si>
    <t>Ciorlano</t>
  </si>
  <si>
    <t>Limbiate</t>
  </si>
  <si>
    <t>Pietracupa</t>
  </si>
  <si>
    <t>Toro</t>
  </si>
  <si>
    <t>Taglio di Po</t>
  </si>
  <si>
    <t>Camponogara</t>
  </si>
  <si>
    <t>Filetto</t>
  </si>
  <si>
    <t>Montemurro</t>
  </si>
  <si>
    <t>Tufillo</t>
  </si>
  <si>
    <t>Vacri</t>
  </si>
  <si>
    <t>Bareggio</t>
  </si>
  <si>
    <t>Castugkuibe Nesser Raimondo</t>
  </si>
  <si>
    <t>Livo</t>
  </si>
  <si>
    <t>Roccaspinalveti</t>
  </si>
  <si>
    <t>Moena</t>
  </si>
  <si>
    <t>Daiano</t>
  </si>
  <si>
    <t>Varena</t>
  </si>
  <si>
    <t>Fresagrandinaria</t>
  </si>
  <si>
    <t>Rodigo</t>
  </si>
  <si>
    <t>Bolgare</t>
  </si>
  <si>
    <t>Tassarolo</t>
  </si>
  <si>
    <t>Gorla Minore</t>
  </si>
  <si>
    <t>Magliano Romano</t>
  </si>
  <si>
    <t>Gardone Val Trompia</t>
  </si>
  <si>
    <t>Gaggiano</t>
  </si>
  <si>
    <t>Montaione</t>
  </si>
  <si>
    <t>Masate</t>
  </si>
  <si>
    <t>Rescaldina</t>
  </si>
  <si>
    <t>Cerisano</t>
  </si>
  <si>
    <t>Andora</t>
  </si>
  <si>
    <t>Povegliano Veronese</t>
  </si>
  <si>
    <t>Giaveno</t>
  </si>
  <si>
    <t>San Martino di Venezze</t>
  </si>
  <si>
    <t>Tione degli Abruzzi</t>
  </si>
  <si>
    <t>Zola Predosa</t>
  </si>
  <si>
    <t>Breganze</t>
  </si>
  <si>
    <t>Castell'Umberto</t>
  </si>
  <si>
    <t>Nocciano</t>
  </si>
  <si>
    <t>San Cesario di Lecce</t>
  </si>
  <si>
    <t>Robecco d'Oglio</t>
  </si>
  <si>
    <t>Caltabellotta</t>
  </si>
  <si>
    <t>Cefalà Diana</t>
  </si>
  <si>
    <t>Cesaò</t>
  </si>
  <si>
    <t>San Filippo del Mela</t>
  </si>
  <si>
    <t>Paternò</t>
  </si>
  <si>
    <t>Cianciana</t>
  </si>
  <si>
    <t>Roccafiorita</t>
  </si>
  <si>
    <t>Melpignano</t>
  </si>
  <si>
    <t>Bompietro</t>
  </si>
  <si>
    <t>Apricale</t>
  </si>
  <si>
    <t>Carano</t>
  </si>
  <si>
    <t>Minerbio</t>
  </si>
  <si>
    <t>Santorso</t>
  </si>
  <si>
    <t>Sovizzo</t>
  </si>
  <si>
    <t>Barasso</t>
  </si>
  <si>
    <t>Aprilia</t>
  </si>
  <si>
    <t>Morazzone</t>
  </si>
  <si>
    <t>Agnone</t>
  </si>
  <si>
    <t>Calangianus</t>
  </si>
  <si>
    <t>Miggiano</t>
  </si>
  <si>
    <t>Savigno</t>
  </si>
  <si>
    <t>Valle Castellana</t>
  </si>
  <si>
    <t>Pietracatella</t>
  </si>
  <si>
    <t>Sini</t>
  </si>
  <si>
    <t>Perledo</t>
  </si>
  <si>
    <t>Furci</t>
  </si>
  <si>
    <t>Cremeno</t>
  </si>
  <si>
    <t>Torcegno</t>
  </si>
  <si>
    <t>Mornico al Serio</t>
  </si>
  <si>
    <t>Busto Garolfo</t>
  </si>
  <si>
    <t>Settala</t>
  </si>
  <si>
    <t>Villasanta</t>
  </si>
  <si>
    <t>Senago</t>
  </si>
  <si>
    <t>Monastero di Lanzo</t>
  </si>
  <si>
    <t>Cantoira</t>
  </si>
  <si>
    <t>Rocchetta di Vara</t>
  </si>
  <si>
    <t>Carrodano</t>
  </si>
  <si>
    <t>Castel Campagnano</t>
  </si>
  <si>
    <t>Casalettp Spartano</t>
  </si>
  <si>
    <t>Caselle In Pittari</t>
  </si>
  <si>
    <t>Celle di Bulgheria</t>
  </si>
  <si>
    <t>Ispani</t>
  </si>
  <si>
    <t>Morigerati</t>
  </si>
  <si>
    <t>Roccagloriosa</t>
  </si>
  <si>
    <t>San Giovanni a Piro</t>
  </si>
  <si>
    <t>Sapri</t>
  </si>
  <si>
    <t>Torraca</t>
  </si>
  <si>
    <t>Torre Orsaia</t>
  </si>
  <si>
    <t>Tortorella</t>
  </si>
  <si>
    <t>Vibonati</t>
  </si>
  <si>
    <t>Atena Lucana</t>
  </si>
  <si>
    <t>Auletta</t>
  </si>
  <si>
    <t>Padula</t>
  </si>
  <si>
    <t>Sala Consiuna</t>
  </si>
  <si>
    <t>San Pietro al Tanagro</t>
  </si>
  <si>
    <t>San Rufo</t>
  </si>
  <si>
    <t>Salvitelle</t>
  </si>
  <si>
    <t>Teggiano</t>
  </si>
  <si>
    <t>Pozzomaggiore</t>
  </si>
  <si>
    <t>Ardara</t>
  </si>
  <si>
    <t>Barete</t>
  </si>
  <si>
    <t>Calascio</t>
  </si>
  <si>
    <t>Montecchio Emilia</t>
  </si>
  <si>
    <t>Montodine</t>
  </si>
  <si>
    <t>Moscufo</t>
  </si>
  <si>
    <t>Tocco da Casauria</t>
  </si>
  <si>
    <t>Villa Estense</t>
  </si>
  <si>
    <t>Vezzano sul Crostolo</t>
  </si>
  <si>
    <t>Noceto</t>
  </si>
  <si>
    <t>Alia</t>
  </si>
  <si>
    <t>Canicattì</t>
  </si>
  <si>
    <t>Viagrande</t>
  </si>
  <si>
    <t>Duino-Aurisina</t>
  </si>
  <si>
    <t>Nicorvo</t>
  </si>
  <si>
    <t>Pavia</t>
  </si>
  <si>
    <t>Aicurzio</t>
  </si>
  <si>
    <t>Abriola</t>
  </si>
  <si>
    <t>Roseto degli Abruzzi</t>
  </si>
  <si>
    <t>Siurgus Donigala</t>
  </si>
  <si>
    <t>Escolca</t>
  </si>
  <si>
    <t>Castelli</t>
  </si>
  <si>
    <t>Olevano Romano</t>
  </si>
  <si>
    <t>Cellino Attanasio</t>
  </si>
  <si>
    <t>Paderno d'Adda</t>
  </si>
  <si>
    <t>Dorio</t>
  </si>
  <si>
    <t>Bagolino</t>
  </si>
  <si>
    <t>Grisignano di Zocco</t>
  </si>
  <si>
    <t>Almese</t>
  </si>
  <si>
    <t>Canonica d'Adda</t>
  </si>
  <si>
    <t>Trezzo sull'Adda</t>
  </si>
  <si>
    <t>Morengo</t>
  </si>
  <si>
    <t>Bruino</t>
  </si>
  <si>
    <t>Nichelino</t>
  </si>
  <si>
    <t>Samone</t>
  </si>
  <si>
    <t>Rocca d'Evandro</t>
  </si>
  <si>
    <t>Cossoine</t>
  </si>
  <si>
    <t>Laerru</t>
  </si>
  <si>
    <t>Torralba</t>
  </si>
  <si>
    <t>Barisciano</t>
  </si>
  <si>
    <t>Ferrara</t>
  </si>
  <si>
    <t>Masi  Torello</t>
  </si>
  <si>
    <t>Voghiera</t>
  </si>
  <si>
    <t>Casorate Sempione</t>
  </si>
  <si>
    <t>Pero</t>
  </si>
  <si>
    <t>Alfano</t>
  </si>
  <si>
    <t>Ascea</t>
  </si>
  <si>
    <t>Camerota</t>
  </si>
  <si>
    <t>Centola</t>
  </si>
  <si>
    <t>Cuccaro Vetere</t>
  </si>
  <si>
    <t>Futani</t>
  </si>
  <si>
    <t>Laurito</t>
  </si>
  <si>
    <t>Pisciotta</t>
  </si>
  <si>
    <t>San Mauro la Bruca</t>
  </si>
  <si>
    <t>San Pier Niceto</t>
  </si>
  <si>
    <t>NC2: 1990, 2002, 2020</t>
  </si>
  <si>
    <t>Rotterdam</t>
  </si>
  <si>
    <r>
      <rPr>
        <u/>
        <sz val="10"/>
        <rFont val="Arial"/>
        <family val="2"/>
      </rPr>
      <t>2003 and 2007 from</t>
    </r>
    <r>
      <rPr>
        <u/>
        <sz val="10"/>
        <color theme="10"/>
        <rFont val="Arial"/>
        <family val="2"/>
      </rPr>
      <t xml:space="preserve"> www.capetown.gov.za/en/EnvironmentalResourceManagement/publications/Documents/State_of_Energy_+_Energy_Futures_Report_2011_revised_2012-01.pdf</t>
    </r>
  </si>
  <si>
    <t>C40, CDP: 2005, 2010</t>
  </si>
  <si>
    <t>http://carbonn.org/uploads/tx_carbonndata/Cleveland_Climate_Action_Plan_Final2013_01.pdf</t>
  </si>
  <si>
    <t>Carbonn, CDP: 2006</t>
  </si>
  <si>
    <t>C40, Carbonn, CDP: 2000, 2011</t>
  </si>
  <si>
    <t>CDP: 2005, 2011, 2012</t>
  </si>
  <si>
    <t>Cities or regions with a reduction target but no baseline are not included in the list.</t>
  </si>
  <si>
    <t xml:space="preserve">The table in the Analysis sheet show the total absolute commitments for 2020, 2030, and 2050 for the cities and regions. </t>
  </si>
  <si>
    <t>We found these commitments in the data on the homepages mentioned in our Climate Initiatives Platform (www.climateinitiatives.org):</t>
  </si>
  <si>
    <t>We only include cities and regions in this Pipeline, which have made a commitment to reduce their GHG emissions in 2020 or later.</t>
  </si>
  <si>
    <t>This Pipeline is an enlargement of our NDC/Pledgepipeline, including information on GHG reduction commitments from cities and regions.</t>
  </si>
  <si>
    <t>CDP, Carbonn: 2050</t>
  </si>
  <si>
    <t>Menjez</t>
  </si>
  <si>
    <t>Pavone del Mella</t>
  </si>
  <si>
    <t>Bolzano</t>
  </si>
  <si>
    <t>Artik</t>
  </si>
  <si>
    <t>Hrazdan</t>
  </si>
  <si>
    <t>Spitak</t>
  </si>
  <si>
    <t>Tsakhkadzor</t>
  </si>
  <si>
    <t>Vayk</t>
  </si>
  <si>
    <t>Aparan</t>
  </si>
  <si>
    <t>Doboj</t>
  </si>
  <si>
    <t>Cimislia</t>
  </si>
  <si>
    <t>Balti</t>
  </si>
  <si>
    <t>Soldanesti</t>
  </si>
  <si>
    <t>Tulkarm</t>
  </si>
  <si>
    <t>Nilüfer</t>
  </si>
  <si>
    <t>Izmir</t>
  </si>
  <si>
    <t>Muzykivka</t>
  </si>
  <si>
    <t>Truskavets</t>
  </si>
  <si>
    <t>Mariupol</t>
  </si>
  <si>
    <t>Roman</t>
  </si>
  <si>
    <t>Florida</t>
  </si>
  <si>
    <t>Ececutive Order 07-127</t>
  </si>
  <si>
    <t>Arizona</t>
  </si>
  <si>
    <t>Executive Order 2006-13</t>
  </si>
  <si>
    <t>Maine</t>
  </si>
  <si>
    <t>LD 845</t>
  </si>
  <si>
    <t>New Jersey</t>
  </si>
  <si>
    <t>Press release and EO</t>
  </si>
  <si>
    <t>EO 05-033</t>
  </si>
  <si>
    <t>Fukushima</t>
  </si>
  <si>
    <t>Huddinge</t>
  </si>
  <si>
    <t>Covenant of Mayors SEAP: 2020; Carbonn: 2050</t>
  </si>
  <si>
    <t>Berkeley</t>
  </si>
  <si>
    <t>www.cityofberkeley.info/uploadedFiles/Planning_and_Development/Level_3_-_Energy_and_Sustainable_Development/Berkeley%20Climate%20Action%20Plan.pdf</t>
  </si>
  <si>
    <t>Berkeley Climate Action Plan</t>
  </si>
  <si>
    <t>Orlando</t>
  </si>
  <si>
    <t>www.cityoforlando.net/greenworks/energy-and-green-buildings/</t>
  </si>
  <si>
    <t>Kansas city</t>
  </si>
  <si>
    <t>http://kcmo.gov/citymanagersoffice/wp-content/uploads/sites/11/2013/11/City-Climate-Protection-Plan.pdf</t>
  </si>
  <si>
    <t>Halifax</t>
  </si>
  <si>
    <t>City of Richmond 2008 Greenhouse Gas Emissions Inventory</t>
  </si>
  <si>
    <t>Sacramento</t>
  </si>
  <si>
    <t>file:///C:/Users/jqfe/Downloads/4__Chap_2_Inv_For_Targ%20CAP.pdf</t>
  </si>
  <si>
    <t>Salt lake City</t>
  </si>
  <si>
    <t>San Diego</t>
  </si>
  <si>
    <t>Santa Monica</t>
  </si>
  <si>
    <t>https://www.smgov.net/uploadedFiles/Departments/OSE/Home_Page_Item_with_Image/CAP_Final.pdf</t>
  </si>
  <si>
    <t xml:space="preserve"> - only regions with a higher commitment than their country are included</t>
  </si>
  <si>
    <t xml:space="preserve"> - only cities with a higher commitment than their country or region are included</t>
  </si>
  <si>
    <t xml:space="preserve">to ensure that this is larger than the EU commitments (since the base years can be later than 1990). </t>
  </si>
  <si>
    <t>However, all commitments from Signatories to Covenant of Mayors outside EU are included: Algeria, Azerbeijan, Belarus, Bosnia-Herzegovina, Georgia,  Kazakhstan,</t>
  </si>
  <si>
    <t xml:space="preserve"> - Macedonia, Moldova, Montenegro, Morocco, New Zealand, Norway, Palestine, Serbia, Switzerland, Tajikistan, Turkey, Ukraine</t>
  </si>
  <si>
    <t>This table also shows the total extra GHG reduction in the countries compared to their conditional INDC/NDCs listed in column B-D.</t>
  </si>
  <si>
    <t>The cities and regions commitments give an extra GHG reduction in 2020 of 1.06 GtCO2eq.</t>
  </si>
  <si>
    <t>The Norwegian parliament 6 June decided a net-zero taeget for 2030</t>
  </si>
  <si>
    <t>2010 Population in thousands</t>
  </si>
  <si>
    <t>Covered</t>
  </si>
  <si>
    <t>New Mexico</t>
  </si>
  <si>
    <t>In Asia &amp; Pacific</t>
  </si>
  <si>
    <t>In EU-28</t>
  </si>
  <si>
    <t>In Other Europe &amp; Central Asia</t>
  </si>
  <si>
    <t>In Middle East</t>
  </si>
  <si>
    <t>covered</t>
  </si>
  <si>
    <t>BR2</t>
  </si>
  <si>
    <t>100% Renewable Energy for Community Electricity Supply by 2032</t>
  </si>
  <si>
    <t>https://slcgreen.files.wordpress.com/2016/07/carbon-reduction-joint-resolution.pdf</t>
  </si>
  <si>
    <t>Amiens Metropole</t>
  </si>
  <si>
    <t>Cuernavaca</t>
  </si>
  <si>
    <t>Covenant of Mayors SEAP, CDP: 2011 updated</t>
  </si>
  <si>
    <t>Canberra</t>
  </si>
  <si>
    <t>Arlington Community Energy Plan 2013</t>
  </si>
  <si>
    <t>Aurora</t>
  </si>
  <si>
    <t>Columbus</t>
  </si>
  <si>
    <t>Having already met its 2020 renewable energy target of 33%, South Australia has now set a 50% 2025 target.</t>
  </si>
  <si>
    <t>Mato Grosso</t>
  </si>
  <si>
    <t>CDP: 2006, C40</t>
  </si>
  <si>
    <t>Eugene</t>
  </si>
  <si>
    <t>Covering Gasoline, Diesel, Natural Gas, Electricity</t>
  </si>
  <si>
    <t>Helsinki</t>
  </si>
  <si>
    <t>CDP: 1990, 2020, 2030</t>
  </si>
  <si>
    <t>Carbonn, CDP: 1990, 2050</t>
  </si>
  <si>
    <t>Lake Forest</t>
  </si>
  <si>
    <t>CDP:2007, 2015 etc</t>
  </si>
  <si>
    <t>Low</t>
  </si>
  <si>
    <t>High</t>
  </si>
  <si>
    <t>Covenant of Mayors SEAP, CDP: 1990, 2025</t>
  </si>
  <si>
    <t>London</t>
  </si>
  <si>
    <t>All Scope 1 and 2 emissions within London, excluding rail &amp; air transportation</t>
  </si>
  <si>
    <t>CNCA, CDP: 2006, 2025, 2050</t>
  </si>
  <si>
    <t>Perth</t>
  </si>
  <si>
    <t>Pittsburgh</t>
  </si>
  <si>
    <t>Scope 1 (except fugitive emissions), Scope 2 and "waste disposal"</t>
  </si>
  <si>
    <t>CNCA, C40, CDP</t>
  </si>
  <si>
    <t>Transportation, land use and waste</t>
  </si>
  <si>
    <t>Reykjavik</t>
  </si>
  <si>
    <t>Shenzhen</t>
  </si>
  <si>
    <t>"Shenzhen Medium-to- Long-term Low-carbon Development plan (2011-2020)"</t>
  </si>
  <si>
    <t>Victoria</t>
  </si>
  <si>
    <t>Yonkers</t>
  </si>
  <si>
    <t>SEAP: 2010; Track 0: 2030: CDP: 2010, 2030</t>
  </si>
  <si>
    <t>Covenant of Mayors SEAP, CDP: 2007, 2020</t>
  </si>
  <si>
    <t>Udine</t>
  </si>
  <si>
    <t>C40, CDP: 2005, 2020</t>
  </si>
  <si>
    <t>Fafe</t>
  </si>
  <si>
    <t>Funchal</t>
  </si>
  <si>
    <t>Léon de los Aldamas</t>
  </si>
  <si>
    <t>Hong Kong</t>
  </si>
  <si>
    <t>Moita</t>
  </si>
  <si>
    <t>New Taipei</t>
  </si>
  <si>
    <t>Florianópolis</t>
  </si>
  <si>
    <t>Local reference, CDP 2009</t>
  </si>
  <si>
    <t>Uljin</t>
  </si>
  <si>
    <t>CDP: 2008, 2025, Track 0: 2050</t>
  </si>
  <si>
    <t>Compact of Mayors, CDP: 2004, 2015</t>
  </si>
  <si>
    <t>Rio has just launched its goal for being carbon neutral until 2065, fifty years from now.</t>
  </si>
  <si>
    <t>Edmonton</t>
  </si>
  <si>
    <t>Hamilton</t>
  </si>
  <si>
    <t>North Vancouver</t>
  </si>
  <si>
    <t>Salaberry-de-Valleyfield</t>
  </si>
  <si>
    <t>C40, CDP: 1990, 2020, 2050</t>
  </si>
  <si>
    <t>Green Urban Denmark: 2020, 2030, CDP: 2008</t>
  </si>
  <si>
    <t>CNCA, C40, CDP: 2010, 2012, 2020</t>
  </si>
  <si>
    <t>Egedal Municipality</t>
  </si>
  <si>
    <t>Gladsaxe</t>
  </si>
  <si>
    <t>Covenant of Mayors SEAP; CDP: 2010, 2030</t>
  </si>
  <si>
    <t>Hoeje-Taastrup</t>
  </si>
  <si>
    <t>Until 2020 3 % reduction per year, 2035 Fossil free electricity and heating supply</t>
  </si>
  <si>
    <t>Hørsholm</t>
  </si>
  <si>
    <t>CDP: 2010, 2020</t>
  </si>
  <si>
    <t>5% reduction per year of the projected growth rate of emissions, starting 2019.</t>
  </si>
  <si>
    <t>Métropole Grand Nancy</t>
  </si>
  <si>
    <t>Magdeburg</t>
  </si>
  <si>
    <t>Andalusia</t>
  </si>
  <si>
    <t>Lower Austria</t>
  </si>
  <si>
    <t>Compact 2016</t>
  </si>
  <si>
    <t>Under 2 MOU, Compact 2016</t>
  </si>
  <si>
    <t>Oppland</t>
  </si>
  <si>
    <t>South Holland</t>
  </si>
  <si>
    <t>Veneto</t>
  </si>
  <si>
    <t>Veneto Region GHG Emissions in the Year 2004</t>
  </si>
  <si>
    <t>Castelnuovo del Garda</t>
  </si>
  <si>
    <t>KwaZulu-Natal</t>
  </si>
  <si>
    <t>Minas Gerais</t>
  </si>
  <si>
    <t>Northwest territories</t>
  </si>
  <si>
    <t>Yucatán</t>
  </si>
  <si>
    <t>Lucca</t>
  </si>
  <si>
    <t>Covenant of Mayors SEAP, CDP</t>
  </si>
  <si>
    <t>Olbia</t>
  </si>
  <si>
    <t>Ravenna</t>
  </si>
  <si>
    <t>Rome</t>
  </si>
  <si>
    <t>Okayama</t>
  </si>
  <si>
    <t>C40, CDP: 1990, 2011</t>
  </si>
  <si>
    <t>Batangas</t>
  </si>
  <si>
    <t>Makati</t>
  </si>
  <si>
    <t>http://carbonn.org/uploads/tx_carbonndata/ghg%20framework%20plan%20090215%20-2-.pdf</t>
  </si>
  <si>
    <t>Wroclaw</t>
  </si>
  <si>
    <t>Gdansk</t>
  </si>
  <si>
    <t>Tarnow</t>
  </si>
  <si>
    <t>Alba-lulia</t>
  </si>
  <si>
    <t>Cape Town</t>
  </si>
  <si>
    <t>The targets are set s in the City’s Energy and Climate Action Plan (ECAP) and is currently being reviewed and updated as part of the City’s Energy 2040 vision and ECAP update process</t>
  </si>
  <si>
    <t>C40: 2030, CDP: 1990, 2005, 2011, 2020</t>
  </si>
  <si>
    <t>Hongcheon county</t>
  </si>
  <si>
    <t>Suwon</t>
  </si>
  <si>
    <t>CDP: 2007, 2020</t>
  </si>
  <si>
    <t>Basel-stadt (canton)</t>
  </si>
  <si>
    <t>CDP: 2011, 2020, 2025</t>
  </si>
  <si>
    <t>CDP: 2013, 2030</t>
  </si>
  <si>
    <t>CDP: 1990, 2005, 2008 etc</t>
  </si>
  <si>
    <t>Taoyuan</t>
  </si>
  <si>
    <t>Pingtung county</t>
  </si>
  <si>
    <t>Yilan County</t>
  </si>
  <si>
    <t>CDP 2009, 2020</t>
  </si>
  <si>
    <t>Kadiovacik</t>
  </si>
  <si>
    <t>CDP: 1990; Covenant of Mayors SEAP: 2005</t>
  </si>
  <si>
    <t>Bournemouth</t>
  </si>
  <si>
    <t>Under 2 MOU, CDP: 190</t>
  </si>
  <si>
    <t>Bellingham</t>
  </si>
  <si>
    <t>CDP: 2000, 2012</t>
  </si>
  <si>
    <t>Benicia</t>
  </si>
  <si>
    <t>CDP : 2000, 2020</t>
  </si>
  <si>
    <t>Blacksburg</t>
  </si>
  <si>
    <t>CDP: 1990, 2050</t>
  </si>
  <si>
    <t>Brisbane</t>
  </si>
  <si>
    <t>Compact of Mayors, CDP: 2050</t>
  </si>
  <si>
    <t>CDP: 2013,2020</t>
  </si>
  <si>
    <t>Davis</t>
  </si>
  <si>
    <t>CDP: 2010, 2050</t>
  </si>
  <si>
    <t>Denver</t>
  </si>
  <si>
    <t>CNCA, C40, CDP: 2006, 2020, 2032, 2050</t>
  </si>
  <si>
    <t>Emeryville</t>
  </si>
  <si>
    <t>Hermosa Beach</t>
  </si>
  <si>
    <t>CDP: 2005, 2040</t>
  </si>
  <si>
    <t>CNCA, C40, CDP: 2005</t>
  </si>
  <si>
    <t>Palo Alto</t>
  </si>
  <si>
    <t>C40, CDP: 1990, 2006, 2015, 2050</t>
  </si>
  <si>
    <t>San Antonio</t>
  </si>
  <si>
    <t>CDP: 2013, 2050</t>
  </si>
  <si>
    <t>CDP: 2005, 2025, 2050</t>
  </si>
  <si>
    <t>West Hollywood</t>
  </si>
  <si>
    <t>CDP: 2008, 2035</t>
  </si>
  <si>
    <t>CDP: 2008, 2020</t>
  </si>
  <si>
    <t>Agios Athanasios</t>
  </si>
  <si>
    <t>Agros</t>
  </si>
  <si>
    <t>Aradippou</t>
  </si>
  <si>
    <t>Deryneia</t>
  </si>
  <si>
    <t>Engomi</t>
  </si>
  <si>
    <t>Episkopi</t>
  </si>
  <si>
    <t>Geroskipou</t>
  </si>
  <si>
    <t xml:space="preserve">Ipsonas </t>
  </si>
  <si>
    <t>Kato Polemidia</t>
  </si>
  <si>
    <t>Kolossi</t>
  </si>
  <si>
    <t>Kyperounta</t>
  </si>
  <si>
    <t>Lakatamia</t>
  </si>
  <si>
    <t>Larnaca</t>
  </si>
  <si>
    <t>Latsia</t>
  </si>
  <si>
    <t>Lefkara</t>
  </si>
  <si>
    <t>Limassol</t>
  </si>
  <si>
    <t>Lythrodontas</t>
  </si>
  <si>
    <t>Mesa Yitonia</t>
  </si>
  <si>
    <t>Nicosia</t>
  </si>
  <si>
    <t>Paralimni</t>
  </si>
  <si>
    <t>Platres</t>
  </si>
  <si>
    <t>Polis Chrysochous</t>
  </si>
  <si>
    <t>Strovolos</t>
  </si>
  <si>
    <t>Yermasoyia</t>
  </si>
  <si>
    <t>Αglantzia</t>
  </si>
  <si>
    <t>Pernambuco</t>
  </si>
  <si>
    <t>CNCA, C40, CDP, Under 2 MOU: 2014</t>
  </si>
  <si>
    <t>Budapest city</t>
  </si>
  <si>
    <t>SEAP: 2005, 2020; Under 2 MOU: 2050</t>
  </si>
  <si>
    <t>Compact 2014, Under 2 MOU: 2010</t>
  </si>
  <si>
    <t>Eastern Mani</t>
  </si>
  <si>
    <t>Yerevan</t>
  </si>
  <si>
    <t>Hlybokaye</t>
  </si>
  <si>
    <t>Kobryn</t>
  </si>
  <si>
    <t>Beryoza</t>
  </si>
  <si>
    <t>Mtskheta</t>
  </si>
  <si>
    <t>Bolsini</t>
  </si>
  <si>
    <t>Agadir</t>
  </si>
  <si>
    <t>Benslimane</t>
  </si>
  <si>
    <t>Oujda</t>
  </si>
  <si>
    <t>Nablus</t>
  </si>
  <si>
    <t>Hebron</t>
  </si>
  <si>
    <t>Maltepe</t>
  </si>
  <si>
    <t>Vinnytsia</t>
  </si>
  <si>
    <t>Vynnyky</t>
  </si>
  <si>
    <t>Khmelnytskyy</t>
  </si>
  <si>
    <t>Artemivsk</t>
  </si>
  <si>
    <t>Hnivan</t>
  </si>
  <si>
    <t>Sumy</t>
  </si>
  <si>
    <t>Dobropillia</t>
  </si>
  <si>
    <t>Morshyn</t>
  </si>
  <si>
    <t>Svatove</t>
  </si>
  <si>
    <t>Seclin</t>
  </si>
  <si>
    <t>Aigialeia</t>
  </si>
  <si>
    <t>Aghios Nikolaos</t>
  </si>
  <si>
    <t>Utrecht</t>
  </si>
  <si>
    <t>Oxford</t>
  </si>
  <si>
    <t>Neufchâteau</t>
  </si>
  <si>
    <t>Brunehaut</t>
  </si>
  <si>
    <t>Visé</t>
  </si>
  <si>
    <t>Zingem</t>
  </si>
  <si>
    <t>Nassogne</t>
  </si>
  <si>
    <t>Tenneville</t>
  </si>
  <si>
    <t>Daverdisse</t>
  </si>
  <si>
    <t>Habey</t>
  </si>
  <si>
    <t>Martelange</t>
  </si>
  <si>
    <t>Nave San Rocco</t>
  </si>
  <si>
    <t>Pontelongo</t>
  </si>
  <si>
    <t>Tenno</t>
  </si>
  <si>
    <t>Baldissero Torinese</t>
  </si>
  <si>
    <t>Pino Torinese</t>
  </si>
  <si>
    <t>Chieri</t>
  </si>
  <si>
    <t>Moriondo Torinese</t>
  </si>
  <si>
    <t>Riva presso Chieri</t>
  </si>
  <si>
    <t>Casale Monferrato</t>
  </si>
  <si>
    <t>Ossane</t>
  </si>
  <si>
    <t>Pellizzano</t>
  </si>
  <si>
    <t>Malé</t>
  </si>
  <si>
    <t>Pecetto Torinese</t>
  </si>
  <si>
    <t>Bedollo</t>
  </si>
  <si>
    <t>Predazzo</t>
  </si>
  <si>
    <t>Follina</t>
  </si>
  <si>
    <t>Roveré della Luna</t>
  </si>
  <si>
    <t>Miane</t>
  </si>
  <si>
    <t>Moriago della Battaglia</t>
  </si>
  <si>
    <t>GRANZE (PD) - ITALY</t>
  </si>
  <si>
    <t>Altivole</t>
  </si>
  <si>
    <t>Comelico</t>
  </si>
  <si>
    <t>Capri</t>
  </si>
  <si>
    <t>Fusine</t>
  </si>
  <si>
    <t>Val Biois</t>
  </si>
  <si>
    <t>Torre del Greco</t>
  </si>
  <si>
    <t>Lorenzago di Cadore</t>
  </si>
  <si>
    <t>Savoca</t>
  </si>
  <si>
    <t>Vercelli</t>
  </si>
  <si>
    <t>Sant'Alessio Siculo</t>
  </si>
  <si>
    <t>Comuni del Candigliano</t>
  </si>
  <si>
    <t>Conca Agordina</t>
  </si>
  <si>
    <t>ANGUILLARA VENETA</t>
  </si>
  <si>
    <t>San Felice a Cancello</t>
  </si>
  <si>
    <t>Comunità Montana del Frignano</t>
  </si>
  <si>
    <t>Alano di Piave</t>
  </si>
  <si>
    <t>GHG reduction %</t>
  </si>
  <si>
    <t>GHG reduction GtCO2e</t>
  </si>
  <si>
    <t>total</t>
  </si>
  <si>
    <t>regions</t>
  </si>
  <si>
    <t>cities</t>
  </si>
  <si>
    <t>Samper del Salz</t>
  </si>
  <si>
    <t>Santa Cruz de Moncayo</t>
  </si>
  <si>
    <t>Sestrica</t>
  </si>
  <si>
    <t>Sobradiel</t>
  </si>
  <si>
    <t>Tarazona</t>
  </si>
  <si>
    <t>Urrea de Jalon</t>
  </si>
  <si>
    <t>Val de San Martin</t>
  </si>
  <si>
    <t>Valmadrid</t>
  </si>
  <si>
    <t>Valpalmas</t>
  </si>
  <si>
    <t>Orestiada municipality</t>
  </si>
  <si>
    <t>Saonara</t>
  </si>
  <si>
    <t>Serri</t>
  </si>
  <si>
    <t>Quiévrain</t>
  </si>
  <si>
    <t>Frameries</t>
  </si>
  <si>
    <t>Under 2 MoU</t>
  </si>
  <si>
    <t>Amazonas</t>
  </si>
  <si>
    <t>Rondönia</t>
  </si>
  <si>
    <t>Aguacalientes</t>
  </si>
  <si>
    <t>Chiapas</t>
  </si>
  <si>
    <t>Hidalgo</t>
  </si>
  <si>
    <t>Michoacán</t>
  </si>
  <si>
    <t>Quintana Roo</t>
  </si>
  <si>
    <t>Tabasco</t>
  </si>
  <si>
    <t>Bas-Rhin</t>
  </si>
  <si>
    <t>Hesse</t>
  </si>
  <si>
    <t>Abruzzo</t>
  </si>
  <si>
    <t>Cross River State</t>
  </si>
  <si>
    <t>Telangana</t>
  </si>
  <si>
    <t>East Kalimantan</t>
  </si>
  <si>
    <t>West Kalimantan</t>
  </si>
  <si>
    <t>South Sumatra</t>
  </si>
  <si>
    <t>Kathmandu Valley</t>
  </si>
  <si>
    <t>Un-conditional (or lowest)</t>
  </si>
  <si>
    <t>Canberra plans to hit 100% renewable power in 2020</t>
  </si>
  <si>
    <t xml:space="preserve"> </t>
  </si>
  <si>
    <t>Kampala</t>
  </si>
  <si>
    <t>Carbon Management 2017, vol 8, no 3, p263</t>
  </si>
  <si>
    <t>NC3: 1994, 2006, 2010, 2012</t>
  </si>
  <si>
    <t>Regions</t>
  </si>
  <si>
    <t>Cities</t>
  </si>
  <si>
    <t>Population</t>
  </si>
  <si>
    <t>Odder Municipality</t>
  </si>
  <si>
    <t>Municipality strategy</t>
  </si>
  <si>
    <t>Isorella</t>
  </si>
  <si>
    <t>Orista</t>
  </si>
  <si>
    <t>Boussu</t>
  </si>
  <si>
    <t>Quaregnon</t>
  </si>
  <si>
    <t>Dresden</t>
  </si>
  <si>
    <t>Lierneux</t>
  </si>
  <si>
    <t>Area Adige Delta Po</t>
  </si>
  <si>
    <t>Bursa Metropolitan Municipality</t>
  </si>
  <si>
    <t>Perdasdefogu</t>
  </si>
  <si>
    <t>Courcelles</t>
  </si>
  <si>
    <t>Quintano</t>
  </si>
  <si>
    <t>Western Cape</t>
  </si>
  <si>
    <t>Goal in 2018</t>
  </si>
  <si>
    <t>Queensland</t>
  </si>
  <si>
    <t>http://ageis.climatechange.gov.au/#</t>
  </si>
  <si>
    <t>Press release,</t>
  </si>
  <si>
    <t>Illinois</t>
  </si>
  <si>
    <t>http://www.epa.state.il.us/air/climatechange/documents/iccag-final-report.pdf</t>
  </si>
  <si>
    <t>Under 2 MOU, state plan</t>
  </si>
  <si>
    <t>https://www.des.nh.gov/organization/commissioner/pip/forms/ard/documents/ard-01-1.pdf</t>
  </si>
  <si>
    <t>CC Challenge (2001);</t>
  </si>
  <si>
    <t>http://www.responsiblepurchasing.org/UserFiles/File/New_Mexico_Climate_Change_Executive_Order%202006.pdf</t>
  </si>
  <si>
    <t>Inventory of New Mexico Greenhouse Gas Emissions: 2000 - 2007</t>
  </si>
  <si>
    <t>Maryland</t>
  </si>
  <si>
    <t>Greenhouse Gas Emissions Reduction Act of 2009 (2015 update),</t>
  </si>
  <si>
    <t>Albamy</t>
  </si>
  <si>
    <t>Charlottesville</t>
  </si>
  <si>
    <t>Cupertino</t>
  </si>
  <si>
    <t>Fayetteville</t>
  </si>
  <si>
    <t>Flagstaff</t>
  </si>
  <si>
    <t>Iowa city</t>
  </si>
  <si>
    <t>Under 2 MOU, C40, CDP: 1990, 2004, 2010, 2016, 2025, 2035, 2050</t>
  </si>
  <si>
    <t>Medford</t>
  </si>
  <si>
    <t>New Orleans</t>
  </si>
  <si>
    <t>Piedmont</t>
  </si>
  <si>
    <t>Providence</t>
  </si>
  <si>
    <t>Sacramento Climate Action Plan; Under 2 Mou, CDP: 2016</t>
  </si>
  <si>
    <t>San Leandro</t>
  </si>
  <si>
    <t>Santa Monica Climate Action Plan, CDP: 1990, 2016, 2050</t>
  </si>
  <si>
    <t>Manchester</t>
  </si>
  <si>
    <t>Hsinchu county</t>
  </si>
  <si>
    <t>Tainan</t>
  </si>
  <si>
    <t>CDP: 2005, 2013, 2050</t>
  </si>
  <si>
    <t>2015 MtCO2eq</t>
  </si>
  <si>
    <t xml:space="preserve">Alberta have pledged to reduce methane emissions by 45 per cent or 2012 levels by 2025
</t>
  </si>
  <si>
    <t>CDP: 1990, 2016, 2020</t>
  </si>
  <si>
    <t>Murcia</t>
  </si>
  <si>
    <t>Incheon</t>
  </si>
  <si>
    <t>Ljubljana</t>
  </si>
  <si>
    <t>Cascais</t>
  </si>
  <si>
    <t>Santarém</t>
  </si>
  <si>
    <t>Guimarães</t>
  </si>
  <si>
    <t>Lima</t>
  </si>
  <si>
    <t>Groningen</t>
  </si>
  <si>
    <t>Covenant of Mayors SEAP, CDP: 2016</t>
  </si>
  <si>
    <t>Bogor</t>
  </si>
  <si>
    <t>Athen</t>
  </si>
  <si>
    <t>Heidelberg</t>
  </si>
  <si>
    <t>C40, CDP: 2016</t>
  </si>
  <si>
    <t>Guayaquil</t>
  </si>
  <si>
    <t>45% intensity reduction from 2007</t>
  </si>
  <si>
    <t>CNCA, Under 2 MOU, C40, CDP: 2007, 2020</t>
  </si>
  <si>
    <t>Ottowa</t>
  </si>
  <si>
    <t>Brasilia</t>
  </si>
  <si>
    <t>Recife</t>
  </si>
  <si>
    <t>Byron Shire</t>
  </si>
  <si>
    <t>Santiago</t>
  </si>
  <si>
    <t>Baseline (GtCO2)</t>
  </si>
  <si>
    <t>Total for regions</t>
  </si>
  <si>
    <t>Total for cities</t>
  </si>
  <si>
    <t>Total reduction</t>
  </si>
  <si>
    <t>Share of</t>
  </si>
  <si>
    <t>population</t>
  </si>
  <si>
    <t>Share covered in different regions</t>
  </si>
  <si>
    <t>NC2: 1990, 2005, 2010, 2014; BUR1: 2020</t>
  </si>
  <si>
    <t>NC2: 1995, NC3: 2005, 2010</t>
  </si>
  <si>
    <t>Montgomery</t>
  </si>
  <si>
    <t>Local plan, Under 2 MoU</t>
  </si>
  <si>
    <t>Caquetá</t>
  </si>
  <si>
    <t>Colima</t>
  </si>
  <si>
    <t>BR3</t>
  </si>
  <si>
    <t>CDP, Compact, States and Regions 2017</t>
  </si>
  <si>
    <t>CDP States and Regions responses 2015, 2017; Under 2 MOU, Connecticut CC Action Plan</t>
  </si>
  <si>
    <t>Galicia</t>
  </si>
  <si>
    <t>Regions 2017</t>
  </si>
  <si>
    <t>CDP States and Regions responses 2015, 2017; Compact 2016</t>
  </si>
  <si>
    <t>Under 2 MOU, Regions 2017</t>
  </si>
  <si>
    <t>Means that target is met</t>
  </si>
  <si>
    <t>Under 2 MOU, Compact 2016, 2017</t>
  </si>
  <si>
    <t>Navarra</t>
  </si>
  <si>
    <t>Norrbotten</t>
  </si>
  <si>
    <t>North Karelia</t>
  </si>
  <si>
    <t>CLIMATE AND ENERGY PROGRAMME OF NORTH KARELIA 2020</t>
  </si>
  <si>
    <t>http://www.regiuneavest.ro/assets/north_karelia_invests_in_fossil_oil_free_region_in_2030_pasip_29_10_2013.pdf</t>
  </si>
  <si>
    <t>Under 2 MOU, CDP States and Regions responses 2015, 2017, Compact 2016</t>
  </si>
  <si>
    <t>Nouvelle-Aquitaine</t>
  </si>
  <si>
    <t>Under 2 MOU, CDP States and Regions 2015, 2017, Compact 2016</t>
  </si>
  <si>
    <t>Regions 2016, 2017</t>
  </si>
  <si>
    <t>CDP States and Regions 2015, 2017; Under 2 MOU, Connecticut CC Action Plan</t>
  </si>
  <si>
    <t>Under 2 MOU, RGGI, CDP States and Regions 2015, 2017, 10. V.S.A. §578.</t>
  </si>
  <si>
    <t>Décret climat of 2014; Regions 2017: 2015</t>
  </si>
  <si>
    <t>Occitanie</t>
  </si>
  <si>
    <t>Only goal for Midi-Pyrenees?</t>
  </si>
  <si>
    <t>Only goal for Languedoc-Roussillon?</t>
  </si>
  <si>
    <t>Alsace (part of Grand Est)</t>
  </si>
  <si>
    <t>Champagne Ardenne (part of Grand Est)</t>
  </si>
  <si>
    <t>France-Comté (part of Bourgogne-Franche-Comté)</t>
  </si>
  <si>
    <t>Auvergne-Rhone-Alpes</t>
  </si>
  <si>
    <t>CDP (auvergne) and Under 2 MoU (Rhones-Alpes)</t>
  </si>
  <si>
    <t>Haute Normandie (part of Normandie)</t>
  </si>
  <si>
    <t>Picardy(Part of Haute-de-France)</t>
  </si>
  <si>
    <t>Carbonn, CDP: 2017</t>
  </si>
  <si>
    <t>Covenant of Mayors SEAP, Green Urban Denmark, State of Green: 2015</t>
  </si>
  <si>
    <t>C40: 2011, 2025; CDP: 2015</t>
  </si>
  <si>
    <t>CDP: 1990, 2013, 2016, 2020, 2030</t>
  </si>
  <si>
    <t>Carbonn, Covenant of Mayors SEAP, CDP: 1990, 2015, 2020</t>
  </si>
  <si>
    <t>SEAP: 2005, CDP</t>
  </si>
  <si>
    <t>CDP, SEAP</t>
  </si>
  <si>
    <t>C40: 2025, CDP: 2007, 2013, 2014, 2040</t>
  </si>
  <si>
    <t>Barcelona</t>
  </si>
  <si>
    <t>C40: 2005, CDP: 1990, 2011, 2014</t>
  </si>
  <si>
    <t>CDP: 2005, 2014, Covenant of Mayors SEAP</t>
  </si>
  <si>
    <t>Covenant of Mayors SEAP, CDP:2014</t>
  </si>
  <si>
    <t>CDP: 1990, 2010, 2014, Covenant of Mayors SEAP: 2020</t>
  </si>
  <si>
    <t>Compact of Mayors, CDP: 2015</t>
  </si>
  <si>
    <t>CDP: 2012 &amp; local report</t>
  </si>
  <si>
    <t>Carbonn, CDP:2015, Under 2 MoU</t>
  </si>
  <si>
    <t>C40, Carbonn, Under 2 Mou, CDP:2013</t>
  </si>
  <si>
    <t>CNCA, C40, CDP: 2005 update, 2015</t>
  </si>
  <si>
    <t>CNCA, CDP: 2005, 2015, 2050, Under 2 MoU:2030</t>
  </si>
  <si>
    <t>CDP: 2005, 2015, 2020</t>
  </si>
  <si>
    <t>Carbonn, CDP: 2015</t>
  </si>
  <si>
    <t>Carbonn,  CDP: 2010, 2015</t>
  </si>
  <si>
    <t>Carbonn, CDP: 2005, 2015, 2020</t>
  </si>
  <si>
    <t>CDP: 2003, 2008, 2013; Under 2 MoU: 2023, 2030, 2050</t>
  </si>
  <si>
    <t>CNCA, C40, CDP: 2015</t>
  </si>
  <si>
    <t>CNCA, C40, Under 2 MOU; CDP 2008, 2014, 2050</t>
  </si>
  <si>
    <t>Colerado</t>
  </si>
  <si>
    <t>https://www.colorado.gov/pacific/sites/default/files/AP-COGHGInventory2014Update.pdf</t>
  </si>
  <si>
    <t xml:space="preserve">Country report: History, Executive order: 2025, </t>
  </si>
  <si>
    <t>Michigan</t>
  </si>
  <si>
    <t>www.climatestrategies.us/library/library/download/322</t>
  </si>
  <si>
    <t>http://local.climate-kic.org/wp-content/uploads/2016/06/D2-Gap-analysis-of-GHG-emissions-inventory-methods.pdf</t>
  </si>
  <si>
    <t>Covenant of Mayors SEAP, local report</t>
  </si>
  <si>
    <t>Vadanzor</t>
  </si>
  <si>
    <t>Brest</t>
  </si>
  <si>
    <t>Luje</t>
  </si>
  <si>
    <t>Mostar</t>
  </si>
  <si>
    <t>Ialoveni</t>
  </si>
  <si>
    <t>Chefchaouen</t>
  </si>
  <si>
    <t>Covenant of Mayors SEAP: 2010, 2020</t>
  </si>
  <si>
    <t>Cankaya</t>
  </si>
  <si>
    <t>Druzhkivka</t>
  </si>
  <si>
    <t>Bolgrad</t>
  </si>
  <si>
    <t>Polohy</t>
  </si>
  <si>
    <t>Vuhledar</t>
  </si>
  <si>
    <t>olochiv</t>
  </si>
  <si>
    <t>Zolochiv</t>
  </si>
  <si>
    <t>Verkhnodniprovsk</t>
  </si>
  <si>
    <t>Pyriatyn</t>
  </si>
  <si>
    <t>Shscaslyvtseve</t>
  </si>
  <si>
    <t>Bilhorod-Dnistrovkyy</t>
  </si>
  <si>
    <t>Nizhyn</t>
  </si>
  <si>
    <t>Poltava</t>
  </si>
  <si>
    <t>Khotyn</t>
  </si>
  <si>
    <t>Sievierodonetsk</t>
  </si>
  <si>
    <t>Chorkiv</t>
  </si>
  <si>
    <t>Kaniv</t>
  </si>
  <si>
    <t>Kuznetsovsk</t>
  </si>
  <si>
    <t>Hlyniany</t>
  </si>
  <si>
    <t>Sloviansk</t>
  </si>
  <si>
    <t>Burshtyn</t>
  </si>
  <si>
    <t>Zaporizhia</t>
  </si>
  <si>
    <t>Kryvyi Rih</t>
  </si>
  <si>
    <t>Izmail</t>
  </si>
  <si>
    <t>Fastiv</t>
  </si>
  <si>
    <t>Lubny</t>
  </si>
  <si>
    <t>Skadovsk</t>
  </si>
  <si>
    <t>Bila Tserkva</t>
  </si>
  <si>
    <t>Kremenchuk</t>
  </si>
  <si>
    <t>Kamyanske</t>
  </si>
  <si>
    <t>Odessa</t>
  </si>
  <si>
    <t>For EU cities from Covenant of Mayors we only inlcuded cities with a GHG reduction targets of at least 25% in 2020, and 45% in 2030.</t>
  </si>
  <si>
    <t>If a city is lying in a region with a commitment for 2020, its reduction only counts with the extra % reduction it has compared to the region.</t>
  </si>
  <si>
    <t>Commune de Daverdisse</t>
  </si>
  <si>
    <t>NC1: 1999, NC2: 2010</t>
  </si>
  <si>
    <t>Vaasa</t>
  </si>
  <si>
    <t>Ermionida</t>
  </si>
  <si>
    <t>Lamia</t>
  </si>
  <si>
    <t>Jászberény Városi Önkormányzat</t>
  </si>
  <si>
    <t>Tipperary County Council</t>
  </si>
  <si>
    <t>Viggiano</t>
  </si>
  <si>
    <t>Moliterno</t>
  </si>
  <si>
    <t>Seren del Grappa</t>
  </si>
  <si>
    <t>Aggregazione MARENE</t>
  </si>
  <si>
    <t>Aggregazione Genola</t>
  </si>
  <si>
    <t>Aggregazione Niella Belbo</t>
  </si>
  <si>
    <t>Brugine</t>
  </si>
  <si>
    <t>Fonzaso</t>
  </si>
  <si>
    <t>Enna</t>
  </si>
  <si>
    <t>Boscoreale</t>
  </si>
  <si>
    <t>Busca</t>
  </si>
  <si>
    <t>Belfiore</t>
  </si>
  <si>
    <t>Besenello</t>
  </si>
  <si>
    <t xml:space="preserve">Villa Lagarina </t>
  </si>
  <si>
    <t>Monte Giberto</t>
  </si>
  <si>
    <t>Tramutola</t>
  </si>
  <si>
    <t>Poggiomarino</t>
  </si>
  <si>
    <t>Brienza</t>
  </si>
  <si>
    <t>Caraglio</t>
  </si>
  <si>
    <t>Lessebo</t>
  </si>
  <si>
    <t>Badules</t>
  </si>
  <si>
    <t>Biel</t>
  </si>
  <si>
    <t>Cabañas de Ebro</t>
  </si>
  <si>
    <t>Camós</t>
  </si>
  <si>
    <t>Cornellà del Terri</t>
  </si>
  <si>
    <t>Darnius</t>
  </si>
  <si>
    <t>EJEA DE LOS CABALLEROS</t>
  </si>
  <si>
    <t>Esponellà</t>
  </si>
  <si>
    <t>Fontcoberta</t>
  </si>
  <si>
    <t>Gotor</t>
  </si>
  <si>
    <t>Garrigàs</t>
  </si>
  <si>
    <t>Horta de Sant Joan</t>
  </si>
  <si>
    <t>L'Escala</t>
  </si>
  <si>
    <t>Longares</t>
  </si>
  <si>
    <t>Lumpiaque</t>
  </si>
  <si>
    <t>Luna</t>
  </si>
  <si>
    <t>La Febro</t>
  </si>
  <si>
    <t>La Secuita</t>
  </si>
  <si>
    <t>Llançà</t>
  </si>
  <si>
    <t>Llorac</t>
  </si>
  <si>
    <t>Novallas</t>
  </si>
  <si>
    <t>Palau-saverdera</t>
  </si>
  <si>
    <t>Pallars Sobirà</t>
  </si>
  <si>
    <t>Palol de Revardit</t>
  </si>
  <si>
    <t>Pedret i Marzà</t>
  </si>
  <si>
    <t>Porqueres</t>
  </si>
  <si>
    <t>Puigpelat</t>
  </si>
  <si>
    <t>Riudoms</t>
  </si>
  <si>
    <t>Roses</t>
  </si>
  <si>
    <t>SABIÑÁN</t>
  </si>
  <si>
    <t>Sant Feliu de Guixols</t>
  </si>
  <si>
    <t>Sástiago</t>
  </si>
  <si>
    <t>Valverde</t>
  </si>
  <si>
    <t>Vilanova de Bellpuig</t>
  </si>
  <si>
    <t>https://www.canada.ca/en/environment-climate-change/services/climate-change/greenhouse-gas-emissions/sources-sinks-executive-summary.html#es-5</t>
  </si>
  <si>
    <t>Historic data: national report</t>
  </si>
  <si>
    <t>https://www.sandiego.gov/sites/default/files/final_july_2016_cap.pdf</t>
  </si>
  <si>
    <t>Covenant of Mayors SEAP, Carbonn: 2014</t>
  </si>
  <si>
    <t>San Jerónimo de Montería</t>
  </si>
  <si>
    <t>Asan</t>
  </si>
  <si>
    <t>Da Nang</t>
  </si>
  <si>
    <t>Hue</t>
  </si>
  <si>
    <t>Seberang Perai</t>
  </si>
  <si>
    <t>Hoi An</t>
  </si>
  <si>
    <t>People covered:</t>
  </si>
  <si>
    <t>Regions &amp; cities</t>
  </si>
  <si>
    <t>CDP, Carbonn:2050</t>
  </si>
  <si>
    <t>Chula Vista</t>
  </si>
  <si>
    <t>Fort Collins</t>
  </si>
  <si>
    <t>Fremont</t>
  </si>
  <si>
    <t>Olympia</t>
  </si>
  <si>
    <t>Saint Paul</t>
  </si>
  <si>
    <t>Santa Cruz</t>
  </si>
  <si>
    <t>Lexington-Fayette</t>
  </si>
  <si>
    <t>Sorocaba</t>
  </si>
  <si>
    <t>Independencia</t>
  </si>
  <si>
    <t>Taichung</t>
  </si>
  <si>
    <t>Rajkot</t>
  </si>
  <si>
    <t>Gunma</t>
  </si>
  <si>
    <t>Nakano</t>
  </si>
  <si>
    <t>San Carlos</t>
  </si>
  <si>
    <t>Huai Khao Kam</t>
  </si>
  <si>
    <t>Lampang</t>
  </si>
  <si>
    <t>CDP States and Regions 2015, Compact 2016 &amp; 2017, under 2 MoU</t>
  </si>
  <si>
    <t>Aichi</t>
  </si>
  <si>
    <t>https://www8.iowa-city.org/weblink/0/edoc/1587170/ICGreenhouseGasUpdate-2017.pdf</t>
  </si>
  <si>
    <t>Reducing emissions in Scotland
2017 Progress Report to Parliament, Committee on Climate Change, September 2017</t>
  </si>
  <si>
    <t>NC2: 1990,2000; NC3: 2010; BUR1: 2012</t>
  </si>
  <si>
    <t>California mandates 100% renewable power and cornon neutral by 2045</t>
  </si>
  <si>
    <t>Beijing</t>
  </si>
  <si>
    <t>Guangzhou</t>
  </si>
  <si>
    <t>CDP, Alliance of Peaking Pioneer Cities:CO2 will peak in 2022</t>
  </si>
  <si>
    <t>Alliance of Peaking Pioneer Cities: CO2 will peak in 2020</t>
  </si>
  <si>
    <t>Ningbo</t>
  </si>
  <si>
    <t>Wenzhou</t>
  </si>
  <si>
    <t>Wuhan</t>
  </si>
  <si>
    <t>Suzhou</t>
  </si>
  <si>
    <t>Zhenjiang</t>
  </si>
  <si>
    <t>Qingdao</t>
  </si>
  <si>
    <t>Alliance of Peaking Pioneer Cities: CO2 will peak in 2022</t>
  </si>
  <si>
    <t>Jinlin</t>
  </si>
  <si>
    <t>Alliance of Peaking Pioneer Cities: CO2 will peak in 2025</t>
  </si>
  <si>
    <t>Guijang</t>
  </si>
  <si>
    <t>Jinchang</t>
  </si>
  <si>
    <t>Jan'an</t>
  </si>
  <si>
    <t>Alliance of Peaking Pioneer Cities: CO2 will peak in 2029</t>
  </si>
  <si>
    <t>Hainan</t>
  </si>
  <si>
    <t>Alliance of Peaking Pioneer Cities: CO2 will peak in 2030</t>
  </si>
  <si>
    <t>Sichuang</t>
  </si>
  <si>
    <t>Guilin</t>
  </si>
  <si>
    <t>Guangyuan</t>
  </si>
  <si>
    <t>Zunyi</t>
  </si>
  <si>
    <t>Urumqi</t>
  </si>
  <si>
    <t>Chizhou</t>
  </si>
  <si>
    <t>Alliance of Peaking Pioneer Cities: CO2 will peak in 2023</t>
  </si>
  <si>
    <t>Ganzhou</t>
  </si>
  <si>
    <t>Jincheng</t>
  </si>
  <si>
    <t>Alliance of Peaking Pioneer Cities: CO2 will peak in 2019</t>
  </si>
  <si>
    <t>Alliance of Peaking Pioneer Cities: CO2 will peak in 2018</t>
  </si>
  <si>
    <t>NC1: 1995; NC2: 2000; NC3: 2010; BUR1: 2012</t>
  </si>
  <si>
    <t>UNFCCC,GHGdata: 1994; NC2: 2005; BUR1: 2014</t>
  </si>
  <si>
    <t>BUR1: 1990, 2005,2010, 2014</t>
  </si>
  <si>
    <t>Santa Dominica Vittoria</t>
  </si>
  <si>
    <t>Aqaba</t>
  </si>
  <si>
    <t>Algaida</t>
  </si>
  <si>
    <t>Artegna</t>
  </si>
  <si>
    <t>Latisana</t>
  </si>
  <si>
    <t>Bosanski Petrovac</t>
  </si>
  <si>
    <t>Cajnice</t>
  </si>
  <si>
    <t>Ramla</t>
  </si>
  <si>
    <t>Rosh Ha'Ayin</t>
  </si>
  <si>
    <t>Shefa-Amer</t>
  </si>
  <si>
    <t>Sahab</t>
  </si>
  <si>
    <t>Baakline</t>
  </si>
  <si>
    <t>Kab Elias</t>
  </si>
  <si>
    <t>Sfaz</t>
  </si>
  <si>
    <t>Fortaleza</t>
  </si>
  <si>
    <t>Sofia</t>
  </si>
  <si>
    <t>Carbonn,CDP</t>
  </si>
  <si>
    <t>Bridgewater</t>
  </si>
  <si>
    <t>Guelp</t>
  </si>
  <si>
    <t>Mississauga</t>
  </si>
  <si>
    <t>Saskatoon</t>
  </si>
  <si>
    <t>Windsor</t>
  </si>
  <si>
    <t>CDP (Intensity target)</t>
  </si>
  <si>
    <t>Cocody</t>
  </si>
  <si>
    <t>Middelfart</t>
  </si>
  <si>
    <t>CDP, Carbonn, CDP: 1990, 2010,2016, 2030</t>
  </si>
  <si>
    <t>CDP: 2003, 2010, 2020, Covenant of Mayors SEAP</t>
  </si>
  <si>
    <t>Iskandar</t>
  </si>
  <si>
    <t>Mérida</t>
  </si>
  <si>
    <t>Mecico city</t>
  </si>
  <si>
    <t>Arendal</t>
  </si>
  <si>
    <t>C40, CDP: 1990, 2020, 2030</t>
  </si>
  <si>
    <t>Panama city</t>
  </si>
  <si>
    <t>Iasi</t>
  </si>
  <si>
    <t>SEAP: 2008, 2020, CDP:2005, 2014</t>
  </si>
  <si>
    <t>CNCA, Covenant of Mayors SEAP, C40, CDP: 1990, 2011, 2014, 2020, 2040</t>
  </si>
  <si>
    <t>Alameda</t>
  </si>
  <si>
    <t>Boulder County</t>
  </si>
  <si>
    <t>Broward County</t>
  </si>
  <si>
    <t>CDO</t>
  </si>
  <si>
    <t>Dubuque</t>
  </si>
  <si>
    <t>Easton</t>
  </si>
  <si>
    <t>Evanston</t>
  </si>
  <si>
    <t>Indianapolis</t>
  </si>
  <si>
    <t>Climate Protection Plan, City of Kansas City, July, 2008, CDP:2000</t>
  </si>
  <si>
    <t>King County</t>
  </si>
  <si>
    <t>CDP (countains Seattle)</t>
  </si>
  <si>
    <t>Louisville</t>
  </si>
  <si>
    <t>C DP</t>
  </si>
  <si>
    <t>Moab</t>
  </si>
  <si>
    <t>New Haven</t>
  </si>
  <si>
    <t>Reno</t>
  </si>
  <si>
    <t>Rochester</t>
  </si>
  <si>
    <t>San José</t>
  </si>
  <si>
    <t>West Palm Beach</t>
  </si>
  <si>
    <t>Green new Deal June 2019</t>
  </si>
  <si>
    <t>NC1: 2012, 2015</t>
  </si>
  <si>
    <t>Maine carbon neural in 2045 at New yorl climate summit 2019</t>
  </si>
  <si>
    <t>Cork</t>
  </si>
  <si>
    <t>Covenant of Mayors</t>
  </si>
  <si>
    <t>La Hulpe</t>
  </si>
  <si>
    <t>Aci Catena</t>
  </si>
  <si>
    <t>*</t>
  </si>
  <si>
    <t>Albaredo d'Adige</t>
  </si>
  <si>
    <t>Alcudia</t>
  </si>
  <si>
    <t>Area Alto Polesine</t>
  </si>
  <si>
    <t>Area Rovigo Centrale</t>
  </si>
  <si>
    <t>Boden</t>
  </si>
  <si>
    <t>Braine-le-Château</t>
  </si>
  <si>
    <t>Bronte</t>
  </si>
  <si>
    <t>Békéscsaba Megyei Jogú Város</t>
  </si>
  <si>
    <t>Chastre</t>
  </si>
  <si>
    <t>Chaudfontaine</t>
  </si>
  <si>
    <t>Cingoli</t>
  </si>
  <si>
    <t>Dunaújváros</t>
  </si>
  <si>
    <t>Ecaussinnes</t>
  </si>
  <si>
    <t>Fléron</t>
  </si>
  <si>
    <t>GAL Pays des Condruses</t>
  </si>
  <si>
    <t>Gerpinnes</t>
  </si>
  <si>
    <t>Gouvy</t>
  </si>
  <si>
    <t>Greater Karak Municipality</t>
  </si>
  <si>
    <t>Heron</t>
  </si>
  <si>
    <t>Ivacevičy</t>
  </si>
  <si>
    <t>Kniahynynok</t>
  </si>
  <si>
    <t>Koryukivka</t>
  </si>
  <si>
    <t>Kungsbacka</t>
  </si>
  <si>
    <t>Ladyzhyn</t>
  </si>
  <si>
    <t>Les Bons Villers</t>
  </si>
  <si>
    <t>Lincent</t>
  </si>
  <si>
    <t>Litoměřice</t>
  </si>
  <si>
    <t>Llucmajor</t>
  </si>
  <si>
    <t>Lonato del Garda</t>
  </si>
  <si>
    <t>Malmedy</t>
  </si>
  <si>
    <t>Marratxi</t>
  </si>
  <si>
    <t>Novara di Sicilia</t>
  </si>
  <si>
    <t>Orp-Jauche</t>
  </si>
  <si>
    <t>Plombières</t>
  </si>
  <si>
    <t>Pont-à-Celles</t>
  </si>
  <si>
    <t>Pylos-Nestor</t>
  </si>
  <si>
    <t>San Giorgio Canavese</t>
  </si>
  <si>
    <t>Soignies</t>
  </si>
  <si>
    <t>Stavelot</t>
  </si>
  <si>
    <t>VAUX-SUR-SÛRE</t>
  </si>
  <si>
    <t>Waimes</t>
  </si>
  <si>
    <t>Akershus</t>
  </si>
  <si>
    <t>UNFCCC, GHG data: 1994; NC2: 2000; NC3: 2014</t>
  </si>
  <si>
    <t>C2es</t>
  </si>
  <si>
    <t>Delaware</t>
  </si>
  <si>
    <t>Pennsylvania</t>
  </si>
  <si>
    <t>North Carolina</t>
  </si>
  <si>
    <t>https://www.eesi.org/files/100709_state_plans_issuebrief.pdf</t>
  </si>
  <si>
    <t>Kentucky</t>
  </si>
  <si>
    <t>Virginia</t>
  </si>
  <si>
    <t>State decision</t>
  </si>
  <si>
    <t>Wisconsin</t>
  </si>
  <si>
    <t>file:///C:/Users/jqfe/Downloads/wisconsin_gov_taskforce_final_2008.pdf</t>
  </si>
  <si>
    <t>NC2: 1990, BUR1: 2005,2010,2015</t>
  </si>
  <si>
    <t>BR4, 2020 Pledge.</t>
  </si>
  <si>
    <t>BR4</t>
  </si>
  <si>
    <t xml:space="preserve">BR4; </t>
  </si>
  <si>
    <t>Balearic Islands</t>
  </si>
  <si>
    <t>New Climate Change law in 2020</t>
  </si>
  <si>
    <t>Edgar4.2: 1990; : 2005, 2010, 2017</t>
  </si>
  <si>
    <t>Fourth year</t>
  </si>
  <si>
    <t>Latets year MtCO2eq</t>
  </si>
  <si>
    <t>Attica</t>
  </si>
  <si>
    <t>CDP States and Regions responses 2019</t>
  </si>
  <si>
    <t>Population in thousands</t>
  </si>
  <si>
    <t>Under 2 MOU, CDP States and Regions responses 2015, 2017, 2019, Executive order S-3-05</t>
  </si>
  <si>
    <t>States and regions 2016, 2017, 2019</t>
  </si>
  <si>
    <t>Azores</t>
  </si>
  <si>
    <t>Stes &amp; Provinces 2019</t>
  </si>
  <si>
    <t>Under 2 MOU, CDP States and Regions responses 2015,2017, 2019</t>
  </si>
  <si>
    <t>Under 2 MOU, CDP States and Regions responses 2015, 2019</t>
  </si>
  <si>
    <t>Under 2 MOU, CDP, Staes and Regions 2017, 2019</t>
  </si>
  <si>
    <t>Medio Tejo</t>
  </si>
  <si>
    <t>CDP 2019</t>
  </si>
  <si>
    <t>CDP States and Regions responses 2015, 2017, 2019; Under 2 MOU, Connecticut CC Action Plan</t>
  </si>
  <si>
    <t>CDP States and Regions responses 2015, 2019, Compact 1016</t>
  </si>
  <si>
    <t>Act 234, CDP States and Regions 2019</t>
  </si>
  <si>
    <t>CDP, Compact 2016, 2017, 2019</t>
  </si>
  <si>
    <t>CDP States and Regions responses 2015, 2017, 2019; Compact 2016</t>
  </si>
  <si>
    <t>Under 2 MOU, CDP States and Regions responses 2015, 2019, Compact 2016</t>
  </si>
  <si>
    <t>Compact 2016, CDP States and Regions responses 2019</t>
  </si>
  <si>
    <t>Regions 2017, CDP States and Regions responses 2019</t>
  </si>
  <si>
    <t>Under 2 MOU, CDP, RGGI, CDP States and Regions responses 2015, 2017, 2019, State Energy Plan of 2002.</t>
  </si>
  <si>
    <t>Under 2 MOU, Compact 2016, 2017, CDP States and Regions responses 2019</t>
  </si>
  <si>
    <t>Norland</t>
  </si>
  <si>
    <t>CDP States and Regions responses 2015, 2017, 2019, Under 2 Mou</t>
  </si>
  <si>
    <t>Under 2 MOU, C40, CDP States and Regions 2015, 2017, 2019, Compact 2016, Oregon Strategy for GHG Reductions.</t>
  </si>
  <si>
    <t>Under 2 Mou, regions 2017, CDP States and Regions 2019</t>
  </si>
  <si>
    <t>CDP States and Regions responses 2019, Under 2 MoU: 2020, 2050</t>
  </si>
  <si>
    <t xml:space="preserve">Under 2 MOU, CDP States and Regions responses 2019, </t>
  </si>
  <si>
    <t>Covenant of Mayors SEAP, Compact 2016, CDP States and Regions responses 2019</t>
  </si>
  <si>
    <t>Under 2 Mou, Regions 2017, CDP States and Regions responses 2019</t>
  </si>
  <si>
    <t>Under 2 MoU, CDP States and Regions 2019</t>
  </si>
  <si>
    <t>Covenant of Mayors SEAP, Regions 2017: 2015, CDP States and Regions responses 2019</t>
  </si>
  <si>
    <t>Under 2 MOU, CDP States and Regions 2015, 2017,2019,  Compact 2016</t>
  </si>
  <si>
    <t>Sustainable Energy landscapes, Sven Stremke &amp; Andy Dobbelsteen, Taylor &amp; Frances 2013</t>
  </si>
  <si>
    <t>, 2012  CDP State and regions</t>
  </si>
  <si>
    <t>Under 2 MOU; CDP States and Regions 2019: 2011</t>
  </si>
  <si>
    <t>Gotland</t>
  </si>
  <si>
    <t>Energi 2020 energiplan för Region Gotland, 2014</t>
  </si>
  <si>
    <t>Eneripland 2020</t>
  </si>
  <si>
    <t>Under 2 MoU: 2013, 2050; CDM States and regions 2019</t>
  </si>
  <si>
    <t>CDP, Compact 2016, 2019</t>
  </si>
  <si>
    <t>Regions 2016, 2017, 2019</t>
  </si>
  <si>
    <t>ICAT Brazil</t>
  </si>
  <si>
    <t>UNFCCC GHGData: 1994; NC2:2005; GAP3 averages:2010</t>
  </si>
  <si>
    <t>BUR1: 1994, 2005, BUR2:2010, 2014, 2016</t>
  </si>
  <si>
    <r>
      <t xml:space="preserve">NC2: 2005, NC3: 2010, </t>
    </r>
    <r>
      <rPr>
        <b/>
        <sz val="10"/>
        <rFont val="Arial"/>
        <family val="2"/>
      </rPr>
      <t>NDC2: 2015, 2025, 2030</t>
    </r>
  </si>
  <si>
    <t>NC!: 1990; NC3: 2006, 2008</t>
  </si>
  <si>
    <r>
      <t xml:space="preserve">UNFCCC,GHGdata: 1994 ; NC2: 2005,2010,2014; </t>
    </r>
    <r>
      <rPr>
        <b/>
        <sz val="10"/>
        <rFont val="Arial"/>
        <family val="2"/>
      </rPr>
      <t xml:space="preserve">NDC2: 2030 </t>
    </r>
  </si>
  <si>
    <r>
      <t xml:space="preserve">Edgar4.2: 1990; NC3: 2006, 2010, 2012; </t>
    </r>
    <r>
      <rPr>
        <b/>
        <sz val="10"/>
        <rFont val="Arial"/>
        <family val="2"/>
      </rPr>
      <t>NDCupdate: 2030</t>
    </r>
  </si>
  <si>
    <r>
      <t xml:space="preserve">NC1: 2003, NC2: 2008; </t>
    </r>
    <r>
      <rPr>
        <b/>
        <sz val="10"/>
        <rFont val="Arial"/>
        <family val="2"/>
      </rPr>
      <t>NDC2: No data</t>
    </r>
  </si>
  <si>
    <r>
      <t xml:space="preserve">NC2: 1990,2002; NC3:  ; </t>
    </r>
    <r>
      <rPr>
        <b/>
        <sz val="10"/>
        <rFont val="Arial"/>
        <family val="2"/>
      </rPr>
      <t>NDCupdate: 2025,2030</t>
    </r>
  </si>
  <si>
    <t>NC2: 1994,NC3: 2010, 2014</t>
  </si>
  <si>
    <t>2005 &amp; 2010: GAP5averages; NC2, BUR2: 2014</t>
  </si>
  <si>
    <r>
      <t xml:space="preserve">NC3: all years; </t>
    </r>
    <r>
      <rPr>
        <b/>
        <sz val="10"/>
        <rFont val="Arial"/>
        <family val="2"/>
      </rPr>
      <t>NDCupdate: 2030</t>
    </r>
  </si>
  <si>
    <t>NC1: 1994; NC2: 2009</t>
  </si>
  <si>
    <t>BUR1: 2010; NC2: 2005, 2015</t>
  </si>
  <si>
    <t>NC1: 1994, NDC: 2002, 2005</t>
  </si>
  <si>
    <r>
      <t xml:space="preserve">BUR2:1994,2000,2010; NC3:2014; </t>
    </r>
    <r>
      <rPr>
        <b/>
        <sz val="10"/>
        <rFont val="Arial"/>
        <family val="2"/>
      </rPr>
      <t>NDCupdate:2020,2025,2030</t>
    </r>
  </si>
  <si>
    <r>
      <t xml:space="preserve">BUR3: All years; </t>
    </r>
    <r>
      <rPr>
        <b/>
        <sz val="10"/>
        <rFont val="Arial"/>
        <family val="2"/>
      </rPr>
      <t>NDC2:2030</t>
    </r>
  </si>
  <si>
    <t>North Macedonia</t>
  </si>
  <si>
    <r>
      <t xml:space="preserve">BR4; NC6: 2050, </t>
    </r>
    <r>
      <rPr>
        <b/>
        <sz val="11"/>
        <rFont val="Arial"/>
        <family val="2"/>
      </rPr>
      <t>NDC2</t>
    </r>
  </si>
  <si>
    <t>UNFCCC,GHGdata: 1994; NC2: 2000; NC3: 2010, 2025</t>
  </si>
  <si>
    <t>BUR1: 1994, 2000, 2016</t>
  </si>
  <si>
    <t>Edgar4.2: 1990,2005; NDC: 2000, 2010</t>
  </si>
  <si>
    <t>Gaziantep</t>
  </si>
  <si>
    <t>Denizli</t>
  </si>
  <si>
    <t>Aspen</t>
  </si>
  <si>
    <t>Breckenridge</t>
  </si>
  <si>
    <t>Cambridge</t>
  </si>
  <si>
    <t>Hokkaido</t>
  </si>
  <si>
    <t>Niseko</t>
  </si>
  <si>
    <t>Carbonn, Min Env Japan</t>
  </si>
  <si>
    <t>Min Env Japan</t>
  </si>
  <si>
    <t>Furubia</t>
  </si>
  <si>
    <t>Mijako</t>
  </si>
  <si>
    <t>Kuji</t>
  </si>
  <si>
    <t>Iwate</t>
  </si>
  <si>
    <t>Ninohe</t>
  </si>
  <si>
    <t>Hachimantai</t>
  </si>
  <si>
    <t>http://www.env.go.jp/en/earth/cc/2050_zero_carbon_cities_in_japan.html</t>
  </si>
  <si>
    <t>Kuzumaki</t>
  </si>
  <si>
    <t>Fudai</t>
  </si>
  <si>
    <t>Karumai</t>
  </si>
  <si>
    <t>Noda</t>
  </si>
  <si>
    <t>Kunohe</t>
  </si>
  <si>
    <t>Hirono</t>
  </si>
  <si>
    <t>Ichinohe</t>
  </si>
  <si>
    <t>Yamgata</t>
  </si>
  <si>
    <t>Yonezawa</t>
  </si>
  <si>
    <t>Higashine</t>
  </si>
  <si>
    <t>Asahi</t>
  </si>
  <si>
    <t>Tagahata</t>
  </si>
  <si>
    <t>Shonai</t>
  </si>
  <si>
    <t>Okuma</t>
  </si>
  <si>
    <t>Namie</t>
  </si>
  <si>
    <t>Ibaraki</t>
  </si>
  <si>
    <t>Mito</t>
  </si>
  <si>
    <t>Tsuchiura</t>
  </si>
  <si>
    <t>Koga</t>
  </si>
  <si>
    <t>Yuki</t>
  </si>
  <si>
    <t>Joso</t>
  </si>
  <si>
    <t>Takahaki</t>
  </si>
  <si>
    <t>Kitaibaraki</t>
  </si>
  <si>
    <t>Toride</t>
  </si>
  <si>
    <t>Ushiku</t>
  </si>
  <si>
    <t>Kashima</t>
  </si>
  <si>
    <t>Itako</t>
  </si>
  <si>
    <t>Moriya</t>
  </si>
  <si>
    <t>Hitachiomiya</t>
  </si>
  <si>
    <t>Naka</t>
  </si>
  <si>
    <t>Chikusei</t>
  </si>
  <si>
    <t>Bando</t>
  </si>
  <si>
    <t>Sakuragawa</t>
  </si>
  <si>
    <t>Tsukubamirai</t>
  </si>
  <si>
    <t>Omitama</t>
  </si>
  <si>
    <t>Shirosato</t>
  </si>
  <si>
    <t>Tokai</t>
  </si>
  <si>
    <t>Goka</t>
  </si>
  <si>
    <t>Tochigi</t>
  </si>
  <si>
    <t>Ohtawara</t>
  </si>
  <si>
    <t>Nasu</t>
  </si>
  <si>
    <t>Nasu-Shiobara</t>
  </si>
  <si>
    <t>Nasu-Karasuyama</t>
  </si>
  <si>
    <t>Nakagawa</t>
  </si>
  <si>
    <t>Ota</t>
  </si>
  <si>
    <t>Fujioka</t>
  </si>
  <si>
    <t>Kanna</t>
  </si>
  <si>
    <t>Minakami</t>
  </si>
  <si>
    <t>Oizumi</t>
  </si>
  <si>
    <t>Chichibu</t>
  </si>
  <si>
    <t>Tokorozawa</t>
  </si>
  <si>
    <t>Chiba</t>
  </si>
  <si>
    <t>Narita</t>
  </si>
  <si>
    <t>Abiko</t>
  </si>
  <si>
    <t>Urayasu</t>
  </si>
  <si>
    <t>Yotsukaido</t>
  </si>
  <si>
    <t>Sammu</t>
  </si>
  <si>
    <t>Setagaya</t>
  </si>
  <si>
    <t>Katsushiga</t>
  </si>
  <si>
    <t>Tama</t>
  </si>
  <si>
    <t>Kanagawa</t>
  </si>
  <si>
    <t>C40, CDP: 2005, 2010; 2050: Min Env Japan</t>
  </si>
  <si>
    <t>Sagamihara</t>
  </si>
  <si>
    <t>Kamakura</t>
  </si>
  <si>
    <t>Miura</t>
  </si>
  <si>
    <t>Kaisei</t>
  </si>
  <si>
    <t>Tokamachi</t>
  </si>
  <si>
    <t>Myoko</t>
  </si>
  <si>
    <t>Sado</t>
  </si>
  <si>
    <t>Awashimaura</t>
  </si>
  <si>
    <t>Uozu</t>
  </si>
  <si>
    <t>Nanto</t>
  </si>
  <si>
    <t>Tateyama</t>
  </si>
  <si>
    <t>Ishikawa</t>
  </si>
  <si>
    <t>Kaga</t>
  </si>
  <si>
    <t>Minimi.alps</t>
  </si>
  <si>
    <t>Fuefuki</t>
  </si>
  <si>
    <t>Uenohara</t>
  </si>
  <si>
    <t>Chuo</t>
  </si>
  <si>
    <t>Ichikawamisato</t>
  </si>
  <si>
    <t>Fujikawa</t>
  </si>
  <si>
    <t>Showa</t>
  </si>
  <si>
    <t>Yamanashi</t>
  </si>
  <si>
    <t>Nagano</t>
  </si>
  <si>
    <t>Komoro</t>
  </si>
  <si>
    <t>Sako</t>
  </si>
  <si>
    <t>Karuizawa</t>
  </si>
  <si>
    <t>Tateshina</t>
  </si>
  <si>
    <t>Minamiminowa</t>
  </si>
  <si>
    <t>Ikeda</t>
  </si>
  <si>
    <t>Hakuba</t>
  </si>
  <si>
    <t>Otari</t>
  </si>
  <si>
    <t>Gotemba</t>
  </si>
  <si>
    <t>Carbonn; 2050: Min Env Japan</t>
  </si>
  <si>
    <t>Okazaki</t>
  </si>
  <si>
    <t>Handa</t>
  </si>
  <si>
    <t>Toyota</t>
  </si>
  <si>
    <t>Mie</t>
  </si>
  <si>
    <t>Shima</t>
  </si>
  <si>
    <t>Minamisse</t>
  </si>
  <si>
    <t>Shiga</t>
  </si>
  <si>
    <t>Konan</t>
  </si>
  <si>
    <t>Kyoto</t>
  </si>
  <si>
    <t>Miyadu</t>
  </si>
  <si>
    <t>Oyamazaki</t>
  </si>
  <si>
    <t>Yosano</t>
  </si>
  <si>
    <t>Osaka</t>
  </si>
  <si>
    <t>Izumiotso</t>
  </si>
  <si>
    <t>Hirakata</t>
  </si>
  <si>
    <t>Hishiosaka</t>
  </si>
  <si>
    <t>Hyogo</t>
  </si>
  <si>
    <t>Kobe</t>
  </si>
  <si>
    <t>Akashi</t>
  </si>
  <si>
    <t>Ikoma</t>
  </si>
  <si>
    <t>Wakayami</t>
  </si>
  <si>
    <t>Nachikatsuura</t>
  </si>
  <si>
    <t>Tottori</t>
  </si>
  <si>
    <t>Hokuie</t>
  </si>
  <si>
    <t>Nanbu</t>
  </si>
  <si>
    <t>181 local governments including Tokyo, Kyoto, and Yokohama announced their commitment to net zero carbon emissions by 2050.</t>
  </si>
  <si>
    <t>Maniwa</t>
  </si>
  <si>
    <t>Onomichi</t>
  </si>
  <si>
    <t>Kagawa</t>
  </si>
  <si>
    <t>Takamatsu</t>
  </si>
  <si>
    <t>Zentsuji</t>
  </si>
  <si>
    <t>Ehime</t>
  </si>
  <si>
    <t>Matsuyama</t>
  </si>
  <si>
    <t>Fukuoka</t>
  </si>
  <si>
    <t>Ooki</t>
  </si>
  <si>
    <t>Saga</t>
  </si>
  <si>
    <t>Takeo</t>
  </si>
  <si>
    <t>Nagasaki</t>
  </si>
  <si>
    <t>Hirado</t>
  </si>
  <si>
    <t>Kikuchi</t>
  </si>
  <si>
    <t>Uto</t>
  </si>
  <si>
    <t>Uki</t>
  </si>
  <si>
    <t>Aso</t>
  </si>
  <si>
    <t>Koshi</t>
  </si>
  <si>
    <t>Misato</t>
  </si>
  <si>
    <t>Guokutu</t>
  </si>
  <si>
    <t>Ozu</t>
  </si>
  <si>
    <t>Kikuyo</t>
  </si>
  <si>
    <t>Takamori</t>
  </si>
  <si>
    <t>Nishihara</t>
  </si>
  <si>
    <t>Minamiaso</t>
  </si>
  <si>
    <t>Mifune</t>
  </si>
  <si>
    <t>Mashiki</t>
  </si>
  <si>
    <t>Kosa</t>
  </si>
  <si>
    <t>Yamato</t>
  </si>
  <si>
    <t>Kagoshima</t>
  </si>
  <si>
    <t>Encinitas</t>
  </si>
  <si>
    <t>Tennessee</t>
  </si>
  <si>
    <t>Memphis</t>
  </si>
  <si>
    <t>Utah</t>
  </si>
  <si>
    <t>Local plan, CDP:2010</t>
  </si>
  <si>
    <t>Arlington county</t>
  </si>
  <si>
    <t>Texas</t>
  </si>
  <si>
    <t>South Carolina</t>
  </si>
  <si>
    <t>Ohio</t>
  </si>
  <si>
    <t>Iowa</t>
  </si>
  <si>
    <t>Greensboro</t>
  </si>
  <si>
    <t>Indiana</t>
  </si>
  <si>
    <t>Kansas</t>
  </si>
  <si>
    <t>Lakewood</t>
  </si>
  <si>
    <t>Park City</t>
  </si>
  <si>
    <t>Lousiana</t>
  </si>
  <si>
    <t>Nevada</t>
  </si>
  <si>
    <t>Richmond</t>
  </si>
  <si>
    <t>Missouri</t>
  </si>
  <si>
    <t>Sarasota</t>
  </si>
  <si>
    <t>Spokane</t>
  </si>
  <si>
    <t>Erie county</t>
  </si>
  <si>
    <t>Orange county</t>
  </si>
  <si>
    <t>Carbonn, CDP:2015,2050, Under 2 MoU</t>
  </si>
  <si>
    <t>Mendoza</t>
  </si>
  <si>
    <t>Sumaré</t>
  </si>
  <si>
    <t>Kitcherner</t>
  </si>
  <si>
    <t>Peterborough</t>
  </si>
  <si>
    <t>Saanich</t>
  </si>
  <si>
    <t>Fredensborg</t>
  </si>
  <si>
    <t>Lolja</t>
  </si>
  <si>
    <t>Carbonn, Covenant of Mayors, Covenant of Mayors SEAP, CDP:1990</t>
  </si>
  <si>
    <t>CNCA, C40, CDP:1990,  2010</t>
  </si>
  <si>
    <t>CDP: 2007, 2020, 2040, 2050</t>
  </si>
  <si>
    <t>Chennai</t>
  </si>
  <si>
    <t>C40, UDP</t>
  </si>
  <si>
    <t>Bærum</t>
  </si>
  <si>
    <t>Queson</t>
  </si>
  <si>
    <t>Braga</t>
  </si>
  <si>
    <t>Dangjin City</t>
  </si>
  <si>
    <t>CDP has higher value</t>
  </si>
  <si>
    <t>Istanbul</t>
  </si>
  <si>
    <t>Dubai</t>
  </si>
  <si>
    <t>UDP</t>
  </si>
  <si>
    <t>Covenant of Mayors SEAP, Under 2 MOU, UDP:2005</t>
  </si>
  <si>
    <t>Coventry</t>
  </si>
  <si>
    <t>Huddersfield</t>
  </si>
  <si>
    <t>Wincherster</t>
  </si>
  <si>
    <r>
      <t xml:space="preserve">NC1: 1994; NC3: 2005; </t>
    </r>
    <r>
      <rPr>
        <b/>
        <sz val="10"/>
        <rFont val="Arial"/>
        <family val="2"/>
      </rPr>
      <t>NDC2: 2025, 2030</t>
    </r>
  </si>
  <si>
    <r>
      <t xml:space="preserve">NC2: 1994,2005,2010,2020,2025; </t>
    </r>
    <r>
      <rPr>
        <b/>
        <sz val="10"/>
        <rFont val="Arial"/>
        <family val="2"/>
      </rPr>
      <t>NDC2: 2030</t>
    </r>
  </si>
  <si>
    <r>
      <t xml:space="preserve">BUR1: 1994, 2005, 2010, 2015, 2016; </t>
    </r>
    <r>
      <rPr>
        <b/>
        <sz val="10"/>
        <rFont val="Arial"/>
        <family val="2"/>
      </rPr>
      <t>NDC2=NDC1</t>
    </r>
  </si>
  <si>
    <r>
      <t>BUR2: 1990,2005, 2010, 2015, 2016;</t>
    </r>
    <r>
      <rPr>
        <b/>
        <sz val="10"/>
        <rFont val="Arial"/>
        <family val="2"/>
      </rPr>
      <t xml:space="preserve"> NDC2=2025, 2030</t>
    </r>
  </si>
  <si>
    <r>
      <t xml:space="preserve">NC4: 1990,2005,2010,2016; BUR3: 2015; </t>
    </r>
    <r>
      <rPr>
        <b/>
        <sz val="10"/>
        <rFont val="Arial"/>
        <family val="2"/>
      </rPr>
      <t>NDC2=NDC1</t>
    </r>
  </si>
  <si>
    <r>
      <t xml:space="preserve">NC3: 1990,2005,2010: BUR2: 2014; </t>
    </r>
    <r>
      <rPr>
        <b/>
        <sz val="10"/>
        <rFont val="Arial"/>
        <family val="2"/>
      </rPr>
      <t>NDC2:2030</t>
    </r>
  </si>
  <si>
    <r>
      <t xml:space="preserve">UNFCCC,GHGdata;  </t>
    </r>
    <r>
      <rPr>
        <b/>
        <sz val="10"/>
        <rFont val="Arial"/>
        <family val="2"/>
      </rPr>
      <t>NDC2: 2030</t>
    </r>
  </si>
  <si>
    <r>
      <t>NC6: 1990, 2005, 2010, 2015;</t>
    </r>
    <r>
      <rPr>
        <b/>
        <sz val="10"/>
        <rFont val="Arial"/>
        <family val="2"/>
      </rPr>
      <t xml:space="preserve"> NDC2=NDC1</t>
    </r>
  </si>
  <si>
    <r>
      <t xml:space="preserve">UNFCCC,GHGdata: 1990; </t>
    </r>
    <r>
      <rPr>
        <b/>
        <sz val="10"/>
        <rFont val="Arial"/>
        <family val="2"/>
      </rPr>
      <t>NDC2: 2005, 2010, 2015</t>
    </r>
  </si>
  <si>
    <r>
      <t xml:space="preserve">NC2: 2000; NC3: 2005, 2010; BUR1: 2013; </t>
    </r>
    <r>
      <rPr>
        <b/>
        <sz val="10"/>
        <rFont val="Arial"/>
        <family val="2"/>
      </rPr>
      <t>NDC2=NDC1</t>
    </r>
  </si>
  <si>
    <r>
      <t>NC1: 1994; NC3: 2005, 2010, 2012;</t>
    </r>
    <r>
      <rPr>
        <b/>
        <sz val="10"/>
        <rFont val="Arial"/>
        <family val="2"/>
      </rPr>
      <t xml:space="preserve"> NDC2: 2030</t>
    </r>
  </si>
  <si>
    <r>
      <t xml:space="preserve">UNFCCC,GHGdata: 1994; NC2: 2005; </t>
    </r>
    <r>
      <rPr>
        <b/>
        <sz val="10"/>
        <rFont val="Arial"/>
        <family val="2"/>
      </rPr>
      <t xml:space="preserve">NDC2=NDC1 </t>
    </r>
  </si>
  <si>
    <r>
      <t xml:space="preserve">Edgar4.2: 1990,2005; NC2: 2010, 2014; </t>
    </r>
    <r>
      <rPr>
        <b/>
        <sz val="10"/>
        <rFont val="Arial"/>
        <family val="2"/>
      </rPr>
      <t>NDC2:2030</t>
    </r>
  </si>
  <si>
    <r>
      <t xml:space="preserve">BUR1: 1994, 2005, 2010, 2015, 2016; </t>
    </r>
    <r>
      <rPr>
        <b/>
        <sz val="10"/>
        <rFont val="Arial"/>
        <family val="2"/>
      </rPr>
      <t>NDC2:2030</t>
    </r>
  </si>
  <si>
    <r>
      <t xml:space="preserve">NC2: 1994. NC3: 2006, 2010, 2011; </t>
    </r>
    <r>
      <rPr>
        <b/>
        <sz val="10"/>
        <rFont val="Arial"/>
        <family val="2"/>
      </rPr>
      <t>NDC2=2030</t>
    </r>
  </si>
  <si>
    <r>
      <t xml:space="preserve">NC2: 1994, 2005 from graph, 2011, BUR1:2015; </t>
    </r>
    <r>
      <rPr>
        <b/>
        <sz val="10"/>
        <rFont val="Arial"/>
        <family val="2"/>
      </rPr>
      <t>NDC2: 2030</t>
    </r>
  </si>
  <si>
    <r>
      <t xml:space="preserve">NC2: 2000; </t>
    </r>
    <r>
      <rPr>
        <b/>
        <sz val="11"/>
        <rFont val="Arial"/>
        <family val="2"/>
      </rPr>
      <t>NDC2: 2035</t>
    </r>
  </si>
  <si>
    <r>
      <t>NC1: 1994; NC2: 2000; NDC: 2005,2010,2014;</t>
    </r>
    <r>
      <rPr>
        <b/>
        <sz val="10"/>
        <rFont val="Arial"/>
        <family val="2"/>
      </rPr>
      <t xml:space="preserve"> NDC2: no data</t>
    </r>
  </si>
  <si>
    <r>
      <t>NC3: 1994, 2000, 2006;</t>
    </r>
    <r>
      <rPr>
        <b/>
        <sz val="10"/>
        <rFont val="Arial"/>
        <family val="2"/>
      </rPr>
      <t xml:space="preserve"> NDC2: 2030</t>
    </r>
  </si>
  <si>
    <r>
      <t xml:space="preserve">BR4; </t>
    </r>
    <r>
      <rPr>
        <b/>
        <sz val="10"/>
        <rFont val="Arial"/>
        <family val="2"/>
      </rPr>
      <t>NDC2: 2030</t>
    </r>
  </si>
  <si>
    <r>
      <t xml:space="preserve">BR4; </t>
    </r>
    <r>
      <rPr>
        <b/>
        <sz val="10"/>
        <rFont val="Arial"/>
        <family val="2"/>
      </rPr>
      <t>NDC2: 2025, 2030</t>
    </r>
  </si>
  <si>
    <r>
      <t xml:space="preserve">NC3: 1994,2005; NC4: 2014; </t>
    </r>
    <r>
      <rPr>
        <b/>
        <sz val="10"/>
        <rFont val="Arial"/>
        <family val="2"/>
      </rPr>
      <t>NDC2: 2030</t>
    </r>
  </si>
  <si>
    <t>BR4: 1990,2005,2010,2015, 2017</t>
  </si>
  <si>
    <r>
      <t>BUR4: 1990, 2010, 2016, 2018;</t>
    </r>
    <r>
      <rPr>
        <b/>
        <sz val="10"/>
        <rFont val="Arial"/>
        <family val="2"/>
      </rPr>
      <t xml:space="preserve"> NDC2:2025,2030</t>
    </r>
  </si>
  <si>
    <t>CDP States and Regions responses 2015&amp;2019; CDP 2020, under 2 MoU</t>
  </si>
  <si>
    <t>Carbonn: 2011; CDP: 2006, 2030</t>
  </si>
  <si>
    <t>Wyndham</t>
  </si>
  <si>
    <t>CDP 2020</t>
  </si>
  <si>
    <t>Serra Talhada</t>
  </si>
  <si>
    <t>Yaounde</t>
  </si>
  <si>
    <t>Nova Scotia</t>
  </si>
  <si>
    <t>St Catharines</t>
  </si>
  <si>
    <t>Thunder bay</t>
  </si>
  <si>
    <r>
      <t xml:space="preserve">GHGdata: 1990; BUR2: 2005, 2010, NC3: 2014; </t>
    </r>
    <r>
      <rPr>
        <b/>
        <sz val="11"/>
        <rFont val="Arial"/>
        <family val="2"/>
      </rPr>
      <t>NDC2: 2030, 2050</t>
    </r>
  </si>
  <si>
    <r>
      <t xml:space="preserve">BUR3: 1994, 2005, 2010, 2015; </t>
    </r>
    <r>
      <rPr>
        <b/>
        <sz val="11"/>
        <rFont val="Arial"/>
        <family val="2"/>
      </rPr>
      <t>NDC2:2030</t>
    </r>
  </si>
  <si>
    <r>
      <t xml:space="preserve">UNFCCC,GHGdata: 1994; NC2: 2000; </t>
    </r>
    <r>
      <rPr>
        <b/>
        <sz val="11"/>
        <rFont val="Arial"/>
        <family val="2"/>
      </rPr>
      <t>NDC2: 2030</t>
    </r>
  </si>
  <si>
    <r>
      <t xml:space="preserve">NC3: all data; </t>
    </r>
    <r>
      <rPr>
        <b/>
        <sz val="11"/>
        <rFont val="Arial"/>
        <family val="2"/>
      </rPr>
      <t>NDC2: 2015, 2020, 2025, 2030</t>
    </r>
  </si>
  <si>
    <t>Whitby</t>
  </si>
  <si>
    <r>
      <t xml:space="preserve">BUR2: 1990,2005,2010, 2015; </t>
    </r>
    <r>
      <rPr>
        <b/>
        <sz val="10"/>
        <rFont val="Arial"/>
        <family val="2"/>
      </rPr>
      <t>NDC2:2030</t>
    </r>
  </si>
  <si>
    <r>
      <t xml:space="preserve">NC2: All years; </t>
    </r>
    <r>
      <rPr>
        <b/>
        <sz val="11"/>
        <rFont val="Arial"/>
        <family val="2"/>
      </rPr>
      <t>NDC2:2030</t>
    </r>
  </si>
  <si>
    <r>
      <t xml:space="preserve">BUR3: all except 2010 (BUR1); </t>
    </r>
    <r>
      <rPr>
        <b/>
        <sz val="10"/>
        <rFont val="Arial"/>
        <family val="2"/>
      </rPr>
      <t>NDC2:2030</t>
    </r>
  </si>
  <si>
    <t>Anchorage</t>
  </si>
  <si>
    <t>Alaska</t>
  </si>
  <si>
    <t>Asheville</t>
  </si>
  <si>
    <t>Bloomington</t>
  </si>
  <si>
    <t>Boynton Beach</t>
  </si>
  <si>
    <t>Detroit</t>
  </si>
  <si>
    <t>Durham</t>
  </si>
  <si>
    <t>Hallandale Beach</t>
  </si>
  <si>
    <t>Houston</t>
  </si>
  <si>
    <t>Key West city</t>
  </si>
  <si>
    <t>Las Vegas</t>
  </si>
  <si>
    <t>Lexington</t>
  </si>
  <si>
    <t>Manhattan Beach</t>
  </si>
  <si>
    <t>New Bedford</t>
  </si>
  <si>
    <t>Phoinix</t>
  </si>
  <si>
    <t>Tempe</t>
  </si>
  <si>
    <t>Vail</t>
  </si>
  <si>
    <t>Village of Park Forest</t>
  </si>
  <si>
    <t>City of Holland</t>
  </si>
  <si>
    <t>Town of Princeton</t>
  </si>
  <si>
    <t>Cuyahoga County</t>
  </si>
  <si>
    <t>Dane county</t>
  </si>
  <si>
    <t>San Luis Obispo</t>
  </si>
  <si>
    <t>Summit county</t>
  </si>
  <si>
    <t>Town of York</t>
  </si>
  <si>
    <r>
      <t>NC2: 1995, NC3: 2005,2010, 2015;</t>
    </r>
    <r>
      <rPr>
        <b/>
        <sz val="10"/>
        <rFont val="Arial"/>
        <family val="2"/>
      </rPr>
      <t xml:space="preserve"> NDC2: 2030</t>
    </r>
  </si>
  <si>
    <r>
      <t xml:space="preserve">UNFCCC,GHGdata: 1990; NC2:2000, BUR1: 2014; </t>
    </r>
    <r>
      <rPr>
        <b/>
        <sz val="10"/>
        <rFont val="Arial"/>
        <family val="2"/>
      </rPr>
      <t>NDC2:2020,2030</t>
    </r>
  </si>
  <si>
    <t>NDC2: All years, 2030</t>
  </si>
  <si>
    <r>
      <t xml:space="preserve">UNFCCC, GHG data: 1994; NC2: 2000; </t>
    </r>
    <r>
      <rPr>
        <b/>
        <sz val="10"/>
        <rFont val="Arial"/>
        <family val="2"/>
      </rPr>
      <t>NDC2: Carbon neutal</t>
    </r>
  </si>
  <si>
    <t>NC3:2005, 2030; BUR1: 1990, 2010, 2017</t>
  </si>
  <si>
    <r>
      <t xml:space="preserve">BR4, Canada's Emission Trends, aug2012, LC:2050; </t>
    </r>
    <r>
      <rPr>
        <b/>
        <sz val="10"/>
        <rFont val="Arial"/>
        <family val="2"/>
      </rPr>
      <t>NDC2: 2030</t>
    </r>
  </si>
  <si>
    <r>
      <t xml:space="preserve">NC1: 1994, NC2: 2005, 2010; </t>
    </r>
    <r>
      <rPr>
        <b/>
        <sz val="10"/>
        <rFont val="Arial"/>
        <family val="2"/>
      </rPr>
      <t>NDC2: 2025, 2030</t>
    </r>
  </si>
  <si>
    <r>
      <t xml:space="preserve">NC1: 1994; NC2:2000; </t>
    </r>
    <r>
      <rPr>
        <b/>
        <sz val="10"/>
        <rFont val="Arial"/>
        <family val="2"/>
      </rPr>
      <t>NDC2:2030</t>
    </r>
  </si>
  <si>
    <r>
      <t xml:space="preserve">UNFCCC,GHGdata: 1996,2005; BUR1: 2010,; NC3: 2015; </t>
    </r>
    <r>
      <rPr>
        <b/>
        <sz val="10"/>
        <rFont val="Arial"/>
        <family val="2"/>
      </rPr>
      <t>NDC2: 2030</t>
    </r>
  </si>
  <si>
    <r>
      <t xml:space="preserve">NC1: 1994, NC2:2000, BUR1: 2015; </t>
    </r>
    <r>
      <rPr>
        <b/>
        <sz val="10"/>
        <rFont val="Arial"/>
        <family val="2"/>
      </rPr>
      <t>NDC2:2030</t>
    </r>
  </si>
  <si>
    <r>
      <t xml:space="preserve">NC3: 1998, 2005, 2012; </t>
    </r>
    <r>
      <rPr>
        <b/>
        <sz val="10"/>
        <rFont val="Arial"/>
        <family val="2"/>
      </rPr>
      <t>NDC2: 2030</t>
    </r>
  </si>
  <si>
    <t>NDC2: 1994, 2014, 2030</t>
  </si>
  <si>
    <r>
      <t xml:space="preserve">NC2: all years; </t>
    </r>
    <r>
      <rPr>
        <b/>
        <sz val="10"/>
        <rFont val="Arial"/>
        <family val="2"/>
      </rPr>
      <t>NDC2:2030</t>
    </r>
  </si>
  <si>
    <r>
      <t>NC4: 1991, 2005, 2010, 2015;</t>
    </r>
    <r>
      <rPr>
        <b/>
        <sz val="10"/>
        <rFont val="Arial"/>
        <family val="2"/>
      </rPr>
      <t xml:space="preserve"> NDC2: 2040</t>
    </r>
  </si>
  <si>
    <r>
      <t>NC2: 1990, 1999;</t>
    </r>
    <r>
      <rPr>
        <b/>
        <sz val="10"/>
        <rFont val="Arial"/>
        <family val="2"/>
      </rPr>
      <t xml:space="preserve"> NDC2: 2040</t>
    </r>
  </si>
  <si>
    <r>
      <t xml:space="preserve">UNFCCC, GHG data: 1994, NC2: 2007; </t>
    </r>
    <r>
      <rPr>
        <b/>
        <sz val="10"/>
        <rFont val="Arial"/>
        <family val="2"/>
      </rPr>
      <t>NDC2: 2030</t>
    </r>
  </si>
  <si>
    <r>
      <t xml:space="preserve">UNFCCC, GHG data: 1994; NC2: 2000; </t>
    </r>
    <r>
      <rPr>
        <b/>
        <sz val="10"/>
        <rFont val="Arial"/>
        <family val="2"/>
      </rPr>
      <t>NDC2: 2030</t>
    </r>
  </si>
  <si>
    <t>UNFCCC,GHGdata: 1990, NC2: 2005, 2010; NDC2: 2025, 2030</t>
  </si>
  <si>
    <r>
      <t xml:space="preserve">NC1: 1990; NC3: 2005, 2010, 2013; </t>
    </r>
    <r>
      <rPr>
        <b/>
        <sz val="10"/>
        <rFont val="Arial"/>
        <family val="2"/>
      </rPr>
      <t>NDC2: 2025, 2030</t>
    </r>
  </si>
  <si>
    <r>
      <t xml:space="preserve">Edgar4.2: 1990,2005,2010; </t>
    </r>
    <r>
      <rPr>
        <b/>
        <sz val="10"/>
        <rFont val="Arial"/>
        <family val="2"/>
      </rPr>
      <t>NDC2: 2030</t>
    </r>
  </si>
  <si>
    <r>
      <t xml:space="preserve">UNFCCC, GHG data: 1994; </t>
    </r>
    <r>
      <rPr>
        <b/>
        <sz val="10"/>
        <rFont val="Arial"/>
        <family val="2"/>
      </rPr>
      <t>NDC2: 2025, 2030</t>
    </r>
  </si>
  <si>
    <r>
      <t xml:space="preserve">NC1: Only 2000; </t>
    </r>
    <r>
      <rPr>
        <b/>
        <sz val="10"/>
        <rFont val="Arial"/>
        <family val="2"/>
      </rPr>
      <t>NDC2: 2030</t>
    </r>
  </si>
  <si>
    <t>All NC4</t>
  </si>
  <si>
    <t>Nevada State report</t>
  </si>
  <si>
    <t>State report</t>
  </si>
  <si>
    <r>
      <t>NC1: 2007;</t>
    </r>
    <r>
      <rPr>
        <b/>
        <sz val="11"/>
        <rFont val="Arial"/>
        <family val="2"/>
      </rPr>
      <t xml:space="preserve"> NDC2: 2030</t>
    </r>
  </si>
  <si>
    <r>
      <t xml:space="preserve">UNFCCC,GHGdata; </t>
    </r>
    <r>
      <rPr>
        <b/>
        <sz val="10"/>
        <rFont val="Arial"/>
        <family val="2"/>
      </rPr>
      <t>NDC2: 2030</t>
    </r>
  </si>
  <si>
    <r>
      <t xml:space="preserve">NC2: 1990,2000; </t>
    </r>
    <r>
      <rPr>
        <b/>
        <sz val="10"/>
        <rFont val="Arial"/>
        <family val="2"/>
      </rPr>
      <t>NDC2: sectoral goals</t>
    </r>
  </si>
  <si>
    <r>
      <t xml:space="preserve">BUR3: 1990, 2005, 2010, 2015, 2017; </t>
    </r>
    <r>
      <rPr>
        <b/>
        <sz val="10"/>
        <rFont val="Arial"/>
        <family val="2"/>
      </rPr>
      <t>NDC2=NDC1</t>
    </r>
  </si>
  <si>
    <r>
      <t>BUR1: all data;</t>
    </r>
    <r>
      <rPr>
        <b/>
        <sz val="10"/>
        <rFont val="Arial"/>
        <family val="2"/>
      </rPr>
      <t xml:space="preserve"> NDC2:2030</t>
    </r>
  </si>
  <si>
    <r>
      <t xml:space="preserve">UNFCCC,GHGdata: 1990; NC2: 2000; BUR1: 2015; </t>
    </r>
    <r>
      <rPr>
        <b/>
        <sz val="10"/>
        <rFont val="Arial"/>
        <family val="2"/>
      </rPr>
      <t>NDC2: sector goals</t>
    </r>
  </si>
  <si>
    <r>
      <t xml:space="preserve">UNFCCC,GHGdata: 1993; NC2:2000; NC3: , </t>
    </r>
    <r>
      <rPr>
        <b/>
        <sz val="10"/>
        <rFont val="Arial"/>
        <family val="2"/>
      </rPr>
      <t>NDC2: 2025, 2030</t>
    </r>
  </si>
  <si>
    <r>
      <t xml:space="preserve">NC2: 1990; BUR2: 2005, 2010, 2015, 2017; </t>
    </r>
    <r>
      <rPr>
        <b/>
        <sz val="10"/>
        <rFont val="Arial"/>
        <family val="2"/>
      </rPr>
      <t>NDC2: 2030</t>
    </r>
  </si>
  <si>
    <r>
      <t xml:space="preserve">BUR4 (SAR):  2005,2010, 2015, 2017; </t>
    </r>
    <r>
      <rPr>
        <b/>
        <sz val="10"/>
        <rFont val="Arial"/>
        <family val="2"/>
      </rPr>
      <t>NDC2: 2025, 2030</t>
    </r>
  </si>
  <si>
    <r>
      <t>NC3: 1990, 2005, 2010;</t>
    </r>
    <r>
      <rPr>
        <b/>
        <sz val="10"/>
        <rFont val="Arial"/>
        <family val="2"/>
      </rPr>
      <t xml:space="preserve"> NDC2: 2025, 2030</t>
    </r>
  </si>
  <si>
    <r>
      <t xml:space="preserve">Edgar4.2: 1990; </t>
    </r>
    <r>
      <rPr>
        <b/>
        <sz val="10"/>
        <rFont val="Arial"/>
        <family val="2"/>
      </rPr>
      <t>NDC2: 1995, 2015, 2025, 2030</t>
    </r>
  </si>
  <si>
    <r>
      <t xml:space="preserve">NC1: 2011; </t>
    </r>
    <r>
      <rPr>
        <b/>
        <sz val="10"/>
        <rFont val="Arial"/>
        <family val="2"/>
      </rPr>
      <t>NDC2: 2040</t>
    </r>
  </si>
  <si>
    <r>
      <t xml:space="preserve">NC3; </t>
    </r>
    <r>
      <rPr>
        <b/>
        <sz val="10"/>
        <rFont val="Arial"/>
        <family val="2"/>
      </rPr>
      <t>NDC2: 2025, 2030</t>
    </r>
  </si>
  <si>
    <r>
      <t>UNFCCC,GHGdata: 1995; NC2: 2005;</t>
    </r>
    <r>
      <rPr>
        <b/>
        <sz val="10"/>
        <rFont val="Arial"/>
        <family val="2"/>
      </rPr>
      <t xml:space="preserve"> NDC2: 2025, 2030</t>
    </r>
  </si>
  <si>
    <r>
      <t>NC1: 1994;</t>
    </r>
    <r>
      <rPr>
        <b/>
        <sz val="10"/>
        <rFont val="Arial"/>
        <family val="2"/>
      </rPr>
      <t xml:space="preserve"> NDC2: 2030</t>
    </r>
  </si>
  <si>
    <r>
      <t xml:space="preserve">NC3: 1990, 2005, 2010, 2015; </t>
    </r>
    <r>
      <rPr>
        <b/>
        <sz val="10"/>
        <rFont val="Arial"/>
        <family val="2"/>
      </rPr>
      <t>NDC2: 2030</t>
    </r>
  </si>
  <si>
    <r>
      <t xml:space="preserve">NC4: all, BUR2:2015, 2018; </t>
    </r>
    <r>
      <rPr>
        <b/>
        <sz val="10"/>
        <rFont val="Arial"/>
        <family val="2"/>
      </rPr>
      <t>NDC2: 2030</t>
    </r>
  </si>
  <si>
    <r>
      <t xml:space="preserve">NC1: 1994; NC2:2006; BUR1:2010: </t>
    </r>
    <r>
      <rPr>
        <b/>
        <sz val="10"/>
        <rFont val="Arial"/>
        <family val="2"/>
      </rPr>
      <t>NDC2:2030</t>
    </r>
  </si>
  <si>
    <t>Swaziland = Eswantini</t>
  </si>
  <si>
    <r>
      <t xml:space="preserve">NC3: 1990, 2005, 2010; </t>
    </r>
    <r>
      <rPr>
        <b/>
        <sz val="10"/>
        <rFont val="Arial"/>
        <family val="2"/>
      </rPr>
      <t>NDC2: 2030</t>
    </r>
  </si>
  <si>
    <r>
      <t xml:space="preserve">UNFCCC,GHGdata: 1994; BUR2: 2006,  2010, 2012, 2016; </t>
    </r>
    <r>
      <rPr>
        <b/>
        <sz val="10"/>
        <rFont val="Arial"/>
        <family val="2"/>
      </rPr>
      <t>NDC2: 2030</t>
    </r>
  </si>
  <si>
    <r>
      <t xml:space="preserve">UNFCCC,GHGdata; NC2: 2000,2010,2020,2025; </t>
    </r>
    <r>
      <rPr>
        <b/>
        <sz val="11"/>
        <rFont val="Arial"/>
        <family val="2"/>
      </rPr>
      <t>NDC2: No data</t>
    </r>
  </si>
  <si>
    <r>
      <t xml:space="preserve">NC2:2000; Local data: 2010, 2015; </t>
    </r>
    <r>
      <rPr>
        <b/>
        <sz val="10"/>
        <rFont val="Arial"/>
        <family val="2"/>
      </rPr>
      <t>NDC2: 2025, 2030</t>
    </r>
  </si>
  <si>
    <r>
      <t xml:space="preserve">NC2:1994,2008,2012,2015; </t>
    </r>
    <r>
      <rPr>
        <b/>
        <sz val="10"/>
        <rFont val="Arial"/>
        <family val="2"/>
      </rPr>
      <t>NDC2: 2018, 2030</t>
    </r>
  </si>
  <si>
    <r>
      <t xml:space="preserve">NC2: 1994, BUR1: 2005, 2010, 2015, 2018; </t>
    </r>
    <r>
      <rPr>
        <b/>
        <sz val="10"/>
        <rFont val="Arial"/>
        <family val="2"/>
      </rPr>
      <t>NDC2:2030</t>
    </r>
  </si>
  <si>
    <r>
      <t>NC1: 1994; NC2: 2005,2008;</t>
    </r>
    <r>
      <rPr>
        <b/>
        <sz val="10"/>
        <rFont val="Arial"/>
        <family val="2"/>
      </rPr>
      <t xml:space="preserve"> NDC2: 2030</t>
    </r>
  </si>
  <si>
    <r>
      <t xml:space="preserve">BR4, 2020 Pledge; </t>
    </r>
    <r>
      <rPr>
        <b/>
        <sz val="9"/>
        <rFont val="Arial"/>
        <family val="2"/>
      </rPr>
      <t>NDC2: 2030</t>
    </r>
  </si>
  <si>
    <r>
      <t xml:space="preserve">BUR1: 1994, 2005, 2012, NC3: 2010; </t>
    </r>
    <r>
      <rPr>
        <b/>
        <sz val="10"/>
        <rFont val="Arial"/>
        <family val="2"/>
      </rPr>
      <t>NDC2: 2030</t>
    </r>
  </si>
  <si>
    <t>NDC2</t>
  </si>
  <si>
    <t>Curitiba</t>
  </si>
  <si>
    <t>Medellin</t>
  </si>
  <si>
    <t>CDP: 2017, 2030, 2050</t>
  </si>
  <si>
    <t>Kanazawa</t>
  </si>
  <si>
    <t>Yonago</t>
  </si>
  <si>
    <t>Minamikyushu</t>
  </si>
  <si>
    <t>Carbonn, Japan for Sustainbility, CDP</t>
  </si>
  <si>
    <t>Min Env Japan, CDP</t>
  </si>
  <si>
    <t>Amman</t>
  </si>
  <si>
    <t>Hang Tuah Jaya</t>
  </si>
  <si>
    <t>BUR1: 1990,2005,2010, BUR2: 2014, BUR3: 2016: NDC2:2030</t>
  </si>
  <si>
    <t>Muar</t>
  </si>
  <si>
    <t>Melaka</t>
  </si>
  <si>
    <t>Rotorua</t>
  </si>
  <si>
    <t>Lagos</t>
  </si>
  <si>
    <r>
      <t>BUR2: 1990, 2000, 2012, NC4: 2016;</t>
    </r>
    <r>
      <rPr>
        <b/>
        <sz val="10"/>
        <rFont val="Arial"/>
        <family val="2"/>
      </rPr>
      <t xml:space="preserve"> NDC2: 2030</t>
    </r>
  </si>
  <si>
    <t>Busan</t>
  </si>
  <si>
    <t>Falköping</t>
  </si>
  <si>
    <t>Covenant of Mayors SEAP; CDP:2035</t>
  </si>
  <si>
    <t>CNCA, Covenant of Mayors SEAP; CDP:2010</t>
  </si>
  <si>
    <t>Covenant of Mayors SEAP, Carbonn 2025; CDP</t>
  </si>
  <si>
    <t xml:space="preserve">Järfälla </t>
  </si>
  <si>
    <t>Muang Phichit</t>
  </si>
  <si>
    <t>Kadıköy</t>
  </si>
  <si>
    <r>
      <t xml:space="preserve">UNFCCC,GHGdata: 1994; </t>
    </r>
    <r>
      <rPr>
        <b/>
        <sz val="10"/>
        <rFont val="Arial"/>
        <family val="2"/>
      </rPr>
      <t>NDC2:2030</t>
    </r>
  </si>
  <si>
    <t>BUR1: All years</t>
  </si>
  <si>
    <r>
      <t xml:space="preserve">NC1: 2000, NC2: rest; </t>
    </r>
    <r>
      <rPr>
        <b/>
        <sz val="10"/>
        <rFont val="Arial"/>
        <family val="2"/>
      </rPr>
      <t>NDC2: 2025</t>
    </r>
  </si>
  <si>
    <r>
      <t>BR4;</t>
    </r>
    <r>
      <rPr>
        <b/>
        <sz val="10"/>
        <rFont val="Arial"/>
        <family val="2"/>
      </rPr>
      <t xml:space="preserve"> NDC2: 2020, 2025, 2030, 2050</t>
    </r>
  </si>
  <si>
    <r>
      <t xml:space="preserve">NC3: 1990,2000,2008,2014; </t>
    </r>
    <r>
      <rPr>
        <b/>
        <sz val="10"/>
        <rFont val="Arial"/>
        <family val="2"/>
      </rPr>
      <t>NDC2: 2020,2025,2030</t>
    </r>
  </si>
  <si>
    <r>
      <t xml:space="preserve">NC4: 1990,2005,2010,2015; </t>
    </r>
    <r>
      <rPr>
        <b/>
        <sz val="10"/>
        <rFont val="Arial"/>
        <family val="2"/>
      </rPr>
      <t>NDC2: 2030</t>
    </r>
  </si>
  <si>
    <t>NC2: 2000,2005; NC3:2010, 2015; BUR1: 2017</t>
  </si>
  <si>
    <r>
      <t xml:space="preserve">BUR2: 1995, 2005, 2010, 2015, 2018; </t>
    </r>
    <r>
      <rPr>
        <b/>
        <sz val="10"/>
        <rFont val="Arial"/>
        <family val="2"/>
      </rPr>
      <t>NDC2: 2030</t>
    </r>
  </si>
  <si>
    <t>BUR3: 1990,2005,2010, 2015, 2019</t>
  </si>
  <si>
    <r>
      <t xml:space="preserve">NC3: 2005,2010,2014, BUR3:2019; </t>
    </r>
    <r>
      <rPr>
        <b/>
        <sz val="10"/>
        <rFont val="Arial"/>
        <family val="2"/>
      </rPr>
      <t>NDC2=NDC1</t>
    </r>
  </si>
  <si>
    <r>
      <t>BUR2: 1990,2005,BUR4:2010,2015,2018,</t>
    </r>
    <r>
      <rPr>
        <b/>
        <sz val="10"/>
        <rFont val="Arial"/>
        <family val="2"/>
      </rPr>
      <t xml:space="preserve"> NDC2 with 2018 as base year</t>
    </r>
  </si>
  <si>
    <r>
      <t>NC2: 1990, NC3: 2005, 2010, 2013;</t>
    </r>
    <r>
      <rPr>
        <b/>
        <sz val="10"/>
        <rFont val="Arial"/>
        <family val="2"/>
      </rPr>
      <t xml:space="preserve"> NDC2:</t>
    </r>
  </si>
  <si>
    <t>UNFCCC,GHGdata: 1995,BUR1: 2006,2010, 2015, 2018; future: Updated NDC</t>
  </si>
  <si>
    <t>BUR1: 2006, 2010, 2015, 2018</t>
  </si>
  <si>
    <r>
      <t xml:space="preserve">UNFCCC, GHGdata: 1994; NC3: 2005, 2010; </t>
    </r>
    <r>
      <rPr>
        <b/>
        <sz val="10"/>
        <rFont val="Arial"/>
        <family val="2"/>
      </rPr>
      <t>NDC2: 2018.2030</t>
    </r>
  </si>
  <si>
    <r>
      <t xml:space="preserve">NC1: 1990,1994; </t>
    </r>
    <r>
      <rPr>
        <b/>
        <sz val="10"/>
        <rFont val="Arial"/>
        <family val="2"/>
      </rPr>
      <t>NDC2: 2016, 2025</t>
    </r>
  </si>
  <si>
    <t>BUR4: All years</t>
  </si>
  <si>
    <r>
      <t xml:space="preserve">UNFCCC,GHGdata: 1994; </t>
    </r>
    <r>
      <rPr>
        <b/>
        <sz val="10"/>
        <rFont val="Arial"/>
        <family val="2"/>
      </rPr>
      <t>NDC2: 2025, 2030</t>
    </r>
  </si>
  <si>
    <r>
      <t xml:space="preserve">NC2: 1998; BUR1: 2005, 2010, 2015, </t>
    </r>
    <r>
      <rPr>
        <b/>
        <sz val="10"/>
        <rFont val="Arial"/>
        <family val="2"/>
      </rPr>
      <t>NDC2:2025,2030</t>
    </r>
  </si>
  <si>
    <r>
      <t xml:space="preserve">UNFCCC,GHGdata: 1994; BUR1: 2005, 2010, 2015; </t>
    </r>
    <r>
      <rPr>
        <b/>
        <sz val="11"/>
        <rFont val="Arial"/>
        <family val="2"/>
      </rPr>
      <t>NDC2: 2030</t>
    </r>
  </si>
  <si>
    <r>
      <t xml:space="preserve">NC3: 1990,NC4: 2005, 2010, 2014, 2016; </t>
    </r>
    <r>
      <rPr>
        <b/>
        <sz val="10"/>
        <rFont val="Arial"/>
        <family val="2"/>
      </rPr>
      <t>NDC2: 2030</t>
    </r>
  </si>
  <si>
    <t>This Pipeline was produced by Jørgen Fenhann, UNEP Copenhagen Climate Centre, 1. October 2022 , jorgen.fenhann@un.org, Phone (+45)40202789</t>
  </si>
  <si>
    <r>
      <t xml:space="preserve">NC2: 1995, 2000; </t>
    </r>
    <r>
      <rPr>
        <b/>
        <sz val="10"/>
        <rFont val="Arial"/>
        <family val="2"/>
      </rPr>
      <t>NDC2: 2030</t>
    </r>
  </si>
  <si>
    <r>
      <t>Edgar4.2: 1990,2005,2010;</t>
    </r>
    <r>
      <rPr>
        <b/>
        <sz val="10"/>
        <rFont val="Arial"/>
        <family val="2"/>
      </rPr>
      <t xml:space="preserve"> NDC2:</t>
    </r>
    <r>
      <rPr>
        <sz val="10"/>
        <rFont val="Arial"/>
        <family val="2"/>
      </rPr>
      <t xml:space="preserve"> 2015, 2019, </t>
    </r>
    <r>
      <rPr>
        <b/>
        <sz val="10"/>
        <rFont val="Arial"/>
        <family val="2"/>
      </rPr>
      <t>2030</t>
    </r>
  </si>
  <si>
    <r>
      <t xml:space="preserve">NC3: 1990, 2005; NC4: 2010,2015,2016; </t>
    </r>
    <r>
      <rPr>
        <b/>
        <sz val="10"/>
        <rFont val="Arial"/>
        <family val="2"/>
      </rPr>
      <t>NDC2: 2030</t>
    </r>
  </si>
  <si>
    <r>
      <t xml:space="preserve">UNFCCC,GHGdata; </t>
    </r>
    <r>
      <rPr>
        <b/>
        <sz val="10"/>
        <rFont val="Arial"/>
        <family val="2"/>
      </rPr>
      <t>NDC2:2030</t>
    </r>
  </si>
  <si>
    <t>BUR1, NC4 &amp; BUR3: 2010, 2014, NC5: 2018; NDC2: 2030</t>
  </si>
  <si>
    <r>
      <t xml:space="preserve">NC3:1994, 2005, 2010, 2015,2018; </t>
    </r>
    <r>
      <rPr>
        <b/>
        <sz val="10"/>
        <rFont val="Arial"/>
        <family val="2"/>
      </rPr>
      <t>NDC2:2020,2025,2030</t>
    </r>
  </si>
  <si>
    <r>
      <t xml:space="preserve">NC4: 1994, 2006, 2010, 2017; </t>
    </r>
    <r>
      <rPr>
        <b/>
        <sz val="10"/>
        <rFont val="Arial"/>
        <family val="2"/>
      </rPr>
      <t>NDC2: 2025, 2030</t>
    </r>
  </si>
  <si>
    <r>
      <t xml:space="preserve">BUR1: 1990, NC4:2005,2010,2015, 2018; </t>
    </r>
    <r>
      <rPr>
        <b/>
        <sz val="10"/>
        <rFont val="Arial"/>
        <family val="2"/>
      </rPr>
      <t>NDC2: 2030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</si>
</sst>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0.0"/>
    <numFmt numFmtId="165" formatCode="0.000"/>
    <numFmt numFmtId="166" formatCode="0.0%"/>
    <numFmt numFmtId="167" formatCode="0.0000"/>
    <numFmt numFmtId="168" formatCode="[$-409]dd\-mmm\-yy;@"/>
    <numFmt numFmtId="169" formatCode="0.00000"/>
    <numFmt numFmtId="170" formatCode="0.000000"/>
    <numFmt numFmtId="171" formatCode="#\ ###\ ###\ ##0;\-#\ ###\ ###\ ##0;0"/>
    <numFmt numFmtId="172" formatCode="0.0_ ;\-0.0\ "/>
    <numFmt numFmtId="173" formatCode="0.0000000"/>
    <numFmt numFmtId="174" formatCode="0.00_ ;\-0.00\ "/>
    <numFmt numFmtId="175" formatCode="0_ ;\-0\ "/>
    <numFmt numFmtId="176" formatCode="0.00000000"/>
    <numFmt numFmtId="177" formatCode="#,##0.000"/>
  </numFmts>
  <fonts count="27" x14ac:knownFonts="1">
    <font>
      <sz val="10"/>
      <name val="Arial"/>
    </font>
    <font>
      <sz val="10"/>
      <name val="Arial"/>
      <family val="2"/>
    </font>
    <font>
      <b/>
      <sz val="10"/>
      <name val="Arial"/>
      <family val="2"/>
    </font>
    <font>
      <sz val="10"/>
      <color indexed="17"/>
      <name val="Arial"/>
      <family val="2"/>
    </font>
    <font>
      <sz val="10"/>
      <color indexed="12"/>
      <name val="Arial"/>
      <family val="2"/>
    </font>
    <font>
      <sz val="10"/>
      <name val="Arial"/>
      <family val="2"/>
    </font>
    <font>
      <sz val="8"/>
      <name val="Arial"/>
      <family val="2"/>
    </font>
    <font>
      <sz val="10"/>
      <color indexed="8"/>
      <name val="Arial"/>
      <family val="2"/>
    </font>
    <font>
      <u/>
      <sz val="10"/>
      <color theme="10"/>
      <name val="Arial"/>
      <family val="2"/>
    </font>
    <font>
      <sz val="10"/>
      <color rgb="FF0000FF"/>
      <name val="Arial"/>
      <family val="2"/>
    </font>
    <font>
      <b/>
      <sz val="10"/>
      <color rgb="FF0000FF"/>
      <name val="Arial"/>
      <family val="2"/>
    </font>
    <font>
      <sz val="8"/>
      <color indexed="81"/>
      <name val="Tahoma"/>
      <family val="2"/>
    </font>
    <font>
      <b/>
      <sz val="9"/>
      <color indexed="81"/>
      <name val="Tahoma"/>
      <family val="2"/>
    </font>
    <font>
      <u/>
      <sz val="10"/>
      <name val="Arial"/>
      <family val="2"/>
    </font>
    <font>
      <sz val="10"/>
      <color theme="1"/>
      <name val="Arial"/>
      <family val="2"/>
    </font>
    <font>
      <b/>
      <sz val="10"/>
      <color indexed="81"/>
      <name val="Tahoma"/>
      <family val="2"/>
    </font>
    <font>
      <sz val="10"/>
      <name val="Arial"/>
      <family val="2"/>
    </font>
    <font>
      <sz val="9"/>
      <color indexed="81"/>
      <name val="Tahoma"/>
      <family val="2"/>
    </font>
    <font>
      <b/>
      <sz val="10"/>
      <color rgb="FF339966"/>
      <name val="Arial"/>
      <family val="2"/>
    </font>
    <font>
      <sz val="11"/>
      <name val="Arial"/>
      <family val="2"/>
    </font>
    <font>
      <sz val="11"/>
      <color rgb="FF0000FF"/>
      <name val="Arial"/>
      <family val="2"/>
    </font>
    <font>
      <b/>
      <sz val="11"/>
      <name val="Arial"/>
      <family val="2"/>
    </font>
    <font>
      <sz val="10"/>
      <color rgb="FF3A4D5B"/>
      <name val="Arial"/>
      <family val="2"/>
    </font>
    <font>
      <b/>
      <sz val="10"/>
      <color theme="1"/>
      <name val="Arial"/>
      <family val="2"/>
    </font>
    <font>
      <sz val="9"/>
      <name val="Arial"/>
      <family val="2"/>
    </font>
    <font>
      <b/>
      <sz val="9"/>
      <name val="Arial"/>
      <family val="2"/>
    </font>
    <font>
      <b/>
      <sz val="9"/>
      <color theme="1"/>
      <name val="Arial"/>
      <family val="2"/>
    </font>
  </fonts>
  <fills count="10">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C0C0C0"/>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s>
  <borders count="46">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s>
  <cellStyleXfs count="4">
    <xf numFmtId="0" fontId="0" fillId="0" borderId="0"/>
    <xf numFmtId="0" fontId="8" fillId="0" borderId="0" applyNumberFormat="0" applyFill="0" applyBorder="0" applyAlignment="0" applyProtection="0">
      <alignment vertical="top"/>
      <protection locked="0"/>
    </xf>
    <xf numFmtId="9" fontId="1" fillId="0" borderId="0" applyFont="0" applyFill="0" applyBorder="0" applyAlignment="0" applyProtection="0"/>
    <xf numFmtId="43" fontId="16" fillId="0" borderId="0" applyFont="0" applyFill="0" applyBorder="0" applyAlignment="0" applyProtection="0"/>
  </cellStyleXfs>
  <cellXfs count="1574">
    <xf numFmtId="0" fontId="0" fillId="0" borderId="0" xfId="0"/>
    <xf numFmtId="2" fontId="0" fillId="0" borderId="0" xfId="0" applyNumberFormat="1"/>
    <xf numFmtId="2" fontId="0" fillId="0" borderId="0" xfId="0" applyNumberFormat="1" applyAlignment="1">
      <alignment horizontal="left"/>
    </xf>
    <xf numFmtId="2" fontId="2" fillId="0" borderId="0" xfId="0" applyNumberFormat="1" applyFont="1"/>
    <xf numFmtId="164" fontId="0" fillId="0" borderId="0" xfId="0" applyNumberFormat="1"/>
    <xf numFmtId="49" fontId="0" fillId="0" borderId="0" xfId="0" applyNumberFormat="1"/>
    <xf numFmtId="49" fontId="0" fillId="0" borderId="0" xfId="0" applyNumberFormat="1" applyAlignment="1">
      <alignment horizontal="right" vertical="center"/>
    </xf>
    <xf numFmtId="2" fontId="0" fillId="0" borderId="0" xfId="0" applyNumberFormat="1" applyAlignment="1">
      <alignment horizontal="left" vertical="top"/>
    </xf>
    <xf numFmtId="2" fontId="5" fillId="0" borderId="0" xfId="0" applyNumberFormat="1" applyFont="1"/>
    <xf numFmtId="2" fontId="2" fillId="0" borderId="0" xfId="0" applyNumberFormat="1" applyFont="1" applyAlignment="1">
      <alignment horizontal="center" vertical="center" wrapText="1"/>
    </xf>
    <xf numFmtId="2" fontId="0" fillId="0" borderId="0" xfId="0" applyNumberFormat="1" applyAlignment="1">
      <alignment horizontal="left" vertical="center"/>
    </xf>
    <xf numFmtId="2" fontId="0" fillId="0" borderId="0" xfId="2" applyNumberFormat="1" applyFont="1"/>
    <xf numFmtId="2" fontId="0" fillId="0" borderId="0" xfId="0" applyNumberFormat="1" applyAlignment="1">
      <alignment horizontal="center"/>
    </xf>
    <xf numFmtId="1" fontId="0" fillId="0" borderId="0" xfId="0" applyNumberFormat="1" applyAlignment="1">
      <alignment horizontal="center"/>
    </xf>
    <xf numFmtId="2" fontId="0" fillId="0" borderId="0" xfId="0" applyNumberFormat="1" applyAlignment="1">
      <alignment vertical="center"/>
    </xf>
    <xf numFmtId="165" fontId="5" fillId="0" borderId="0" xfId="0" applyNumberFormat="1" applyFont="1"/>
    <xf numFmtId="165" fontId="0" fillId="0" borderId="0" xfId="0" applyNumberFormat="1"/>
    <xf numFmtId="2" fontId="0" fillId="0" borderId="2" xfId="0" applyNumberFormat="1" applyBorder="1" applyAlignment="1">
      <alignment horizontal="right"/>
    </xf>
    <xf numFmtId="165" fontId="0" fillId="0" borderId="2" xfId="0" applyNumberFormat="1" applyBorder="1" applyAlignment="1">
      <alignment horizontal="right"/>
    </xf>
    <xf numFmtId="165" fontId="0" fillId="0" borderId="1" xfId="0" applyNumberFormat="1" applyBorder="1"/>
    <xf numFmtId="165" fontId="0" fillId="0" borderId="2" xfId="0" applyNumberFormat="1" applyBorder="1"/>
    <xf numFmtId="167" fontId="0" fillId="0" borderId="1" xfId="0" applyNumberFormat="1" applyBorder="1"/>
    <xf numFmtId="167" fontId="0" fillId="0" borderId="2" xfId="0" applyNumberFormat="1" applyBorder="1"/>
    <xf numFmtId="165" fontId="0" fillId="0" borderId="1" xfId="0" applyNumberFormat="1" applyBorder="1" applyAlignment="1">
      <alignment vertical="center"/>
    </xf>
    <xf numFmtId="165" fontId="0" fillId="0" borderId="2" xfId="0" applyNumberFormat="1" applyBorder="1" applyAlignment="1">
      <alignment vertical="center"/>
    </xf>
    <xf numFmtId="165" fontId="0" fillId="2" borderId="1" xfId="0" applyNumberFormat="1" applyFill="1" applyBorder="1"/>
    <xf numFmtId="165" fontId="0" fillId="2" borderId="2" xfId="0" applyNumberFormat="1" applyFill="1" applyBorder="1"/>
    <xf numFmtId="2" fontId="0" fillId="0" borderId="1" xfId="0" applyNumberFormat="1" applyBorder="1"/>
    <xf numFmtId="2" fontId="0" fillId="0" borderId="2" xfId="0" applyNumberFormat="1" applyBorder="1"/>
    <xf numFmtId="2" fontId="0" fillId="0" borderId="3" xfId="0" applyNumberFormat="1" applyBorder="1"/>
    <xf numFmtId="2" fontId="0" fillId="0" borderId="4" xfId="0" applyNumberFormat="1" applyBorder="1"/>
    <xf numFmtId="165" fontId="0" fillId="0" borderId="6" xfId="0" applyNumberFormat="1" applyBorder="1" applyAlignment="1">
      <alignment horizontal="right" vertical="center"/>
    </xf>
    <xf numFmtId="165" fontId="0" fillId="0" borderId="6" xfId="0" applyNumberFormat="1" applyBorder="1"/>
    <xf numFmtId="167" fontId="0" fillId="0" borderId="6" xfId="0" applyNumberFormat="1" applyBorder="1" applyAlignment="1">
      <alignment horizontal="right" vertical="center"/>
    </xf>
    <xf numFmtId="165" fontId="5" fillId="0" borderId="6" xfId="0" applyNumberFormat="1" applyFont="1" applyBorder="1" applyAlignment="1">
      <alignment horizontal="right" vertical="center" wrapText="1"/>
    </xf>
    <xf numFmtId="165" fontId="0" fillId="2" borderId="6" xfId="0" applyNumberFormat="1" applyFill="1" applyBorder="1" applyAlignment="1">
      <alignment horizontal="right" vertical="center"/>
    </xf>
    <xf numFmtId="165" fontId="0" fillId="0" borderId="6" xfId="0" applyNumberFormat="1" applyBorder="1" applyAlignment="1">
      <alignment vertical="center"/>
    </xf>
    <xf numFmtId="165" fontId="0" fillId="0" borderId="7" xfId="0" applyNumberFormat="1" applyBorder="1"/>
    <xf numFmtId="2" fontId="0" fillId="0" borderId="6" xfId="0" applyNumberFormat="1" applyBorder="1"/>
    <xf numFmtId="2" fontId="0" fillId="0" borderId="6" xfId="0" applyNumberFormat="1" applyBorder="1" applyAlignment="1">
      <alignment horizontal="right"/>
    </xf>
    <xf numFmtId="2" fontId="0" fillId="0" borderId="6" xfId="0" applyNumberFormat="1" applyBorder="1" applyAlignment="1">
      <alignment horizontal="right" vertical="center"/>
    </xf>
    <xf numFmtId="2" fontId="0" fillId="0" borderId="6" xfId="0" applyNumberFormat="1" applyBorder="1" applyAlignment="1">
      <alignment vertical="center"/>
    </xf>
    <xf numFmtId="2" fontId="0" fillId="0" borderId="7" xfId="0" applyNumberFormat="1" applyBorder="1"/>
    <xf numFmtId="9" fontId="0" fillId="0" borderId="1" xfId="0" applyNumberFormat="1" applyBorder="1" applyAlignment="1">
      <alignment horizontal="right" vertical="center"/>
    </xf>
    <xf numFmtId="2" fontId="0" fillId="2" borderId="2" xfId="0" applyNumberFormat="1" applyFill="1" applyBorder="1"/>
    <xf numFmtId="1" fontId="0" fillId="2" borderId="1" xfId="0" applyNumberFormat="1" applyFill="1" applyBorder="1" applyAlignment="1">
      <alignment horizontal="right" vertical="center"/>
    </xf>
    <xf numFmtId="165" fontId="2" fillId="0" borderId="1" xfId="0" applyNumberFormat="1" applyFont="1" applyBorder="1"/>
    <xf numFmtId="165" fontId="2" fillId="0" borderId="2" xfId="0" applyNumberFormat="1" applyFont="1" applyBorder="1"/>
    <xf numFmtId="165" fontId="2" fillId="0" borderId="6" xfId="0" applyNumberFormat="1" applyFont="1" applyBorder="1"/>
    <xf numFmtId="2" fontId="2" fillId="0" borderId="2" xfId="0" applyNumberFormat="1" applyFont="1" applyBorder="1"/>
    <xf numFmtId="1" fontId="0" fillId="0" borderId="6" xfId="0" applyNumberFormat="1" applyBorder="1" applyAlignment="1">
      <alignment horizontal="right" vertical="center"/>
    </xf>
    <xf numFmtId="1" fontId="5" fillId="0" borderId="6" xfId="0" applyNumberFormat="1" applyFont="1" applyBorder="1" applyAlignment="1">
      <alignment horizontal="right" vertical="center" wrapText="1"/>
    </xf>
    <xf numFmtId="1" fontId="0" fillId="2" borderId="6" xfId="0" applyNumberFormat="1" applyFill="1" applyBorder="1" applyAlignment="1">
      <alignment horizontal="right" vertical="center"/>
    </xf>
    <xf numFmtId="1" fontId="0" fillId="0" borderId="6" xfId="0" applyNumberFormat="1" applyBorder="1" applyAlignment="1">
      <alignment vertical="center"/>
    </xf>
    <xf numFmtId="2" fontId="2" fillId="0" borderId="1" xfId="0" applyNumberFormat="1" applyFont="1" applyBorder="1" applyAlignment="1">
      <alignment horizontal="left" vertical="center" wrapText="1"/>
    </xf>
    <xf numFmtId="2" fontId="5" fillId="0" borderId="1" xfId="0" applyNumberFormat="1" applyFont="1" applyBorder="1" applyAlignment="1">
      <alignment horizontal="left" vertical="center"/>
    </xf>
    <xf numFmtId="2" fontId="0" fillId="0" borderId="1" xfId="0" applyNumberFormat="1" applyBorder="1" applyAlignment="1">
      <alignment horizontal="left" vertical="center"/>
    </xf>
    <xf numFmtId="2" fontId="5" fillId="2" borderId="1" xfId="0" applyNumberFormat="1" applyFont="1" applyFill="1" applyBorder="1" applyAlignment="1">
      <alignment horizontal="left" vertical="center" wrapText="1"/>
    </xf>
    <xf numFmtId="2" fontId="0" fillId="0" borderId="2" xfId="0" applyNumberFormat="1" applyBorder="1" applyAlignment="1">
      <alignment horizontal="right" vertical="center"/>
    </xf>
    <xf numFmtId="164" fontId="0" fillId="0" borderId="2" xfId="0" applyNumberFormat="1" applyBorder="1"/>
    <xf numFmtId="164" fontId="5" fillId="0" borderId="0" xfId="0" applyNumberFormat="1" applyFont="1" applyAlignment="1">
      <alignment horizontal="right" vertical="center"/>
    </xf>
    <xf numFmtId="164" fontId="0" fillId="0" borderId="2" xfId="0" applyNumberFormat="1" applyBorder="1" applyAlignment="1">
      <alignment horizontal="right" vertical="center"/>
    </xf>
    <xf numFmtId="164" fontId="0" fillId="0" borderId="0" xfId="0" applyNumberFormat="1" applyAlignment="1">
      <alignment horizontal="right" vertical="center"/>
    </xf>
    <xf numFmtId="2" fontId="0" fillId="0" borderId="0" xfId="0" applyNumberFormat="1" applyAlignment="1">
      <alignment horizontal="right" vertical="center"/>
    </xf>
    <xf numFmtId="164" fontId="5" fillId="0" borderId="0" xfId="0" applyNumberFormat="1" applyFont="1" applyAlignment="1">
      <alignment horizontal="right" vertical="center" wrapText="1"/>
    </xf>
    <xf numFmtId="164" fontId="5" fillId="2" borderId="0" xfId="0" applyNumberFormat="1" applyFont="1" applyFill="1" applyAlignment="1">
      <alignment horizontal="right" vertical="center" wrapText="1"/>
    </xf>
    <xf numFmtId="164" fontId="0" fillId="2" borderId="2" xfId="0" applyNumberFormat="1" applyFill="1" applyBorder="1" applyAlignment="1">
      <alignment horizontal="right" vertical="center"/>
    </xf>
    <xf numFmtId="1" fontId="0" fillId="0" borderId="1" xfId="0" applyNumberFormat="1" applyBorder="1" applyAlignment="1">
      <alignment horizontal="center" vertical="center"/>
    </xf>
    <xf numFmtId="164" fontId="0" fillId="0" borderId="0" xfId="0" applyNumberFormat="1" applyAlignment="1">
      <alignment horizontal="right"/>
    </xf>
    <xf numFmtId="164" fontId="0" fillId="0" borderId="2" xfId="0" applyNumberFormat="1" applyBorder="1" applyAlignment="1">
      <alignment horizontal="right"/>
    </xf>
    <xf numFmtId="164" fontId="0" fillId="0" borderId="0" xfId="0" applyNumberFormat="1" applyAlignment="1">
      <alignment vertical="center"/>
    </xf>
    <xf numFmtId="2" fontId="0" fillId="0" borderId="0" xfId="0" applyNumberFormat="1" applyAlignment="1">
      <alignment horizontal="right"/>
    </xf>
    <xf numFmtId="164" fontId="2" fillId="0" borderId="0" xfId="0" applyNumberFormat="1" applyFont="1" applyAlignment="1">
      <alignment horizontal="right"/>
    </xf>
    <xf numFmtId="164" fontId="0" fillId="2" borderId="0" xfId="0" applyNumberFormat="1" applyFill="1" applyAlignment="1">
      <alignment horizontal="right" vertical="center"/>
    </xf>
    <xf numFmtId="1" fontId="0" fillId="0" borderId="1" xfId="0" applyNumberFormat="1" applyBorder="1" applyAlignment="1">
      <alignment horizontal="center"/>
    </xf>
    <xf numFmtId="9" fontId="0" fillId="0" borderId="0" xfId="0" applyNumberFormat="1"/>
    <xf numFmtId="2" fontId="0" fillId="2" borderId="1" xfId="0" applyNumberFormat="1" applyFill="1" applyBorder="1"/>
    <xf numFmtId="1" fontId="0" fillId="0" borderId="0" xfId="0" applyNumberFormat="1"/>
    <xf numFmtId="165" fontId="2" fillId="0" borderId="0" xfId="0" applyNumberFormat="1" applyFont="1"/>
    <xf numFmtId="9" fontId="0" fillId="2" borderId="1" xfId="0" applyNumberFormat="1" applyFill="1" applyBorder="1"/>
    <xf numFmtId="9" fontId="0" fillId="0" borderId="1" xfId="0" applyNumberFormat="1" applyBorder="1"/>
    <xf numFmtId="9" fontId="0" fillId="0" borderId="3" xfId="0" applyNumberFormat="1" applyBorder="1"/>
    <xf numFmtId="9" fontId="0" fillId="0" borderId="1" xfId="0" applyNumberFormat="1" applyBorder="1" applyAlignment="1">
      <alignment vertical="center"/>
    </xf>
    <xf numFmtId="165" fontId="7" fillId="0" borderId="6" xfId="0" applyNumberFormat="1" applyFont="1" applyBorder="1" applyAlignment="1">
      <alignment vertical="center"/>
    </xf>
    <xf numFmtId="1" fontId="2" fillId="0" borderId="0" xfId="0" applyNumberFormat="1" applyFont="1" applyAlignment="1">
      <alignment horizontal="center"/>
    </xf>
    <xf numFmtId="164" fontId="2" fillId="0" borderId="0" xfId="0" applyNumberFormat="1" applyFont="1"/>
    <xf numFmtId="165" fontId="0" fillId="0" borderId="2" xfId="0" applyNumberFormat="1" applyBorder="1" applyAlignment="1">
      <alignment horizontal="right" vertical="center"/>
    </xf>
    <xf numFmtId="167" fontId="0" fillId="0" borderId="2" xfId="0" applyNumberFormat="1" applyBorder="1" applyAlignment="1">
      <alignment vertical="center"/>
    </xf>
    <xf numFmtId="167" fontId="0" fillId="0" borderId="6" xfId="0" applyNumberFormat="1" applyBorder="1" applyAlignment="1">
      <alignment vertical="center"/>
    </xf>
    <xf numFmtId="167" fontId="0" fillId="0" borderId="1" xfId="0" applyNumberFormat="1" applyBorder="1" applyAlignment="1">
      <alignment vertical="center"/>
    </xf>
    <xf numFmtId="1" fontId="0" fillId="2" borderId="1" xfId="0" applyNumberFormat="1" applyFill="1" applyBorder="1" applyAlignment="1">
      <alignment horizontal="center"/>
    </xf>
    <xf numFmtId="164" fontId="1" fillId="0" borderId="0" xfId="0" applyNumberFormat="1" applyFont="1" applyAlignment="1">
      <alignment wrapText="1"/>
    </xf>
    <xf numFmtId="165" fontId="0" fillId="0" borderId="0" xfId="0" applyNumberFormat="1" applyAlignment="1">
      <alignment horizontal="right" vertical="center"/>
    </xf>
    <xf numFmtId="164" fontId="1" fillId="0" borderId="0" xfId="0" applyNumberFormat="1" applyFont="1" applyAlignment="1">
      <alignment horizontal="right"/>
    </xf>
    <xf numFmtId="1" fontId="0" fillId="0" borderId="0" xfId="0" applyNumberFormat="1" applyAlignment="1">
      <alignment horizontal="right"/>
    </xf>
    <xf numFmtId="2" fontId="1" fillId="0" borderId="0" xfId="0" applyNumberFormat="1" applyFont="1" applyAlignment="1">
      <alignment horizontal="left" vertical="center"/>
    </xf>
    <xf numFmtId="1" fontId="2" fillId="0" borderId="0" xfId="0" applyNumberFormat="1" applyFont="1" applyAlignment="1">
      <alignment horizontal="right"/>
    </xf>
    <xf numFmtId="164" fontId="0" fillId="0" borderId="4" xfId="0" applyNumberFormat="1" applyBorder="1"/>
    <xf numFmtId="1" fontId="0" fillId="0" borderId="1" xfId="0" applyNumberFormat="1" applyBorder="1" applyAlignment="1">
      <alignment horizontal="center" vertical="top"/>
    </xf>
    <xf numFmtId="164" fontId="0" fillId="0" borderId="0" xfId="0" applyNumberFormat="1" applyAlignment="1">
      <alignment horizontal="right" vertical="top"/>
    </xf>
    <xf numFmtId="1" fontId="0" fillId="0" borderId="3" xfId="0" applyNumberFormat="1" applyBorder="1" applyAlignment="1">
      <alignment horizontal="center"/>
    </xf>
    <xf numFmtId="164" fontId="0" fillId="0" borderId="8" xfId="0" applyNumberFormat="1" applyBorder="1" applyAlignment="1">
      <alignment horizontal="right"/>
    </xf>
    <xf numFmtId="164" fontId="0" fillId="0" borderId="4" xfId="0" applyNumberFormat="1" applyBorder="1" applyAlignment="1">
      <alignment horizontal="right"/>
    </xf>
    <xf numFmtId="2" fontId="1" fillId="0" borderId="0" xfId="0" applyNumberFormat="1" applyFont="1" applyAlignment="1">
      <alignment horizontal="left" vertical="top"/>
    </xf>
    <xf numFmtId="164" fontId="1" fillId="0" borderId="0" xfId="0" applyNumberFormat="1" applyFont="1" applyAlignment="1">
      <alignment horizontal="right" vertical="top"/>
    </xf>
    <xf numFmtId="164" fontId="0" fillId="0" borderId="8" xfId="0" applyNumberFormat="1" applyBorder="1" applyAlignment="1">
      <alignment horizontal="right" vertical="top"/>
    </xf>
    <xf numFmtId="2" fontId="2" fillId="0" borderId="9" xfId="0" applyNumberFormat="1" applyFont="1" applyBorder="1"/>
    <xf numFmtId="2" fontId="1" fillId="0" borderId="1" xfId="0" applyNumberFormat="1" applyFont="1" applyBorder="1" applyAlignment="1">
      <alignment horizontal="left" vertical="center"/>
    </xf>
    <xf numFmtId="2" fontId="0" fillId="0" borderId="1" xfId="0" applyNumberFormat="1" applyBorder="1" applyAlignment="1">
      <alignment horizontal="left" vertical="top"/>
    </xf>
    <xf numFmtId="2" fontId="0" fillId="0" borderId="3" xfId="0" applyNumberFormat="1" applyBorder="1" applyAlignment="1">
      <alignment horizontal="left" vertical="top"/>
    </xf>
    <xf numFmtId="164" fontId="2" fillId="0" borderId="12" xfId="0" applyNumberFormat="1" applyFont="1" applyBorder="1" applyAlignment="1">
      <alignment horizontal="right"/>
    </xf>
    <xf numFmtId="164" fontId="2" fillId="0" borderId="13" xfId="0" applyNumberFormat="1" applyFont="1" applyBorder="1" applyAlignment="1">
      <alignment horizontal="right"/>
    </xf>
    <xf numFmtId="1" fontId="2" fillId="0" borderId="9" xfId="0" applyNumberFormat="1" applyFont="1" applyBorder="1" applyAlignment="1">
      <alignment horizontal="center"/>
    </xf>
    <xf numFmtId="164" fontId="2" fillId="0" borderId="0" xfId="0" applyNumberFormat="1" applyFont="1" applyAlignment="1">
      <alignment horizontal="right" vertical="top"/>
    </xf>
    <xf numFmtId="1" fontId="1" fillId="0" borderId="1" xfId="0" applyNumberFormat="1" applyFont="1" applyBorder="1" applyAlignment="1">
      <alignment horizontal="center"/>
    </xf>
    <xf numFmtId="164" fontId="2" fillId="0" borderId="12" xfId="0" applyNumberFormat="1" applyFont="1" applyBorder="1" applyAlignment="1">
      <alignment horizontal="right" vertical="top"/>
    </xf>
    <xf numFmtId="2" fontId="2" fillId="0" borderId="9" xfId="0" applyNumberFormat="1" applyFont="1" applyBorder="1" applyAlignment="1">
      <alignment horizontal="left" vertical="top"/>
    </xf>
    <xf numFmtId="2" fontId="1" fillId="0" borderId="1" xfId="0" applyNumberFormat="1" applyFont="1" applyBorder="1" applyAlignment="1">
      <alignment horizontal="left" vertical="top"/>
    </xf>
    <xf numFmtId="2" fontId="2" fillId="0" borderId="9" xfId="0" applyNumberFormat="1" applyFont="1" applyBorder="1" applyAlignment="1">
      <alignment horizontal="left" vertical="center"/>
    </xf>
    <xf numFmtId="164" fontId="2" fillId="0" borderId="12" xfId="0" applyNumberFormat="1" applyFont="1" applyBorder="1" applyAlignment="1">
      <alignment horizontal="right" vertical="center"/>
    </xf>
    <xf numFmtId="164" fontId="2" fillId="0" borderId="2" xfId="0" applyNumberFormat="1" applyFont="1" applyBorder="1" applyAlignment="1">
      <alignment horizontal="right" vertical="center"/>
    </xf>
    <xf numFmtId="164" fontId="1" fillId="0" borderId="0" xfId="0" applyNumberFormat="1" applyFont="1" applyAlignment="1">
      <alignment horizontal="right" vertical="center"/>
    </xf>
    <xf numFmtId="2" fontId="1" fillId="0" borderId="0" xfId="0" applyNumberFormat="1" applyFont="1" applyAlignment="1">
      <alignment horizontal="right" vertical="top"/>
    </xf>
    <xf numFmtId="2" fontId="0" fillId="3" borderId="6" xfId="0" applyNumberFormat="1" applyFill="1" applyBorder="1" applyAlignment="1">
      <alignment vertical="center"/>
    </xf>
    <xf numFmtId="165" fontId="0" fillId="3" borderId="1" xfId="0" applyNumberFormat="1" applyFill="1" applyBorder="1" applyAlignment="1">
      <alignment vertical="center"/>
    </xf>
    <xf numFmtId="165" fontId="0" fillId="3" borderId="2" xfId="0" applyNumberFormat="1" applyFill="1" applyBorder="1" applyAlignment="1">
      <alignment vertical="center"/>
    </xf>
    <xf numFmtId="165" fontId="0" fillId="3" borderId="6" xfId="0" applyNumberFormat="1" applyFill="1" applyBorder="1" applyAlignment="1">
      <alignment vertical="center"/>
    </xf>
    <xf numFmtId="2" fontId="1" fillId="0" borderId="1" xfId="0" applyNumberFormat="1" applyFont="1" applyBorder="1" applyAlignment="1">
      <alignment horizontal="left" vertical="top" wrapText="1"/>
    </xf>
    <xf numFmtId="164" fontId="0" fillId="0" borderId="2" xfId="0" applyNumberFormat="1" applyBorder="1" applyAlignment="1">
      <alignment horizontal="right" vertical="top"/>
    </xf>
    <xf numFmtId="165" fontId="0" fillId="0" borderId="1" xfId="0" applyNumberFormat="1" applyBorder="1" applyAlignment="1">
      <alignment vertical="top"/>
    </xf>
    <xf numFmtId="165" fontId="0" fillId="0" borderId="2" xfId="0" applyNumberFormat="1" applyBorder="1" applyAlignment="1">
      <alignment vertical="top"/>
    </xf>
    <xf numFmtId="1" fontId="0" fillId="0" borderId="6" xfId="0" applyNumberFormat="1" applyBorder="1" applyAlignment="1">
      <alignment vertical="top"/>
    </xf>
    <xf numFmtId="165" fontId="7" fillId="0" borderId="6" xfId="0" applyNumberFormat="1" applyFont="1" applyBorder="1" applyAlignment="1">
      <alignment vertical="top"/>
    </xf>
    <xf numFmtId="9" fontId="0" fillId="0" borderId="1" xfId="0" applyNumberFormat="1" applyBorder="1" applyAlignment="1">
      <alignment horizontal="right" vertical="top"/>
    </xf>
    <xf numFmtId="9" fontId="0" fillId="0" borderId="1" xfId="0" applyNumberFormat="1" applyBorder="1" applyAlignment="1">
      <alignment vertical="top"/>
    </xf>
    <xf numFmtId="2" fontId="0" fillId="0" borderId="0" xfId="0" applyNumberFormat="1" applyAlignment="1">
      <alignment vertical="top"/>
    </xf>
    <xf numFmtId="164" fontId="0" fillId="0" borderId="1" xfId="0" applyNumberFormat="1" applyBorder="1"/>
    <xf numFmtId="2" fontId="1" fillId="0" borderId="6" xfId="0" applyNumberFormat="1" applyFont="1" applyBorder="1" applyAlignment="1">
      <alignment wrapText="1"/>
    </xf>
    <xf numFmtId="2" fontId="0" fillId="4" borderId="6" xfId="0" applyNumberFormat="1" applyFill="1" applyBorder="1" applyAlignment="1">
      <alignment wrapText="1"/>
    </xf>
    <xf numFmtId="2" fontId="1" fillId="0" borderId="6" xfId="0" applyNumberFormat="1" applyFont="1" applyBorder="1" applyAlignment="1">
      <alignment vertical="top" wrapText="1"/>
    </xf>
    <xf numFmtId="2" fontId="1" fillId="0" borderId="0" xfId="0" applyNumberFormat="1" applyFont="1" applyAlignment="1">
      <alignment horizontal="left" vertical="top" wrapText="1"/>
    </xf>
    <xf numFmtId="164" fontId="1" fillId="0" borderId="0" xfId="0" applyNumberFormat="1" applyFont="1" applyAlignment="1">
      <alignment horizontal="left" vertical="top" wrapText="1"/>
    </xf>
    <xf numFmtId="164" fontId="0" fillId="0" borderId="0" xfId="0" applyNumberFormat="1" applyAlignment="1">
      <alignment horizontal="left" vertical="top" wrapText="1"/>
    </xf>
    <xf numFmtId="2" fontId="0" fillId="0" borderId="0" xfId="0" applyNumberFormat="1" applyAlignment="1">
      <alignment horizontal="left" vertical="top" wrapText="1"/>
    </xf>
    <xf numFmtId="164" fontId="0" fillId="0" borderId="5" xfId="0" applyNumberFormat="1" applyBorder="1"/>
    <xf numFmtId="164" fontId="0" fillId="0" borderId="6" xfId="0" applyNumberFormat="1" applyBorder="1"/>
    <xf numFmtId="164" fontId="0" fillId="0" borderId="7" xfId="0" applyNumberFormat="1" applyBorder="1"/>
    <xf numFmtId="2" fontId="0" fillId="0" borderId="5" xfId="0" applyNumberFormat="1" applyBorder="1"/>
    <xf numFmtId="165" fontId="0" fillId="0" borderId="5" xfId="0" applyNumberFormat="1" applyBorder="1"/>
    <xf numFmtId="9" fontId="0" fillId="0" borderId="9" xfId="0" applyNumberFormat="1" applyBorder="1"/>
    <xf numFmtId="164" fontId="2" fillId="3" borderId="8" xfId="0" applyNumberFormat="1" applyFont="1" applyFill="1" applyBorder="1" applyAlignment="1">
      <alignment horizontal="right"/>
    </xf>
    <xf numFmtId="2" fontId="0" fillId="3" borderId="0" xfId="0" applyNumberFormat="1" applyFill="1" applyAlignment="1">
      <alignment horizontal="center"/>
    </xf>
    <xf numFmtId="2" fontId="0" fillId="3" borderId="1" xfId="0" applyNumberFormat="1" applyFill="1" applyBorder="1" applyAlignment="1">
      <alignment horizontal="center"/>
    </xf>
    <xf numFmtId="165" fontId="0" fillId="5" borderId="6" xfId="0" applyNumberFormat="1" applyFill="1" applyBorder="1" applyAlignment="1">
      <alignment horizontal="right" vertical="center"/>
    </xf>
    <xf numFmtId="165" fontId="0" fillId="5" borderId="0" xfId="0" applyNumberFormat="1" applyFill="1"/>
    <xf numFmtId="9" fontId="9" fillId="3" borderId="1" xfId="0" applyNumberFormat="1" applyFont="1" applyFill="1" applyBorder="1" applyAlignment="1">
      <alignment horizontal="right" vertical="center"/>
    </xf>
    <xf numFmtId="9" fontId="9" fillId="0" borderId="1" xfId="0" applyNumberFormat="1" applyFont="1" applyBorder="1" applyAlignment="1">
      <alignment horizontal="right" vertical="center"/>
    </xf>
    <xf numFmtId="166" fontId="9" fillId="0" borderId="1" xfId="0" applyNumberFormat="1" applyFont="1" applyBorder="1" applyAlignment="1">
      <alignment horizontal="right" vertical="center"/>
    </xf>
    <xf numFmtId="2" fontId="1" fillId="0" borderId="6" xfId="0" applyNumberFormat="1" applyFont="1" applyBorder="1"/>
    <xf numFmtId="2" fontId="1" fillId="0" borderId="6" xfId="0" applyNumberFormat="1" applyFont="1" applyBorder="1" applyAlignment="1">
      <alignment horizontal="left" vertical="center"/>
    </xf>
    <xf numFmtId="1" fontId="0" fillId="0" borderId="1" xfId="0" applyNumberFormat="1" applyBorder="1"/>
    <xf numFmtId="2" fontId="1" fillId="0" borderId="1" xfId="0" applyNumberFormat="1" applyFont="1" applyBorder="1" applyAlignment="1">
      <alignment horizontal="left" vertical="center" wrapText="1"/>
    </xf>
    <xf numFmtId="2" fontId="1" fillId="5" borderId="1" xfId="0" applyNumberFormat="1" applyFont="1" applyFill="1" applyBorder="1" applyAlignment="1">
      <alignment horizontal="left" vertical="center" wrapText="1"/>
    </xf>
    <xf numFmtId="2" fontId="1" fillId="0" borderId="6" xfId="0" applyNumberFormat="1" applyFont="1" applyBorder="1" applyAlignment="1">
      <alignment horizontal="left"/>
    </xf>
    <xf numFmtId="165" fontId="0" fillId="2" borderId="0" xfId="0" applyNumberFormat="1" applyFill="1"/>
    <xf numFmtId="165" fontId="0" fillId="0" borderId="4" xfId="0" applyNumberFormat="1" applyBorder="1"/>
    <xf numFmtId="0" fontId="1" fillId="0" borderId="0" xfId="0" applyFont="1"/>
    <xf numFmtId="165" fontId="0" fillId="0" borderId="0" xfId="0" applyNumberFormat="1" applyAlignment="1">
      <alignment horizontal="right"/>
    </xf>
    <xf numFmtId="165" fontId="0" fillId="0" borderId="0" xfId="0" applyNumberFormat="1" applyAlignment="1">
      <alignment vertical="center"/>
    </xf>
    <xf numFmtId="165" fontId="0" fillId="0" borderId="8" xfId="0" applyNumberFormat="1" applyBorder="1"/>
    <xf numFmtId="165" fontId="0" fillId="0" borderId="1" xfId="0" applyNumberFormat="1" applyBorder="1" applyAlignment="1">
      <alignment horizontal="right" vertical="center"/>
    </xf>
    <xf numFmtId="167" fontId="0" fillId="0" borderId="1" xfId="0" applyNumberFormat="1" applyBorder="1" applyAlignment="1">
      <alignment horizontal="right" vertical="center"/>
    </xf>
    <xf numFmtId="167" fontId="0" fillId="0" borderId="2" xfId="0" applyNumberFormat="1" applyBorder="1" applyAlignment="1">
      <alignment horizontal="right" vertical="center"/>
    </xf>
    <xf numFmtId="165" fontId="0" fillId="3" borderId="1" xfId="0" applyNumberFormat="1" applyFill="1" applyBorder="1" applyAlignment="1">
      <alignment horizontal="right" vertical="center"/>
    </xf>
    <xf numFmtId="165" fontId="0" fillId="3" borderId="2" xfId="0" applyNumberFormat="1" applyFill="1" applyBorder="1" applyAlignment="1">
      <alignment horizontal="right" vertical="center"/>
    </xf>
    <xf numFmtId="2" fontId="2" fillId="0" borderId="14" xfId="0" applyNumberFormat="1" applyFont="1" applyBorder="1" applyAlignment="1">
      <alignment horizontal="center" vertical="center" wrapText="1"/>
    </xf>
    <xf numFmtId="2" fontId="2" fillId="0" borderId="14" xfId="0" applyNumberFormat="1" applyFont="1" applyBorder="1" applyAlignment="1">
      <alignment horizontal="center" vertical="center"/>
    </xf>
    <xf numFmtId="164" fontId="0" fillId="0" borderId="2" xfId="0" applyNumberFormat="1" applyBorder="1" applyAlignment="1">
      <alignment vertical="center"/>
    </xf>
    <xf numFmtId="2" fontId="2" fillId="0" borderId="3" xfId="0" applyNumberFormat="1" applyFont="1" applyBorder="1" applyAlignment="1">
      <alignment horizontal="left" vertical="top" wrapText="1"/>
    </xf>
    <xf numFmtId="2" fontId="0" fillId="5" borderId="4" xfId="0" applyNumberFormat="1" applyFill="1" applyBorder="1" applyAlignment="1">
      <alignment horizontal="right"/>
    </xf>
    <xf numFmtId="2" fontId="2" fillId="5" borderId="4" xfId="0" applyNumberFormat="1" applyFont="1" applyFill="1" applyBorder="1" applyAlignment="1">
      <alignment horizontal="right"/>
    </xf>
    <xf numFmtId="2" fontId="0" fillId="5" borderId="3" xfId="0" applyNumberFormat="1" applyFill="1" applyBorder="1" applyAlignment="1">
      <alignment horizontal="right"/>
    </xf>
    <xf numFmtId="9" fontId="0" fillId="2" borderId="3" xfId="0" applyNumberFormat="1" applyFill="1" applyBorder="1" applyAlignment="1">
      <alignment horizontal="right"/>
    </xf>
    <xf numFmtId="2" fontId="1" fillId="0" borderId="9" xfId="0" applyNumberFormat="1" applyFont="1" applyBorder="1" applyAlignment="1">
      <alignment horizontal="left" vertical="center"/>
    </xf>
    <xf numFmtId="9" fontId="0" fillId="2" borderId="8" xfId="0" applyNumberFormat="1" applyFill="1" applyBorder="1" applyAlignment="1">
      <alignment horizontal="right"/>
    </xf>
    <xf numFmtId="2" fontId="2" fillId="0" borderId="5" xfId="0" applyNumberFormat="1" applyFont="1" applyBorder="1" applyAlignment="1">
      <alignment horizontal="center" vertical="top"/>
    </xf>
    <xf numFmtId="2" fontId="2" fillId="0" borderId="7" xfId="0" applyNumberFormat="1" applyFont="1" applyBorder="1" applyAlignment="1">
      <alignment horizontal="center"/>
    </xf>
    <xf numFmtId="2" fontId="0" fillId="0" borderId="1" xfId="0" applyNumberFormat="1" applyBorder="1" applyAlignment="1">
      <alignment vertical="top" wrapText="1"/>
    </xf>
    <xf numFmtId="1" fontId="0" fillId="0" borderId="6" xfId="0" applyNumberFormat="1" applyBorder="1"/>
    <xf numFmtId="1" fontId="0" fillId="0" borderId="7" xfId="0" applyNumberFormat="1" applyBorder="1"/>
    <xf numFmtId="165" fontId="0" fillId="0" borderId="6" xfId="0" applyNumberFormat="1" applyBorder="1" applyAlignment="1">
      <alignment vertical="top"/>
    </xf>
    <xf numFmtId="2" fontId="0" fillId="5" borderId="1" xfId="0" applyNumberFormat="1" applyFill="1" applyBorder="1" applyAlignment="1">
      <alignment horizontal="left" vertical="center"/>
    </xf>
    <xf numFmtId="164" fontId="0" fillId="5" borderId="0" xfId="0" applyNumberFormat="1" applyFill="1" applyAlignment="1">
      <alignment horizontal="right" vertical="center"/>
    </xf>
    <xf numFmtId="164" fontId="0" fillId="5" borderId="2" xfId="0" applyNumberFormat="1" applyFill="1" applyBorder="1" applyAlignment="1">
      <alignment horizontal="right" vertical="center"/>
    </xf>
    <xf numFmtId="1" fontId="0" fillId="5" borderId="1" xfId="0" applyNumberFormat="1" applyFill="1" applyBorder="1" applyAlignment="1">
      <alignment horizontal="center" vertical="center"/>
    </xf>
    <xf numFmtId="1" fontId="0" fillId="5" borderId="6" xfId="0" applyNumberFormat="1" applyFill="1" applyBorder="1" applyAlignment="1">
      <alignment horizontal="right" vertical="center"/>
    </xf>
    <xf numFmtId="9" fontId="9" fillId="5" borderId="1" xfId="0" applyNumberFormat="1" applyFont="1" applyFill="1" applyBorder="1" applyAlignment="1">
      <alignment horizontal="right" vertical="center"/>
    </xf>
    <xf numFmtId="9" fontId="0" fillId="5" borderId="1" xfId="0" applyNumberFormat="1" applyFill="1" applyBorder="1" applyAlignment="1">
      <alignment horizontal="right" vertical="center"/>
    </xf>
    <xf numFmtId="167" fontId="0" fillId="5" borderId="1" xfId="0" applyNumberFormat="1" applyFill="1" applyBorder="1" applyAlignment="1">
      <alignment horizontal="right" vertical="center"/>
    </xf>
    <xf numFmtId="167" fontId="0" fillId="5" borderId="2" xfId="0" applyNumberFormat="1" applyFill="1" applyBorder="1" applyAlignment="1">
      <alignment horizontal="right" vertical="center"/>
    </xf>
    <xf numFmtId="2" fontId="1" fillId="5" borderId="6" xfId="0" applyNumberFormat="1" applyFont="1" applyFill="1" applyBorder="1" applyAlignment="1">
      <alignment wrapText="1"/>
    </xf>
    <xf numFmtId="165" fontId="0" fillId="0" borderId="0" xfId="0" applyNumberFormat="1" applyAlignment="1">
      <alignment vertical="top"/>
    </xf>
    <xf numFmtId="165" fontId="0" fillId="0" borderId="1" xfId="0" applyNumberFormat="1" applyBorder="1" applyAlignment="1">
      <alignment horizontal="right" vertical="top"/>
    </xf>
    <xf numFmtId="165" fontId="0" fillId="0" borderId="2" xfId="0" applyNumberFormat="1" applyBorder="1" applyAlignment="1">
      <alignment horizontal="right" vertical="top"/>
    </xf>
    <xf numFmtId="2" fontId="1" fillId="0" borderId="0" xfId="0" applyNumberFormat="1" applyFont="1"/>
    <xf numFmtId="2" fontId="0" fillId="0" borderId="23" xfId="0" applyNumberFormat="1" applyBorder="1"/>
    <xf numFmtId="9" fontId="0" fillId="2" borderId="26" xfId="0" applyNumberFormat="1" applyFill="1" applyBorder="1" applyAlignment="1">
      <alignment horizontal="right"/>
    </xf>
    <xf numFmtId="165" fontId="2" fillId="0" borderId="23" xfId="0" applyNumberFormat="1" applyFont="1" applyBorder="1"/>
    <xf numFmtId="165" fontId="0" fillId="0" borderId="23" xfId="0" applyNumberFormat="1" applyBorder="1"/>
    <xf numFmtId="9" fontId="0" fillId="0" borderId="24" xfId="0" applyNumberFormat="1" applyBorder="1" applyAlignment="1">
      <alignment horizontal="right" vertical="center"/>
    </xf>
    <xf numFmtId="165" fontId="0" fillId="0" borderId="23" xfId="0" applyNumberFormat="1" applyBorder="1" applyAlignment="1">
      <alignment vertical="center"/>
    </xf>
    <xf numFmtId="165" fontId="0" fillId="2" borderId="23" xfId="0" applyNumberFormat="1" applyFill="1" applyBorder="1"/>
    <xf numFmtId="9" fontId="0" fillId="2" borderId="24" xfId="0" applyNumberFormat="1" applyFill="1" applyBorder="1"/>
    <xf numFmtId="165" fontId="0" fillId="5" borderId="23" xfId="0" applyNumberFormat="1" applyFill="1" applyBorder="1"/>
    <xf numFmtId="9" fontId="0" fillId="5" borderId="24" xfId="0" applyNumberFormat="1" applyFill="1" applyBorder="1" applyAlignment="1">
      <alignment horizontal="right" vertical="center"/>
    </xf>
    <xf numFmtId="9" fontId="0" fillId="0" borderId="24" xfId="0" applyNumberFormat="1" applyBorder="1"/>
    <xf numFmtId="165" fontId="1" fillId="0" borderId="23" xfId="0" applyNumberFormat="1" applyFont="1" applyBorder="1" applyAlignment="1">
      <alignment vertical="center"/>
    </xf>
    <xf numFmtId="9" fontId="0" fillId="0" borderId="24" xfId="0" applyNumberFormat="1" applyBorder="1" applyAlignment="1">
      <alignment vertical="center"/>
    </xf>
    <xf numFmtId="165" fontId="1" fillId="0" borderId="23" xfId="0" applyNumberFormat="1" applyFont="1" applyBorder="1" applyAlignment="1">
      <alignment vertical="top"/>
    </xf>
    <xf numFmtId="9" fontId="0" fillId="0" borderId="24" xfId="0" applyNumberFormat="1" applyBorder="1" applyAlignment="1">
      <alignment vertical="top"/>
    </xf>
    <xf numFmtId="2" fontId="0" fillId="0" borderId="24" xfId="0" applyNumberFormat="1" applyBorder="1"/>
    <xf numFmtId="165" fontId="0" fillId="0" borderId="23" xfId="0" applyNumberFormat="1" applyBorder="1" applyAlignment="1">
      <alignment vertical="top"/>
    </xf>
    <xf numFmtId="9" fontId="0" fillId="0" borderId="24" xfId="0" applyNumberFormat="1" applyBorder="1" applyAlignment="1">
      <alignment horizontal="right" vertical="top"/>
    </xf>
    <xf numFmtId="165" fontId="0" fillId="0" borderId="25" xfId="0" applyNumberFormat="1" applyBorder="1"/>
    <xf numFmtId="9" fontId="0" fillId="0" borderId="26" xfId="0" applyNumberFormat="1" applyBorder="1"/>
    <xf numFmtId="9" fontId="0" fillId="0" borderId="22" xfId="0" applyNumberFormat="1" applyBorder="1"/>
    <xf numFmtId="165" fontId="0" fillId="0" borderId="28" xfId="0" applyNumberFormat="1" applyBorder="1"/>
    <xf numFmtId="2" fontId="0" fillId="0" borderId="28" xfId="0" applyNumberFormat="1" applyBorder="1"/>
    <xf numFmtId="2" fontId="0" fillId="0" borderId="30" xfId="0" applyNumberFormat="1" applyBorder="1"/>
    <xf numFmtId="9" fontId="0" fillId="0" borderId="0" xfId="0" applyNumberFormat="1" applyAlignment="1">
      <alignment horizontal="right" vertical="center"/>
    </xf>
    <xf numFmtId="9" fontId="0" fillId="2" borderId="0" xfId="0" applyNumberFormat="1" applyFill="1"/>
    <xf numFmtId="9" fontId="0" fillId="5" borderId="0" xfId="0" applyNumberFormat="1" applyFill="1" applyAlignment="1">
      <alignment horizontal="right" vertical="center"/>
    </xf>
    <xf numFmtId="9" fontId="0" fillId="0" borderId="0" xfId="0" applyNumberFormat="1" applyAlignment="1">
      <alignment vertical="center"/>
    </xf>
    <xf numFmtId="9" fontId="0" fillId="0" borderId="0" xfId="0" applyNumberFormat="1" applyAlignment="1">
      <alignment vertical="top"/>
    </xf>
    <xf numFmtId="9" fontId="0" fillId="0" borderId="0" xfId="0" applyNumberFormat="1" applyAlignment="1">
      <alignment horizontal="right" vertical="top"/>
    </xf>
    <xf numFmtId="9" fontId="0" fillId="0" borderId="8" xfId="0" applyNumberFormat="1" applyBorder="1"/>
    <xf numFmtId="9" fontId="0" fillId="0" borderId="12" xfId="0" applyNumberFormat="1" applyBorder="1"/>
    <xf numFmtId="2" fontId="2" fillId="0" borderId="32" xfId="0" applyNumberFormat="1" applyFont="1" applyBorder="1" applyAlignment="1">
      <alignment horizontal="center" vertical="center" wrapText="1"/>
    </xf>
    <xf numFmtId="165" fontId="2" fillId="0" borderId="32" xfId="0" applyNumberFormat="1" applyFont="1" applyBorder="1" applyAlignment="1">
      <alignment horizontal="center" vertical="center" wrapText="1"/>
    </xf>
    <xf numFmtId="164" fontId="0" fillId="0" borderId="23" xfId="0" applyNumberFormat="1" applyBorder="1" applyAlignment="1">
      <alignment vertical="center"/>
    </xf>
    <xf numFmtId="164" fontId="0" fillId="0" borderId="29" xfId="0" applyNumberFormat="1" applyBorder="1" applyAlignment="1">
      <alignment horizontal="right"/>
    </xf>
    <xf numFmtId="164" fontId="0" fillId="0" borderId="33" xfId="0" applyNumberFormat="1" applyBorder="1"/>
    <xf numFmtId="2" fontId="0" fillId="0" borderId="33" xfId="0" applyNumberFormat="1" applyBorder="1"/>
    <xf numFmtId="164" fontId="1" fillId="3" borderId="4" xfId="0" applyNumberFormat="1" applyFont="1" applyFill="1" applyBorder="1" applyAlignment="1">
      <alignment horizontal="center" vertical="top" wrapText="1"/>
    </xf>
    <xf numFmtId="2" fontId="0" fillId="0" borderId="0" xfId="0" applyNumberFormat="1" applyAlignment="1">
      <alignment vertical="top" wrapText="1"/>
    </xf>
    <xf numFmtId="2" fontId="0" fillId="0" borderId="1" xfId="0" applyNumberFormat="1" applyBorder="1" applyAlignment="1">
      <alignment horizontal="center" vertical="top" wrapText="1"/>
    </xf>
    <xf numFmtId="2" fontId="0" fillId="0" borderId="0" xfId="0" applyNumberFormat="1" applyAlignment="1">
      <alignment horizontal="center" vertical="top" wrapText="1"/>
    </xf>
    <xf numFmtId="2" fontId="5" fillId="0" borderId="2" xfId="0" applyNumberFormat="1" applyFont="1" applyBorder="1" applyAlignment="1">
      <alignment horizontal="center" vertical="top" wrapText="1"/>
    </xf>
    <xf numFmtId="2" fontId="0" fillId="0" borderId="27" xfId="0" applyNumberFormat="1" applyBorder="1" applyAlignment="1">
      <alignment horizontal="center" vertical="top" wrapText="1"/>
    </xf>
    <xf numFmtId="2" fontId="5" fillId="0" borderId="31" xfId="0" applyNumberFormat="1" applyFont="1" applyBorder="1" applyAlignment="1">
      <alignment horizontal="center" vertical="top" wrapText="1"/>
    </xf>
    <xf numFmtId="2" fontId="5" fillId="0" borderId="0" xfId="0" applyNumberFormat="1" applyFont="1" applyAlignment="1">
      <alignment vertical="top" wrapText="1"/>
    </xf>
    <xf numFmtId="165" fontId="5" fillId="0" borderId="0" xfId="0" applyNumberFormat="1" applyFont="1" applyAlignment="1">
      <alignment vertical="top" wrapText="1"/>
    </xf>
    <xf numFmtId="49" fontId="0" fillId="0" borderId="0" xfId="0" applyNumberFormat="1" applyAlignment="1">
      <alignment vertical="top" wrapText="1"/>
    </xf>
    <xf numFmtId="2" fontId="2" fillId="0" borderId="0" xfId="0" applyNumberFormat="1" applyFont="1" applyAlignment="1">
      <alignment horizontal="center" vertical="top" wrapText="1"/>
    </xf>
    <xf numFmtId="9" fontId="0" fillId="0" borderId="30" xfId="0" applyNumberFormat="1" applyBorder="1"/>
    <xf numFmtId="9" fontId="0" fillId="0" borderId="29" xfId="0" applyNumberFormat="1" applyBorder="1"/>
    <xf numFmtId="9" fontId="0" fillId="2" borderId="1" xfId="0" applyNumberFormat="1" applyFill="1" applyBorder="1" applyAlignment="1">
      <alignment horizontal="right" vertical="center"/>
    </xf>
    <xf numFmtId="9" fontId="9" fillId="0" borderId="1" xfId="0" applyNumberFormat="1" applyFont="1" applyBorder="1" applyAlignment="1">
      <alignment horizontal="right" vertical="top"/>
    </xf>
    <xf numFmtId="9" fontId="0" fillId="0" borderId="31" xfId="0" applyNumberFormat="1" applyBorder="1"/>
    <xf numFmtId="2" fontId="1" fillId="0" borderId="7" xfId="0" applyNumberFormat="1" applyFont="1" applyBorder="1"/>
    <xf numFmtId="1" fontId="0" fillId="0" borderId="8" xfId="0" applyNumberFormat="1" applyBorder="1"/>
    <xf numFmtId="1" fontId="0" fillId="0" borderId="29" xfId="0" applyNumberFormat="1" applyBorder="1"/>
    <xf numFmtId="1" fontId="2" fillId="0" borderId="0" xfId="0" applyNumberFormat="1" applyFont="1"/>
    <xf numFmtId="164" fontId="0" fillId="0" borderId="1" xfId="0" applyNumberFormat="1" applyBorder="1" applyAlignment="1">
      <alignment vertical="center"/>
    </xf>
    <xf numFmtId="164" fontId="0" fillId="3" borderId="1" xfId="0" applyNumberFormat="1" applyFill="1" applyBorder="1" applyAlignment="1">
      <alignment horizontal="right" vertical="center"/>
    </xf>
    <xf numFmtId="164" fontId="0" fillId="3" borderId="2" xfId="0" applyNumberFormat="1" applyFill="1" applyBorder="1" applyAlignment="1">
      <alignment horizontal="right" vertical="center"/>
    </xf>
    <xf numFmtId="164" fontId="0" fillId="0" borderId="1" xfId="0" applyNumberFormat="1" applyBorder="1" applyAlignment="1">
      <alignment horizontal="right" vertical="center"/>
    </xf>
    <xf numFmtId="164" fontId="0" fillId="3" borderId="1" xfId="0" applyNumberFormat="1" applyFill="1" applyBorder="1" applyAlignment="1">
      <alignment vertical="center"/>
    </xf>
    <xf numFmtId="164" fontId="0" fillId="3" borderId="2" xfId="0" applyNumberFormat="1" applyFill="1" applyBorder="1" applyAlignment="1">
      <alignment vertical="center"/>
    </xf>
    <xf numFmtId="164" fontId="0" fillId="0" borderId="1" xfId="0" applyNumberFormat="1" applyBorder="1" applyAlignment="1">
      <alignment vertical="top"/>
    </xf>
    <xf numFmtId="164" fontId="0" fillId="0" borderId="2" xfId="0" applyNumberFormat="1" applyBorder="1" applyAlignment="1">
      <alignment vertical="top"/>
    </xf>
    <xf numFmtId="164" fontId="0" fillId="0" borderId="1" xfId="0" applyNumberFormat="1" applyBorder="1" applyAlignment="1">
      <alignment horizontal="right" vertical="top"/>
    </xf>
    <xf numFmtId="1" fontId="0" fillId="0" borderId="0" xfId="0" applyNumberFormat="1" applyAlignment="1">
      <alignment horizontal="right" vertical="center"/>
    </xf>
    <xf numFmtId="164" fontId="1" fillId="3" borderId="8" xfId="0" applyNumberFormat="1" applyFont="1" applyFill="1" applyBorder="1" applyAlignment="1">
      <alignment horizontal="center" vertical="top" wrapText="1"/>
    </xf>
    <xf numFmtId="1" fontId="0" fillId="0" borderId="0" xfId="0" applyNumberFormat="1" applyAlignment="1">
      <alignment vertical="center"/>
    </xf>
    <xf numFmtId="1" fontId="0" fillId="2" borderId="0" xfId="0" applyNumberFormat="1" applyFill="1"/>
    <xf numFmtId="1" fontId="0" fillId="3" borderId="0" xfId="0" applyNumberFormat="1" applyFill="1" applyAlignment="1">
      <alignment horizontal="right" vertical="center"/>
    </xf>
    <xf numFmtId="1" fontId="0" fillId="3" borderId="0" xfId="0" applyNumberFormat="1" applyFill="1" applyAlignment="1">
      <alignment vertical="center"/>
    </xf>
    <xf numFmtId="1" fontId="0" fillId="0" borderId="0" xfId="0" applyNumberFormat="1" applyAlignment="1">
      <alignment vertical="top"/>
    </xf>
    <xf numFmtId="1" fontId="0" fillId="0" borderId="0" xfId="0" applyNumberFormat="1" applyAlignment="1">
      <alignment horizontal="right" vertical="top"/>
    </xf>
    <xf numFmtId="165" fontId="1" fillId="0" borderId="0" xfId="0" applyNumberFormat="1" applyFont="1" applyAlignment="1">
      <alignment vertical="center"/>
    </xf>
    <xf numFmtId="165" fontId="1" fillId="0" borderId="0" xfId="0" applyNumberFormat="1" applyFont="1" applyAlignment="1">
      <alignment vertical="top"/>
    </xf>
    <xf numFmtId="2" fontId="0" fillId="0" borderId="8" xfId="0" applyNumberFormat="1" applyBorder="1"/>
    <xf numFmtId="164" fontId="1" fillId="3" borderId="25" xfId="0" applyNumberFormat="1" applyFont="1" applyFill="1" applyBorder="1" applyAlignment="1">
      <alignment horizontal="center" vertical="top" wrapText="1"/>
    </xf>
    <xf numFmtId="9" fontId="9" fillId="0" borderId="24" xfId="0" applyNumberFormat="1" applyFont="1" applyBorder="1" applyAlignment="1">
      <alignment horizontal="right" vertical="center"/>
    </xf>
    <xf numFmtId="166" fontId="9" fillId="0" borderId="24" xfId="0" applyNumberFormat="1" applyFont="1" applyBorder="1" applyAlignment="1">
      <alignment horizontal="right" vertical="center"/>
    </xf>
    <xf numFmtId="49" fontId="5" fillId="2" borderId="24" xfId="0" applyNumberFormat="1" applyFont="1" applyFill="1" applyBorder="1" applyAlignment="1">
      <alignment horizontal="right" vertical="center"/>
    </xf>
    <xf numFmtId="1" fontId="9" fillId="2" borderId="1" xfId="0" applyNumberFormat="1" applyFont="1" applyFill="1" applyBorder="1" applyAlignment="1">
      <alignment horizontal="right" vertical="center"/>
    </xf>
    <xf numFmtId="49" fontId="9" fillId="2" borderId="24" xfId="0" applyNumberFormat="1" applyFont="1" applyFill="1" applyBorder="1" applyAlignment="1">
      <alignment horizontal="right" vertical="center"/>
    </xf>
    <xf numFmtId="9" fontId="9" fillId="2" borderId="1" xfId="0" applyNumberFormat="1" applyFont="1" applyFill="1" applyBorder="1"/>
    <xf numFmtId="9" fontId="9" fillId="2" borderId="24" xfId="0" applyNumberFormat="1" applyFont="1" applyFill="1" applyBorder="1"/>
    <xf numFmtId="9" fontId="9" fillId="5" borderId="24" xfId="0" applyNumberFormat="1" applyFont="1" applyFill="1" applyBorder="1" applyAlignment="1">
      <alignment horizontal="right" vertical="center"/>
    </xf>
    <xf numFmtId="9" fontId="9" fillId="0" borderId="1" xfId="0" applyNumberFormat="1" applyFont="1" applyBorder="1"/>
    <xf numFmtId="9" fontId="9" fillId="0" borderId="24" xfId="0" applyNumberFormat="1" applyFont="1" applyBorder="1"/>
    <xf numFmtId="9" fontId="9" fillId="0" borderId="1" xfId="0" applyNumberFormat="1" applyFont="1" applyBorder="1" applyAlignment="1">
      <alignment vertical="center"/>
    </xf>
    <xf numFmtId="9" fontId="9" fillId="0" borderId="24" xfId="0" applyNumberFormat="1" applyFont="1" applyBorder="1" applyAlignment="1">
      <alignment vertical="center"/>
    </xf>
    <xf numFmtId="9" fontId="9" fillId="0" borderId="1" xfId="0" applyNumberFormat="1" applyFont="1" applyBorder="1" applyAlignment="1">
      <alignment vertical="top"/>
    </xf>
    <xf numFmtId="9" fontId="9" fillId="0" borderId="24" xfId="0" applyNumberFormat="1" applyFont="1" applyBorder="1" applyAlignment="1">
      <alignment vertical="top"/>
    </xf>
    <xf numFmtId="9" fontId="9" fillId="0" borderId="24" xfId="0" applyNumberFormat="1" applyFont="1" applyBorder="1" applyAlignment="1">
      <alignment horizontal="right" vertical="top"/>
    </xf>
    <xf numFmtId="1" fontId="0" fillId="2" borderId="6" xfId="0" applyNumberFormat="1" applyFill="1" applyBorder="1"/>
    <xf numFmtId="2" fontId="1" fillId="4" borderId="6" xfId="0" applyNumberFormat="1" applyFont="1" applyFill="1" applyBorder="1" applyAlignment="1">
      <alignment wrapText="1"/>
    </xf>
    <xf numFmtId="2" fontId="1" fillId="0" borderId="0" xfId="0" applyNumberFormat="1" applyFont="1" applyAlignment="1">
      <alignment vertical="top" wrapText="1"/>
    </xf>
    <xf numFmtId="2" fontId="2" fillId="0" borderId="12" xfId="0" applyNumberFormat="1" applyFont="1" applyBorder="1" applyAlignment="1">
      <alignment horizontal="center" vertical="top"/>
    </xf>
    <xf numFmtId="2" fontId="2" fillId="0" borderId="8" xfId="0" applyNumberFormat="1" applyFont="1" applyBorder="1" applyAlignment="1">
      <alignment horizontal="center"/>
    </xf>
    <xf numFmtId="164" fontId="0" fillId="2" borderId="0" xfId="0" applyNumberFormat="1" applyFill="1" applyAlignment="1">
      <alignment horizontal="left" vertical="top" wrapText="1"/>
    </xf>
    <xf numFmtId="164" fontId="0" fillId="5" borderId="0" xfId="0" applyNumberFormat="1" applyFill="1" applyAlignment="1">
      <alignment horizontal="left" vertical="top" wrapText="1"/>
    </xf>
    <xf numFmtId="2" fontId="0" fillId="0" borderId="12" xfId="0" applyNumberFormat="1" applyBorder="1" applyAlignment="1">
      <alignment horizontal="left"/>
    </xf>
    <xf numFmtId="2" fontId="3" fillId="0" borderId="0" xfId="0" applyNumberFormat="1" applyFont="1"/>
    <xf numFmtId="2" fontId="4" fillId="0" borderId="0" xfId="0" applyNumberFormat="1" applyFont="1"/>
    <xf numFmtId="2" fontId="1" fillId="0" borderId="6" xfId="0" applyNumberFormat="1" applyFont="1" applyBorder="1" applyAlignment="1">
      <alignment horizontal="left" vertical="top" wrapText="1"/>
    </xf>
    <xf numFmtId="2" fontId="0" fillId="0" borderId="6" xfId="0" applyNumberFormat="1" applyBorder="1" applyAlignment="1">
      <alignment horizontal="left" vertical="top" wrapText="1"/>
    </xf>
    <xf numFmtId="164" fontId="1" fillId="0" borderId="6" xfId="0" applyNumberFormat="1" applyFont="1" applyBorder="1" applyAlignment="1">
      <alignment horizontal="left" vertical="top" wrapText="1"/>
    </xf>
    <xf numFmtId="164" fontId="0" fillId="0" borderId="6" xfId="0" applyNumberFormat="1" applyBorder="1" applyAlignment="1">
      <alignment horizontal="left" vertical="top" wrapText="1"/>
    </xf>
    <xf numFmtId="164" fontId="0" fillId="2" borderId="6" xfId="0" applyNumberFormat="1" applyFill="1" applyBorder="1" applyAlignment="1">
      <alignment horizontal="left" vertical="top" wrapText="1"/>
    </xf>
    <xf numFmtId="164" fontId="0" fillId="5" borderId="6" xfId="0" applyNumberFormat="1" applyFill="1" applyBorder="1" applyAlignment="1">
      <alignment horizontal="left" vertical="top" wrapText="1"/>
    </xf>
    <xf numFmtId="2" fontId="0" fillId="0" borderId="6" xfId="0" applyNumberFormat="1" applyBorder="1" applyAlignment="1">
      <alignment horizontal="left"/>
    </xf>
    <xf numFmtId="1" fontId="0" fillId="0" borderId="1" xfId="0" applyNumberFormat="1" applyBorder="1" applyAlignment="1">
      <alignment horizontal="center" vertical="top" wrapText="1"/>
    </xf>
    <xf numFmtId="164" fontId="0" fillId="0" borderId="0" xfId="0" applyNumberFormat="1" applyAlignment="1">
      <alignment horizontal="right" vertical="top" wrapText="1"/>
    </xf>
    <xf numFmtId="164" fontId="0" fillId="0" borderId="2" xfId="0" applyNumberFormat="1" applyBorder="1" applyAlignment="1">
      <alignment horizontal="right" vertical="top" wrapText="1"/>
    </xf>
    <xf numFmtId="2" fontId="0" fillId="0" borderId="2" xfId="0" applyNumberFormat="1" applyBorder="1" applyAlignment="1">
      <alignment vertical="top" wrapText="1"/>
    </xf>
    <xf numFmtId="1" fontId="0" fillId="0" borderId="6" xfId="0" applyNumberFormat="1" applyBorder="1" applyAlignment="1">
      <alignment horizontal="right" vertical="top" wrapText="1"/>
    </xf>
    <xf numFmtId="2" fontId="0" fillId="0" borderId="6" xfId="0" applyNumberFormat="1" applyBorder="1" applyAlignment="1">
      <alignment vertical="top" wrapText="1"/>
    </xf>
    <xf numFmtId="165" fontId="0" fillId="0" borderId="6" xfId="0" applyNumberFormat="1" applyBorder="1" applyAlignment="1">
      <alignment vertical="top" wrapText="1"/>
    </xf>
    <xf numFmtId="9" fontId="0" fillId="0" borderId="0" xfId="0" applyNumberFormat="1" applyAlignment="1">
      <alignment vertical="top" wrapText="1"/>
    </xf>
    <xf numFmtId="165" fontId="0" fillId="0" borderId="23" xfId="0" applyNumberFormat="1" applyBorder="1" applyAlignment="1">
      <alignment vertical="top" wrapText="1"/>
    </xf>
    <xf numFmtId="165" fontId="0" fillId="0" borderId="2" xfId="0" applyNumberFormat="1" applyBorder="1" applyAlignment="1">
      <alignment vertical="top" wrapText="1"/>
    </xf>
    <xf numFmtId="164" fontId="0" fillId="0" borderId="0" xfId="0" applyNumberFormat="1" applyAlignment="1">
      <alignment vertical="top" wrapText="1"/>
    </xf>
    <xf numFmtId="164" fontId="0" fillId="0" borderId="2" xfId="0" applyNumberFormat="1" applyBorder="1" applyAlignment="1">
      <alignment vertical="top" wrapText="1"/>
    </xf>
    <xf numFmtId="1" fontId="0" fillId="0" borderId="0" xfId="0" applyNumberFormat="1" applyAlignment="1">
      <alignment vertical="top" wrapText="1"/>
    </xf>
    <xf numFmtId="9" fontId="0" fillId="0" borderId="1" xfId="0" applyNumberFormat="1" applyBorder="1" applyAlignment="1">
      <alignment vertical="top" wrapText="1"/>
    </xf>
    <xf numFmtId="9" fontId="0" fillId="0" borderId="24" xfId="0" applyNumberFormat="1" applyBorder="1" applyAlignment="1">
      <alignment vertical="top" wrapText="1"/>
    </xf>
    <xf numFmtId="165" fontId="0" fillId="0" borderId="0" xfId="0" applyNumberFormat="1" applyAlignment="1">
      <alignment vertical="top" wrapText="1"/>
    </xf>
    <xf numFmtId="2" fontId="0" fillId="0" borderId="1" xfId="0" applyNumberFormat="1" applyBorder="1" applyAlignment="1">
      <alignment vertical="top"/>
    </xf>
    <xf numFmtId="2" fontId="0" fillId="0" borderId="2" xfId="0" applyNumberFormat="1" applyBorder="1" applyAlignment="1">
      <alignment vertical="top"/>
    </xf>
    <xf numFmtId="164" fontId="0" fillId="0" borderId="6" xfId="0" applyNumberFormat="1" applyBorder="1" applyAlignment="1">
      <alignment vertical="top"/>
    </xf>
    <xf numFmtId="2" fontId="0" fillId="0" borderId="6" xfId="0" applyNumberFormat="1" applyBorder="1" applyAlignment="1">
      <alignment vertical="top"/>
    </xf>
    <xf numFmtId="164" fontId="0" fillId="0" borderId="0" xfId="0" applyNumberFormat="1" applyAlignment="1">
      <alignment vertical="top"/>
    </xf>
    <xf numFmtId="2" fontId="0" fillId="0" borderId="24" xfId="0" applyNumberFormat="1" applyBorder="1" applyAlignment="1">
      <alignment vertical="top"/>
    </xf>
    <xf numFmtId="2" fontId="1" fillId="0" borderId="6" xfId="0" applyNumberFormat="1" applyFont="1" applyBorder="1" applyAlignment="1">
      <alignment vertical="top"/>
    </xf>
    <xf numFmtId="164" fontId="1" fillId="2" borderId="6" xfId="0" applyNumberFormat="1" applyFont="1" applyFill="1" applyBorder="1" applyAlignment="1">
      <alignment horizontal="left" vertical="top" wrapText="1"/>
    </xf>
    <xf numFmtId="2" fontId="1" fillId="0" borderId="8" xfId="0" applyNumberFormat="1" applyFont="1" applyBorder="1"/>
    <xf numFmtId="9" fontId="9" fillId="0" borderId="0" xfId="0" applyNumberFormat="1" applyFont="1" applyAlignment="1">
      <alignment horizontal="right" vertical="center"/>
    </xf>
    <xf numFmtId="166" fontId="9" fillId="0" borderId="0" xfId="0" applyNumberFormat="1" applyFont="1" applyAlignment="1">
      <alignment horizontal="right" vertical="center"/>
    </xf>
    <xf numFmtId="49" fontId="5" fillId="2" borderId="0" xfId="0" applyNumberFormat="1" applyFont="1" applyFill="1" applyAlignment="1">
      <alignment horizontal="right" vertical="center"/>
    </xf>
    <xf numFmtId="165" fontId="0" fillId="0" borderId="29" xfId="0" applyNumberFormat="1" applyBorder="1"/>
    <xf numFmtId="165" fontId="0" fillId="0" borderId="33" xfId="0" applyNumberFormat="1" applyBorder="1"/>
    <xf numFmtId="164" fontId="1" fillId="0" borderId="2" xfId="0" applyNumberFormat="1" applyFont="1" applyBorder="1" applyAlignment="1">
      <alignment horizontal="right"/>
    </xf>
    <xf numFmtId="164" fontId="0" fillId="0" borderId="24" xfId="0" applyNumberFormat="1" applyBorder="1"/>
    <xf numFmtId="9" fontId="2" fillId="0" borderId="0" xfId="0" applyNumberFormat="1" applyFont="1"/>
    <xf numFmtId="2" fontId="0" fillId="0" borderId="9" xfId="0" applyNumberFormat="1" applyBorder="1" applyAlignment="1">
      <alignment horizontal="left" vertical="center"/>
    </xf>
    <xf numFmtId="2" fontId="0" fillId="0" borderId="23" xfId="0" applyNumberFormat="1" applyBorder="1" applyAlignment="1">
      <alignment horizontal="center" vertical="top" wrapText="1"/>
    </xf>
    <xf numFmtId="2" fontId="5" fillId="0" borderId="24" xfId="0" applyNumberFormat="1" applyFont="1" applyBorder="1" applyAlignment="1">
      <alignment horizontal="center" vertical="top" wrapText="1"/>
    </xf>
    <xf numFmtId="2" fontId="2" fillId="0" borderId="39" xfId="0" applyNumberFormat="1" applyFont="1" applyBorder="1" applyAlignment="1">
      <alignment horizontal="center" vertical="center" wrapText="1"/>
    </xf>
    <xf numFmtId="164" fontId="2" fillId="3" borderId="26" xfId="0" applyNumberFormat="1" applyFont="1" applyFill="1" applyBorder="1" applyAlignment="1">
      <alignment horizontal="right"/>
    </xf>
    <xf numFmtId="2" fontId="0" fillId="0" borderId="24" xfId="0" applyNumberFormat="1" applyBorder="1" applyAlignment="1">
      <alignment horizontal="right"/>
    </xf>
    <xf numFmtId="164" fontId="0" fillId="0" borderId="24" xfId="0" applyNumberFormat="1" applyBorder="1" applyAlignment="1">
      <alignment horizontal="right" vertical="center"/>
    </xf>
    <xf numFmtId="164" fontId="0" fillId="0" borderId="24" xfId="0" applyNumberFormat="1" applyBorder="1" applyAlignment="1">
      <alignment horizontal="right"/>
    </xf>
    <xf numFmtId="2" fontId="0" fillId="0" borderId="24" xfId="0" applyNumberFormat="1" applyBorder="1" applyAlignment="1">
      <alignment horizontal="right" vertical="center"/>
    </xf>
    <xf numFmtId="2" fontId="5" fillId="2" borderId="23" xfId="0" applyNumberFormat="1" applyFont="1" applyFill="1" applyBorder="1" applyAlignment="1">
      <alignment horizontal="center" vertical="center" wrapText="1"/>
    </xf>
    <xf numFmtId="164" fontId="0" fillId="2" borderId="24" xfId="0" applyNumberFormat="1" applyFill="1" applyBorder="1" applyAlignment="1">
      <alignment horizontal="right" vertical="center"/>
    </xf>
    <xf numFmtId="2" fontId="0" fillId="5" borderId="23" xfId="0" applyNumberFormat="1" applyFill="1" applyBorder="1" applyAlignment="1">
      <alignment horizontal="center" vertical="center"/>
    </xf>
    <xf numFmtId="164" fontId="0" fillId="5" borderId="24" xfId="0" applyNumberFormat="1" applyFill="1" applyBorder="1" applyAlignment="1">
      <alignment horizontal="right" vertical="center"/>
    </xf>
    <xf numFmtId="1" fontId="0" fillId="0" borderId="23" xfId="0" applyNumberFormat="1" applyBorder="1" applyAlignment="1">
      <alignment horizontal="center" vertical="center"/>
    </xf>
    <xf numFmtId="164" fontId="2" fillId="0" borderId="24" xfId="0" applyNumberFormat="1" applyFont="1" applyBorder="1" applyAlignment="1">
      <alignment horizontal="right" vertical="center"/>
    </xf>
    <xf numFmtId="164" fontId="0" fillId="0" borderId="24" xfId="0" applyNumberFormat="1" applyBorder="1" applyAlignment="1">
      <alignment horizontal="right" vertical="top"/>
    </xf>
    <xf numFmtId="1" fontId="0" fillId="0" borderId="23" xfId="0" applyNumberFormat="1" applyBorder="1" applyAlignment="1">
      <alignment horizontal="center" vertical="top"/>
    </xf>
    <xf numFmtId="164" fontId="0" fillId="0" borderId="24" xfId="0" applyNumberFormat="1" applyBorder="1" applyAlignment="1">
      <alignment vertical="center"/>
    </xf>
    <xf numFmtId="164" fontId="2" fillId="0" borderId="22" xfId="0" applyNumberFormat="1" applyFont="1" applyBorder="1" applyAlignment="1">
      <alignment horizontal="right"/>
    </xf>
    <xf numFmtId="164" fontId="2" fillId="0" borderId="22" xfId="0" applyNumberFormat="1" applyFont="1" applyBorder="1" applyAlignment="1">
      <alignment horizontal="right" vertical="center"/>
    </xf>
    <xf numFmtId="1" fontId="0" fillId="0" borderId="25" xfId="0" applyNumberFormat="1" applyBorder="1" applyAlignment="1">
      <alignment horizontal="center" vertical="top"/>
    </xf>
    <xf numFmtId="164" fontId="0" fillId="0" borderId="26" xfId="0" applyNumberFormat="1" applyBorder="1" applyAlignment="1">
      <alignment horizontal="right"/>
    </xf>
    <xf numFmtId="1" fontId="0" fillId="0" borderId="21" xfId="0" applyNumberFormat="1" applyBorder="1" applyAlignment="1">
      <alignment horizontal="center" vertical="top"/>
    </xf>
    <xf numFmtId="164" fontId="2" fillId="0" borderId="22" xfId="0" applyNumberFormat="1" applyFont="1" applyBorder="1" applyAlignment="1">
      <alignment horizontal="right" vertical="top"/>
    </xf>
    <xf numFmtId="1" fontId="1" fillId="0" borderId="23" xfId="0" applyNumberFormat="1" applyFont="1" applyBorder="1" applyAlignment="1">
      <alignment horizontal="center" vertical="center"/>
    </xf>
    <xf numFmtId="1" fontId="1" fillId="0" borderId="23" xfId="0" applyNumberFormat="1" applyFont="1" applyBorder="1" applyAlignment="1">
      <alignment horizontal="center" vertical="top"/>
    </xf>
    <xf numFmtId="165" fontId="0" fillId="0" borderId="24" xfId="0" applyNumberFormat="1" applyBorder="1" applyAlignment="1">
      <alignment horizontal="right"/>
    </xf>
    <xf numFmtId="164" fontId="1" fillId="0" borderId="24" xfId="0" quotePrefix="1" applyNumberFormat="1" applyFont="1" applyBorder="1" applyAlignment="1">
      <alignment horizontal="right"/>
    </xf>
    <xf numFmtId="1" fontId="2" fillId="0" borderId="21" xfId="0" applyNumberFormat="1" applyFont="1" applyBorder="1" applyAlignment="1">
      <alignment horizontal="center" vertical="top"/>
    </xf>
    <xf numFmtId="164" fontId="1" fillId="0" borderId="24" xfId="0" applyNumberFormat="1" applyFont="1" applyBorder="1" applyAlignment="1">
      <alignment horizontal="right"/>
    </xf>
    <xf numFmtId="1" fontId="0" fillId="0" borderId="25" xfId="0" applyNumberFormat="1" applyBorder="1" applyAlignment="1">
      <alignment horizontal="center"/>
    </xf>
    <xf numFmtId="1" fontId="0" fillId="0" borderId="21" xfId="0" applyNumberFormat="1" applyBorder="1" applyAlignment="1">
      <alignment horizontal="center"/>
    </xf>
    <xf numFmtId="1" fontId="0" fillId="0" borderId="27" xfId="0" applyNumberFormat="1" applyBorder="1" applyAlignment="1">
      <alignment horizontal="center" vertical="top"/>
    </xf>
    <xf numFmtId="164" fontId="0" fillId="0" borderId="29" xfId="0" applyNumberFormat="1" applyBorder="1" applyAlignment="1">
      <alignment horizontal="right" vertical="top"/>
    </xf>
    <xf numFmtId="164" fontId="0" fillId="0" borderId="28" xfId="0" applyNumberFormat="1" applyBorder="1" applyAlignment="1">
      <alignment horizontal="right"/>
    </xf>
    <xf numFmtId="1" fontId="0" fillId="0" borderId="30" xfId="0" applyNumberFormat="1" applyBorder="1" applyAlignment="1">
      <alignment horizontal="center"/>
    </xf>
    <xf numFmtId="164" fontId="0" fillId="0" borderId="31" xfId="0" applyNumberFormat="1" applyBorder="1" applyAlignment="1">
      <alignment horizontal="right"/>
    </xf>
    <xf numFmtId="2" fontId="2" fillId="0" borderId="12" xfId="0" applyNumberFormat="1" applyFont="1" applyBorder="1" applyAlignment="1">
      <alignment horizontal="left" vertical="top"/>
    </xf>
    <xf numFmtId="165" fontId="9" fillId="0" borderId="0" xfId="0" applyNumberFormat="1" applyFont="1"/>
    <xf numFmtId="165" fontId="9" fillId="0" borderId="1" xfId="0" applyNumberFormat="1" applyFont="1" applyBorder="1" applyAlignment="1">
      <alignment horizontal="right" vertical="center"/>
    </xf>
    <xf numFmtId="165" fontId="9" fillId="0" borderId="2" xfId="0" applyNumberFormat="1" applyFont="1" applyBorder="1" applyAlignment="1">
      <alignment horizontal="right" vertical="center"/>
    </xf>
    <xf numFmtId="1" fontId="9" fillId="0" borderId="0" xfId="0" applyNumberFormat="1" applyFont="1" applyAlignment="1">
      <alignment horizontal="right" vertical="center"/>
    </xf>
    <xf numFmtId="1" fontId="9" fillId="0" borderId="6" xfId="0" applyNumberFormat="1" applyFont="1" applyBorder="1" applyAlignment="1">
      <alignment horizontal="right" vertical="center"/>
    </xf>
    <xf numFmtId="165" fontId="9" fillId="0" borderId="6" xfId="0" applyNumberFormat="1" applyFont="1" applyBorder="1" applyAlignment="1">
      <alignment horizontal="right" vertical="center"/>
    </xf>
    <xf numFmtId="164" fontId="9" fillId="0" borderId="0" xfId="0" applyNumberFormat="1" applyFont="1" applyAlignment="1">
      <alignment horizontal="left" vertical="top" wrapText="1"/>
    </xf>
    <xf numFmtId="9" fontId="14" fillId="3" borderId="1" xfId="0" applyNumberFormat="1" applyFont="1" applyFill="1" applyBorder="1" applyAlignment="1">
      <alignment horizontal="right" vertical="center"/>
    </xf>
    <xf numFmtId="9" fontId="14" fillId="0" borderId="1" xfId="0" applyNumberFormat="1" applyFont="1" applyBorder="1" applyAlignment="1">
      <alignment horizontal="right" vertical="center"/>
    </xf>
    <xf numFmtId="166" fontId="14" fillId="0" borderId="1" xfId="0" applyNumberFormat="1" applyFont="1" applyBorder="1" applyAlignment="1">
      <alignment horizontal="right" vertical="center"/>
    </xf>
    <xf numFmtId="164" fontId="0" fillId="3" borderId="0" xfId="0" applyNumberFormat="1" applyFill="1" applyAlignment="1">
      <alignment horizontal="right" vertical="top"/>
    </xf>
    <xf numFmtId="164" fontId="0" fillId="3" borderId="2" xfId="0" applyNumberFormat="1" applyFill="1" applyBorder="1" applyAlignment="1">
      <alignment horizontal="right" vertical="top"/>
    </xf>
    <xf numFmtId="9" fontId="1" fillId="0" borderId="1" xfId="0" applyNumberFormat="1" applyFont="1" applyBorder="1" applyAlignment="1">
      <alignment horizontal="right" vertical="center"/>
    </xf>
    <xf numFmtId="166" fontId="1" fillId="0" borderId="1" xfId="0" applyNumberFormat="1" applyFont="1" applyBorder="1" applyAlignment="1">
      <alignment horizontal="right" vertical="center"/>
    </xf>
    <xf numFmtId="9" fontId="1" fillId="0" borderId="1" xfId="0" applyNumberFormat="1" applyFont="1" applyBorder="1" applyAlignment="1">
      <alignment horizontal="right" vertical="top"/>
    </xf>
    <xf numFmtId="164" fontId="0" fillId="3" borderId="0" xfId="0" applyNumberFormat="1" applyFill="1" applyAlignment="1">
      <alignment horizontal="right"/>
    </xf>
    <xf numFmtId="164" fontId="0" fillId="3" borderId="2" xfId="0" applyNumberFormat="1" applyFill="1" applyBorder="1" applyAlignment="1">
      <alignment horizontal="right"/>
    </xf>
    <xf numFmtId="9" fontId="1" fillId="0" borderId="1" xfId="0" applyNumberFormat="1" applyFont="1" applyBorder="1" applyAlignment="1">
      <alignment horizontal="right" vertical="top" wrapText="1"/>
    </xf>
    <xf numFmtId="2" fontId="13" fillId="0" borderId="6" xfId="1" applyNumberFormat="1" applyFont="1" applyBorder="1" applyAlignment="1" applyProtection="1"/>
    <xf numFmtId="9" fontId="1" fillId="0" borderId="1" xfId="0" applyNumberFormat="1" applyFont="1" applyBorder="1"/>
    <xf numFmtId="9" fontId="1" fillId="0" borderId="24" xfId="0" applyNumberFormat="1" applyFont="1" applyBorder="1"/>
    <xf numFmtId="2" fontId="1" fillId="0" borderId="0" xfId="0" applyNumberFormat="1" applyFont="1" applyAlignment="1">
      <alignment horizontal="left"/>
    </xf>
    <xf numFmtId="165" fontId="1" fillId="0" borderId="1" xfId="0" applyNumberFormat="1" applyFont="1" applyBorder="1"/>
    <xf numFmtId="165" fontId="0" fillId="0" borderId="3" xfId="0" applyNumberFormat="1" applyBorder="1"/>
    <xf numFmtId="2" fontId="2" fillId="0" borderId="5" xfId="0" applyNumberFormat="1" applyFont="1" applyBorder="1"/>
    <xf numFmtId="9" fontId="2" fillId="0" borderId="9" xfId="0" applyNumberFormat="1" applyFont="1" applyBorder="1"/>
    <xf numFmtId="9" fontId="2" fillId="0" borderId="22" xfId="0" applyNumberFormat="1" applyFont="1" applyBorder="1"/>
    <xf numFmtId="165" fontId="2" fillId="0" borderId="9" xfId="0" applyNumberFormat="1" applyFont="1" applyBorder="1"/>
    <xf numFmtId="165" fontId="0" fillId="0" borderId="1" xfId="0" applyNumberFormat="1" applyBorder="1" applyAlignment="1">
      <alignment vertical="top" wrapText="1"/>
    </xf>
    <xf numFmtId="165" fontId="0" fillId="0" borderId="27" xfId="0" applyNumberFormat="1" applyBorder="1"/>
    <xf numFmtId="165" fontId="0" fillId="0" borderId="30" xfId="0" applyNumberFormat="1" applyBorder="1"/>
    <xf numFmtId="1" fontId="0" fillId="3" borderId="1" xfId="0" applyNumberFormat="1" applyFill="1" applyBorder="1" applyAlignment="1">
      <alignment horizontal="center"/>
    </xf>
    <xf numFmtId="164" fontId="9" fillId="0" borderId="0" xfId="0" applyNumberFormat="1" applyFont="1" applyAlignment="1">
      <alignment horizontal="right" vertical="center"/>
    </xf>
    <xf numFmtId="164" fontId="9" fillId="0" borderId="2" xfId="0" applyNumberFormat="1" applyFont="1" applyBorder="1" applyAlignment="1">
      <alignment horizontal="right" vertical="center"/>
    </xf>
    <xf numFmtId="165" fontId="9" fillId="0" borderId="23" xfId="0" applyNumberFormat="1" applyFont="1" applyBorder="1" applyAlignment="1">
      <alignment vertical="center"/>
    </xf>
    <xf numFmtId="165" fontId="9" fillId="0" borderId="0" xfId="0" applyNumberFormat="1" applyFont="1" applyAlignment="1">
      <alignment vertical="center"/>
    </xf>
    <xf numFmtId="1" fontId="9" fillId="3" borderId="0" xfId="0" applyNumberFormat="1" applyFont="1" applyFill="1" applyAlignment="1">
      <alignment horizontal="right" vertical="center"/>
    </xf>
    <xf numFmtId="165" fontId="9" fillId="0" borderId="6" xfId="0" applyNumberFormat="1" applyFont="1" applyBorder="1"/>
    <xf numFmtId="165" fontId="9" fillId="3" borderId="1" xfId="0" applyNumberFormat="1" applyFont="1" applyFill="1" applyBorder="1" applyAlignment="1">
      <alignment horizontal="right" vertical="center"/>
    </xf>
    <xf numFmtId="165" fontId="9" fillId="3" borderId="2" xfId="0" applyNumberFormat="1" applyFont="1" applyFill="1" applyBorder="1" applyAlignment="1">
      <alignment horizontal="right" vertical="center"/>
    </xf>
    <xf numFmtId="1" fontId="1" fillId="0" borderId="6" xfId="0" applyNumberFormat="1" applyFont="1" applyBorder="1" applyAlignment="1">
      <alignment vertical="center"/>
    </xf>
    <xf numFmtId="165" fontId="1" fillId="0" borderId="6" xfId="0" applyNumberFormat="1" applyFont="1" applyBorder="1" applyAlignment="1">
      <alignment vertical="center"/>
    </xf>
    <xf numFmtId="164" fontId="1" fillId="0" borderId="0" xfId="0" applyNumberFormat="1" applyFont="1" applyAlignment="1">
      <alignment horizontal="left" vertical="center" wrapText="1"/>
    </xf>
    <xf numFmtId="2" fontId="1" fillId="0" borderId="6" xfId="0" applyNumberFormat="1" applyFont="1" applyBorder="1" applyAlignment="1">
      <alignment vertical="center" wrapText="1"/>
    </xf>
    <xf numFmtId="164" fontId="9" fillId="0" borderId="0" xfId="0" applyNumberFormat="1" applyFont="1" applyAlignment="1">
      <alignment horizontal="left" vertical="center" wrapText="1"/>
    </xf>
    <xf numFmtId="1" fontId="1" fillId="0" borderId="6" xfId="0" applyNumberFormat="1" applyFont="1" applyBorder="1" applyAlignment="1">
      <alignment horizontal="right" vertical="center"/>
    </xf>
    <xf numFmtId="165" fontId="9" fillId="0" borderId="6" xfId="0" applyNumberFormat="1" applyFont="1" applyBorder="1" applyAlignment="1">
      <alignment horizontal="right" vertical="center" wrapText="1"/>
    </xf>
    <xf numFmtId="165" fontId="1" fillId="0" borderId="6" xfId="0" applyNumberFormat="1" applyFont="1" applyBorder="1" applyAlignment="1">
      <alignment horizontal="right" vertical="center" wrapText="1"/>
    </xf>
    <xf numFmtId="1" fontId="9" fillId="0" borderId="6" xfId="0" applyNumberFormat="1" applyFont="1" applyBorder="1" applyAlignment="1">
      <alignment horizontal="right" vertical="center" wrapText="1"/>
    </xf>
    <xf numFmtId="1" fontId="9" fillId="0" borderId="1" xfId="0" applyNumberFormat="1" applyFont="1" applyBorder="1" applyAlignment="1">
      <alignment horizontal="center"/>
    </xf>
    <xf numFmtId="164" fontId="9" fillId="0" borderId="0" xfId="0" applyNumberFormat="1" applyFont="1" applyAlignment="1">
      <alignment horizontal="right"/>
    </xf>
    <xf numFmtId="164" fontId="9" fillId="0" borderId="2" xfId="0" applyNumberFormat="1" applyFont="1" applyBorder="1" applyAlignment="1">
      <alignment horizontal="right"/>
    </xf>
    <xf numFmtId="165" fontId="9" fillId="0" borderId="2" xfId="0" applyNumberFormat="1" applyFont="1" applyBorder="1"/>
    <xf numFmtId="1" fontId="9" fillId="0" borderId="0" xfId="0" applyNumberFormat="1" applyFont="1"/>
    <xf numFmtId="2" fontId="9" fillId="0" borderId="6" xfId="0" applyNumberFormat="1" applyFont="1" applyBorder="1"/>
    <xf numFmtId="165" fontId="14" fillId="0" borderId="6" xfId="0" applyNumberFormat="1" applyFont="1" applyBorder="1" applyAlignment="1">
      <alignment horizontal="right" vertical="center"/>
    </xf>
    <xf numFmtId="9" fontId="14" fillId="0" borderId="24" xfId="0" applyNumberFormat="1" applyFont="1" applyBorder="1" applyAlignment="1">
      <alignment horizontal="right" vertical="center"/>
    </xf>
    <xf numFmtId="2" fontId="8" fillId="0" borderId="6" xfId="1" applyNumberFormat="1" applyBorder="1" applyAlignment="1" applyProtection="1"/>
    <xf numFmtId="169" fontId="9" fillId="0" borderId="6" xfId="0" applyNumberFormat="1" applyFont="1" applyBorder="1" applyAlignment="1">
      <alignment horizontal="right" vertical="center"/>
    </xf>
    <xf numFmtId="169" fontId="9" fillId="0" borderId="1" xfId="0" applyNumberFormat="1" applyFont="1" applyBorder="1" applyAlignment="1">
      <alignment horizontal="right" vertical="center"/>
    </xf>
    <xf numFmtId="169" fontId="9" fillId="0" borderId="2" xfId="0" applyNumberFormat="1" applyFont="1" applyBorder="1" applyAlignment="1">
      <alignment horizontal="right" vertical="center"/>
    </xf>
    <xf numFmtId="164" fontId="9" fillId="0" borderId="6" xfId="0" applyNumberFormat="1" applyFont="1" applyBorder="1" applyAlignment="1">
      <alignment horizontal="left" vertical="top" wrapText="1"/>
    </xf>
    <xf numFmtId="169" fontId="9" fillId="0" borderId="23" xfId="0" applyNumberFormat="1" applyFont="1" applyBorder="1"/>
    <xf numFmtId="169" fontId="9" fillId="0" borderId="0" xfId="0" applyNumberFormat="1" applyFont="1"/>
    <xf numFmtId="169" fontId="9" fillId="0" borderId="2" xfId="0" applyNumberFormat="1" applyFont="1" applyBorder="1"/>
    <xf numFmtId="169" fontId="9" fillId="0" borderId="6" xfId="0" applyNumberFormat="1" applyFont="1" applyBorder="1"/>
    <xf numFmtId="164" fontId="9" fillId="0" borderId="6" xfId="0" applyNumberFormat="1" applyFont="1" applyBorder="1"/>
    <xf numFmtId="165" fontId="9" fillId="0" borderId="1" xfId="0" applyNumberFormat="1" applyFont="1" applyBorder="1"/>
    <xf numFmtId="9" fontId="9" fillId="0" borderId="2" xfId="0" applyNumberFormat="1" applyFont="1" applyBorder="1" applyAlignment="1">
      <alignment horizontal="right" vertical="center"/>
    </xf>
    <xf numFmtId="165" fontId="9" fillId="0" borderId="23" xfId="0" applyNumberFormat="1" applyFont="1" applyBorder="1"/>
    <xf numFmtId="165" fontId="9" fillId="3" borderId="23" xfId="0" applyNumberFormat="1" applyFont="1" applyFill="1" applyBorder="1"/>
    <xf numFmtId="165" fontId="9" fillId="3" borderId="2" xfId="0" applyNumberFormat="1" applyFont="1" applyFill="1" applyBorder="1"/>
    <xf numFmtId="165" fontId="9" fillId="3" borderId="0" xfId="0" applyNumberFormat="1" applyFont="1" applyFill="1"/>
    <xf numFmtId="1" fontId="9" fillId="3" borderId="0" xfId="0" applyNumberFormat="1" applyFont="1" applyFill="1"/>
    <xf numFmtId="166" fontId="9" fillId="0" borderId="1" xfId="0" applyNumberFormat="1" applyFont="1" applyBorder="1"/>
    <xf numFmtId="166" fontId="9" fillId="0" borderId="24" xfId="0" applyNumberFormat="1" applyFont="1" applyBorder="1"/>
    <xf numFmtId="165" fontId="9" fillId="3" borderId="6" xfId="0" applyNumberFormat="1" applyFont="1" applyFill="1" applyBorder="1"/>
    <xf numFmtId="165" fontId="9" fillId="0" borderId="6" xfId="0" applyNumberFormat="1" applyFont="1" applyBorder="1" applyAlignment="1">
      <alignment vertical="center"/>
    </xf>
    <xf numFmtId="164" fontId="9" fillId="3" borderId="2" xfId="0" applyNumberFormat="1" applyFont="1" applyFill="1" applyBorder="1" applyAlignment="1">
      <alignment horizontal="right" vertical="center"/>
    </xf>
    <xf numFmtId="165" fontId="9" fillId="0" borderId="1" xfId="0" applyNumberFormat="1" applyFont="1" applyBorder="1" applyAlignment="1">
      <alignment vertical="center"/>
    </xf>
    <xf numFmtId="165" fontId="9" fillId="0" borderId="2" xfId="0" applyNumberFormat="1" applyFont="1" applyBorder="1" applyAlignment="1">
      <alignment vertical="center"/>
    </xf>
    <xf numFmtId="165" fontId="9" fillId="3" borderId="6" xfId="0" applyNumberFormat="1" applyFont="1" applyFill="1" applyBorder="1" applyAlignment="1">
      <alignment horizontal="right" vertical="center"/>
    </xf>
    <xf numFmtId="165" fontId="9" fillId="0" borderId="24" xfId="0" applyNumberFormat="1" applyFont="1" applyBorder="1" applyAlignment="1">
      <alignment horizontal="right" vertical="center"/>
    </xf>
    <xf numFmtId="165" fontId="9" fillId="0" borderId="0" xfId="0" applyNumberFormat="1" applyFont="1" applyAlignment="1">
      <alignment horizontal="right" vertical="center"/>
    </xf>
    <xf numFmtId="164" fontId="9" fillId="0" borderId="24" xfId="0" applyNumberFormat="1" applyFont="1" applyBorder="1" applyAlignment="1">
      <alignment horizontal="right"/>
    </xf>
    <xf numFmtId="170" fontId="9" fillId="3" borderId="1" xfId="0" applyNumberFormat="1" applyFont="1" applyFill="1" applyBorder="1" applyAlignment="1">
      <alignment horizontal="right" vertical="center"/>
    </xf>
    <xf numFmtId="170" fontId="9" fillId="3" borderId="2" xfId="0" applyNumberFormat="1" applyFont="1" applyFill="1" applyBorder="1" applyAlignment="1">
      <alignment horizontal="right" vertical="center"/>
    </xf>
    <xf numFmtId="170" fontId="9" fillId="0" borderId="6" xfId="0" applyNumberFormat="1" applyFont="1" applyBorder="1" applyAlignment="1">
      <alignment vertical="center"/>
    </xf>
    <xf numFmtId="170" fontId="9" fillId="0" borderId="6" xfId="0" applyNumberFormat="1" applyFont="1" applyBorder="1"/>
    <xf numFmtId="170" fontId="9" fillId="0" borderId="1" xfId="0" applyNumberFormat="1" applyFont="1" applyBorder="1" applyAlignment="1">
      <alignment horizontal="right" vertical="center"/>
    </xf>
    <xf numFmtId="170" fontId="9" fillId="0" borderId="2" xfId="0" applyNumberFormat="1" applyFont="1" applyBorder="1" applyAlignment="1">
      <alignment horizontal="right" vertical="center"/>
    </xf>
    <xf numFmtId="170" fontId="9" fillId="0" borderId="6" xfId="0" applyNumberFormat="1" applyFont="1" applyBorder="1" applyAlignment="1">
      <alignment horizontal="right" vertical="center"/>
    </xf>
    <xf numFmtId="1" fontId="9" fillId="0" borderId="2" xfId="0" applyNumberFormat="1" applyFont="1" applyBorder="1"/>
    <xf numFmtId="165" fontId="2" fillId="0" borderId="13" xfId="0" applyNumberFormat="1" applyFont="1" applyBorder="1"/>
    <xf numFmtId="167" fontId="9" fillId="0" borderId="1" xfId="0" applyNumberFormat="1" applyFont="1" applyBorder="1"/>
    <xf numFmtId="167" fontId="9" fillId="0" borderId="2" xfId="0" applyNumberFormat="1" applyFont="1" applyBorder="1" applyAlignment="1">
      <alignment horizontal="right"/>
    </xf>
    <xf numFmtId="164" fontId="9" fillId="0" borderId="2" xfId="0" applyNumberFormat="1" applyFont="1" applyBorder="1"/>
    <xf numFmtId="167" fontId="9" fillId="0" borderId="23" xfId="0" applyNumberFormat="1" applyFont="1" applyBorder="1"/>
    <xf numFmtId="167" fontId="9" fillId="0" borderId="2" xfId="0" applyNumberFormat="1" applyFont="1" applyBorder="1"/>
    <xf numFmtId="167" fontId="9" fillId="0" borderId="0" xfId="0" applyNumberFormat="1" applyFont="1"/>
    <xf numFmtId="164" fontId="1" fillId="0" borderId="1" xfId="0" applyNumberFormat="1" applyFont="1" applyBorder="1" applyAlignment="1">
      <alignment horizontal="left" vertical="center"/>
    </xf>
    <xf numFmtId="164" fontId="9" fillId="3" borderId="0" xfId="0" applyNumberFormat="1" applyFont="1" applyFill="1" applyAlignment="1">
      <alignment horizontal="right"/>
    </xf>
    <xf numFmtId="2" fontId="9" fillId="0" borderId="1" xfId="0" applyNumberFormat="1" applyFont="1" applyBorder="1"/>
    <xf numFmtId="2" fontId="9" fillId="0" borderId="2" xfId="0" applyNumberFormat="1" applyFont="1" applyBorder="1"/>
    <xf numFmtId="2" fontId="2" fillId="0" borderId="8" xfId="0" applyNumberFormat="1" applyFont="1" applyBorder="1" applyAlignment="1">
      <alignment horizontal="left" vertical="center"/>
    </xf>
    <xf numFmtId="165" fontId="2" fillId="0" borderId="41" xfId="0" applyNumberFormat="1" applyFont="1" applyBorder="1" applyAlignment="1">
      <alignment horizontal="center" vertical="center" wrapText="1"/>
    </xf>
    <xf numFmtId="169" fontId="9" fillId="0" borderId="1" xfId="0" applyNumberFormat="1" applyFont="1" applyBorder="1"/>
    <xf numFmtId="165" fontId="9" fillId="0" borderId="0" xfId="0" applyNumberFormat="1" applyFont="1" applyAlignment="1">
      <alignment horizontal="right"/>
    </xf>
    <xf numFmtId="165" fontId="9" fillId="0" borderId="2" xfId="0" applyNumberFormat="1" applyFont="1" applyBorder="1" applyAlignment="1">
      <alignment horizontal="right"/>
    </xf>
    <xf numFmtId="165" fontId="9" fillId="0" borderId="24" xfId="0" applyNumberFormat="1" applyFont="1" applyBorder="1" applyAlignment="1">
      <alignment horizontal="right"/>
    </xf>
    <xf numFmtId="1" fontId="9" fillId="0" borderId="6" xfId="0" applyNumberFormat="1" applyFont="1" applyBorder="1"/>
    <xf numFmtId="167" fontId="9" fillId="0" borderId="6" xfId="0" applyNumberFormat="1" applyFont="1" applyBorder="1"/>
    <xf numFmtId="165" fontId="9" fillId="0" borderId="23" xfId="0" applyNumberFormat="1" applyFont="1" applyBorder="1" applyAlignment="1">
      <alignment horizontal="right"/>
    </xf>
    <xf numFmtId="9" fontId="9" fillId="5" borderId="24" xfId="0" applyNumberFormat="1" applyFont="1" applyFill="1" applyBorder="1"/>
    <xf numFmtId="167" fontId="9" fillId="0" borderId="23" xfId="0" applyNumberFormat="1" applyFont="1" applyBorder="1" applyAlignment="1">
      <alignment horizontal="right"/>
    </xf>
    <xf numFmtId="167" fontId="9" fillId="0" borderId="6" xfId="0" applyNumberFormat="1" applyFont="1" applyBorder="1" applyAlignment="1">
      <alignment horizontal="right"/>
    </xf>
    <xf numFmtId="165" fontId="9" fillId="0" borderId="23" xfId="0" applyNumberFormat="1" applyFont="1" applyBorder="1" applyAlignment="1">
      <alignment vertical="top"/>
    </xf>
    <xf numFmtId="165" fontId="9" fillId="0" borderId="2" xfId="0" applyNumberFormat="1" applyFont="1" applyBorder="1" applyAlignment="1">
      <alignment vertical="top"/>
    </xf>
    <xf numFmtId="1" fontId="9" fillId="0" borderId="0" xfId="0" applyNumberFormat="1" applyFont="1" applyAlignment="1">
      <alignment vertical="top"/>
    </xf>
    <xf numFmtId="165" fontId="9" fillId="0" borderId="6" xfId="0" applyNumberFormat="1" applyFont="1" applyBorder="1" applyAlignment="1">
      <alignment vertical="top"/>
    </xf>
    <xf numFmtId="164" fontId="9" fillId="0" borderId="6" xfId="0" applyNumberFormat="1" applyFont="1" applyBorder="1" applyAlignment="1">
      <alignment vertical="top"/>
    </xf>
    <xf numFmtId="170" fontId="9" fillId="0" borderId="0" xfId="0" applyNumberFormat="1" applyFont="1"/>
    <xf numFmtId="170" fontId="9" fillId="0" borderId="23" xfId="0" applyNumberFormat="1" applyFont="1" applyBorder="1"/>
    <xf numFmtId="170" fontId="9" fillId="0" borderId="2" xfId="0" applyNumberFormat="1" applyFont="1" applyBorder="1"/>
    <xf numFmtId="165" fontId="1" fillId="0" borderId="0" xfId="0" applyNumberFormat="1" applyFont="1" applyAlignment="1">
      <alignment horizontal="right"/>
    </xf>
    <xf numFmtId="165" fontId="1" fillId="0" borderId="0" xfId="0" applyNumberFormat="1" applyFont="1" applyAlignment="1">
      <alignment horizontal="right" vertical="center"/>
    </xf>
    <xf numFmtId="1" fontId="9" fillId="0" borderId="6" xfId="0" applyNumberFormat="1" applyFont="1" applyBorder="1" applyAlignment="1">
      <alignment vertical="center"/>
    </xf>
    <xf numFmtId="1" fontId="9" fillId="0" borderId="0" xfId="0" applyNumberFormat="1" applyFont="1" applyAlignment="1">
      <alignment vertical="center"/>
    </xf>
    <xf numFmtId="2" fontId="9" fillId="3" borderId="6" xfId="0" applyNumberFormat="1" applyFont="1" applyFill="1" applyBorder="1" applyAlignment="1">
      <alignment vertical="center"/>
    </xf>
    <xf numFmtId="165" fontId="10" fillId="0" borderId="6" xfId="0" applyNumberFormat="1" applyFont="1" applyBorder="1"/>
    <xf numFmtId="164" fontId="9" fillId="0" borderId="0" xfId="0" applyNumberFormat="1" applyFont="1"/>
    <xf numFmtId="165" fontId="9" fillId="3" borderId="6" xfId="0" applyNumberFormat="1" applyFont="1" applyFill="1" applyBorder="1" applyAlignment="1">
      <alignment vertical="center"/>
    </xf>
    <xf numFmtId="166" fontId="9" fillId="0" borderId="2" xfId="0" applyNumberFormat="1" applyFont="1" applyBorder="1" applyAlignment="1">
      <alignment horizontal="right" vertical="center"/>
    </xf>
    <xf numFmtId="164" fontId="9" fillId="0" borderId="0" xfId="0" applyNumberFormat="1" applyFont="1" applyAlignment="1">
      <alignment horizontal="right" vertical="top" wrapText="1"/>
    </xf>
    <xf numFmtId="164" fontId="9" fillId="0" borderId="24" xfId="0" applyNumberFormat="1" applyFont="1" applyBorder="1" applyAlignment="1">
      <alignment horizontal="right" vertical="top" wrapText="1"/>
    </xf>
    <xf numFmtId="164" fontId="9" fillId="0" borderId="8" xfId="0" applyNumberFormat="1" applyFont="1" applyBorder="1" applyAlignment="1">
      <alignment horizontal="right"/>
    </xf>
    <xf numFmtId="165" fontId="9" fillId="0" borderId="25" xfId="0" applyNumberFormat="1" applyFont="1" applyBorder="1"/>
    <xf numFmtId="165" fontId="9" fillId="0" borderId="8" xfId="0" applyNumberFormat="1" applyFont="1" applyBorder="1"/>
    <xf numFmtId="9" fontId="9" fillId="0" borderId="3" xfId="0" applyNumberFormat="1" applyFont="1" applyBorder="1"/>
    <xf numFmtId="9" fontId="9" fillId="0" borderId="26" xfId="0" applyNumberFormat="1" applyFont="1" applyBorder="1"/>
    <xf numFmtId="165" fontId="9" fillId="0" borderId="0" xfId="0" applyNumberFormat="1" applyFont="1" applyAlignment="1">
      <alignment vertical="top"/>
    </xf>
    <xf numFmtId="167" fontId="9" fillId="0" borderId="1" xfId="0" applyNumberFormat="1" applyFont="1" applyBorder="1" applyAlignment="1">
      <alignment vertical="top"/>
    </xf>
    <xf numFmtId="164" fontId="0" fillId="3" borderId="0" xfId="0" applyNumberFormat="1" applyFill="1" applyAlignment="1">
      <alignment horizontal="right" vertical="center"/>
    </xf>
    <xf numFmtId="170" fontId="9" fillId="0" borderId="1" xfId="0" applyNumberFormat="1" applyFont="1" applyBorder="1"/>
    <xf numFmtId="165" fontId="0" fillId="3" borderId="0" xfId="0" applyNumberFormat="1" applyFill="1" applyAlignment="1">
      <alignment vertical="center"/>
    </xf>
    <xf numFmtId="169" fontId="9" fillId="0" borderId="1" xfId="0" applyNumberFormat="1" applyFont="1" applyBorder="1" applyAlignment="1">
      <alignment vertical="center"/>
    </xf>
    <xf numFmtId="169" fontId="9" fillId="0" borderId="2" xfId="0" applyNumberFormat="1" applyFont="1" applyBorder="1" applyAlignment="1">
      <alignment vertical="center"/>
    </xf>
    <xf numFmtId="2" fontId="9" fillId="0" borderId="0" xfId="0" applyNumberFormat="1" applyFont="1"/>
    <xf numFmtId="167" fontId="9" fillId="0" borderId="0" xfId="0" applyNumberFormat="1" applyFont="1" applyAlignment="1">
      <alignment horizontal="right"/>
    </xf>
    <xf numFmtId="167" fontId="9" fillId="0" borderId="1" xfId="0" applyNumberFormat="1" applyFont="1" applyBorder="1" applyAlignment="1">
      <alignment vertical="center"/>
    </xf>
    <xf numFmtId="167" fontId="9" fillId="0" borderId="2" xfId="0" applyNumberFormat="1" applyFont="1" applyBorder="1" applyAlignment="1">
      <alignment vertical="center"/>
    </xf>
    <xf numFmtId="1" fontId="1" fillId="0" borderId="0" xfId="0" applyNumberFormat="1" applyFont="1" applyAlignment="1">
      <alignment horizontal="center" vertical="center"/>
    </xf>
    <xf numFmtId="164" fontId="9" fillId="0" borderId="1" xfId="0" applyNumberFormat="1" applyFont="1" applyBorder="1"/>
    <xf numFmtId="164" fontId="9" fillId="0" borderId="0" xfId="0" applyNumberFormat="1" applyFont="1" applyAlignment="1">
      <alignment horizontal="right" vertical="top"/>
    </xf>
    <xf numFmtId="164" fontId="1" fillId="0" borderId="6" xfId="0" applyNumberFormat="1" applyFont="1" applyBorder="1"/>
    <xf numFmtId="1" fontId="0" fillId="0" borderId="5" xfId="0" applyNumberFormat="1" applyBorder="1"/>
    <xf numFmtId="2" fontId="0" fillId="3" borderId="3" xfId="0" applyNumberFormat="1" applyFill="1" applyBorder="1" applyAlignment="1">
      <alignment horizontal="left" vertical="top"/>
    </xf>
    <xf numFmtId="171" fontId="7" fillId="0" borderId="6" xfId="0" applyNumberFormat="1" applyFont="1" applyBorder="1" applyAlignment="1">
      <alignment horizontal="right"/>
    </xf>
    <xf numFmtId="171" fontId="7" fillId="0" borderId="6" xfId="0" applyNumberFormat="1" applyFont="1" applyBorder="1" applyAlignment="1">
      <alignment horizontal="right" vertical="top"/>
    </xf>
    <xf numFmtId="171" fontId="7" fillId="5" borderId="6" xfId="0" applyNumberFormat="1" applyFont="1" applyFill="1" applyBorder="1" applyAlignment="1">
      <alignment horizontal="right"/>
    </xf>
    <xf numFmtId="1" fontId="9" fillId="0" borderId="23" xfId="0" applyNumberFormat="1" applyFont="1" applyBorder="1" applyAlignment="1">
      <alignment horizontal="center" vertical="center"/>
    </xf>
    <xf numFmtId="170" fontId="0" fillId="0" borderId="2" xfId="0" applyNumberFormat="1" applyBorder="1"/>
    <xf numFmtId="164" fontId="9" fillId="3" borderId="29" xfId="0" applyNumberFormat="1" applyFont="1" applyFill="1" applyBorder="1" applyAlignment="1">
      <alignment horizontal="right"/>
    </xf>
    <xf numFmtId="165" fontId="9" fillId="0" borderId="33" xfId="0" applyNumberFormat="1" applyFont="1" applyBorder="1"/>
    <xf numFmtId="167" fontId="9" fillId="0" borderId="27" xfId="0" applyNumberFormat="1" applyFont="1" applyBorder="1"/>
    <xf numFmtId="1" fontId="9" fillId="0" borderId="29" xfId="0" applyNumberFormat="1" applyFont="1" applyBorder="1"/>
    <xf numFmtId="164" fontId="9" fillId="0" borderId="33" xfId="0" applyNumberFormat="1" applyFont="1" applyBorder="1"/>
    <xf numFmtId="9" fontId="9" fillId="0" borderId="30" xfId="0" applyNumberFormat="1" applyFont="1" applyBorder="1"/>
    <xf numFmtId="9" fontId="9" fillId="0" borderId="31" xfId="0" applyNumberFormat="1" applyFont="1" applyBorder="1"/>
    <xf numFmtId="167" fontId="9" fillId="0" borderId="28" xfId="0" applyNumberFormat="1" applyFont="1" applyBorder="1"/>
    <xf numFmtId="2" fontId="9" fillId="0" borderId="0" xfId="0" applyNumberFormat="1" applyFont="1" applyAlignment="1">
      <alignment horizontal="right"/>
    </xf>
    <xf numFmtId="167" fontId="9" fillId="0" borderId="1" xfId="0" applyNumberFormat="1" applyFont="1" applyBorder="1" applyAlignment="1">
      <alignment horizontal="right" vertical="center"/>
    </xf>
    <xf numFmtId="167" fontId="9" fillId="0" borderId="2" xfId="0" applyNumberFormat="1" applyFont="1" applyBorder="1" applyAlignment="1">
      <alignment horizontal="right" vertical="center"/>
    </xf>
    <xf numFmtId="164" fontId="9" fillId="3" borderId="6" xfId="0" applyNumberFormat="1" applyFont="1" applyFill="1" applyBorder="1"/>
    <xf numFmtId="170" fontId="9" fillId="3" borderId="6" xfId="0" applyNumberFormat="1" applyFont="1" applyFill="1" applyBorder="1"/>
    <xf numFmtId="167" fontId="9" fillId="0" borderId="24" xfId="0" applyNumberFormat="1" applyFont="1" applyBorder="1" applyAlignment="1">
      <alignment horizontal="right"/>
    </xf>
    <xf numFmtId="167" fontId="0" fillId="0" borderId="0" xfId="0" applyNumberFormat="1" applyAlignment="1">
      <alignment horizontal="right"/>
    </xf>
    <xf numFmtId="167" fontId="0" fillId="0" borderId="6" xfId="0" applyNumberFormat="1" applyBorder="1"/>
    <xf numFmtId="1" fontId="1" fillId="0" borderId="0" xfId="0" applyNumberFormat="1" applyFont="1" applyAlignment="1">
      <alignment horizontal="center"/>
    </xf>
    <xf numFmtId="164" fontId="9" fillId="3" borderId="24" xfId="0" applyNumberFormat="1" applyFont="1" applyFill="1" applyBorder="1" applyAlignment="1">
      <alignment horizontal="right"/>
    </xf>
    <xf numFmtId="165" fontId="1" fillId="0" borderId="0" xfId="0" applyNumberFormat="1" applyFont="1" applyAlignment="1">
      <alignment horizontal="right" vertical="top"/>
    </xf>
    <xf numFmtId="2" fontId="2" fillId="0" borderId="25" xfId="0" applyNumberFormat="1" applyFont="1" applyBorder="1" applyAlignment="1">
      <alignment horizontal="center" vertical="center"/>
    </xf>
    <xf numFmtId="164" fontId="1" fillId="3" borderId="0" xfId="0" applyNumberFormat="1" applyFont="1" applyFill="1" applyAlignment="1">
      <alignment horizontal="right"/>
    </xf>
    <xf numFmtId="164" fontId="1" fillId="3" borderId="24" xfId="0" applyNumberFormat="1" applyFont="1" applyFill="1" applyBorder="1" applyAlignment="1">
      <alignment horizontal="right"/>
    </xf>
    <xf numFmtId="164" fontId="0" fillId="3" borderId="1" xfId="0" applyNumberFormat="1" applyFill="1" applyBorder="1" applyAlignment="1">
      <alignment horizontal="center" vertical="center"/>
    </xf>
    <xf numFmtId="2" fontId="5" fillId="3" borderId="23" xfId="0" applyNumberFormat="1" applyFont="1" applyFill="1" applyBorder="1" applyAlignment="1">
      <alignment horizontal="center" vertical="center"/>
    </xf>
    <xf numFmtId="2" fontId="0" fillId="3" borderId="1" xfId="0" applyNumberFormat="1" applyFill="1" applyBorder="1" applyAlignment="1">
      <alignment horizontal="left" vertical="center"/>
    </xf>
    <xf numFmtId="2" fontId="0" fillId="3" borderId="1" xfId="0" applyNumberFormat="1" applyFill="1" applyBorder="1" applyAlignment="1">
      <alignment horizontal="left" vertical="top"/>
    </xf>
    <xf numFmtId="2" fontId="0" fillId="3" borderId="0" xfId="0" applyNumberFormat="1" applyFill="1" applyAlignment="1">
      <alignment horizontal="left" vertical="center"/>
    </xf>
    <xf numFmtId="2" fontId="1" fillId="3" borderId="0" xfId="0" applyNumberFormat="1" applyFont="1" applyFill="1" applyAlignment="1">
      <alignment horizontal="left" vertical="center"/>
    </xf>
    <xf numFmtId="2" fontId="0" fillId="3" borderId="0" xfId="0" applyNumberFormat="1" applyFill="1" applyAlignment="1">
      <alignment horizontal="left" vertical="top"/>
    </xf>
    <xf numFmtId="2" fontId="1" fillId="3" borderId="1" xfId="0" applyNumberFormat="1" applyFont="1" applyFill="1" applyBorder="1" applyAlignment="1">
      <alignment horizontal="left" vertical="top"/>
    </xf>
    <xf numFmtId="2" fontId="1" fillId="3" borderId="1" xfId="0" applyNumberFormat="1" applyFont="1" applyFill="1" applyBorder="1" applyAlignment="1">
      <alignment horizontal="left" vertical="center"/>
    </xf>
    <xf numFmtId="168" fontId="1" fillId="3" borderId="1" xfId="0" applyNumberFormat="1" applyFont="1" applyFill="1" applyBorder="1"/>
    <xf numFmtId="164" fontId="2" fillId="3" borderId="11" xfId="0" applyNumberFormat="1" applyFont="1" applyFill="1" applyBorder="1" applyAlignment="1">
      <alignment horizontal="right"/>
    </xf>
    <xf numFmtId="2" fontId="2" fillId="0" borderId="11" xfId="0" applyNumberFormat="1" applyFont="1" applyBorder="1" applyAlignment="1">
      <alignment horizontal="left" vertical="top" wrapText="1"/>
    </xf>
    <xf numFmtId="2" fontId="1" fillId="2" borderId="1" xfId="0" applyNumberFormat="1" applyFont="1" applyFill="1" applyBorder="1" applyAlignment="1">
      <alignment horizontal="left" vertical="center" wrapText="1"/>
    </xf>
    <xf numFmtId="167" fontId="1" fillId="5" borderId="1" xfId="0" applyNumberFormat="1" applyFont="1" applyFill="1" applyBorder="1" applyAlignment="1">
      <alignment horizontal="right" vertical="center"/>
    </xf>
    <xf numFmtId="167" fontId="1" fillId="5" borderId="2" xfId="0" applyNumberFormat="1" applyFont="1" applyFill="1" applyBorder="1" applyAlignment="1">
      <alignment horizontal="right" vertical="center"/>
    </xf>
    <xf numFmtId="164" fontId="1" fillId="2" borderId="0" xfId="0" applyNumberFormat="1" applyFont="1" applyFill="1" applyAlignment="1">
      <alignment horizontal="left" vertical="top" wrapText="1"/>
    </xf>
    <xf numFmtId="1" fontId="1" fillId="2" borderId="0" xfId="0" applyNumberFormat="1" applyFont="1" applyFill="1"/>
    <xf numFmtId="1" fontId="1" fillId="2" borderId="6" xfId="0" applyNumberFormat="1" applyFont="1" applyFill="1" applyBorder="1" applyAlignment="1">
      <alignment horizontal="right" vertical="center"/>
    </xf>
    <xf numFmtId="165" fontId="1" fillId="2" borderId="6" xfId="0" applyNumberFormat="1" applyFont="1" applyFill="1" applyBorder="1" applyAlignment="1">
      <alignment horizontal="right" vertical="center"/>
    </xf>
    <xf numFmtId="9" fontId="1" fillId="2" borderId="1" xfId="0" applyNumberFormat="1" applyFont="1" applyFill="1" applyBorder="1"/>
    <xf numFmtId="9" fontId="1" fillId="2" borderId="24" xfId="0" applyNumberFormat="1" applyFont="1" applyFill="1" applyBorder="1"/>
    <xf numFmtId="167" fontId="0" fillId="2" borderId="1" xfId="0" applyNumberFormat="1" applyFill="1" applyBorder="1"/>
    <xf numFmtId="167" fontId="0" fillId="2" borderId="2" xfId="0" applyNumberFormat="1" applyFill="1" applyBorder="1"/>
    <xf numFmtId="167" fontId="0" fillId="5" borderId="1" xfId="0" applyNumberFormat="1" applyFill="1" applyBorder="1"/>
    <xf numFmtId="167" fontId="0" fillId="5" borderId="2" xfId="0" applyNumberFormat="1" applyFill="1" applyBorder="1"/>
    <xf numFmtId="167" fontId="0" fillId="2" borderId="6" xfId="0" applyNumberFormat="1" applyFill="1" applyBorder="1" applyAlignment="1">
      <alignment horizontal="right" vertical="center"/>
    </xf>
    <xf numFmtId="167" fontId="0" fillId="5" borderId="6" xfId="0" applyNumberFormat="1" applyFill="1" applyBorder="1" applyAlignment="1">
      <alignment horizontal="right" vertical="center"/>
    </xf>
    <xf numFmtId="165" fontId="0" fillId="5" borderId="1" xfId="0" applyNumberFormat="1" applyFill="1" applyBorder="1" applyAlignment="1">
      <alignment horizontal="right" vertical="center"/>
    </xf>
    <xf numFmtId="165" fontId="0" fillId="5" borderId="2" xfId="0" applyNumberFormat="1" applyFill="1" applyBorder="1" applyAlignment="1">
      <alignment horizontal="right" vertical="center"/>
    </xf>
    <xf numFmtId="165" fontId="1" fillId="5" borderId="1" xfId="0" applyNumberFormat="1" applyFont="1" applyFill="1" applyBorder="1"/>
    <xf numFmtId="165" fontId="1" fillId="5" borderId="2" xfId="0" applyNumberFormat="1" applyFont="1" applyFill="1" applyBorder="1"/>
    <xf numFmtId="2" fontId="0" fillId="3" borderId="23" xfId="0" applyNumberFormat="1" applyFill="1" applyBorder="1" applyAlignment="1">
      <alignment horizontal="center" vertical="center"/>
    </xf>
    <xf numFmtId="1" fontId="0" fillId="3" borderId="23" xfId="0" applyNumberFormat="1" applyFill="1" applyBorder="1" applyAlignment="1">
      <alignment horizontal="center" vertical="center"/>
    </xf>
    <xf numFmtId="1" fontId="0" fillId="3" borderId="23" xfId="0" applyNumberFormat="1" applyFill="1" applyBorder="1" applyAlignment="1">
      <alignment horizontal="center" vertical="top"/>
    </xf>
    <xf numFmtId="1" fontId="0" fillId="3" borderId="23" xfId="0" applyNumberFormat="1" applyFill="1" applyBorder="1" applyAlignment="1">
      <alignment horizontal="center"/>
    </xf>
    <xf numFmtId="1" fontId="0" fillId="3" borderId="21" xfId="0" applyNumberFormat="1" applyFill="1" applyBorder="1" applyAlignment="1">
      <alignment horizontal="center" vertical="center"/>
    </xf>
    <xf numFmtId="1" fontId="0" fillId="3" borderId="23" xfId="0" applyNumberFormat="1" applyFill="1" applyBorder="1" applyAlignment="1">
      <alignment horizontal="center" vertical="top" wrapText="1"/>
    </xf>
    <xf numFmtId="1" fontId="0" fillId="3" borderId="1" xfId="0" applyNumberFormat="1" applyFill="1" applyBorder="1" applyAlignment="1">
      <alignment horizontal="center" vertical="center"/>
    </xf>
    <xf numFmtId="1" fontId="0" fillId="3" borderId="1" xfId="0" applyNumberFormat="1" applyFill="1" applyBorder="1" applyAlignment="1">
      <alignment horizontal="center" vertical="top"/>
    </xf>
    <xf numFmtId="1" fontId="2" fillId="3" borderId="9" xfId="0" applyNumberFormat="1" applyFont="1" applyFill="1" applyBorder="1" applyAlignment="1">
      <alignment horizontal="center"/>
    </xf>
    <xf numFmtId="1" fontId="0" fillId="3" borderId="1" xfId="0" applyNumberFormat="1" applyFill="1" applyBorder="1" applyAlignment="1">
      <alignment horizontal="center" vertical="top" wrapText="1"/>
    </xf>
    <xf numFmtId="1" fontId="9" fillId="3" borderId="1" xfId="0" applyNumberFormat="1" applyFont="1" applyFill="1" applyBorder="1" applyAlignment="1">
      <alignment horizontal="center" vertical="center"/>
    </xf>
    <xf numFmtId="167" fontId="0" fillId="0" borderId="1" xfId="0" applyNumberFormat="1" applyBorder="1" applyAlignment="1">
      <alignment vertical="top"/>
    </xf>
    <xf numFmtId="167" fontId="0" fillId="0" borderId="2" xfId="0" applyNumberFormat="1" applyBorder="1" applyAlignment="1">
      <alignment vertical="top"/>
    </xf>
    <xf numFmtId="165" fontId="1" fillId="0" borderId="1" xfId="0" applyNumberFormat="1" applyFont="1" applyBorder="1" applyAlignment="1">
      <alignment horizontal="right" vertical="center"/>
    </xf>
    <xf numFmtId="165" fontId="1" fillId="0" borderId="2" xfId="0" applyNumberFormat="1" applyFont="1" applyBorder="1" applyAlignment="1">
      <alignment horizontal="right" vertical="center"/>
    </xf>
    <xf numFmtId="1" fontId="1" fillId="0" borderId="0" xfId="0" applyNumberFormat="1" applyFont="1" applyAlignment="1">
      <alignment horizontal="right" vertical="center"/>
    </xf>
    <xf numFmtId="9" fontId="1" fillId="0" borderId="24" xfId="0" applyNumberFormat="1" applyFont="1" applyBorder="1" applyAlignment="1">
      <alignment horizontal="right" vertical="center"/>
    </xf>
    <xf numFmtId="167" fontId="1" fillId="0" borderId="1" xfId="0" applyNumberFormat="1" applyFont="1" applyBorder="1" applyAlignment="1">
      <alignment horizontal="right" vertical="center"/>
    </xf>
    <xf numFmtId="167" fontId="1" fillId="0" borderId="2" xfId="0" applyNumberFormat="1" applyFont="1" applyBorder="1" applyAlignment="1">
      <alignment horizontal="right" vertical="center"/>
    </xf>
    <xf numFmtId="167" fontId="1" fillId="0" borderId="6" xfId="0" applyNumberFormat="1" applyFont="1" applyBorder="1" applyAlignment="1">
      <alignment horizontal="right" vertical="center"/>
    </xf>
    <xf numFmtId="2" fontId="2" fillId="0" borderId="10" xfId="0" applyNumberFormat="1" applyFont="1" applyBorder="1" applyAlignment="1">
      <alignment horizontal="left" vertical="top" wrapText="1"/>
    </xf>
    <xf numFmtId="171" fontId="7" fillId="0" borderId="7" xfId="0" applyNumberFormat="1" applyFont="1" applyBorder="1" applyAlignment="1">
      <alignment horizontal="right"/>
    </xf>
    <xf numFmtId="2" fontId="1" fillId="0" borderId="0" xfId="0" applyNumberFormat="1" applyFont="1" applyAlignment="1">
      <alignment horizontal="left" vertical="center" wrapText="1"/>
    </xf>
    <xf numFmtId="2" fontId="2" fillId="0" borderId="5" xfId="0" applyNumberFormat="1" applyFont="1" applyBorder="1" applyAlignment="1">
      <alignment horizontal="left" vertical="top" wrapText="1"/>
    </xf>
    <xf numFmtId="2" fontId="2" fillId="0" borderId="6" xfId="0" applyNumberFormat="1" applyFont="1" applyBorder="1" applyAlignment="1">
      <alignment horizontal="left" vertical="center" wrapText="1"/>
    </xf>
    <xf numFmtId="2" fontId="2" fillId="0" borderId="5" xfId="0" applyNumberFormat="1" applyFont="1" applyBorder="1" applyAlignment="1">
      <alignment horizontal="left" vertical="top"/>
    </xf>
    <xf numFmtId="1" fontId="0" fillId="5" borderId="6" xfId="0" applyNumberFormat="1" applyFill="1" applyBorder="1"/>
    <xf numFmtId="2" fontId="0" fillId="0" borderId="6" xfId="0" applyNumberFormat="1" applyBorder="1" applyAlignment="1">
      <alignment horizontal="left" vertical="center"/>
    </xf>
    <xf numFmtId="2" fontId="0" fillId="3" borderId="7" xfId="0" applyNumberFormat="1" applyFill="1" applyBorder="1"/>
    <xf numFmtId="2" fontId="0" fillId="3" borderId="0" xfId="0" applyNumberFormat="1" applyFill="1" applyAlignment="1">
      <alignment vertical="center"/>
    </xf>
    <xf numFmtId="2" fontId="0" fillId="3" borderId="0" xfId="0" applyNumberFormat="1" applyFill="1" applyAlignment="1">
      <alignment vertical="top"/>
    </xf>
    <xf numFmtId="167" fontId="0" fillId="3" borderId="1" xfId="0" applyNumberFormat="1" applyFill="1" applyBorder="1" applyAlignment="1">
      <alignment vertical="center"/>
    </xf>
    <xf numFmtId="167" fontId="0" fillId="3" borderId="2" xfId="0" applyNumberFormat="1" applyFill="1" applyBorder="1" applyAlignment="1">
      <alignment vertical="center"/>
    </xf>
    <xf numFmtId="167" fontId="1" fillId="0" borderId="1" xfId="0" applyNumberFormat="1" applyFont="1" applyBorder="1"/>
    <xf numFmtId="167" fontId="1" fillId="0" borderId="2" xfId="0" applyNumberFormat="1" applyFont="1" applyBorder="1"/>
    <xf numFmtId="171" fontId="7" fillId="0" borderId="6" xfId="0" applyNumberFormat="1" applyFont="1" applyBorder="1" applyAlignment="1">
      <alignment horizontal="left"/>
    </xf>
    <xf numFmtId="169" fontId="1" fillId="0" borderId="1" xfId="0" applyNumberFormat="1" applyFont="1" applyBorder="1"/>
    <xf numFmtId="169" fontId="1" fillId="0" borderId="2" xfId="0" applyNumberFormat="1" applyFont="1" applyBorder="1"/>
    <xf numFmtId="1" fontId="1" fillId="0" borderId="0" xfId="0" applyNumberFormat="1" applyFont="1"/>
    <xf numFmtId="167" fontId="1" fillId="0" borderId="6" xfId="0" applyNumberFormat="1" applyFont="1" applyBorder="1"/>
    <xf numFmtId="1" fontId="1" fillId="0" borderId="6" xfId="0" applyNumberFormat="1" applyFont="1" applyBorder="1" applyAlignment="1">
      <alignment horizontal="right" vertical="center" wrapText="1"/>
    </xf>
    <xf numFmtId="165" fontId="1" fillId="0" borderId="1" xfId="0" applyNumberFormat="1" applyFont="1" applyBorder="1" applyAlignment="1">
      <alignment vertical="top"/>
    </xf>
    <xf numFmtId="165" fontId="1" fillId="0" borderId="2" xfId="0" applyNumberFormat="1" applyFont="1" applyBorder="1" applyAlignment="1">
      <alignment vertical="top"/>
    </xf>
    <xf numFmtId="165" fontId="1" fillId="0" borderId="6" xfId="0" applyNumberFormat="1" applyFont="1" applyBorder="1" applyAlignment="1">
      <alignment vertical="top"/>
    </xf>
    <xf numFmtId="164" fontId="1" fillId="0" borderId="6" xfId="0" applyNumberFormat="1" applyFont="1" applyBorder="1" applyAlignment="1">
      <alignment vertical="top"/>
    </xf>
    <xf numFmtId="2" fontId="1" fillId="0" borderId="1" xfId="0" applyNumberFormat="1" applyFont="1" applyBorder="1" applyAlignment="1">
      <alignment vertical="top"/>
    </xf>
    <xf numFmtId="2" fontId="1" fillId="0" borderId="24" xfId="0" applyNumberFormat="1" applyFont="1" applyBorder="1" applyAlignment="1">
      <alignment vertical="top"/>
    </xf>
    <xf numFmtId="9" fontId="1" fillId="0" borderId="1" xfId="0" applyNumberFormat="1" applyFont="1" applyBorder="1" applyAlignment="1">
      <alignment vertical="top"/>
    </xf>
    <xf numFmtId="167" fontId="1" fillId="0" borderId="6" xfId="0" applyNumberFormat="1" applyFont="1" applyBorder="1" applyAlignment="1">
      <alignment horizontal="right" vertical="center" wrapText="1"/>
    </xf>
    <xf numFmtId="167" fontId="5" fillId="0" borderId="6" xfId="0" applyNumberFormat="1" applyFont="1" applyBorder="1" applyAlignment="1">
      <alignment horizontal="right" vertical="center" wrapText="1"/>
    </xf>
    <xf numFmtId="9" fontId="1" fillId="0" borderId="0" xfId="0" applyNumberFormat="1" applyFont="1" applyAlignment="1">
      <alignment horizontal="right" vertical="center"/>
    </xf>
    <xf numFmtId="1" fontId="1" fillId="0" borderId="0" xfId="0" applyNumberFormat="1" applyFont="1" applyAlignment="1">
      <alignment vertical="top"/>
    </xf>
    <xf numFmtId="9" fontId="1" fillId="0" borderId="0" xfId="0" applyNumberFormat="1" applyFont="1" applyAlignment="1">
      <alignment vertical="top"/>
    </xf>
    <xf numFmtId="164" fontId="2" fillId="0" borderId="21" xfId="0" applyNumberFormat="1" applyFont="1" applyBorder="1" applyAlignment="1">
      <alignment horizontal="right" vertical="center"/>
    </xf>
    <xf numFmtId="164" fontId="1" fillId="0" borderId="2" xfId="0" applyNumberFormat="1" applyFont="1" applyBorder="1" applyAlignment="1">
      <alignment horizontal="right" vertical="center"/>
    </xf>
    <xf numFmtId="167" fontId="14" fillId="0" borderId="6" xfId="0" applyNumberFormat="1" applyFont="1" applyBorder="1" applyAlignment="1">
      <alignment horizontal="right" vertical="center"/>
    </xf>
    <xf numFmtId="1" fontId="1" fillId="0" borderId="6" xfId="0" applyNumberFormat="1" applyFont="1" applyBorder="1"/>
    <xf numFmtId="0" fontId="1" fillId="0" borderId="0" xfId="0" applyFont="1" applyAlignment="1">
      <alignment horizontal="left"/>
    </xf>
    <xf numFmtId="2" fontId="2" fillId="0" borderId="14" xfId="0" applyNumberFormat="1" applyFont="1" applyBorder="1" applyAlignment="1">
      <alignment horizontal="left" vertical="center" wrapText="1"/>
    </xf>
    <xf numFmtId="171" fontId="7" fillId="0" borderId="7" xfId="0" applyNumberFormat="1" applyFont="1" applyBorder="1" applyAlignment="1">
      <alignment horizontal="left"/>
    </xf>
    <xf numFmtId="1" fontId="0" fillId="0" borderId="6" xfId="0" applyNumberFormat="1" applyBorder="1" applyAlignment="1">
      <alignment horizontal="left" vertical="center"/>
    </xf>
    <xf numFmtId="171" fontId="7" fillId="0" borderId="6" xfId="0" applyNumberFormat="1" applyFont="1" applyBorder="1" applyAlignment="1">
      <alignment horizontal="left" vertical="top"/>
    </xf>
    <xf numFmtId="2" fontId="2" fillId="0" borderId="9" xfId="0" applyNumberFormat="1" applyFont="1" applyBorder="1" applyAlignment="1">
      <alignment horizontal="left"/>
    </xf>
    <xf numFmtId="1" fontId="0" fillId="0" borderId="0" xfId="0" applyNumberFormat="1" applyAlignment="1">
      <alignment horizontal="left"/>
    </xf>
    <xf numFmtId="1" fontId="1" fillId="0" borderId="2" xfId="0" applyNumberFormat="1" applyFont="1" applyBorder="1"/>
    <xf numFmtId="164" fontId="0" fillId="0" borderId="23" xfId="0" applyNumberFormat="1" applyBorder="1" applyAlignment="1">
      <alignment horizontal="right" vertical="center"/>
    </xf>
    <xf numFmtId="171" fontId="7" fillId="0" borderId="1" xfId="0" applyNumberFormat="1" applyFont="1" applyBorder="1" applyAlignment="1">
      <alignment horizontal="left"/>
    </xf>
    <xf numFmtId="2" fontId="8" fillId="0" borderId="6" xfId="1" applyNumberFormat="1" applyBorder="1" applyAlignment="1" applyProtection="1">
      <alignment vertical="top" wrapText="1"/>
    </xf>
    <xf numFmtId="9" fontId="14" fillId="0" borderId="0" xfId="0" applyNumberFormat="1" applyFont="1" applyAlignment="1">
      <alignment horizontal="right" vertical="center"/>
    </xf>
    <xf numFmtId="1" fontId="1" fillId="0" borderId="0" xfId="0" applyNumberFormat="1" applyFont="1" applyAlignment="1">
      <alignment horizontal="right" vertical="center" wrapText="1"/>
    </xf>
    <xf numFmtId="2" fontId="1" fillId="0" borderId="0" xfId="0" applyNumberFormat="1" applyFont="1" applyAlignment="1">
      <alignment horizontal="right" vertical="center"/>
    </xf>
    <xf numFmtId="169" fontId="1" fillId="0" borderId="6" xfId="0" applyNumberFormat="1" applyFont="1" applyBorder="1" applyAlignment="1">
      <alignment horizontal="right" vertical="center" wrapText="1"/>
    </xf>
    <xf numFmtId="169" fontId="0" fillId="0" borderId="1" xfId="0" applyNumberFormat="1" applyBorder="1" applyAlignment="1">
      <alignment vertical="center"/>
    </xf>
    <xf numFmtId="169" fontId="0" fillId="0" borderId="2" xfId="0" applyNumberFormat="1" applyBorder="1" applyAlignment="1">
      <alignment vertical="center"/>
    </xf>
    <xf numFmtId="167" fontId="0" fillId="0" borderId="0" xfId="0" applyNumberFormat="1"/>
    <xf numFmtId="165" fontId="1" fillId="3" borderId="1" xfId="0" applyNumberFormat="1" applyFont="1" applyFill="1" applyBorder="1" applyAlignment="1">
      <alignment horizontal="right" vertical="center"/>
    </xf>
    <xf numFmtId="165" fontId="1" fillId="3" borderId="2" xfId="0" applyNumberFormat="1" applyFont="1" applyFill="1" applyBorder="1" applyAlignment="1">
      <alignment horizontal="right" vertical="center"/>
    </xf>
    <xf numFmtId="165" fontId="1" fillId="0" borderId="6" xfId="0" applyNumberFormat="1" applyFont="1" applyBorder="1" applyAlignment="1">
      <alignment horizontal="right" vertical="center"/>
    </xf>
    <xf numFmtId="166" fontId="1" fillId="0" borderId="24" xfId="0" applyNumberFormat="1" applyFont="1" applyBorder="1" applyAlignment="1">
      <alignment horizontal="right" vertical="center"/>
    </xf>
    <xf numFmtId="167" fontId="1" fillId="0" borderId="6" xfId="0" applyNumberFormat="1" applyFont="1" applyBorder="1" applyAlignment="1">
      <alignment vertical="center"/>
    </xf>
    <xf numFmtId="167" fontId="1" fillId="3" borderId="1" xfId="0" applyNumberFormat="1" applyFont="1" applyFill="1" applyBorder="1" applyAlignment="1">
      <alignment horizontal="right" vertical="center"/>
    </xf>
    <xf numFmtId="167" fontId="1" fillId="3" borderId="2" xfId="0" applyNumberFormat="1" applyFont="1" applyFill="1" applyBorder="1" applyAlignment="1">
      <alignment horizontal="right" vertical="center"/>
    </xf>
    <xf numFmtId="170" fontId="0" fillId="0" borderId="0" xfId="0" applyNumberFormat="1"/>
    <xf numFmtId="170" fontId="9" fillId="3" borderId="0" xfId="0" applyNumberFormat="1" applyFont="1" applyFill="1"/>
    <xf numFmtId="165" fontId="9" fillId="0" borderId="29" xfId="0" applyNumberFormat="1" applyFont="1" applyBorder="1"/>
    <xf numFmtId="49" fontId="0" fillId="2" borderId="26" xfId="0" applyNumberFormat="1" applyFill="1" applyBorder="1" applyAlignment="1">
      <alignment horizontal="right" vertical="center"/>
    </xf>
    <xf numFmtId="9" fontId="5" fillId="2" borderId="24" xfId="0" applyNumberFormat="1" applyFont="1" applyFill="1" applyBorder="1" applyAlignment="1">
      <alignment horizontal="right" vertical="center"/>
    </xf>
    <xf numFmtId="9" fontId="0" fillId="0" borderId="26" xfId="0" applyNumberFormat="1" applyBorder="1" applyAlignment="1">
      <alignment horizontal="right" vertical="center"/>
    </xf>
    <xf numFmtId="9" fontId="1" fillId="0" borderId="24" xfId="0" applyNumberFormat="1" applyFont="1" applyBorder="1" applyAlignment="1">
      <alignment horizontal="right" vertical="top" wrapText="1"/>
    </xf>
    <xf numFmtId="9" fontId="1" fillId="0" borderId="24" xfId="0" applyNumberFormat="1" applyFont="1" applyBorder="1" applyAlignment="1">
      <alignment horizontal="right" vertical="top"/>
    </xf>
    <xf numFmtId="9" fontId="1" fillId="3" borderId="24" xfId="0" applyNumberFormat="1" applyFont="1" applyFill="1" applyBorder="1" applyAlignment="1">
      <alignment horizontal="right" vertical="top"/>
    </xf>
    <xf numFmtId="166" fontId="14" fillId="0" borderId="24" xfId="0" applyNumberFormat="1" applyFont="1" applyBorder="1" applyAlignment="1">
      <alignment horizontal="right" vertical="center"/>
    </xf>
    <xf numFmtId="9" fontId="2" fillId="0" borderId="24" xfId="0" applyNumberFormat="1" applyFont="1" applyBorder="1" applyAlignment="1">
      <alignment horizontal="right" vertical="center"/>
    </xf>
    <xf numFmtId="9" fontId="0" fillId="0" borderId="31" xfId="0" applyNumberFormat="1" applyBorder="1" applyAlignment="1">
      <alignment horizontal="right" vertical="center"/>
    </xf>
    <xf numFmtId="169" fontId="1" fillId="0" borderId="6" xfId="0" applyNumberFormat="1" applyFont="1" applyBorder="1" applyAlignment="1">
      <alignment horizontal="right" vertical="center"/>
    </xf>
    <xf numFmtId="169" fontId="1" fillId="0" borderId="1" xfId="0" applyNumberFormat="1" applyFont="1" applyBorder="1" applyAlignment="1">
      <alignment horizontal="right" vertical="center"/>
    </xf>
    <xf numFmtId="169" fontId="1" fillId="0" borderId="2" xfId="0" applyNumberFormat="1" applyFont="1" applyBorder="1" applyAlignment="1">
      <alignment horizontal="right" vertical="center"/>
    </xf>
    <xf numFmtId="169" fontId="0" fillId="0" borderId="1" xfId="0" applyNumberFormat="1" applyBorder="1"/>
    <xf numFmtId="170" fontId="1" fillId="0" borderId="6" xfId="0" applyNumberFormat="1" applyFont="1" applyBorder="1"/>
    <xf numFmtId="170" fontId="1" fillId="0" borderId="1" xfId="0" applyNumberFormat="1" applyFont="1" applyBorder="1"/>
    <xf numFmtId="170" fontId="1" fillId="0" borderId="2" xfId="0" applyNumberFormat="1" applyFont="1" applyBorder="1"/>
    <xf numFmtId="170" fontId="1" fillId="0" borderId="6" xfId="0" applyNumberFormat="1" applyFont="1" applyBorder="1" applyAlignment="1">
      <alignment horizontal="right" vertical="center"/>
    </xf>
    <xf numFmtId="170" fontId="1" fillId="0" borderId="1" xfId="0" applyNumberFormat="1" applyFont="1" applyBorder="1" applyAlignment="1">
      <alignment horizontal="right" vertical="center"/>
    </xf>
    <xf numFmtId="170" fontId="1" fillId="0" borderId="2" xfId="0" applyNumberFormat="1" applyFont="1" applyBorder="1" applyAlignment="1">
      <alignment horizontal="right" vertical="center"/>
    </xf>
    <xf numFmtId="170" fontId="1" fillId="0" borderId="6" xfId="0" applyNumberFormat="1" applyFont="1" applyBorder="1" applyAlignment="1">
      <alignment vertical="center"/>
    </xf>
    <xf numFmtId="170" fontId="1" fillId="3" borderId="1" xfId="0" applyNumberFormat="1" applyFont="1" applyFill="1" applyBorder="1" applyAlignment="1">
      <alignment horizontal="right" vertical="center"/>
    </xf>
    <xf numFmtId="170" fontId="1" fillId="3" borderId="2" xfId="0" applyNumberFormat="1" applyFont="1" applyFill="1" applyBorder="1" applyAlignment="1">
      <alignment horizontal="right" vertical="center"/>
    </xf>
    <xf numFmtId="165" fontId="10" fillId="0" borderId="1" xfId="0" applyNumberFormat="1" applyFont="1" applyBorder="1"/>
    <xf numFmtId="164" fontId="1" fillId="0" borderId="0" xfId="0" applyNumberFormat="1" applyFont="1"/>
    <xf numFmtId="2" fontId="8" fillId="0" borderId="6" xfId="1" applyNumberFormat="1" applyFill="1" applyBorder="1" applyAlignment="1" applyProtection="1">
      <alignment horizontal="left" vertical="top" wrapText="1"/>
    </xf>
    <xf numFmtId="2" fontId="1" fillId="3" borderId="0" xfId="0" applyNumberFormat="1" applyFont="1" applyFill="1" applyAlignment="1">
      <alignment horizontal="right"/>
    </xf>
    <xf numFmtId="165" fontId="1" fillId="0" borderId="2" xfId="0" applyNumberFormat="1" applyFont="1" applyBorder="1"/>
    <xf numFmtId="165" fontId="1" fillId="0" borderId="6" xfId="0" applyNumberFormat="1" applyFont="1" applyBorder="1"/>
    <xf numFmtId="2" fontId="0" fillId="5" borderId="10" xfId="0" applyNumberFormat="1" applyFill="1" applyBorder="1" applyAlignment="1">
      <alignment horizontal="right"/>
    </xf>
    <xf numFmtId="164" fontId="2" fillId="3" borderId="0" xfId="0" applyNumberFormat="1" applyFont="1" applyFill="1" applyAlignment="1">
      <alignment horizontal="right"/>
    </xf>
    <xf numFmtId="1" fontId="0" fillId="2" borderId="0" xfId="0" applyNumberFormat="1" applyFill="1" applyAlignment="1">
      <alignment horizontal="center"/>
    </xf>
    <xf numFmtId="1" fontId="0" fillId="5" borderId="0" xfId="0" applyNumberFormat="1" applyFill="1" applyAlignment="1">
      <alignment horizontal="center" vertical="center"/>
    </xf>
    <xf numFmtId="1" fontId="0" fillId="2" borderId="9" xfId="0" applyNumberFormat="1" applyFill="1" applyBorder="1" applyAlignment="1">
      <alignment horizontal="center"/>
    </xf>
    <xf numFmtId="164" fontId="0" fillId="0" borderId="12" xfId="0" applyNumberFormat="1" applyBorder="1"/>
    <xf numFmtId="164" fontId="0" fillId="0" borderId="13" xfId="0" applyNumberFormat="1" applyBorder="1"/>
    <xf numFmtId="164" fontId="0" fillId="2" borderId="1" xfId="0" applyNumberFormat="1" applyFill="1" applyBorder="1" applyAlignment="1">
      <alignment horizontal="right" vertical="center"/>
    </xf>
    <xf numFmtId="164" fontId="1" fillId="2" borderId="2" xfId="0" applyNumberFormat="1" applyFont="1" applyFill="1" applyBorder="1" applyAlignment="1">
      <alignment horizontal="right" vertical="center"/>
    </xf>
    <xf numFmtId="1" fontId="0" fillId="2" borderId="0" xfId="0" applyNumberFormat="1" applyFill="1" applyAlignment="1">
      <alignment horizontal="center" vertical="center"/>
    </xf>
    <xf numFmtId="167" fontId="1" fillId="2" borderId="6" xfId="0" applyNumberFormat="1" applyFont="1" applyFill="1" applyBorder="1" applyAlignment="1">
      <alignment horizontal="right" vertical="center"/>
    </xf>
    <xf numFmtId="169" fontId="1" fillId="5" borderId="1" xfId="0" applyNumberFormat="1" applyFont="1" applyFill="1" applyBorder="1" applyAlignment="1">
      <alignment horizontal="right" vertical="center"/>
    </xf>
    <xf numFmtId="169" fontId="1" fillId="5" borderId="2" xfId="0" applyNumberFormat="1" applyFont="1" applyFill="1" applyBorder="1" applyAlignment="1">
      <alignment horizontal="right" vertical="center"/>
    </xf>
    <xf numFmtId="171" fontId="7" fillId="5" borderId="6" xfId="0" applyNumberFormat="1" applyFont="1" applyFill="1" applyBorder="1" applyAlignment="1">
      <alignment horizontal="right" vertical="center"/>
    </xf>
    <xf numFmtId="2" fontId="1" fillId="2" borderId="23" xfId="0" applyNumberFormat="1" applyFont="1" applyFill="1" applyBorder="1" applyAlignment="1">
      <alignment horizontal="center" vertical="center" wrapText="1"/>
    </xf>
    <xf numFmtId="164" fontId="1" fillId="2" borderId="0" xfId="0" applyNumberFormat="1" applyFont="1" applyFill="1" applyAlignment="1">
      <alignment horizontal="right" vertical="center" wrapText="1"/>
    </xf>
    <xf numFmtId="9" fontId="1" fillId="2" borderId="24" xfId="0" applyNumberFormat="1" applyFont="1" applyFill="1" applyBorder="1" applyAlignment="1">
      <alignment horizontal="right" vertical="center"/>
    </xf>
    <xf numFmtId="166" fontId="0" fillId="2" borderId="1" xfId="0" applyNumberFormat="1" applyFill="1" applyBorder="1" applyAlignment="1">
      <alignment horizontal="right" vertical="center"/>
    </xf>
    <xf numFmtId="166" fontId="5" fillId="2" borderId="24" xfId="0" applyNumberFormat="1" applyFont="1" applyFill="1" applyBorder="1" applyAlignment="1">
      <alignment horizontal="right" vertical="center"/>
    </xf>
    <xf numFmtId="2" fontId="0" fillId="2" borderId="2" xfId="0" applyNumberFormat="1" applyFill="1" applyBorder="1" applyAlignment="1">
      <alignment horizontal="right" vertical="center"/>
    </xf>
    <xf numFmtId="2" fontId="0" fillId="2" borderId="0" xfId="0" applyNumberFormat="1" applyFill="1" applyAlignment="1">
      <alignment horizontal="right" vertical="center"/>
    </xf>
    <xf numFmtId="2" fontId="8" fillId="4" borderId="6" xfId="1" applyNumberFormat="1" applyFill="1" applyBorder="1" applyAlignment="1" applyProtection="1">
      <alignment wrapText="1"/>
    </xf>
    <xf numFmtId="0" fontId="0" fillId="5" borderId="6" xfId="0" applyFill="1" applyBorder="1"/>
    <xf numFmtId="2" fontId="0" fillId="2" borderId="24" xfId="0" applyNumberFormat="1" applyFill="1" applyBorder="1" applyAlignment="1">
      <alignment horizontal="right" vertical="center"/>
    </xf>
    <xf numFmtId="169" fontId="0" fillId="2" borderId="6" xfId="0" applyNumberFormat="1" applyFill="1" applyBorder="1" applyAlignment="1">
      <alignment horizontal="right" vertical="center"/>
    </xf>
    <xf numFmtId="169" fontId="0" fillId="5" borderId="1" xfId="0" applyNumberFormat="1" applyFill="1" applyBorder="1"/>
    <xf numFmtId="169" fontId="0" fillId="5" borderId="2" xfId="0" applyNumberFormat="1" applyFill="1" applyBorder="1"/>
    <xf numFmtId="0" fontId="1" fillId="5" borderId="6" xfId="0" applyFont="1" applyFill="1" applyBorder="1"/>
    <xf numFmtId="2" fontId="8" fillId="0" borderId="6" xfId="1" applyNumberFormat="1" applyBorder="1" applyAlignment="1" applyProtection="1">
      <alignment wrapText="1"/>
    </xf>
    <xf numFmtId="166" fontId="0" fillId="0" borderId="1" xfId="0" applyNumberFormat="1" applyBorder="1" applyAlignment="1">
      <alignment horizontal="right" vertical="center"/>
    </xf>
    <xf numFmtId="166" fontId="0" fillId="0" borderId="24" xfId="0" applyNumberFormat="1" applyBorder="1" applyAlignment="1">
      <alignment horizontal="right" vertical="center"/>
    </xf>
    <xf numFmtId="169" fontId="1" fillId="0" borderId="6" xfId="0" applyNumberFormat="1" applyFont="1" applyBorder="1"/>
    <xf numFmtId="9" fontId="1" fillId="0" borderId="24" xfId="0" applyNumberFormat="1" applyFont="1" applyBorder="1" applyAlignment="1">
      <alignment vertical="center"/>
    </xf>
    <xf numFmtId="2" fontId="1" fillId="0" borderId="6" xfId="0" applyNumberFormat="1" applyFont="1" applyBorder="1" applyAlignment="1">
      <alignment horizontal="left" vertical="top"/>
    </xf>
    <xf numFmtId="164" fontId="0" fillId="0" borderId="24" xfId="0" applyNumberFormat="1" applyBorder="1" applyAlignment="1">
      <alignment vertical="top"/>
    </xf>
    <xf numFmtId="167" fontId="1" fillId="0" borderId="1" xfId="0" applyNumberFormat="1" applyFont="1" applyBorder="1" applyAlignment="1">
      <alignment vertical="top"/>
    </xf>
    <xf numFmtId="167" fontId="1" fillId="0" borderId="6" xfId="0" applyNumberFormat="1" applyFont="1" applyBorder="1" applyAlignment="1">
      <alignment vertical="top"/>
    </xf>
    <xf numFmtId="165" fontId="0" fillId="3" borderId="6" xfId="0" applyNumberFormat="1" applyFill="1" applyBorder="1" applyAlignment="1">
      <alignment vertical="top"/>
    </xf>
    <xf numFmtId="165" fontId="2" fillId="0" borderId="6" xfId="0" applyNumberFormat="1" applyFont="1" applyBorder="1" applyAlignment="1">
      <alignment vertical="top"/>
    </xf>
    <xf numFmtId="165" fontId="9" fillId="0" borderId="1" xfId="0" applyNumberFormat="1" applyFont="1" applyBorder="1" applyAlignment="1">
      <alignment vertical="top"/>
    </xf>
    <xf numFmtId="2" fontId="8" fillId="0" borderId="6" xfId="1" applyNumberFormat="1" applyFill="1" applyBorder="1" applyAlignment="1" applyProtection="1">
      <alignment vertical="top" wrapText="1"/>
    </xf>
    <xf numFmtId="169" fontId="14" fillId="0" borderId="6" xfId="0" applyNumberFormat="1" applyFont="1" applyBorder="1" applyAlignment="1">
      <alignment horizontal="right" vertical="center"/>
    </xf>
    <xf numFmtId="169" fontId="0" fillId="0" borderId="1" xfId="0" applyNumberFormat="1" applyBorder="1" applyAlignment="1">
      <alignment horizontal="right" vertical="center"/>
    </xf>
    <xf numFmtId="169" fontId="0" fillId="0" borderId="2" xfId="0" applyNumberFormat="1" applyBorder="1" applyAlignment="1">
      <alignment horizontal="right" vertical="center"/>
    </xf>
    <xf numFmtId="1" fontId="1" fillId="0" borderId="1" xfId="0" applyNumberFormat="1" applyFont="1" applyBorder="1"/>
    <xf numFmtId="167" fontId="0" fillId="3" borderId="0" xfId="0" applyNumberFormat="1" applyFill="1" applyAlignment="1">
      <alignment vertical="center"/>
    </xf>
    <xf numFmtId="1" fontId="1" fillId="2" borderId="23" xfId="0" applyNumberFormat="1" applyFont="1" applyFill="1" applyBorder="1" applyAlignment="1">
      <alignment horizontal="center" vertical="center" wrapText="1"/>
    </xf>
    <xf numFmtId="1" fontId="0" fillId="3" borderId="6" xfId="0" applyNumberFormat="1" applyFill="1" applyBorder="1" applyAlignment="1">
      <alignment horizontal="right" vertical="center"/>
    </xf>
    <xf numFmtId="166" fontId="0" fillId="0" borderId="1" xfId="0" applyNumberFormat="1" applyBorder="1"/>
    <xf numFmtId="167" fontId="0" fillId="0" borderId="24" xfId="0" applyNumberFormat="1" applyBorder="1" applyAlignment="1">
      <alignment horizontal="right"/>
    </xf>
    <xf numFmtId="170" fontId="0" fillId="0" borderId="6" xfId="0" applyNumberFormat="1" applyBorder="1"/>
    <xf numFmtId="170" fontId="0" fillId="0" borderId="1" xfId="0" applyNumberFormat="1" applyBorder="1"/>
    <xf numFmtId="169" fontId="0" fillId="0" borderId="6" xfId="0" applyNumberFormat="1" applyBorder="1" applyAlignment="1">
      <alignment vertical="center"/>
    </xf>
    <xf numFmtId="170" fontId="0" fillId="0" borderId="6" xfId="0" applyNumberFormat="1" applyBorder="1" applyAlignment="1">
      <alignment vertical="center"/>
    </xf>
    <xf numFmtId="170" fontId="0" fillId="0" borderId="1" xfId="0" applyNumberFormat="1" applyBorder="1" applyAlignment="1">
      <alignment vertical="center"/>
    </xf>
    <xf numFmtId="170" fontId="0" fillId="0" borderId="2" xfId="0" applyNumberFormat="1" applyBorder="1" applyAlignment="1">
      <alignment vertical="center"/>
    </xf>
    <xf numFmtId="165" fontId="1" fillId="0" borderId="24" xfId="0" applyNumberFormat="1" applyFont="1" applyBorder="1" applyAlignment="1">
      <alignment horizontal="right" vertical="center"/>
    </xf>
    <xf numFmtId="164" fontId="2" fillId="0" borderId="13" xfId="0" applyNumberFormat="1" applyFont="1" applyBorder="1" applyAlignment="1">
      <alignment horizontal="right" vertical="top"/>
    </xf>
    <xf numFmtId="169" fontId="0" fillId="0" borderId="6" xfId="0" applyNumberFormat="1" applyBorder="1" applyAlignment="1">
      <alignment horizontal="right" vertical="center"/>
    </xf>
    <xf numFmtId="164" fontId="0" fillId="0" borderId="3" xfId="0" applyNumberFormat="1" applyBorder="1"/>
    <xf numFmtId="164" fontId="2" fillId="0" borderId="0" xfId="0" applyNumberFormat="1" applyFont="1" applyAlignment="1">
      <alignment horizontal="right" vertical="center"/>
    </xf>
    <xf numFmtId="164" fontId="9" fillId="0" borderId="29" xfId="0" applyNumberFormat="1" applyFont="1" applyBorder="1" applyAlignment="1">
      <alignment horizontal="right"/>
    </xf>
    <xf numFmtId="2" fontId="0" fillId="5" borderId="0" xfId="0" applyNumberFormat="1" applyFill="1"/>
    <xf numFmtId="1" fontId="1" fillId="3" borderId="1" xfId="0" applyNumberFormat="1" applyFont="1" applyFill="1" applyBorder="1" applyAlignment="1">
      <alignment horizontal="center" vertical="center"/>
    </xf>
    <xf numFmtId="169" fontId="0" fillId="0" borderId="2" xfId="0" applyNumberFormat="1" applyBorder="1"/>
    <xf numFmtId="170" fontId="0" fillId="0" borderId="6" xfId="0" applyNumberFormat="1" applyBorder="1" applyAlignment="1">
      <alignment horizontal="right" vertical="center"/>
    </xf>
    <xf numFmtId="165" fontId="0" fillId="0" borderId="24" xfId="0" applyNumberFormat="1" applyBorder="1" applyAlignment="1">
      <alignment horizontal="right" vertical="center"/>
    </xf>
    <xf numFmtId="43" fontId="0" fillId="0" borderId="0" xfId="3" applyFont="1" applyBorder="1" applyAlignment="1">
      <alignment horizontal="right" vertical="center"/>
    </xf>
    <xf numFmtId="0" fontId="2" fillId="0" borderId="0" xfId="0" applyFont="1"/>
    <xf numFmtId="2" fontId="1" fillId="0" borderId="24" xfId="0" applyNumberFormat="1" applyFont="1" applyBorder="1" applyAlignment="1">
      <alignment horizontal="right"/>
    </xf>
    <xf numFmtId="2" fontId="1" fillId="0" borderId="1" xfId="0" applyNumberFormat="1" applyFont="1" applyBorder="1" applyAlignment="1">
      <alignment horizontal="left"/>
    </xf>
    <xf numFmtId="165" fontId="0" fillId="2" borderId="24" xfId="0" applyNumberFormat="1" applyFill="1" applyBorder="1" applyAlignment="1">
      <alignment horizontal="right" vertical="center"/>
    </xf>
    <xf numFmtId="170" fontId="0" fillId="2" borderId="6" xfId="0" applyNumberFormat="1" applyFill="1" applyBorder="1" applyAlignment="1">
      <alignment horizontal="right" vertical="center"/>
    </xf>
    <xf numFmtId="170" fontId="0" fillId="5" borderId="1" xfId="0" applyNumberFormat="1" applyFill="1" applyBorder="1"/>
    <xf numFmtId="170" fontId="0" fillId="5" borderId="2" xfId="0" applyNumberFormat="1" applyFill="1" applyBorder="1"/>
    <xf numFmtId="165" fontId="0" fillId="2" borderId="2" xfId="0" applyNumberFormat="1" applyFill="1" applyBorder="1" applyAlignment="1">
      <alignment horizontal="right" vertical="center"/>
    </xf>
    <xf numFmtId="43" fontId="0" fillId="2" borderId="24" xfId="3" applyFont="1" applyFill="1" applyBorder="1" applyAlignment="1">
      <alignment horizontal="right" vertical="center"/>
    </xf>
    <xf numFmtId="165" fontId="0" fillId="2" borderId="0" xfId="0" applyNumberFormat="1" applyFill="1" applyAlignment="1">
      <alignment horizontal="right" vertical="center"/>
    </xf>
    <xf numFmtId="2" fontId="1" fillId="5" borderId="1" xfId="0" applyNumberFormat="1" applyFont="1" applyFill="1" applyBorder="1" applyAlignment="1">
      <alignment horizontal="left" vertical="center"/>
    </xf>
    <xf numFmtId="2" fontId="0" fillId="5" borderId="24" xfId="0" applyNumberFormat="1" applyFill="1" applyBorder="1" applyAlignment="1">
      <alignment horizontal="right" vertical="center"/>
    </xf>
    <xf numFmtId="165" fontId="0" fillId="5" borderId="24" xfId="0" applyNumberFormat="1" applyFill="1" applyBorder="1" applyAlignment="1">
      <alignment horizontal="right" vertical="center"/>
    </xf>
    <xf numFmtId="164" fontId="1" fillId="2" borderId="24" xfId="0" applyNumberFormat="1" applyFont="1" applyFill="1" applyBorder="1" applyAlignment="1">
      <alignment horizontal="right" vertical="center"/>
    </xf>
    <xf numFmtId="2" fontId="5" fillId="2" borderId="0" xfId="0" applyNumberFormat="1" applyFont="1" applyFill="1" applyAlignment="1">
      <alignment horizontal="right" vertical="center" wrapText="1"/>
    </xf>
    <xf numFmtId="164" fontId="0" fillId="2" borderId="1" xfId="0" applyNumberFormat="1" applyFill="1" applyBorder="1" applyAlignment="1">
      <alignment horizontal="center" vertical="center"/>
    </xf>
    <xf numFmtId="1" fontId="0" fillId="2" borderId="1" xfId="0" applyNumberFormat="1" applyFill="1" applyBorder="1" applyAlignment="1">
      <alignment horizontal="center" vertical="center"/>
    </xf>
    <xf numFmtId="1" fontId="5" fillId="2" borderId="23" xfId="0" applyNumberFormat="1" applyFont="1" applyFill="1" applyBorder="1" applyAlignment="1">
      <alignment horizontal="center" vertical="center" wrapText="1"/>
    </xf>
    <xf numFmtId="172" fontId="7" fillId="5" borderId="6" xfId="0" applyNumberFormat="1" applyFont="1" applyFill="1" applyBorder="1" applyAlignment="1">
      <alignment horizontal="right"/>
    </xf>
    <xf numFmtId="167" fontId="1" fillId="5" borderId="1" xfId="0" applyNumberFormat="1" applyFont="1" applyFill="1" applyBorder="1"/>
    <xf numFmtId="167" fontId="1" fillId="5" borderId="2" xfId="0" applyNumberFormat="1" applyFont="1" applyFill="1" applyBorder="1"/>
    <xf numFmtId="165" fontId="0" fillId="5" borderId="1" xfId="0" applyNumberFormat="1" applyFill="1" applyBorder="1"/>
    <xf numFmtId="165" fontId="0" fillId="5" borderId="2" xfId="0" applyNumberFormat="1" applyFill="1" applyBorder="1"/>
    <xf numFmtId="172" fontId="7" fillId="5" borderId="6" xfId="0" applyNumberFormat="1" applyFont="1" applyFill="1" applyBorder="1" applyAlignment="1">
      <alignment horizontal="right" vertical="center"/>
    </xf>
    <xf numFmtId="173" fontId="0" fillId="2" borderId="6" xfId="0" applyNumberFormat="1" applyFill="1" applyBorder="1" applyAlignment="1">
      <alignment horizontal="right" vertical="center"/>
    </xf>
    <xf numFmtId="173" fontId="0" fillId="5" borderId="1" xfId="0" applyNumberFormat="1" applyFill="1" applyBorder="1"/>
    <xf numFmtId="173" fontId="0" fillId="5" borderId="2" xfId="0" applyNumberFormat="1" applyFill="1" applyBorder="1"/>
    <xf numFmtId="174" fontId="7" fillId="5" borderId="6" xfId="0" applyNumberFormat="1" applyFont="1" applyFill="1" applyBorder="1" applyAlignment="1">
      <alignment horizontal="right" vertical="center"/>
    </xf>
    <xf numFmtId="167" fontId="0" fillId="2" borderId="24" xfId="0" applyNumberFormat="1" applyFill="1" applyBorder="1" applyAlignment="1">
      <alignment horizontal="right" vertical="center"/>
    </xf>
    <xf numFmtId="175" fontId="7" fillId="5" borderId="6" xfId="0" applyNumberFormat="1" applyFont="1" applyFill="1" applyBorder="1" applyAlignment="1">
      <alignment horizontal="right" vertical="center"/>
    </xf>
    <xf numFmtId="2" fontId="1" fillId="2" borderId="2"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167" fontId="0" fillId="2" borderId="2" xfId="0" applyNumberFormat="1" applyFill="1" applyBorder="1" applyAlignment="1">
      <alignment horizontal="right" vertical="center"/>
    </xf>
    <xf numFmtId="167" fontId="1" fillId="2" borderId="24" xfId="0" applyNumberFormat="1" applyFont="1" applyFill="1" applyBorder="1" applyAlignment="1">
      <alignment horizontal="right" vertical="center"/>
    </xf>
    <xf numFmtId="165" fontId="1" fillId="2" borderId="24" xfId="0" applyNumberFormat="1" applyFont="1" applyFill="1" applyBorder="1" applyAlignment="1">
      <alignment horizontal="right" vertical="center"/>
    </xf>
    <xf numFmtId="164" fontId="7" fillId="5" borderId="6" xfId="0" applyNumberFormat="1" applyFont="1" applyFill="1" applyBorder="1" applyAlignment="1">
      <alignment horizontal="right"/>
    </xf>
    <xf numFmtId="1" fontId="7" fillId="5" borderId="6" xfId="0" applyNumberFormat="1" applyFont="1" applyFill="1" applyBorder="1" applyAlignment="1">
      <alignment horizontal="right"/>
    </xf>
    <xf numFmtId="165" fontId="9" fillId="0" borderId="1" xfId="0" applyNumberFormat="1" applyFont="1" applyBorder="1" applyAlignment="1">
      <alignment horizontal="center"/>
    </xf>
    <xf numFmtId="165" fontId="9" fillId="0" borderId="2" xfId="0" applyNumberFormat="1" applyFont="1" applyBorder="1" applyAlignment="1">
      <alignment horizontal="center"/>
    </xf>
    <xf numFmtId="164" fontId="9" fillId="0" borderId="1" xfId="0" applyNumberFormat="1" applyFont="1" applyBorder="1" applyAlignment="1">
      <alignment horizontal="center"/>
    </xf>
    <xf numFmtId="164" fontId="9" fillId="0" borderId="2" xfId="0" applyNumberFormat="1" applyFont="1" applyBorder="1" applyAlignment="1">
      <alignment horizontal="center"/>
    </xf>
    <xf numFmtId="9" fontId="14" fillId="5" borderId="1" xfId="0" applyNumberFormat="1" applyFont="1" applyFill="1" applyBorder="1" applyAlignment="1">
      <alignment horizontal="right" vertical="center"/>
    </xf>
    <xf numFmtId="9" fontId="14" fillId="5" borderId="24" xfId="0" applyNumberFormat="1" applyFont="1" applyFill="1" applyBorder="1" applyAlignment="1">
      <alignment horizontal="right" vertical="center"/>
    </xf>
    <xf numFmtId="2" fontId="2" fillId="0" borderId="5" xfId="0" applyNumberFormat="1" applyFont="1" applyBorder="1" applyAlignment="1">
      <alignment horizontal="center" vertical="top" wrapText="1"/>
    </xf>
    <xf numFmtId="2" fontId="2" fillId="0" borderId="7" xfId="0" applyNumberFormat="1" applyFont="1" applyBorder="1" applyAlignment="1">
      <alignment horizontal="center" vertical="top" wrapText="1"/>
    </xf>
    <xf numFmtId="2" fontId="0" fillId="0" borderId="7" xfId="0" applyNumberFormat="1" applyBorder="1" applyAlignment="1">
      <alignment vertical="top" wrapText="1"/>
    </xf>
    <xf numFmtId="2" fontId="0" fillId="0" borderId="5" xfId="0" applyNumberFormat="1" applyBorder="1" applyAlignment="1">
      <alignment horizontal="left" vertical="top" wrapText="1"/>
    </xf>
    <xf numFmtId="2" fontId="3" fillId="0" borderId="6" xfId="0" applyNumberFormat="1" applyFont="1" applyBorder="1" applyAlignment="1">
      <alignment vertical="top" wrapText="1"/>
    </xf>
    <xf numFmtId="2" fontId="4" fillId="0" borderId="6" xfId="0" applyNumberFormat="1" applyFont="1" applyBorder="1" applyAlignment="1">
      <alignment vertical="top" wrapText="1"/>
    </xf>
    <xf numFmtId="2" fontId="9" fillId="0" borderId="6" xfId="0" applyNumberFormat="1" applyFont="1" applyBorder="1" applyAlignment="1">
      <alignment vertical="top" wrapText="1"/>
    </xf>
    <xf numFmtId="2" fontId="1" fillId="0" borderId="7" xfId="0" applyNumberFormat="1" applyFont="1" applyBorder="1" applyAlignment="1">
      <alignment vertical="top" wrapText="1"/>
    </xf>
    <xf numFmtId="2" fontId="0" fillId="0" borderId="0" xfId="2" applyNumberFormat="1" applyFont="1" applyAlignment="1">
      <alignment vertical="top" wrapText="1"/>
    </xf>
    <xf numFmtId="169" fontId="1" fillId="5" borderId="2" xfId="0" applyNumberFormat="1" applyFont="1" applyFill="1" applyBorder="1"/>
    <xf numFmtId="166" fontId="0" fillId="0" borderId="0" xfId="0" applyNumberFormat="1"/>
    <xf numFmtId="0" fontId="0" fillId="0" borderId="1" xfId="0" applyBorder="1"/>
    <xf numFmtId="9" fontId="0" fillId="0" borderId="5" xfId="0" applyNumberFormat="1" applyBorder="1" applyAlignment="1">
      <alignment horizontal="center"/>
    </xf>
    <xf numFmtId="9" fontId="0" fillId="0" borderId="6" xfId="0" applyNumberFormat="1" applyBorder="1" applyAlignment="1">
      <alignment horizontal="center"/>
    </xf>
    <xf numFmtId="9" fontId="1" fillId="2" borderId="1" xfId="0" applyNumberFormat="1" applyFont="1" applyFill="1" applyBorder="1" applyAlignment="1">
      <alignment horizontal="right" vertical="center"/>
    </xf>
    <xf numFmtId="165" fontId="9" fillId="3" borderId="1" xfId="0" applyNumberFormat="1" applyFont="1" applyFill="1" applyBorder="1"/>
    <xf numFmtId="166" fontId="9" fillId="0" borderId="1" xfId="0" applyNumberFormat="1" applyFont="1" applyBorder="1" applyAlignment="1">
      <alignment horizontal="right" vertical="top"/>
    </xf>
    <xf numFmtId="164" fontId="9" fillId="3" borderId="6" xfId="0" applyNumberFormat="1" applyFont="1" applyFill="1" applyBorder="1" applyAlignment="1">
      <alignment vertical="center"/>
    </xf>
    <xf numFmtId="167" fontId="9" fillId="0" borderId="30" xfId="0" applyNumberFormat="1" applyFont="1" applyBorder="1"/>
    <xf numFmtId="0" fontId="2" fillId="0" borderId="14" xfId="0" applyFont="1" applyBorder="1"/>
    <xf numFmtId="1" fontId="0" fillId="0" borderId="13" xfId="0" applyNumberFormat="1" applyBorder="1"/>
    <xf numFmtId="165" fontId="9" fillId="0" borderId="9" xfId="0" applyNumberFormat="1" applyFont="1" applyBorder="1" applyAlignment="1">
      <alignment horizontal="right" vertical="center"/>
    </xf>
    <xf numFmtId="165" fontId="9" fillId="0" borderId="13" xfId="0" applyNumberFormat="1" applyFont="1" applyBorder="1" applyAlignment="1">
      <alignment horizontal="right" vertical="center"/>
    </xf>
    <xf numFmtId="164" fontId="2" fillId="0" borderId="1" xfId="0" applyNumberFormat="1" applyFont="1" applyBorder="1" applyAlignment="1">
      <alignment horizontal="right" vertical="center"/>
    </xf>
    <xf numFmtId="0" fontId="1" fillId="0" borderId="1" xfId="0" applyFont="1" applyBorder="1"/>
    <xf numFmtId="0" fontId="0" fillId="0" borderId="8" xfId="0" applyBorder="1"/>
    <xf numFmtId="0" fontId="2" fillId="0" borderId="9" xfId="0" applyFont="1" applyBorder="1"/>
    <xf numFmtId="0" fontId="2" fillId="0" borderId="3" xfId="0" applyFont="1" applyBorder="1"/>
    <xf numFmtId="9" fontId="1" fillId="0" borderId="0" xfId="0" applyNumberFormat="1" applyFont="1" applyAlignment="1">
      <alignment horizontal="center"/>
    </xf>
    <xf numFmtId="1" fontId="0" fillId="0" borderId="12" xfId="0" applyNumberFormat="1" applyBorder="1" applyAlignment="1">
      <alignment horizontal="center"/>
    </xf>
    <xf numFmtId="9" fontId="0" fillId="0" borderId="12" xfId="0" applyNumberFormat="1" applyBorder="1" applyAlignment="1">
      <alignment horizontal="center"/>
    </xf>
    <xf numFmtId="9" fontId="0" fillId="0" borderId="0" xfId="0" applyNumberFormat="1" applyAlignment="1">
      <alignment horizontal="center"/>
    </xf>
    <xf numFmtId="167" fontId="0" fillId="0" borderId="23" xfId="0" applyNumberFormat="1" applyBorder="1" applyAlignment="1">
      <alignment horizontal="center"/>
    </xf>
    <xf numFmtId="0" fontId="0" fillId="0" borderId="24" xfId="0" applyBorder="1" applyAlignment="1">
      <alignment horizontal="center"/>
    </xf>
    <xf numFmtId="169" fontId="0" fillId="0" borderId="21" xfId="0" applyNumberFormat="1" applyBorder="1"/>
    <xf numFmtId="169" fontId="0" fillId="0" borderId="42" xfId="0" applyNumberFormat="1" applyBorder="1"/>
    <xf numFmtId="169" fontId="0" fillId="0" borderId="23" xfId="0" applyNumberFormat="1" applyBorder="1"/>
    <xf numFmtId="169" fontId="0" fillId="0" borderId="43" xfId="0" applyNumberFormat="1" applyBorder="1"/>
    <xf numFmtId="2" fontId="1" fillId="4" borderId="1" xfId="0" applyNumberFormat="1" applyFont="1" applyFill="1" applyBorder="1" applyAlignment="1">
      <alignment horizontal="left" vertical="center" wrapText="1"/>
    </xf>
    <xf numFmtId="171" fontId="7" fillId="4" borderId="6" xfId="0" applyNumberFormat="1" applyFont="1" applyFill="1" applyBorder="1" applyAlignment="1">
      <alignment horizontal="right"/>
    </xf>
    <xf numFmtId="2" fontId="5" fillId="4" borderId="23" xfId="0" applyNumberFormat="1" applyFont="1" applyFill="1" applyBorder="1" applyAlignment="1">
      <alignment horizontal="center" vertical="center" wrapText="1"/>
    </xf>
    <xf numFmtId="164" fontId="5" fillId="4" borderId="0" xfId="0" applyNumberFormat="1" applyFont="1" applyFill="1" applyAlignment="1">
      <alignment horizontal="right" vertical="center" wrapText="1"/>
    </xf>
    <xf numFmtId="164" fontId="0" fillId="4" borderId="0" xfId="0" applyNumberFormat="1" applyFill="1" applyAlignment="1">
      <alignment horizontal="right" vertical="center"/>
    </xf>
    <xf numFmtId="1" fontId="0" fillId="4" borderId="1" xfId="0" applyNumberFormat="1" applyFill="1" applyBorder="1" applyAlignment="1">
      <alignment horizontal="center"/>
    </xf>
    <xf numFmtId="2" fontId="0" fillId="4" borderId="2" xfId="0" applyNumberFormat="1" applyFill="1" applyBorder="1" applyAlignment="1">
      <alignment horizontal="right" vertical="center"/>
    </xf>
    <xf numFmtId="1" fontId="0" fillId="4" borderId="0" xfId="0" applyNumberFormat="1" applyFill="1" applyAlignment="1">
      <alignment horizontal="center"/>
    </xf>
    <xf numFmtId="164" fontId="0" fillId="4" borderId="24" xfId="0" applyNumberFormat="1" applyFill="1" applyBorder="1" applyAlignment="1">
      <alignment horizontal="right" vertical="center"/>
    </xf>
    <xf numFmtId="164" fontId="0" fillId="4" borderId="2" xfId="0" applyNumberFormat="1" applyFill="1" applyBorder="1" applyAlignment="1">
      <alignment horizontal="right" vertical="center"/>
    </xf>
    <xf numFmtId="170" fontId="0" fillId="4" borderId="1" xfId="0" applyNumberFormat="1" applyFill="1" applyBorder="1"/>
    <xf numFmtId="170" fontId="0" fillId="4" borderId="2" xfId="0" applyNumberFormat="1" applyFill="1" applyBorder="1"/>
    <xf numFmtId="1" fontId="0" fillId="4" borderId="6" xfId="0" applyNumberFormat="1" applyFill="1" applyBorder="1" applyAlignment="1">
      <alignment horizontal="right" vertical="center"/>
    </xf>
    <xf numFmtId="169" fontId="0" fillId="4" borderId="6" xfId="0" applyNumberFormat="1" applyFill="1" applyBorder="1" applyAlignment="1">
      <alignment horizontal="right" vertical="center"/>
    </xf>
    <xf numFmtId="9" fontId="0" fillId="4" borderId="1" xfId="0" applyNumberFormat="1" applyFill="1" applyBorder="1" applyAlignment="1">
      <alignment horizontal="right" vertical="center"/>
    </xf>
    <xf numFmtId="9" fontId="5" fillId="4" borderId="24" xfId="0" applyNumberFormat="1" applyFont="1" applyFill="1" applyBorder="1" applyAlignment="1">
      <alignment horizontal="right" vertical="center"/>
    </xf>
    <xf numFmtId="165" fontId="0" fillId="4" borderId="0" xfId="0" applyNumberFormat="1" applyFill="1"/>
    <xf numFmtId="165" fontId="0" fillId="4" borderId="1" xfId="0" applyNumberFormat="1" applyFill="1" applyBorder="1"/>
    <xf numFmtId="165" fontId="0" fillId="4" borderId="2" xfId="0" applyNumberFormat="1" applyFill="1" applyBorder="1"/>
    <xf numFmtId="1" fontId="0" fillId="4" borderId="0" xfId="0" applyNumberFormat="1" applyFill="1"/>
    <xf numFmtId="165" fontId="0" fillId="4" borderId="6" xfId="0" applyNumberFormat="1" applyFill="1" applyBorder="1" applyAlignment="1">
      <alignment horizontal="right" vertical="center"/>
    </xf>
    <xf numFmtId="9" fontId="9" fillId="4" borderId="1" xfId="0" applyNumberFormat="1" applyFont="1" applyFill="1" applyBorder="1"/>
    <xf numFmtId="9" fontId="9" fillId="4" borderId="24" xfId="0" applyNumberFormat="1" applyFont="1" applyFill="1" applyBorder="1"/>
    <xf numFmtId="165" fontId="0" fillId="4" borderId="23" xfId="0" applyNumberFormat="1" applyFill="1" applyBorder="1"/>
    <xf numFmtId="167" fontId="0" fillId="4" borderId="1" xfId="0" applyNumberFormat="1" applyFill="1" applyBorder="1"/>
    <xf numFmtId="167" fontId="0" fillId="4" borderId="2" xfId="0" applyNumberFormat="1" applyFill="1" applyBorder="1"/>
    <xf numFmtId="167" fontId="0" fillId="4" borderId="6" xfId="0" applyNumberFormat="1" applyFill="1" applyBorder="1" applyAlignment="1">
      <alignment horizontal="right" vertical="center"/>
    </xf>
    <xf numFmtId="9" fontId="0" fillId="4" borderId="1" xfId="0" applyNumberFormat="1" applyFill="1" applyBorder="1"/>
    <xf numFmtId="9" fontId="0" fillId="4" borderId="24" xfId="0" applyNumberFormat="1" applyFill="1" applyBorder="1"/>
    <xf numFmtId="2" fontId="0" fillId="4" borderId="1" xfId="0" applyNumberFormat="1" applyFill="1" applyBorder="1"/>
    <xf numFmtId="2" fontId="0" fillId="4" borderId="2" xfId="0" applyNumberFormat="1" applyFill="1" applyBorder="1"/>
    <xf numFmtId="9" fontId="0" fillId="4" borderId="0" xfId="0" applyNumberFormat="1" applyFill="1"/>
    <xf numFmtId="169" fontId="1" fillId="4" borderId="1" xfId="0" applyNumberFormat="1" applyFont="1" applyFill="1" applyBorder="1" applyAlignment="1">
      <alignment horizontal="right" vertical="center"/>
    </xf>
    <xf numFmtId="169" fontId="1" fillId="4" borderId="2" xfId="0" applyNumberFormat="1" applyFont="1" applyFill="1" applyBorder="1" applyAlignment="1">
      <alignment horizontal="right" vertical="center"/>
    </xf>
    <xf numFmtId="1" fontId="0" fillId="4" borderId="6" xfId="0" applyNumberFormat="1" applyFill="1" applyBorder="1"/>
    <xf numFmtId="164" fontId="0" fillId="4" borderId="0" xfId="0" applyNumberFormat="1" applyFill="1" applyAlignment="1">
      <alignment horizontal="left" vertical="top" wrapText="1"/>
    </xf>
    <xf numFmtId="164" fontId="0" fillId="4" borderId="6" xfId="0" applyNumberFormat="1" applyFill="1" applyBorder="1" applyAlignment="1">
      <alignment horizontal="left" vertical="top" wrapText="1"/>
    </xf>
    <xf numFmtId="2" fontId="0" fillId="4" borderId="0" xfId="0" applyNumberFormat="1" applyFill="1"/>
    <xf numFmtId="2" fontId="5" fillId="4" borderId="1" xfId="0" applyNumberFormat="1" applyFont="1" applyFill="1" applyBorder="1" applyAlignment="1">
      <alignment horizontal="left" vertical="center" wrapText="1"/>
    </xf>
    <xf numFmtId="2" fontId="0" fillId="4" borderId="0" xfId="0" applyNumberFormat="1" applyFill="1" applyAlignment="1">
      <alignment horizontal="right" vertical="center"/>
    </xf>
    <xf numFmtId="169" fontId="0" fillId="4" borderId="1" xfId="0" applyNumberFormat="1" applyFill="1" applyBorder="1"/>
    <xf numFmtId="169" fontId="0" fillId="4" borderId="2" xfId="0" applyNumberFormat="1" applyFill="1" applyBorder="1"/>
    <xf numFmtId="176" fontId="0" fillId="5" borderId="1" xfId="0" applyNumberFormat="1" applyFill="1" applyBorder="1"/>
    <xf numFmtId="176" fontId="0" fillId="5" borderId="2" xfId="0" applyNumberFormat="1" applyFill="1" applyBorder="1"/>
    <xf numFmtId="176" fontId="0" fillId="2" borderId="6" xfId="0" applyNumberFormat="1" applyFill="1" applyBorder="1" applyAlignment="1">
      <alignment horizontal="right" vertical="center"/>
    </xf>
    <xf numFmtId="170" fontId="0" fillId="4" borderId="6" xfId="0" applyNumberFormat="1" applyFill="1" applyBorder="1" applyAlignment="1">
      <alignment horizontal="right" vertical="center"/>
    </xf>
    <xf numFmtId="173" fontId="0" fillId="4" borderId="6" xfId="0" applyNumberFormat="1" applyFill="1" applyBorder="1" applyAlignment="1">
      <alignment horizontal="right" vertical="center"/>
    </xf>
    <xf numFmtId="173" fontId="0" fillId="4" borderId="1" xfId="0" applyNumberFormat="1" applyFill="1" applyBorder="1"/>
    <xf numFmtId="173" fontId="0" fillId="4" borderId="2" xfId="0" applyNumberFormat="1" applyFill="1" applyBorder="1"/>
    <xf numFmtId="1" fontId="9" fillId="0" borderId="0" xfId="0" applyNumberFormat="1" applyFont="1" applyAlignment="1">
      <alignment horizontal="center"/>
    </xf>
    <xf numFmtId="9" fontId="0" fillId="0" borderId="2" xfId="0" applyNumberFormat="1" applyBorder="1" applyAlignment="1">
      <alignment horizontal="right" vertical="center"/>
    </xf>
    <xf numFmtId="164" fontId="1" fillId="0" borderId="24" xfId="0" applyNumberFormat="1" applyFont="1" applyBorder="1" applyAlignment="1">
      <alignment horizontal="right" vertical="center"/>
    </xf>
    <xf numFmtId="167" fontId="1" fillId="2" borderId="2" xfId="0" applyNumberFormat="1" applyFont="1" applyFill="1" applyBorder="1" applyAlignment="1">
      <alignment horizontal="right" vertical="center"/>
    </xf>
    <xf numFmtId="9" fontId="1" fillId="0" borderId="2" xfId="0" applyNumberFormat="1" applyFont="1" applyBorder="1"/>
    <xf numFmtId="167" fontId="0" fillId="0" borderId="23" xfId="0" applyNumberFormat="1" applyBorder="1"/>
    <xf numFmtId="165" fontId="1" fillId="0" borderId="23" xfId="0" applyNumberFormat="1" applyFont="1" applyBorder="1"/>
    <xf numFmtId="165" fontId="1" fillId="0" borderId="0" xfId="0" applyNumberFormat="1" applyFont="1"/>
    <xf numFmtId="2" fontId="0" fillId="3" borderId="4" xfId="0" applyNumberFormat="1" applyFill="1" applyBorder="1"/>
    <xf numFmtId="164" fontId="0" fillId="3" borderId="24" xfId="0" applyNumberFormat="1" applyFill="1" applyBorder="1" applyAlignment="1">
      <alignment horizontal="right" vertical="center"/>
    </xf>
    <xf numFmtId="1" fontId="0" fillId="0" borderId="23" xfId="0" applyNumberFormat="1" applyBorder="1" applyAlignment="1">
      <alignment horizontal="center"/>
    </xf>
    <xf numFmtId="171" fontId="7" fillId="0" borderId="6" xfId="0" applyNumberFormat="1" applyFont="1" applyBorder="1" applyAlignment="1">
      <alignment horizontal="left" vertical="center"/>
    </xf>
    <xf numFmtId="171" fontId="7" fillId="0" borderId="6" xfId="0" applyNumberFormat="1" applyFont="1" applyBorder="1" applyAlignment="1">
      <alignment horizontal="right" vertical="center"/>
    </xf>
    <xf numFmtId="164" fontId="1" fillId="0" borderId="6" xfId="0" applyNumberFormat="1" applyFont="1" applyBorder="1" applyAlignment="1">
      <alignment horizontal="left" vertical="center" wrapText="1"/>
    </xf>
    <xf numFmtId="2" fontId="1" fillId="0" borderId="24" xfId="0" quotePrefix="1" applyNumberFormat="1" applyFont="1" applyBorder="1" applyAlignment="1">
      <alignment horizontal="right"/>
    </xf>
    <xf numFmtId="165" fontId="1" fillId="0" borderId="24" xfId="0" quotePrefix="1" applyNumberFormat="1" applyFont="1" applyBorder="1" applyAlignment="1">
      <alignment horizontal="right"/>
    </xf>
    <xf numFmtId="169" fontId="0" fillId="3" borderId="0" xfId="0" applyNumberFormat="1" applyFill="1" applyAlignment="1">
      <alignment vertical="center"/>
    </xf>
    <xf numFmtId="173" fontId="1" fillId="5" borderId="1" xfId="0" applyNumberFormat="1" applyFont="1" applyFill="1" applyBorder="1" applyAlignment="1">
      <alignment horizontal="right" vertical="center"/>
    </xf>
    <xf numFmtId="173" fontId="1" fillId="5" borderId="2" xfId="0" applyNumberFormat="1" applyFont="1" applyFill="1" applyBorder="1" applyAlignment="1">
      <alignment horizontal="right" vertical="center"/>
    </xf>
    <xf numFmtId="1" fontId="0" fillId="0" borderId="23" xfId="0" applyNumberFormat="1" applyBorder="1" applyAlignment="1">
      <alignment horizontal="right" vertical="center"/>
    </xf>
    <xf numFmtId="167" fontId="1" fillId="0" borderId="0" xfId="0" applyNumberFormat="1" applyFont="1" applyAlignment="1">
      <alignment vertical="center"/>
    </xf>
    <xf numFmtId="167" fontId="0" fillId="0" borderId="0" xfId="0" applyNumberFormat="1" applyAlignment="1">
      <alignment vertical="center"/>
    </xf>
    <xf numFmtId="2" fontId="8" fillId="0" borderId="6" xfId="1" applyNumberFormat="1" applyBorder="1" applyAlignment="1" applyProtection="1">
      <alignment vertical="center" wrapText="1"/>
    </xf>
    <xf numFmtId="0" fontId="0" fillId="0" borderId="5" xfId="0" applyBorder="1" applyAlignment="1">
      <alignment horizontal="center"/>
    </xf>
    <xf numFmtId="0" fontId="1" fillId="0" borderId="5" xfId="0" applyFont="1" applyBorder="1" applyAlignment="1">
      <alignment horizontal="center"/>
    </xf>
    <xf numFmtId="0" fontId="1" fillId="0" borderId="7" xfId="0" applyFont="1" applyBorder="1" applyAlignment="1">
      <alignment horizontal="center"/>
    </xf>
    <xf numFmtId="166" fontId="0" fillId="0" borderId="6" xfId="0" applyNumberFormat="1" applyBorder="1"/>
    <xf numFmtId="166" fontId="0" fillId="0" borderId="7" xfId="0" applyNumberFormat="1" applyBorder="1"/>
    <xf numFmtId="2" fontId="1" fillId="0" borderId="3" xfId="0" applyNumberFormat="1" applyFont="1" applyBorder="1"/>
    <xf numFmtId="0" fontId="6" fillId="0" borderId="0" xfId="0" applyFont="1"/>
    <xf numFmtId="2" fontId="0" fillId="3" borderId="0" xfId="0" applyNumberFormat="1" applyFill="1" applyAlignment="1">
      <alignment horizontal="right" vertical="center"/>
    </xf>
    <xf numFmtId="2" fontId="0" fillId="3" borderId="24" xfId="0" applyNumberFormat="1" applyFill="1" applyBorder="1" applyAlignment="1">
      <alignment horizontal="right" vertical="center"/>
    </xf>
    <xf numFmtId="1" fontId="0" fillId="5" borderId="23" xfId="0" applyNumberFormat="1" applyFill="1" applyBorder="1" applyAlignment="1">
      <alignment horizontal="center"/>
    </xf>
    <xf numFmtId="1" fontId="0" fillId="0" borderId="1" xfId="0" applyNumberFormat="1" applyBorder="1" applyAlignment="1">
      <alignment vertical="center"/>
    </xf>
    <xf numFmtId="2" fontId="1" fillId="3" borderId="1" xfId="0" applyNumberFormat="1" applyFont="1" applyFill="1" applyBorder="1" applyAlignment="1">
      <alignment vertical="center"/>
    </xf>
    <xf numFmtId="1" fontId="0" fillId="0" borderId="2" xfId="0" applyNumberFormat="1" applyBorder="1" applyAlignment="1">
      <alignment vertical="center"/>
    </xf>
    <xf numFmtId="169" fontId="1" fillId="0" borderId="2" xfId="0" applyNumberFormat="1" applyFont="1" applyBorder="1" applyAlignment="1">
      <alignment vertical="top"/>
    </xf>
    <xf numFmtId="2" fontId="0" fillId="5" borderId="6" xfId="0" applyNumberFormat="1" applyFill="1" applyBorder="1" applyAlignment="1">
      <alignment horizontal="right"/>
    </xf>
    <xf numFmtId="167" fontId="1" fillId="0" borderId="0" xfId="0" applyNumberFormat="1" applyFont="1"/>
    <xf numFmtId="169" fontId="0" fillId="0" borderId="0" xfId="0" applyNumberFormat="1" applyAlignment="1">
      <alignment vertical="center"/>
    </xf>
    <xf numFmtId="167" fontId="1" fillId="0" borderId="0" xfId="0" applyNumberFormat="1" applyFont="1" applyAlignment="1">
      <alignment vertical="top"/>
    </xf>
    <xf numFmtId="165" fontId="2" fillId="0" borderId="12" xfId="0" applyNumberFormat="1" applyFont="1" applyBorder="1"/>
    <xf numFmtId="1" fontId="1" fillId="0" borderId="6" xfId="0" applyNumberFormat="1" applyFont="1" applyBorder="1" applyAlignment="1">
      <alignment vertical="top"/>
    </xf>
    <xf numFmtId="166" fontId="1" fillId="0" borderId="1" xfId="0" applyNumberFormat="1" applyFont="1" applyBorder="1" applyAlignment="1">
      <alignment horizontal="right" vertical="top"/>
    </xf>
    <xf numFmtId="166" fontId="1" fillId="0" borderId="24" xfId="0" applyNumberFormat="1" applyFont="1" applyBorder="1" applyAlignment="1">
      <alignment horizontal="right" vertical="top"/>
    </xf>
    <xf numFmtId="1" fontId="0" fillId="0" borderId="1" xfId="0" applyNumberFormat="1" applyBorder="1" applyAlignment="1">
      <alignment horizontal="right" vertical="center"/>
    </xf>
    <xf numFmtId="164" fontId="2" fillId="3" borderId="0" xfId="0" applyNumberFormat="1" applyFont="1" applyFill="1" applyAlignment="1">
      <alignment horizontal="right" vertical="top"/>
    </xf>
    <xf numFmtId="1" fontId="2" fillId="0" borderId="10" xfId="0" applyNumberFormat="1" applyFont="1" applyBorder="1" applyAlignment="1">
      <alignment horizontal="right"/>
    </xf>
    <xf numFmtId="2" fontId="2" fillId="0" borderId="10" xfId="0" applyNumberFormat="1" applyFont="1" applyBorder="1" applyAlignment="1">
      <alignment horizontal="right"/>
    </xf>
    <xf numFmtId="164" fontId="2" fillId="3" borderId="14" xfId="0" applyNumberFormat="1" applyFont="1" applyFill="1" applyBorder="1" applyAlignment="1">
      <alignment horizontal="right" vertical="top"/>
    </xf>
    <xf numFmtId="164" fontId="2" fillId="3" borderId="11" xfId="0" applyNumberFormat="1" applyFont="1" applyFill="1" applyBorder="1" applyAlignment="1">
      <alignment horizontal="right" vertical="top"/>
    </xf>
    <xf numFmtId="167" fontId="1" fillId="0" borderId="0" xfId="0" applyNumberFormat="1" applyFont="1" applyAlignment="1">
      <alignment horizontal="right" vertical="center" wrapText="1"/>
    </xf>
    <xf numFmtId="9" fontId="1" fillId="0" borderId="1" xfId="0" applyNumberFormat="1" applyFont="1" applyBorder="1" applyAlignment="1">
      <alignment vertical="center"/>
    </xf>
    <xf numFmtId="1" fontId="1" fillId="3" borderId="23" xfId="0" applyNumberFormat="1" applyFont="1" applyFill="1" applyBorder="1" applyAlignment="1">
      <alignment horizontal="center"/>
    </xf>
    <xf numFmtId="164" fontId="2" fillId="0" borderId="9" xfId="0" applyNumberFormat="1" applyFont="1" applyBorder="1" applyAlignment="1">
      <alignment horizontal="right" vertical="center"/>
    </xf>
    <xf numFmtId="2" fontId="1" fillId="0" borderId="2" xfId="0" applyNumberFormat="1" applyFont="1" applyBorder="1" applyAlignment="1">
      <alignment horizontal="right" vertical="center"/>
    </xf>
    <xf numFmtId="165" fontId="1" fillId="5" borderId="1" xfId="0" applyNumberFormat="1" applyFont="1" applyFill="1" applyBorder="1" applyAlignment="1">
      <alignment horizontal="right" vertical="center"/>
    </xf>
    <xf numFmtId="165" fontId="1" fillId="5" borderId="2" xfId="0" applyNumberFormat="1" applyFont="1" applyFill="1" applyBorder="1" applyAlignment="1">
      <alignment horizontal="right" vertical="center"/>
    </xf>
    <xf numFmtId="2" fontId="1" fillId="5" borderId="1" xfId="0" applyNumberFormat="1" applyFont="1" applyFill="1" applyBorder="1" applyAlignment="1">
      <alignment horizontal="left" vertical="top" wrapText="1"/>
    </xf>
    <xf numFmtId="10" fontId="0" fillId="2" borderId="1" xfId="0" applyNumberFormat="1" applyFill="1" applyBorder="1" applyAlignment="1">
      <alignment horizontal="right" vertical="center"/>
    </xf>
    <xf numFmtId="10" fontId="5" fillId="2" borderId="24" xfId="0" applyNumberFormat="1" applyFont="1" applyFill="1" applyBorder="1" applyAlignment="1">
      <alignment horizontal="right" vertical="center"/>
    </xf>
    <xf numFmtId="1" fontId="1" fillId="5" borderId="0" xfId="0" applyNumberFormat="1" applyFont="1" applyFill="1" applyAlignment="1">
      <alignment horizontal="right" vertical="center"/>
    </xf>
    <xf numFmtId="1" fontId="1" fillId="5" borderId="6" xfId="0" applyNumberFormat="1" applyFont="1" applyFill="1" applyBorder="1" applyAlignment="1">
      <alignment horizontal="right" vertical="center" wrapText="1"/>
    </xf>
    <xf numFmtId="167" fontId="1" fillId="5" borderId="6" xfId="0" applyNumberFormat="1" applyFont="1" applyFill="1" applyBorder="1" applyAlignment="1">
      <alignment horizontal="right" vertical="center" wrapText="1"/>
    </xf>
    <xf numFmtId="9" fontId="1" fillId="5" borderId="1" xfId="0" applyNumberFormat="1" applyFont="1" applyFill="1" applyBorder="1" applyAlignment="1">
      <alignment horizontal="right" vertical="center"/>
    </xf>
    <xf numFmtId="9" fontId="1" fillId="5" borderId="0" xfId="0" applyNumberFormat="1" applyFont="1" applyFill="1" applyAlignment="1">
      <alignment horizontal="right" vertical="center"/>
    </xf>
    <xf numFmtId="2" fontId="2" fillId="0" borderId="11" xfId="0" applyNumberFormat="1" applyFont="1" applyBorder="1" applyAlignment="1">
      <alignment horizontal="right"/>
    </xf>
    <xf numFmtId="164" fontId="2" fillId="3" borderId="9" xfId="0" applyNumberFormat="1" applyFont="1" applyFill="1" applyBorder="1" applyAlignment="1">
      <alignment horizontal="right" vertical="top"/>
    </xf>
    <xf numFmtId="164" fontId="2" fillId="3" borderId="13" xfId="0" applyNumberFormat="1" applyFont="1" applyFill="1" applyBorder="1" applyAlignment="1">
      <alignment horizontal="right" vertical="top"/>
    </xf>
    <xf numFmtId="164" fontId="2" fillId="0" borderId="13" xfId="0" applyNumberFormat="1" applyFont="1" applyBorder="1" applyAlignment="1">
      <alignment horizontal="right" vertical="center"/>
    </xf>
    <xf numFmtId="164" fontId="1" fillId="0" borderId="4" xfId="0" applyNumberFormat="1" applyFont="1" applyBorder="1" applyAlignment="1">
      <alignment horizontal="right"/>
    </xf>
    <xf numFmtId="2" fontId="1" fillId="2" borderId="1" xfId="0" applyNumberFormat="1" applyFont="1" applyFill="1" applyBorder="1" applyAlignment="1">
      <alignment horizontal="left" vertical="top" wrapText="1"/>
    </xf>
    <xf numFmtId="171" fontId="7" fillId="5" borderId="6" xfId="0" applyNumberFormat="1" applyFont="1" applyFill="1" applyBorder="1" applyAlignment="1">
      <alignment horizontal="right" vertical="top"/>
    </xf>
    <xf numFmtId="2" fontId="5" fillId="2" borderId="23" xfId="0" applyNumberFormat="1" applyFont="1" applyFill="1" applyBorder="1" applyAlignment="1">
      <alignment horizontal="center" vertical="top" wrapText="1"/>
    </xf>
    <xf numFmtId="164" fontId="5" fillId="2" borderId="0" xfId="0" applyNumberFormat="1" applyFont="1" applyFill="1" applyAlignment="1">
      <alignment horizontal="right" vertical="top" wrapText="1"/>
    </xf>
    <xf numFmtId="164" fontId="0" fillId="2" borderId="0" xfId="0" applyNumberFormat="1" applyFill="1" applyAlignment="1">
      <alignment horizontal="right" vertical="top"/>
    </xf>
    <xf numFmtId="1" fontId="0" fillId="2" borderId="1" xfId="0" applyNumberFormat="1" applyFill="1" applyBorder="1" applyAlignment="1">
      <alignment horizontal="center" vertical="top"/>
    </xf>
    <xf numFmtId="2" fontId="0" fillId="2" borderId="2" xfId="0" applyNumberFormat="1" applyFill="1" applyBorder="1" applyAlignment="1">
      <alignment horizontal="right" vertical="top"/>
    </xf>
    <xf numFmtId="1" fontId="0" fillId="2" borderId="0" xfId="0" applyNumberFormat="1" applyFill="1" applyAlignment="1">
      <alignment horizontal="center" vertical="top"/>
    </xf>
    <xf numFmtId="165" fontId="0" fillId="2" borderId="24" xfId="0" applyNumberFormat="1" applyFill="1" applyBorder="1" applyAlignment="1">
      <alignment horizontal="right" vertical="top"/>
    </xf>
    <xf numFmtId="164" fontId="0" fillId="2" borderId="2" xfId="0" applyNumberFormat="1" applyFill="1" applyBorder="1" applyAlignment="1">
      <alignment horizontal="right" vertical="top"/>
    </xf>
    <xf numFmtId="169" fontId="0" fillId="5" borderId="1" xfId="0" applyNumberFormat="1" applyFill="1" applyBorder="1" applyAlignment="1">
      <alignment vertical="top"/>
    </xf>
    <xf numFmtId="169" fontId="0" fillId="5" borderId="2" xfId="0" applyNumberFormat="1" applyFill="1" applyBorder="1" applyAlignment="1">
      <alignment vertical="top"/>
    </xf>
    <xf numFmtId="1" fontId="0" fillId="2" borderId="6" xfId="0" applyNumberFormat="1" applyFill="1" applyBorder="1" applyAlignment="1">
      <alignment horizontal="right" vertical="top"/>
    </xf>
    <xf numFmtId="169" fontId="0" fillId="2" borderId="6" xfId="0" applyNumberFormat="1" applyFill="1" applyBorder="1" applyAlignment="1">
      <alignment horizontal="right" vertical="top"/>
    </xf>
    <xf numFmtId="9" fontId="0" fillId="2" borderId="1" xfId="0" applyNumberFormat="1" applyFill="1" applyBorder="1" applyAlignment="1">
      <alignment horizontal="right" vertical="top"/>
    </xf>
    <xf numFmtId="9" fontId="5" fillId="2" borderId="24" xfId="0" applyNumberFormat="1" applyFont="1" applyFill="1" applyBorder="1" applyAlignment="1">
      <alignment horizontal="right" vertical="top"/>
    </xf>
    <xf numFmtId="165" fontId="0" fillId="2" borderId="0" xfId="0" applyNumberFormat="1" applyFill="1" applyAlignment="1">
      <alignment vertical="top"/>
    </xf>
    <xf numFmtId="165" fontId="0" fillId="2" borderId="1" xfId="0" applyNumberFormat="1" applyFill="1" applyBorder="1" applyAlignment="1">
      <alignment vertical="top"/>
    </xf>
    <xf numFmtId="165" fontId="0" fillId="2" borderId="2" xfId="0" applyNumberFormat="1" applyFill="1" applyBorder="1" applyAlignment="1">
      <alignment vertical="top"/>
    </xf>
    <xf numFmtId="1" fontId="0" fillId="2" borderId="0" xfId="0" applyNumberFormat="1" applyFill="1" applyAlignment="1">
      <alignment vertical="top"/>
    </xf>
    <xf numFmtId="165" fontId="0" fillId="2" borderId="6" xfId="0" applyNumberFormat="1" applyFill="1" applyBorder="1" applyAlignment="1">
      <alignment horizontal="right" vertical="top"/>
    </xf>
    <xf numFmtId="9" fontId="9" fillId="2" borderId="1" xfId="0" applyNumberFormat="1" applyFont="1" applyFill="1" applyBorder="1" applyAlignment="1">
      <alignment vertical="top"/>
    </xf>
    <xf numFmtId="9" fontId="9" fillId="2" borderId="24" xfId="0" applyNumberFormat="1" applyFont="1" applyFill="1" applyBorder="1" applyAlignment="1">
      <alignment vertical="top"/>
    </xf>
    <xf numFmtId="165" fontId="0" fillId="2" borderId="23" xfId="0" applyNumberFormat="1" applyFill="1" applyBorder="1" applyAlignment="1">
      <alignment vertical="top"/>
    </xf>
    <xf numFmtId="167" fontId="0" fillId="2" borderId="6" xfId="0" applyNumberFormat="1" applyFill="1" applyBorder="1" applyAlignment="1">
      <alignment horizontal="right" vertical="top"/>
    </xf>
    <xf numFmtId="9" fontId="0" fillId="2" borderId="1" xfId="0" applyNumberFormat="1" applyFill="1" applyBorder="1" applyAlignment="1">
      <alignment vertical="top"/>
    </xf>
    <xf numFmtId="9" fontId="0" fillId="2" borderId="24" xfId="0" applyNumberFormat="1" applyFill="1" applyBorder="1" applyAlignment="1">
      <alignment vertical="top"/>
    </xf>
    <xf numFmtId="2" fontId="0" fillId="2" borderId="1" xfId="0" applyNumberFormat="1" applyFill="1" applyBorder="1" applyAlignment="1">
      <alignment vertical="top"/>
    </xf>
    <xf numFmtId="2" fontId="0" fillId="2" borderId="2" xfId="0" applyNumberFormat="1" applyFill="1" applyBorder="1" applyAlignment="1">
      <alignment vertical="top"/>
    </xf>
    <xf numFmtId="9" fontId="0" fillId="2" borderId="0" xfId="0" applyNumberFormat="1" applyFill="1" applyAlignment="1">
      <alignment vertical="top"/>
    </xf>
    <xf numFmtId="169" fontId="1" fillId="5" borderId="1" xfId="0" applyNumberFormat="1" applyFont="1" applyFill="1" applyBorder="1" applyAlignment="1">
      <alignment horizontal="right" vertical="top"/>
    </xf>
    <xf numFmtId="169" fontId="1" fillId="5" borderId="2" xfId="0" applyNumberFormat="1" applyFont="1" applyFill="1" applyBorder="1" applyAlignment="1">
      <alignment horizontal="right" vertical="top"/>
    </xf>
    <xf numFmtId="1" fontId="0" fillId="2" borderId="6" xfId="0" applyNumberFormat="1" applyFill="1" applyBorder="1" applyAlignment="1">
      <alignment vertical="top"/>
    </xf>
    <xf numFmtId="2" fontId="0" fillId="4" borderId="6" xfId="0" applyNumberFormat="1" applyFill="1" applyBorder="1" applyAlignment="1">
      <alignment vertical="top" wrapText="1"/>
    </xf>
    <xf numFmtId="1" fontId="0" fillId="2" borderId="0" xfId="0" applyNumberFormat="1" applyFill="1" applyAlignment="1">
      <alignment horizontal="right" vertical="center"/>
    </xf>
    <xf numFmtId="2" fontId="0" fillId="5" borderId="2" xfId="0" applyNumberFormat="1" applyFill="1" applyBorder="1" applyAlignment="1">
      <alignment horizontal="right" vertical="center"/>
    </xf>
    <xf numFmtId="2" fontId="5" fillId="2" borderId="1" xfId="0" applyNumberFormat="1" applyFont="1" applyFill="1" applyBorder="1" applyAlignment="1">
      <alignment horizontal="left" vertical="top" wrapText="1"/>
    </xf>
    <xf numFmtId="167" fontId="0" fillId="5" borderId="1" xfId="0" applyNumberFormat="1" applyFill="1" applyBorder="1" applyAlignment="1">
      <alignment vertical="top"/>
    </xf>
    <xf numFmtId="167" fontId="0" fillId="5" borderId="2" xfId="0" applyNumberFormat="1" applyFill="1" applyBorder="1" applyAlignment="1">
      <alignment vertical="top"/>
    </xf>
    <xf numFmtId="2" fontId="1" fillId="6" borderId="1" xfId="0" applyNumberFormat="1" applyFont="1" applyFill="1" applyBorder="1" applyAlignment="1">
      <alignment horizontal="left" vertical="center"/>
    </xf>
    <xf numFmtId="2" fontId="9" fillId="3" borderId="1" xfId="0" applyNumberFormat="1" applyFont="1" applyFill="1" applyBorder="1" applyAlignment="1">
      <alignment vertical="center"/>
    </xf>
    <xf numFmtId="1" fontId="1" fillId="2" borderId="6" xfId="0" applyNumberFormat="1" applyFont="1" applyFill="1" applyBorder="1"/>
    <xf numFmtId="1" fontId="0" fillId="0" borderId="13" xfId="0" applyNumberFormat="1" applyBorder="1" applyAlignment="1">
      <alignment horizontal="center"/>
    </xf>
    <xf numFmtId="0" fontId="1" fillId="0" borderId="6" xfId="0" applyFont="1" applyBorder="1"/>
    <xf numFmtId="0" fontId="1" fillId="0" borderId="7" xfId="0" applyFont="1" applyBorder="1"/>
    <xf numFmtId="0" fontId="1" fillId="0" borderId="5" xfId="0" applyFont="1" applyBorder="1"/>
    <xf numFmtId="169" fontId="0" fillId="3" borderId="23" xfId="0" applyNumberFormat="1" applyFill="1" applyBorder="1"/>
    <xf numFmtId="169" fontId="0" fillId="3" borderId="43" xfId="0" applyNumberFormat="1" applyFill="1" applyBorder="1"/>
    <xf numFmtId="167" fontId="0" fillId="2" borderId="0" xfId="0" applyNumberFormat="1" applyFill="1"/>
    <xf numFmtId="166" fontId="0" fillId="0" borderId="0" xfId="0" applyNumberFormat="1" applyAlignment="1">
      <alignment horizontal="center"/>
    </xf>
    <xf numFmtId="166" fontId="1" fillId="0" borderId="0" xfId="0" applyNumberFormat="1" applyFont="1" applyAlignment="1">
      <alignment horizontal="center"/>
    </xf>
    <xf numFmtId="2" fontId="0" fillId="3" borderId="23" xfId="0" applyNumberFormat="1" applyFill="1" applyBorder="1" applyAlignment="1">
      <alignment horizontal="center"/>
    </xf>
    <xf numFmtId="1" fontId="2" fillId="0" borderId="21" xfId="0" applyNumberFormat="1" applyFont="1" applyBorder="1" applyAlignment="1">
      <alignment horizontal="center"/>
    </xf>
    <xf numFmtId="1" fontId="9" fillId="0" borderId="23" xfId="0" applyNumberFormat="1" applyFont="1" applyBorder="1" applyAlignment="1">
      <alignment horizontal="center"/>
    </xf>
    <xf numFmtId="1" fontId="1" fillId="0" borderId="23" xfId="0" applyNumberFormat="1" applyFont="1" applyBorder="1" applyAlignment="1">
      <alignment horizontal="center"/>
    </xf>
    <xf numFmtId="1" fontId="0" fillId="0" borderId="23" xfId="0" applyNumberFormat="1" applyBorder="1" applyAlignment="1">
      <alignment horizontal="center" vertical="top" wrapText="1"/>
    </xf>
    <xf numFmtId="164" fontId="0" fillId="3" borderId="23" xfId="0" applyNumberFormat="1" applyFill="1" applyBorder="1" applyAlignment="1">
      <alignment horizontal="center" vertical="center"/>
    </xf>
    <xf numFmtId="1" fontId="0" fillId="2" borderId="23" xfId="0" applyNumberFormat="1" applyFill="1" applyBorder="1" applyAlignment="1">
      <alignment horizontal="center"/>
    </xf>
    <xf numFmtId="1" fontId="0" fillId="5" borderId="23" xfId="0" applyNumberFormat="1" applyFill="1" applyBorder="1" applyAlignment="1">
      <alignment horizontal="center" vertical="center"/>
    </xf>
    <xf numFmtId="1" fontId="0" fillId="2" borderId="23" xfId="0" applyNumberFormat="1" applyFill="1" applyBorder="1" applyAlignment="1">
      <alignment horizontal="center" vertical="center"/>
    </xf>
    <xf numFmtId="164" fontId="0" fillId="2" borderId="23" xfId="0" applyNumberFormat="1" applyFill="1" applyBorder="1" applyAlignment="1">
      <alignment horizontal="right" vertical="center"/>
    </xf>
    <xf numFmtId="1" fontId="0" fillId="4" borderId="23" xfId="0" applyNumberFormat="1" applyFill="1" applyBorder="1" applyAlignment="1">
      <alignment horizontal="center"/>
    </xf>
    <xf numFmtId="1" fontId="0" fillId="2" borderId="23" xfId="0" applyNumberFormat="1" applyFill="1" applyBorder="1" applyAlignment="1">
      <alignment horizontal="center" vertical="top"/>
    </xf>
    <xf numFmtId="1" fontId="9" fillId="3" borderId="23" xfId="0" applyNumberFormat="1" applyFont="1" applyFill="1" applyBorder="1" applyAlignment="1">
      <alignment horizontal="center" vertical="center"/>
    </xf>
    <xf numFmtId="1" fontId="1" fillId="3" borderId="23" xfId="0" applyNumberFormat="1" applyFont="1" applyFill="1" applyBorder="1" applyAlignment="1">
      <alignment horizontal="center" vertical="center"/>
    </xf>
    <xf numFmtId="1" fontId="0" fillId="0" borderId="27" xfId="0" applyNumberFormat="1" applyBorder="1" applyAlignment="1">
      <alignment horizontal="center"/>
    </xf>
    <xf numFmtId="1" fontId="1" fillId="3" borderId="0" xfId="0" applyNumberFormat="1" applyFont="1" applyFill="1" applyAlignment="1">
      <alignment horizontal="right" vertical="center"/>
    </xf>
    <xf numFmtId="172" fontId="7" fillId="5" borderId="6" xfId="0" applyNumberFormat="1" applyFont="1" applyFill="1" applyBorder="1"/>
    <xf numFmtId="164" fontId="1" fillId="0" borderId="6" xfId="0" applyNumberFormat="1" applyFont="1" applyBorder="1" applyAlignment="1">
      <alignment horizontal="right" vertical="center" wrapText="1"/>
    </xf>
    <xf numFmtId="170" fontId="1" fillId="0" borderId="6" xfId="0" applyNumberFormat="1" applyFont="1" applyBorder="1" applyAlignment="1">
      <alignment horizontal="right" vertical="center" wrapText="1"/>
    </xf>
    <xf numFmtId="1" fontId="0" fillId="3" borderId="0" xfId="0" applyNumberFormat="1" applyFill="1" applyAlignment="1">
      <alignment horizontal="center" vertical="center"/>
    </xf>
    <xf numFmtId="165" fontId="1" fillId="3" borderId="6" xfId="0" applyNumberFormat="1" applyFont="1" applyFill="1" applyBorder="1" applyAlignment="1">
      <alignment horizontal="right" vertical="center" wrapText="1"/>
    </xf>
    <xf numFmtId="1" fontId="0" fillId="7" borderId="23" xfId="0" applyNumberFormat="1" applyFill="1" applyBorder="1" applyAlignment="1">
      <alignment horizontal="center"/>
    </xf>
    <xf numFmtId="164" fontId="0" fillId="7" borderId="0" xfId="0" applyNumberFormat="1" applyFill="1" applyAlignment="1">
      <alignment horizontal="right" vertical="center"/>
    </xf>
    <xf numFmtId="2" fontId="0" fillId="7" borderId="24" xfId="0" applyNumberFormat="1" applyFill="1" applyBorder="1" applyAlignment="1">
      <alignment horizontal="right" vertical="center"/>
    </xf>
    <xf numFmtId="164" fontId="1" fillId="3" borderId="1" xfId="0" applyNumberFormat="1" applyFont="1" applyFill="1" applyBorder="1" applyAlignment="1">
      <alignment horizontal="left" vertical="center"/>
    </xf>
    <xf numFmtId="2" fontId="0" fillId="2" borderId="6" xfId="0" applyNumberFormat="1" applyFill="1" applyBorder="1" applyAlignment="1">
      <alignment horizontal="right" vertical="center"/>
    </xf>
    <xf numFmtId="2" fontId="1" fillId="5" borderId="1" xfId="0" applyNumberFormat="1" applyFont="1" applyFill="1" applyBorder="1" applyAlignment="1">
      <alignment horizontal="right" vertical="center"/>
    </xf>
    <xf numFmtId="2" fontId="1" fillId="5" borderId="2" xfId="0" applyNumberFormat="1" applyFont="1" applyFill="1" applyBorder="1" applyAlignment="1">
      <alignment horizontal="right" vertical="center"/>
    </xf>
    <xf numFmtId="2" fontId="1" fillId="0" borderId="1" xfId="0" applyNumberFormat="1" applyFont="1" applyBorder="1" applyAlignment="1">
      <alignment horizontal="right" vertical="center"/>
    </xf>
    <xf numFmtId="10" fontId="1" fillId="0" borderId="1" xfId="0" applyNumberFormat="1" applyFont="1" applyBorder="1" applyAlignment="1">
      <alignment horizontal="right" vertical="center"/>
    </xf>
    <xf numFmtId="10" fontId="1" fillId="0" borderId="24" xfId="0" applyNumberFormat="1" applyFont="1" applyBorder="1" applyAlignment="1">
      <alignment horizontal="right" vertical="center"/>
    </xf>
    <xf numFmtId="164" fontId="1" fillId="0" borderId="24" xfId="0" applyNumberFormat="1" applyFont="1" applyBorder="1" applyAlignment="1">
      <alignment horizontal="right" vertical="top" wrapText="1"/>
    </xf>
    <xf numFmtId="169" fontId="0" fillId="0" borderId="6" xfId="0" applyNumberFormat="1" applyBorder="1"/>
    <xf numFmtId="169" fontId="1" fillId="0" borderId="44" xfId="0" applyNumberFormat="1" applyFont="1" applyBorder="1"/>
    <xf numFmtId="169" fontId="0" fillId="0" borderId="27" xfId="0" applyNumberFormat="1" applyBorder="1"/>
    <xf numFmtId="169" fontId="1" fillId="0" borderId="45" xfId="0" applyNumberFormat="1" applyFont="1" applyBorder="1"/>
    <xf numFmtId="169" fontId="0" fillId="0" borderId="45" xfId="0" applyNumberFormat="1" applyBorder="1"/>
    <xf numFmtId="169" fontId="1" fillId="0" borderId="42" xfId="0" applyNumberFormat="1" applyFont="1" applyBorder="1"/>
    <xf numFmtId="169" fontId="1" fillId="0" borderId="13" xfId="0" applyNumberFormat="1" applyFont="1" applyBorder="1"/>
    <xf numFmtId="169" fontId="1" fillId="0" borderId="28" xfId="0" applyNumberFormat="1" applyFont="1" applyBorder="1"/>
    <xf numFmtId="166" fontId="2" fillId="5" borderId="9" xfId="0" applyNumberFormat="1" applyFont="1" applyFill="1" applyBorder="1"/>
    <xf numFmtId="166" fontId="2" fillId="5" borderId="12" xfId="0" applyNumberFormat="1" applyFont="1" applyFill="1" applyBorder="1"/>
    <xf numFmtId="9" fontId="2" fillId="5" borderId="13" xfId="0" applyNumberFormat="1" applyFont="1" applyFill="1" applyBorder="1" applyAlignment="1">
      <alignment horizontal="center"/>
    </xf>
    <xf numFmtId="166" fontId="1" fillId="5" borderId="1" xfId="0" applyNumberFormat="1" applyFont="1" applyFill="1" applyBorder="1"/>
    <xf numFmtId="166" fontId="1" fillId="5" borderId="0" xfId="0" applyNumberFormat="1" applyFont="1" applyFill="1"/>
    <xf numFmtId="0" fontId="0" fillId="5" borderId="2" xfId="0" applyFill="1" applyBorder="1"/>
    <xf numFmtId="166" fontId="1" fillId="5" borderId="3" xfId="0" applyNumberFormat="1" applyFont="1" applyFill="1" applyBorder="1"/>
    <xf numFmtId="166" fontId="1" fillId="5" borderId="8" xfId="0" applyNumberFormat="1" applyFont="1" applyFill="1" applyBorder="1"/>
    <xf numFmtId="0" fontId="0" fillId="5" borderId="4" xfId="0" applyFill="1" applyBorder="1"/>
    <xf numFmtId="177" fontId="0" fillId="0" borderId="5" xfId="0" applyNumberFormat="1" applyBorder="1"/>
    <xf numFmtId="177" fontId="0" fillId="0" borderId="6" xfId="0" applyNumberFormat="1" applyBorder="1"/>
    <xf numFmtId="177" fontId="0" fillId="0" borderId="7" xfId="0" applyNumberFormat="1" applyBorder="1"/>
    <xf numFmtId="0" fontId="0" fillId="0" borderId="9" xfId="0"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1" fillId="0" borderId="6" xfId="0" applyFont="1" applyBorder="1" applyAlignment="1">
      <alignment horizontal="center"/>
    </xf>
    <xf numFmtId="9" fontId="14" fillId="0" borderId="2" xfId="0" applyNumberFormat="1" applyFont="1" applyBorder="1" applyAlignment="1">
      <alignment horizontal="right" vertical="center"/>
    </xf>
    <xf numFmtId="1" fontId="1" fillId="5" borderId="0" xfId="0" applyNumberFormat="1" applyFont="1" applyFill="1"/>
    <xf numFmtId="0" fontId="2" fillId="5" borderId="0" xfId="0" applyFont="1" applyFill="1"/>
    <xf numFmtId="166" fontId="2" fillId="5" borderId="0" xfId="0" applyNumberFormat="1" applyFont="1" applyFill="1"/>
    <xf numFmtId="2" fontId="1" fillId="5" borderId="0" xfId="0" applyNumberFormat="1" applyFont="1" applyFill="1" applyAlignment="1">
      <alignment horizontal="left" vertical="top"/>
    </xf>
    <xf numFmtId="0" fontId="0" fillId="5" borderId="0" xfId="0" applyFill="1"/>
    <xf numFmtId="166" fontId="0" fillId="5" borderId="0" xfId="0" applyNumberFormat="1" applyFill="1"/>
    <xf numFmtId="2" fontId="1" fillId="3" borderId="23" xfId="0" applyNumberFormat="1" applyFont="1" applyFill="1" applyBorder="1" applyAlignment="1">
      <alignment horizontal="center" vertical="center"/>
    </xf>
    <xf numFmtId="2" fontId="1" fillId="3" borderId="23" xfId="0" applyNumberFormat="1" applyFont="1" applyFill="1" applyBorder="1" applyAlignment="1">
      <alignment horizontal="center" vertical="center" wrapText="1"/>
    </xf>
    <xf numFmtId="164" fontId="1" fillId="0" borderId="0" xfId="0" applyNumberFormat="1" applyFont="1" applyAlignment="1">
      <alignment horizontal="right" vertical="center" wrapText="1"/>
    </xf>
    <xf numFmtId="2" fontId="1" fillId="5" borderId="0" xfId="0" applyNumberFormat="1" applyFont="1" applyFill="1" applyAlignment="1">
      <alignment horizontal="left" vertical="center" wrapText="1"/>
    </xf>
    <xf numFmtId="166" fontId="9" fillId="3" borderId="1" xfId="0" applyNumberFormat="1" applyFont="1" applyFill="1" applyBorder="1"/>
    <xf numFmtId="166" fontId="9" fillId="3" borderId="24" xfId="0" applyNumberFormat="1" applyFont="1" applyFill="1" applyBorder="1"/>
    <xf numFmtId="2" fontId="1" fillId="0" borderId="8" xfId="0" applyNumberFormat="1" applyFont="1" applyBorder="1" applyAlignment="1">
      <alignment horizontal="left" vertical="center"/>
    </xf>
    <xf numFmtId="164" fontId="1" fillId="0" borderId="8" xfId="0" applyNumberFormat="1" applyFont="1" applyBorder="1" applyAlignment="1">
      <alignment horizontal="right"/>
    </xf>
    <xf numFmtId="164" fontId="1" fillId="3" borderId="0" xfId="0" applyNumberFormat="1" applyFont="1" applyFill="1" applyAlignment="1">
      <alignment horizontal="right" vertical="center"/>
    </xf>
    <xf numFmtId="1" fontId="1" fillId="2" borderId="1" xfId="0" applyNumberFormat="1" applyFont="1" applyFill="1" applyBorder="1" applyAlignment="1">
      <alignment horizontal="center" vertical="center" wrapText="1"/>
    </xf>
    <xf numFmtId="2" fontId="0" fillId="8" borderId="0" xfId="0" applyNumberFormat="1" applyFill="1"/>
    <xf numFmtId="9" fontId="0" fillId="8" borderId="1" xfId="0" applyNumberFormat="1" applyFill="1" applyBorder="1" applyAlignment="1">
      <alignment horizontal="right" vertical="center"/>
    </xf>
    <xf numFmtId="9" fontId="5" fillId="8" borderId="24" xfId="0" applyNumberFormat="1" applyFont="1" applyFill="1" applyBorder="1" applyAlignment="1">
      <alignment horizontal="right" vertical="center"/>
    </xf>
    <xf numFmtId="2" fontId="0" fillId="3" borderId="23" xfId="0" applyNumberFormat="1" applyFill="1" applyBorder="1" applyAlignment="1">
      <alignment horizontal="center" vertical="top"/>
    </xf>
    <xf numFmtId="1" fontId="0" fillId="0" borderId="1" xfId="0" applyNumberFormat="1" applyBorder="1" applyAlignment="1">
      <alignment vertical="top"/>
    </xf>
    <xf numFmtId="165" fontId="0" fillId="0" borderId="6" xfId="0" applyNumberFormat="1" applyBorder="1" applyAlignment="1">
      <alignment horizontal="right" vertical="top"/>
    </xf>
    <xf numFmtId="167" fontId="1" fillId="0" borderId="1" xfId="0" applyNumberFormat="1" applyFont="1" applyBorder="1" applyAlignment="1">
      <alignment horizontal="right" vertical="top"/>
    </xf>
    <xf numFmtId="167" fontId="1" fillId="0" borderId="2" xfId="0" applyNumberFormat="1" applyFont="1" applyBorder="1" applyAlignment="1">
      <alignment horizontal="right" vertical="top"/>
    </xf>
    <xf numFmtId="1" fontId="1" fillId="0" borderId="0" xfId="0" applyNumberFormat="1" applyFont="1" applyAlignment="1">
      <alignment horizontal="right" vertical="top"/>
    </xf>
    <xf numFmtId="1" fontId="1" fillId="0" borderId="6" xfId="0" applyNumberFormat="1" applyFont="1" applyBorder="1" applyAlignment="1">
      <alignment horizontal="right" vertical="top"/>
    </xf>
    <xf numFmtId="167" fontId="1" fillId="0" borderId="6" xfId="0" applyNumberFormat="1" applyFont="1" applyBorder="1" applyAlignment="1">
      <alignment horizontal="right" vertical="top"/>
    </xf>
    <xf numFmtId="9" fontId="9" fillId="3" borderId="1" xfId="0" applyNumberFormat="1" applyFont="1" applyFill="1" applyBorder="1" applyAlignment="1">
      <alignment horizontal="right" vertical="top"/>
    </xf>
    <xf numFmtId="9" fontId="9" fillId="0" borderId="0" xfId="0" applyNumberFormat="1" applyFont="1" applyAlignment="1">
      <alignment horizontal="right" vertical="top"/>
    </xf>
    <xf numFmtId="165" fontId="1" fillId="3" borderId="1" xfId="0" applyNumberFormat="1" applyFont="1" applyFill="1" applyBorder="1" applyAlignment="1">
      <alignment horizontal="right" vertical="top"/>
    </xf>
    <xf numFmtId="165" fontId="1" fillId="3" borderId="2" xfId="0" applyNumberFormat="1" applyFont="1" applyFill="1" applyBorder="1" applyAlignment="1">
      <alignment horizontal="right" vertical="top"/>
    </xf>
    <xf numFmtId="167" fontId="1" fillId="3" borderId="1" xfId="0" applyNumberFormat="1" applyFont="1" applyFill="1" applyBorder="1" applyAlignment="1">
      <alignment horizontal="right" vertical="top"/>
    </xf>
    <xf numFmtId="167" fontId="1" fillId="3" borderId="2" xfId="0" applyNumberFormat="1" applyFont="1" applyFill="1" applyBorder="1" applyAlignment="1">
      <alignment horizontal="right" vertical="top"/>
    </xf>
    <xf numFmtId="166" fontId="0" fillId="2" borderId="1" xfId="0" applyNumberFormat="1" applyFill="1" applyBorder="1"/>
    <xf numFmtId="166" fontId="0" fillId="2" borderId="24" xfId="0" applyNumberFormat="1" applyFill="1" applyBorder="1"/>
    <xf numFmtId="164" fontId="8" fillId="2" borderId="6" xfId="1" applyNumberFormat="1" applyFill="1" applyBorder="1" applyAlignment="1" applyProtection="1">
      <alignment horizontal="left" vertical="top" wrapText="1"/>
    </xf>
    <xf numFmtId="165" fontId="1" fillId="0" borderId="1" xfId="0" applyNumberFormat="1" applyFont="1" applyBorder="1" applyAlignment="1">
      <alignment horizontal="right" vertical="top"/>
    </xf>
    <xf numFmtId="165" fontId="1" fillId="0" borderId="2" xfId="0" applyNumberFormat="1" applyFont="1" applyBorder="1" applyAlignment="1">
      <alignment horizontal="right" vertical="top"/>
    </xf>
    <xf numFmtId="165" fontId="1" fillId="0" borderId="6" xfId="0" applyNumberFormat="1" applyFont="1" applyBorder="1" applyAlignment="1">
      <alignment horizontal="right" vertical="top"/>
    </xf>
    <xf numFmtId="167" fontId="1" fillId="8" borderId="1" xfId="0" applyNumberFormat="1" applyFont="1" applyFill="1" applyBorder="1" applyAlignment="1">
      <alignment horizontal="right" vertical="center"/>
    </xf>
    <xf numFmtId="167" fontId="0" fillId="8" borderId="1" xfId="0" applyNumberFormat="1" applyFill="1" applyBorder="1"/>
    <xf numFmtId="167" fontId="0" fillId="8" borderId="2" xfId="0" applyNumberFormat="1" applyFill="1" applyBorder="1"/>
    <xf numFmtId="169" fontId="0" fillId="8" borderId="1" xfId="0" applyNumberFormat="1" applyFill="1" applyBorder="1"/>
    <xf numFmtId="169" fontId="0" fillId="8" borderId="2" xfId="0" applyNumberFormat="1" applyFill="1" applyBorder="1"/>
    <xf numFmtId="164" fontId="0" fillId="2" borderId="24" xfId="0" applyNumberFormat="1" applyFill="1" applyBorder="1" applyAlignment="1">
      <alignment horizontal="right" vertical="top"/>
    </xf>
    <xf numFmtId="167" fontId="0" fillId="2" borderId="0" xfId="0" applyNumberFormat="1" applyFill="1" applyAlignment="1">
      <alignment vertical="top"/>
    </xf>
    <xf numFmtId="167" fontId="1" fillId="5" borderId="1" xfId="0" applyNumberFormat="1" applyFont="1" applyFill="1" applyBorder="1" applyAlignment="1">
      <alignment horizontal="right" vertical="top"/>
    </xf>
    <xf numFmtId="167" fontId="1" fillId="5" borderId="2" xfId="0" applyNumberFormat="1" applyFont="1" applyFill="1" applyBorder="1" applyAlignment="1">
      <alignment horizontal="right" vertical="top"/>
    </xf>
    <xf numFmtId="2" fontId="5" fillId="5" borderId="1" xfId="0" applyNumberFormat="1" applyFont="1" applyFill="1" applyBorder="1" applyAlignment="1">
      <alignment horizontal="left" vertical="center" wrapText="1"/>
    </xf>
    <xf numFmtId="2" fontId="5" fillId="5" borderId="23" xfId="0" applyNumberFormat="1" applyFont="1" applyFill="1" applyBorder="1" applyAlignment="1">
      <alignment horizontal="center" vertical="center" wrapText="1"/>
    </xf>
    <xf numFmtId="164" fontId="5" fillId="5" borderId="0" xfId="0" applyNumberFormat="1" applyFont="1" applyFill="1" applyAlignment="1">
      <alignment horizontal="right" vertical="center" wrapText="1"/>
    </xf>
    <xf numFmtId="1" fontId="0" fillId="5" borderId="1" xfId="0" applyNumberFormat="1" applyFill="1" applyBorder="1" applyAlignment="1">
      <alignment horizontal="center"/>
    </xf>
    <xf numFmtId="1" fontId="0" fillId="5" borderId="0" xfId="0" applyNumberFormat="1" applyFill="1" applyAlignment="1">
      <alignment horizontal="center"/>
    </xf>
    <xf numFmtId="9" fontId="5" fillId="5" borderId="24" xfId="0" applyNumberFormat="1" applyFont="1" applyFill="1" applyBorder="1" applyAlignment="1">
      <alignment horizontal="right" vertical="center"/>
    </xf>
    <xf numFmtId="167" fontId="0" fillId="5" borderId="0" xfId="0" applyNumberFormat="1" applyFill="1"/>
    <xf numFmtId="1" fontId="0" fillId="5" borderId="0" xfId="0" applyNumberFormat="1" applyFill="1"/>
    <xf numFmtId="9" fontId="9" fillId="5" borderId="1" xfId="0" applyNumberFormat="1" applyFont="1" applyFill="1" applyBorder="1"/>
    <xf numFmtId="2" fontId="0" fillId="5" borderId="1" xfId="0" applyNumberFormat="1" applyFill="1" applyBorder="1"/>
    <xf numFmtId="2" fontId="0" fillId="5" borderId="2" xfId="0" applyNumberFormat="1" applyFill="1" applyBorder="1"/>
    <xf numFmtId="9" fontId="0" fillId="5" borderId="1" xfId="0" applyNumberFormat="1" applyFill="1" applyBorder="1"/>
    <xf numFmtId="9" fontId="0" fillId="5" borderId="24" xfId="0" applyNumberFormat="1" applyFill="1" applyBorder="1"/>
    <xf numFmtId="9" fontId="0" fillId="5" borderId="0" xfId="0" applyNumberFormat="1" applyFill="1"/>
    <xf numFmtId="2" fontId="0" fillId="5" borderId="6" xfId="0" applyNumberFormat="1" applyFill="1" applyBorder="1" applyAlignment="1">
      <alignment wrapText="1"/>
    </xf>
    <xf numFmtId="1" fontId="0" fillId="5" borderId="6" xfId="0" applyNumberFormat="1" applyFill="1" applyBorder="1" applyAlignment="1">
      <alignment vertical="top"/>
    </xf>
    <xf numFmtId="2" fontId="0" fillId="2" borderId="24" xfId="0" applyNumberFormat="1" applyFill="1" applyBorder="1" applyAlignment="1">
      <alignment horizontal="right" vertical="top"/>
    </xf>
    <xf numFmtId="9" fontId="1" fillId="2" borderId="1" xfId="0" applyNumberFormat="1" applyFont="1" applyFill="1" applyBorder="1" applyAlignment="1">
      <alignment vertical="top"/>
    </xf>
    <xf numFmtId="9" fontId="1" fillId="2" borderId="24" xfId="0" applyNumberFormat="1" applyFont="1" applyFill="1" applyBorder="1" applyAlignment="1">
      <alignment vertical="top"/>
    </xf>
    <xf numFmtId="2" fontId="8" fillId="4" borderId="6" xfId="1" applyNumberFormat="1" applyFill="1" applyBorder="1" applyAlignment="1" applyProtection="1">
      <alignment vertical="top" wrapText="1"/>
    </xf>
    <xf numFmtId="167" fontId="0" fillId="8" borderId="1" xfId="0" applyNumberFormat="1" applyFill="1" applyBorder="1" applyAlignment="1">
      <alignment vertical="center"/>
    </xf>
    <xf numFmtId="167" fontId="0" fillId="8" borderId="2" xfId="0" applyNumberFormat="1" applyFill="1" applyBorder="1" applyAlignment="1">
      <alignment vertical="center"/>
    </xf>
    <xf numFmtId="9" fontId="1" fillId="8" borderId="1" xfId="0" applyNumberFormat="1" applyFont="1" applyFill="1" applyBorder="1" applyAlignment="1">
      <alignment horizontal="right" vertical="center"/>
    </xf>
    <xf numFmtId="9" fontId="1" fillId="8" borderId="24" xfId="0" applyNumberFormat="1" applyFont="1" applyFill="1" applyBorder="1" applyAlignment="1">
      <alignment horizontal="right" vertical="center"/>
    </xf>
    <xf numFmtId="165" fontId="0" fillId="8" borderId="1" xfId="0" applyNumberFormat="1" applyFill="1" applyBorder="1" applyAlignment="1">
      <alignment vertical="center"/>
    </xf>
    <xf numFmtId="165" fontId="0" fillId="8" borderId="2" xfId="0" applyNumberFormat="1" applyFill="1" applyBorder="1" applyAlignment="1">
      <alignment vertical="center"/>
    </xf>
    <xf numFmtId="9" fontId="14" fillId="8" borderId="1" xfId="0" applyNumberFormat="1" applyFont="1" applyFill="1" applyBorder="1" applyAlignment="1">
      <alignment horizontal="right" vertical="center"/>
    </xf>
    <xf numFmtId="9" fontId="14" fillId="8" borderId="24" xfId="0" applyNumberFormat="1" applyFont="1" applyFill="1" applyBorder="1" applyAlignment="1">
      <alignment horizontal="right" vertical="center"/>
    </xf>
    <xf numFmtId="169" fontId="0" fillId="8" borderId="1" xfId="0" applyNumberFormat="1" applyFill="1" applyBorder="1" applyAlignment="1">
      <alignment horizontal="right" vertical="center"/>
    </xf>
    <xf numFmtId="169" fontId="0" fillId="8" borderId="2" xfId="0" applyNumberFormat="1" applyFill="1" applyBorder="1" applyAlignment="1">
      <alignment horizontal="right" vertical="center"/>
    </xf>
    <xf numFmtId="1" fontId="0" fillId="3" borderId="6" xfId="0" applyNumberFormat="1" applyFill="1" applyBorder="1" applyAlignment="1">
      <alignment vertical="center"/>
    </xf>
    <xf numFmtId="167" fontId="0" fillId="3" borderId="6" xfId="0" applyNumberFormat="1" applyFill="1" applyBorder="1" applyAlignment="1">
      <alignment vertical="center"/>
    </xf>
    <xf numFmtId="9" fontId="1" fillId="3" borderId="1" xfId="0" applyNumberFormat="1" applyFont="1" applyFill="1" applyBorder="1" applyAlignment="1">
      <alignment horizontal="right" vertical="center"/>
    </xf>
    <xf numFmtId="9" fontId="1" fillId="3" borderId="24" xfId="0" applyNumberFormat="1" applyFont="1" applyFill="1" applyBorder="1" applyAlignment="1">
      <alignment horizontal="right" vertical="center"/>
    </xf>
    <xf numFmtId="164" fontId="1" fillId="0" borderId="24" xfId="0" applyNumberFormat="1" applyFont="1" applyBorder="1"/>
    <xf numFmtId="1" fontId="0" fillId="0" borderId="24" xfId="0" applyNumberFormat="1" applyBorder="1" applyAlignment="1">
      <alignment horizontal="right" vertical="center"/>
    </xf>
    <xf numFmtId="171" fontId="7" fillId="0" borderId="7" xfId="0" applyNumberFormat="1" applyFont="1" applyBorder="1" applyAlignment="1">
      <alignment horizontal="left" vertical="top"/>
    </xf>
    <xf numFmtId="171" fontId="7" fillId="0" borderId="7" xfId="0" applyNumberFormat="1" applyFont="1" applyBorder="1" applyAlignment="1">
      <alignment horizontal="right" vertical="top"/>
    </xf>
    <xf numFmtId="2" fontId="1" fillId="0" borderId="8" xfId="0" applyNumberFormat="1" applyFont="1" applyBorder="1" applyAlignment="1">
      <alignment horizontal="left" vertical="top"/>
    </xf>
    <xf numFmtId="164" fontId="0" fillId="0" borderId="4" xfId="0" applyNumberFormat="1" applyBorder="1" applyAlignment="1">
      <alignment horizontal="right" vertical="top"/>
    </xf>
    <xf numFmtId="1" fontId="0" fillId="0" borderId="3" xfId="0" applyNumberFormat="1" applyBorder="1" applyAlignment="1">
      <alignment horizontal="center" vertical="top"/>
    </xf>
    <xf numFmtId="164" fontId="1" fillId="0" borderId="8" xfId="0" applyNumberFormat="1" applyFont="1" applyBorder="1" applyAlignment="1">
      <alignment horizontal="right" vertical="top"/>
    </xf>
    <xf numFmtId="1" fontId="9" fillId="0" borderId="8" xfId="0" applyNumberFormat="1" applyFont="1" applyBorder="1" applyAlignment="1">
      <alignment horizontal="right" vertical="top"/>
    </xf>
    <xf numFmtId="164" fontId="0" fillId="0" borderId="26" xfId="0" applyNumberFormat="1" applyBorder="1" applyAlignment="1">
      <alignment horizontal="right" vertical="top"/>
    </xf>
    <xf numFmtId="165" fontId="9" fillId="0" borderId="8" xfId="0" applyNumberFormat="1" applyFont="1" applyBorder="1" applyAlignment="1">
      <alignment horizontal="right" vertical="top"/>
    </xf>
    <xf numFmtId="165" fontId="9" fillId="0" borderId="3" xfId="0" applyNumberFormat="1" applyFont="1" applyBorder="1" applyAlignment="1">
      <alignment vertical="top"/>
    </xf>
    <xf numFmtId="165" fontId="9" fillId="0" borderId="4" xfId="0" applyNumberFormat="1" applyFont="1" applyBorder="1" applyAlignment="1">
      <alignment vertical="top"/>
    </xf>
    <xf numFmtId="164" fontId="0" fillId="0" borderId="7" xfId="0" applyNumberFormat="1" applyBorder="1" applyAlignment="1">
      <alignment vertical="top"/>
    </xf>
    <xf numFmtId="2" fontId="0" fillId="0" borderId="7" xfId="0" applyNumberFormat="1" applyBorder="1" applyAlignment="1">
      <alignment vertical="top"/>
    </xf>
    <xf numFmtId="9" fontId="0" fillId="0" borderId="3" xfId="0" applyNumberFormat="1" applyBorder="1" applyAlignment="1">
      <alignment vertical="top"/>
    </xf>
    <xf numFmtId="9" fontId="0" fillId="0" borderId="26" xfId="0" applyNumberFormat="1" applyBorder="1" applyAlignment="1">
      <alignment horizontal="right" vertical="top"/>
    </xf>
    <xf numFmtId="165" fontId="0" fillId="0" borderId="8" xfId="0" applyNumberFormat="1" applyBorder="1" applyAlignment="1">
      <alignment vertical="top"/>
    </xf>
    <xf numFmtId="165" fontId="0" fillId="0" borderId="4" xfId="0" applyNumberFormat="1" applyBorder="1" applyAlignment="1">
      <alignment vertical="top"/>
    </xf>
    <xf numFmtId="164" fontId="0" fillId="0" borderId="8" xfId="0" applyNumberFormat="1" applyBorder="1" applyAlignment="1">
      <alignment vertical="top"/>
    </xf>
    <xf numFmtId="164" fontId="0" fillId="0" borderId="4" xfId="0" applyNumberFormat="1" applyBorder="1" applyAlignment="1">
      <alignment vertical="top"/>
    </xf>
    <xf numFmtId="1" fontId="0" fillId="0" borderId="8" xfId="0" applyNumberFormat="1" applyBorder="1" applyAlignment="1">
      <alignment vertical="top"/>
    </xf>
    <xf numFmtId="9" fontId="0" fillId="0" borderId="26" xfId="0" applyNumberFormat="1" applyBorder="1" applyAlignment="1">
      <alignment vertical="top"/>
    </xf>
    <xf numFmtId="165" fontId="9" fillId="0" borderId="25" xfId="0" applyNumberFormat="1" applyFont="1" applyBorder="1" applyAlignment="1">
      <alignment vertical="top"/>
    </xf>
    <xf numFmtId="165" fontId="9" fillId="0" borderId="8" xfId="0" applyNumberFormat="1" applyFont="1" applyBorder="1" applyAlignment="1">
      <alignment vertical="top"/>
    </xf>
    <xf numFmtId="1" fontId="9" fillId="0" borderId="8" xfId="0" applyNumberFormat="1" applyFont="1" applyBorder="1" applyAlignment="1">
      <alignment vertical="top"/>
    </xf>
    <xf numFmtId="165" fontId="9" fillId="0" borderId="7" xfId="0" applyNumberFormat="1" applyFont="1" applyBorder="1" applyAlignment="1">
      <alignment vertical="top"/>
    </xf>
    <xf numFmtId="164" fontId="9" fillId="0" borderId="7" xfId="0" applyNumberFormat="1" applyFont="1" applyBorder="1" applyAlignment="1">
      <alignment vertical="top"/>
    </xf>
    <xf numFmtId="9" fontId="9" fillId="0" borderId="3" xfId="0" applyNumberFormat="1" applyFont="1" applyBorder="1" applyAlignment="1">
      <alignment vertical="top"/>
    </xf>
    <xf numFmtId="9" fontId="9" fillId="0" borderId="26" xfId="0" applyNumberFormat="1" applyFont="1" applyBorder="1" applyAlignment="1">
      <alignment vertical="top"/>
    </xf>
    <xf numFmtId="9" fontId="0" fillId="0" borderId="8" xfId="0" applyNumberFormat="1" applyBorder="1" applyAlignment="1">
      <alignment vertical="top"/>
    </xf>
    <xf numFmtId="165" fontId="0" fillId="0" borderId="25" xfId="0" applyNumberFormat="1" applyBorder="1" applyAlignment="1">
      <alignment vertical="top"/>
    </xf>
    <xf numFmtId="165" fontId="0" fillId="0" borderId="3" xfId="0" applyNumberFormat="1" applyBorder="1" applyAlignment="1">
      <alignment vertical="top"/>
    </xf>
    <xf numFmtId="165" fontId="0" fillId="0" borderId="7" xfId="0" applyNumberFormat="1" applyBorder="1" applyAlignment="1">
      <alignment vertical="top"/>
    </xf>
    <xf numFmtId="2" fontId="0" fillId="0" borderId="3" xfId="0" applyNumberFormat="1" applyBorder="1" applyAlignment="1">
      <alignment vertical="top"/>
    </xf>
    <xf numFmtId="2" fontId="0" fillId="0" borderId="26" xfId="0" applyNumberFormat="1" applyBorder="1" applyAlignment="1">
      <alignment vertical="top"/>
    </xf>
    <xf numFmtId="2" fontId="0" fillId="0" borderId="8" xfId="0" applyNumberFormat="1" applyBorder="1" applyAlignment="1">
      <alignment vertical="top"/>
    </xf>
    <xf numFmtId="2" fontId="1" fillId="4" borderId="1" xfId="0" applyNumberFormat="1" applyFont="1" applyFill="1" applyBorder="1" applyAlignment="1">
      <alignment horizontal="left" vertical="top" wrapText="1"/>
    </xf>
    <xf numFmtId="170" fontId="0" fillId="5" borderId="1" xfId="0" applyNumberFormat="1" applyFill="1" applyBorder="1" applyAlignment="1">
      <alignment vertical="top"/>
    </xf>
    <xf numFmtId="170" fontId="0" fillId="5" borderId="2" xfId="0" applyNumberFormat="1" applyFill="1" applyBorder="1" applyAlignment="1">
      <alignment vertical="top"/>
    </xf>
    <xf numFmtId="170" fontId="0" fillId="2" borderId="6" xfId="0" applyNumberFormat="1" applyFill="1" applyBorder="1" applyAlignment="1">
      <alignment horizontal="right" vertical="top"/>
    </xf>
    <xf numFmtId="167" fontId="9" fillId="0" borderId="1" xfId="0" applyNumberFormat="1" applyFont="1" applyBorder="1" applyAlignment="1">
      <alignment horizontal="center"/>
    </xf>
    <xf numFmtId="167" fontId="9" fillId="0" borderId="2" xfId="0" applyNumberFormat="1" applyFont="1" applyBorder="1" applyAlignment="1">
      <alignment horizontal="center"/>
    </xf>
    <xf numFmtId="169" fontId="1" fillId="3" borderId="1" xfId="0" applyNumberFormat="1" applyFont="1" applyFill="1" applyBorder="1" applyAlignment="1">
      <alignment horizontal="right" vertical="center"/>
    </xf>
    <xf numFmtId="169" fontId="1" fillId="3" borderId="2" xfId="0" applyNumberFormat="1" applyFont="1" applyFill="1" applyBorder="1" applyAlignment="1">
      <alignment horizontal="right" vertical="center"/>
    </xf>
    <xf numFmtId="1" fontId="1" fillId="0" borderId="3" xfId="0" applyNumberFormat="1" applyFont="1" applyBorder="1"/>
    <xf numFmtId="165" fontId="1" fillId="0" borderId="7" xfId="0" applyNumberFormat="1" applyFont="1" applyBorder="1"/>
    <xf numFmtId="9" fontId="1" fillId="0" borderId="3" xfId="0" applyNumberFormat="1" applyFont="1" applyBorder="1"/>
    <xf numFmtId="9" fontId="1" fillId="0" borderId="26" xfId="0" applyNumberFormat="1" applyFont="1" applyBorder="1"/>
    <xf numFmtId="167" fontId="1" fillId="0" borderId="7" xfId="0" applyNumberFormat="1" applyFont="1" applyBorder="1"/>
    <xf numFmtId="1" fontId="1" fillId="0" borderId="0" xfId="0" applyNumberFormat="1" applyFont="1" applyAlignment="1">
      <alignment horizontal="left"/>
    </xf>
    <xf numFmtId="1" fontId="1" fillId="3" borderId="6" xfId="0" applyNumberFormat="1" applyFont="1" applyFill="1" applyBorder="1" applyAlignment="1">
      <alignment horizontal="right" vertical="center" wrapText="1"/>
    </xf>
    <xf numFmtId="167" fontId="1" fillId="3" borderId="6" xfId="0" applyNumberFormat="1" applyFont="1" applyFill="1" applyBorder="1" applyAlignment="1">
      <alignment horizontal="right" vertical="center" wrapText="1"/>
    </xf>
    <xf numFmtId="2" fontId="1" fillId="3" borderId="0" xfId="0" applyNumberFormat="1" applyFont="1" applyFill="1" applyAlignment="1">
      <alignment horizontal="right" vertical="center"/>
    </xf>
    <xf numFmtId="164" fontId="1" fillId="3" borderId="29" xfId="0" applyNumberFormat="1" applyFont="1" applyFill="1" applyBorder="1" applyAlignment="1">
      <alignment horizontal="right"/>
    </xf>
    <xf numFmtId="164" fontId="1" fillId="0" borderId="0" xfId="0" applyNumberFormat="1" applyFont="1" applyAlignment="1">
      <alignment horizontal="right" vertical="top" wrapText="1"/>
    </xf>
    <xf numFmtId="169" fontId="1" fillId="0" borderId="6" xfId="0" applyNumberFormat="1" applyFont="1" applyBorder="1" applyAlignment="1">
      <alignment vertical="top"/>
    </xf>
    <xf numFmtId="169" fontId="1" fillId="0" borderId="1" xfId="0" applyNumberFormat="1" applyFont="1" applyBorder="1" applyAlignment="1">
      <alignment vertical="top"/>
    </xf>
    <xf numFmtId="169" fontId="1" fillId="0" borderId="0" xfId="0" applyNumberFormat="1" applyFont="1" applyAlignment="1">
      <alignment vertical="top"/>
    </xf>
    <xf numFmtId="169" fontId="0" fillId="3" borderId="1" xfId="0" applyNumberFormat="1" applyFill="1" applyBorder="1" applyAlignment="1">
      <alignment vertical="center"/>
    </xf>
    <xf numFmtId="169" fontId="0" fillId="3" borderId="2" xfId="0" applyNumberFormat="1" applyFill="1" applyBorder="1" applyAlignment="1">
      <alignment vertical="center"/>
    </xf>
    <xf numFmtId="1" fontId="0" fillId="3" borderId="1" xfId="0" applyNumberFormat="1" applyFill="1" applyBorder="1"/>
    <xf numFmtId="167" fontId="0" fillId="3" borderId="1" xfId="0" applyNumberFormat="1" applyFill="1" applyBorder="1"/>
    <xf numFmtId="2" fontId="1" fillId="0" borderId="1" xfId="0" applyNumberFormat="1" applyFont="1" applyBorder="1"/>
    <xf numFmtId="2" fontId="1" fillId="0" borderId="2" xfId="0" applyNumberFormat="1" applyFont="1" applyBorder="1"/>
    <xf numFmtId="169" fontId="0" fillId="5" borderId="6" xfId="0" applyNumberFormat="1" applyFill="1" applyBorder="1" applyAlignment="1">
      <alignment horizontal="right" vertical="center"/>
    </xf>
    <xf numFmtId="169" fontId="0" fillId="3" borderId="1" xfId="0" applyNumberFormat="1" applyFill="1" applyBorder="1"/>
    <xf numFmtId="169" fontId="0" fillId="3" borderId="2" xfId="0" applyNumberFormat="1" applyFill="1" applyBorder="1"/>
    <xf numFmtId="167" fontId="0" fillId="3" borderId="6" xfId="0" applyNumberFormat="1" applyFill="1" applyBorder="1" applyAlignment="1">
      <alignment horizontal="right" vertical="center"/>
    </xf>
    <xf numFmtId="9" fontId="14" fillId="3" borderId="24" xfId="0" applyNumberFormat="1" applyFont="1" applyFill="1" applyBorder="1" applyAlignment="1">
      <alignment horizontal="right" vertical="center"/>
    </xf>
    <xf numFmtId="167" fontId="0" fillId="8" borderId="1" xfId="0" applyNumberFormat="1" applyFill="1" applyBorder="1" applyAlignment="1">
      <alignment vertical="top"/>
    </xf>
    <xf numFmtId="167" fontId="0" fillId="8" borderId="2" xfId="0" applyNumberFormat="1" applyFill="1" applyBorder="1" applyAlignment="1">
      <alignment vertical="top"/>
    </xf>
    <xf numFmtId="9" fontId="0" fillId="8" borderId="1" xfId="0" applyNumberFormat="1" applyFill="1" applyBorder="1" applyAlignment="1">
      <alignment horizontal="right" vertical="top"/>
    </xf>
    <xf numFmtId="9" fontId="5" fillId="8" borderId="24" xfId="0" applyNumberFormat="1" applyFont="1" applyFill="1" applyBorder="1" applyAlignment="1">
      <alignment horizontal="right" vertical="top"/>
    </xf>
    <xf numFmtId="2" fontId="1" fillId="4" borderId="6" xfId="0" applyNumberFormat="1" applyFont="1" applyFill="1" applyBorder="1" applyAlignment="1">
      <alignment vertical="top" wrapText="1"/>
    </xf>
    <xf numFmtId="169" fontId="0" fillId="8" borderId="1" xfId="0" applyNumberFormat="1" applyFill="1" applyBorder="1" applyAlignment="1">
      <alignment vertical="center"/>
    </xf>
    <xf numFmtId="169" fontId="0" fillId="8" borderId="2" xfId="0" applyNumberFormat="1" applyFill="1" applyBorder="1" applyAlignment="1">
      <alignment vertical="center"/>
    </xf>
    <xf numFmtId="9" fontId="0" fillId="3" borderId="1" xfId="0" applyNumberFormat="1" applyFill="1" applyBorder="1"/>
    <xf numFmtId="9" fontId="0" fillId="3" borderId="24" xfId="0" applyNumberFormat="1" applyFill="1" applyBorder="1"/>
    <xf numFmtId="9" fontId="1" fillId="5" borderId="24" xfId="0" applyNumberFormat="1" applyFont="1" applyFill="1" applyBorder="1" applyAlignment="1">
      <alignment horizontal="right" vertical="center"/>
    </xf>
    <xf numFmtId="165" fontId="1" fillId="0" borderId="2" xfId="0" applyNumberFormat="1" applyFont="1" applyBorder="1" applyAlignment="1">
      <alignment horizontal="right"/>
    </xf>
    <xf numFmtId="2" fontId="1" fillId="2" borderId="23" xfId="0" applyNumberFormat="1" applyFont="1" applyFill="1" applyBorder="1" applyAlignment="1">
      <alignment horizontal="center" vertical="top" wrapText="1"/>
    </xf>
    <xf numFmtId="164" fontId="1" fillId="2" borderId="0" xfId="0" applyNumberFormat="1" applyFont="1" applyFill="1" applyAlignment="1">
      <alignment horizontal="right" vertical="top" wrapText="1"/>
    </xf>
    <xf numFmtId="167" fontId="0" fillId="2" borderId="1" xfId="0" applyNumberFormat="1" applyFill="1" applyBorder="1" applyAlignment="1">
      <alignment vertical="top"/>
    </xf>
    <xf numFmtId="167" fontId="0" fillId="2" borderId="2" xfId="0" applyNumberFormat="1" applyFill="1" applyBorder="1" applyAlignment="1">
      <alignment vertical="top"/>
    </xf>
    <xf numFmtId="9" fontId="14" fillId="5" borderId="1" xfId="0" applyNumberFormat="1" applyFont="1" applyFill="1" applyBorder="1" applyAlignment="1">
      <alignment horizontal="right" vertical="top"/>
    </xf>
    <xf numFmtId="9" fontId="14" fillId="5" borderId="24" xfId="0" applyNumberFormat="1" applyFont="1" applyFill="1" applyBorder="1" applyAlignment="1">
      <alignment horizontal="right" vertical="top"/>
    </xf>
    <xf numFmtId="9" fontId="1" fillId="2" borderId="1" xfId="0" applyNumberFormat="1" applyFont="1" applyFill="1" applyBorder="1" applyAlignment="1">
      <alignment horizontal="right" vertical="top"/>
    </xf>
    <xf numFmtId="165" fontId="18" fillId="0" borderId="1" xfId="0" applyNumberFormat="1" applyFont="1" applyBorder="1" applyAlignment="1">
      <alignment horizontal="right"/>
    </xf>
    <xf numFmtId="165" fontId="18" fillId="0" borderId="2" xfId="0" applyNumberFormat="1" applyFont="1" applyBorder="1" applyAlignment="1">
      <alignment vertical="top" wrapText="1"/>
    </xf>
    <xf numFmtId="165" fontId="18" fillId="0" borderId="2" xfId="0" applyNumberFormat="1" applyFont="1" applyBorder="1" applyAlignment="1">
      <alignment horizontal="right"/>
    </xf>
    <xf numFmtId="2" fontId="8" fillId="0" borderId="1" xfId="1" applyNumberFormat="1" applyBorder="1" applyAlignment="1" applyProtection="1">
      <alignment horizontal="left" vertical="top" wrapText="1"/>
    </xf>
    <xf numFmtId="2" fontId="19" fillId="2" borderId="23" xfId="0" applyNumberFormat="1" applyFont="1" applyFill="1" applyBorder="1" applyAlignment="1">
      <alignment horizontal="center" vertical="center" wrapText="1"/>
    </xf>
    <xf numFmtId="164" fontId="19" fillId="2" borderId="0" xfId="0" applyNumberFormat="1" applyFont="1" applyFill="1" applyAlignment="1">
      <alignment horizontal="right" vertical="center" wrapText="1"/>
    </xf>
    <xf numFmtId="164" fontId="19" fillId="2" borderId="2" xfId="0" applyNumberFormat="1" applyFont="1" applyFill="1" applyBorder="1" applyAlignment="1">
      <alignment horizontal="right" vertical="center"/>
    </xf>
    <xf numFmtId="1" fontId="19" fillId="2" borderId="1" xfId="0" applyNumberFormat="1" applyFont="1" applyFill="1" applyBorder="1" applyAlignment="1">
      <alignment horizontal="center"/>
    </xf>
    <xf numFmtId="164" fontId="19" fillId="2" borderId="0" xfId="0" applyNumberFormat="1" applyFont="1" applyFill="1" applyAlignment="1">
      <alignment horizontal="right" vertical="center"/>
    </xf>
    <xf numFmtId="1" fontId="19" fillId="2" borderId="23" xfId="0" applyNumberFormat="1" applyFont="1" applyFill="1" applyBorder="1" applyAlignment="1">
      <alignment horizontal="center"/>
    </xf>
    <xf numFmtId="164" fontId="19" fillId="2" borderId="24" xfId="0" applyNumberFormat="1" applyFont="1" applyFill="1" applyBorder="1" applyAlignment="1">
      <alignment horizontal="right" vertical="center"/>
    </xf>
    <xf numFmtId="2" fontId="19" fillId="0" borderId="0" xfId="0" applyNumberFormat="1" applyFont="1" applyAlignment="1">
      <alignment horizontal="left" vertical="center"/>
    </xf>
    <xf numFmtId="1" fontId="19" fillId="0" borderId="23" xfId="0" applyNumberFormat="1" applyFont="1" applyBorder="1" applyAlignment="1">
      <alignment horizontal="center" vertical="center"/>
    </xf>
    <xf numFmtId="1" fontId="19" fillId="0" borderId="1" xfId="0" applyNumberFormat="1" applyFont="1" applyBorder="1" applyAlignment="1">
      <alignment horizontal="center"/>
    </xf>
    <xf numFmtId="164" fontId="19" fillId="0" borderId="0" xfId="0" applyNumberFormat="1" applyFont="1" applyAlignment="1">
      <alignment horizontal="right"/>
    </xf>
    <xf numFmtId="164" fontId="19" fillId="0" borderId="0" xfId="0" applyNumberFormat="1" applyFont="1" applyAlignment="1">
      <alignment horizontal="right" vertical="top"/>
    </xf>
    <xf numFmtId="164" fontId="20" fillId="0" borderId="0" xfId="0" applyNumberFormat="1" applyFont="1" applyAlignment="1">
      <alignment horizontal="right" vertical="top"/>
    </xf>
    <xf numFmtId="164" fontId="20" fillId="0" borderId="2" xfId="0" applyNumberFormat="1" applyFont="1" applyBorder="1" applyAlignment="1">
      <alignment horizontal="right" vertical="top"/>
    </xf>
    <xf numFmtId="1" fontId="19" fillId="0" borderId="0" xfId="0" applyNumberFormat="1" applyFont="1" applyAlignment="1">
      <alignment horizontal="center"/>
    </xf>
    <xf numFmtId="164" fontId="19" fillId="0" borderId="24" xfId="0" applyNumberFormat="1" applyFont="1" applyBorder="1" applyAlignment="1">
      <alignment horizontal="right" vertical="top"/>
    </xf>
    <xf numFmtId="1" fontId="1" fillId="2" borderId="1" xfId="0" applyNumberFormat="1" applyFont="1" applyFill="1" applyBorder="1" applyAlignment="1">
      <alignment horizontal="center"/>
    </xf>
    <xf numFmtId="164" fontId="1" fillId="2" borderId="0" xfId="0" applyNumberFormat="1" applyFont="1" applyFill="1" applyAlignment="1">
      <alignment horizontal="right" vertical="center"/>
    </xf>
    <xf numFmtId="1" fontId="1" fillId="2" borderId="23" xfId="0" applyNumberFormat="1" applyFont="1" applyFill="1" applyBorder="1" applyAlignment="1">
      <alignment horizontal="center"/>
    </xf>
    <xf numFmtId="2" fontId="2" fillId="0" borderId="15" xfId="0" applyNumberFormat="1" applyFont="1" applyBorder="1" applyAlignment="1">
      <alignment horizontal="center" vertical="center"/>
    </xf>
    <xf numFmtId="2" fontId="2" fillId="0" borderId="39" xfId="0" applyNumberFormat="1" applyFont="1" applyBorder="1" applyAlignment="1">
      <alignment horizontal="center" vertical="center"/>
    </xf>
    <xf numFmtId="2" fontId="1" fillId="5" borderId="23" xfId="0" applyNumberFormat="1" applyFont="1" applyFill="1" applyBorder="1" applyAlignment="1">
      <alignment horizontal="center" vertical="center"/>
    </xf>
    <xf numFmtId="164" fontId="1" fillId="5" borderId="0" xfId="0" applyNumberFormat="1" applyFont="1" applyFill="1" applyAlignment="1">
      <alignment horizontal="right" vertical="center"/>
    </xf>
    <xf numFmtId="164" fontId="1" fillId="5" borderId="2" xfId="0" applyNumberFormat="1" applyFont="1" applyFill="1" applyBorder="1" applyAlignment="1">
      <alignment horizontal="right" vertical="center"/>
    </xf>
    <xf numFmtId="1" fontId="1" fillId="5" borderId="1" xfId="0" applyNumberFormat="1" applyFont="1" applyFill="1" applyBorder="1" applyAlignment="1">
      <alignment horizontal="center" vertical="center"/>
    </xf>
    <xf numFmtId="164" fontId="1" fillId="5" borderId="24" xfId="0" applyNumberFormat="1" applyFont="1" applyFill="1" applyBorder="1" applyAlignment="1">
      <alignment horizontal="right" vertical="center"/>
    </xf>
    <xf numFmtId="2" fontId="1" fillId="0" borderId="2" xfId="0" applyNumberFormat="1" applyFont="1" applyBorder="1" applyAlignment="1">
      <alignment horizontal="right"/>
    </xf>
    <xf numFmtId="164" fontId="1" fillId="0" borderId="2" xfId="0" applyNumberFormat="1" applyFont="1" applyBorder="1" applyAlignment="1">
      <alignment horizontal="right" vertical="top"/>
    </xf>
    <xf numFmtId="1" fontId="1" fillId="0" borderId="1" xfId="0" applyNumberFormat="1" applyFont="1" applyBorder="1" applyAlignment="1">
      <alignment horizontal="center" vertical="top"/>
    </xf>
    <xf numFmtId="164" fontId="1" fillId="0" borderId="24" xfId="0" applyNumberFormat="1" applyFont="1" applyBorder="1" applyAlignment="1">
      <alignment horizontal="right" vertical="top"/>
    </xf>
    <xf numFmtId="164" fontId="1" fillId="3"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center"/>
    </xf>
    <xf numFmtId="2" fontId="1" fillId="0" borderId="24" xfId="0" applyNumberFormat="1" applyFont="1" applyBorder="1" applyAlignment="1">
      <alignment horizontal="right" vertical="center"/>
    </xf>
    <xf numFmtId="2" fontId="1" fillId="3" borderId="24" xfId="0" applyNumberFormat="1" applyFont="1" applyFill="1" applyBorder="1" applyAlignment="1">
      <alignment horizontal="right" vertical="center"/>
    </xf>
    <xf numFmtId="2" fontId="2" fillId="0" borderId="15" xfId="0" applyNumberFormat="1" applyFont="1" applyBorder="1" applyAlignment="1">
      <alignment vertical="center"/>
    </xf>
    <xf numFmtId="2" fontId="2" fillId="0" borderId="11" xfId="0" applyNumberFormat="1" applyFont="1" applyBorder="1" applyAlignment="1">
      <alignment vertical="center"/>
    </xf>
    <xf numFmtId="2" fontId="2" fillId="0" borderId="40" xfId="0" applyNumberFormat="1" applyFont="1" applyBorder="1" applyAlignment="1">
      <alignment vertical="center"/>
    </xf>
    <xf numFmtId="166" fontId="0" fillId="5" borderId="1" xfId="0" applyNumberFormat="1" applyFill="1" applyBorder="1" applyAlignment="1">
      <alignment horizontal="right" vertical="center"/>
    </xf>
    <xf numFmtId="166" fontId="5" fillId="5" borderId="24" xfId="0" applyNumberFormat="1" applyFont="1" applyFill="1" applyBorder="1" applyAlignment="1">
      <alignment horizontal="right" vertical="center"/>
    </xf>
    <xf numFmtId="164" fontId="0" fillId="2" borderId="0" xfId="0" applyNumberFormat="1" applyFill="1" applyAlignment="1">
      <alignment horizontal="center"/>
    </xf>
    <xf numFmtId="2" fontId="1" fillId="3" borderId="1" xfId="0" applyNumberFormat="1" applyFont="1" applyFill="1" applyBorder="1" applyAlignment="1">
      <alignment horizontal="left" vertical="center" wrapText="1"/>
    </xf>
    <xf numFmtId="2" fontId="0" fillId="2" borderId="23" xfId="0" applyNumberFormat="1" applyFill="1" applyBorder="1" applyAlignment="1">
      <alignment horizontal="center" vertical="center"/>
    </xf>
    <xf numFmtId="164" fontId="2" fillId="0" borderId="24" xfId="0" applyNumberFormat="1" applyFont="1" applyBorder="1" applyAlignment="1">
      <alignment horizontal="right"/>
    </xf>
    <xf numFmtId="167" fontId="18" fillId="0" borderId="6" xfId="0" applyNumberFormat="1" applyFont="1" applyBorder="1"/>
    <xf numFmtId="165" fontId="18" fillId="3" borderId="1" xfId="0" applyNumberFormat="1" applyFont="1" applyFill="1" applyBorder="1" applyAlignment="1">
      <alignment horizontal="right" vertical="center"/>
    </xf>
    <xf numFmtId="165" fontId="18" fillId="3" borderId="2" xfId="0" applyNumberFormat="1" applyFont="1" applyFill="1" applyBorder="1" applyAlignment="1">
      <alignment horizontal="right" vertical="center"/>
    </xf>
    <xf numFmtId="1" fontId="18" fillId="0" borderId="0" xfId="0" applyNumberFormat="1" applyFont="1" applyAlignment="1">
      <alignment horizontal="right" vertical="center"/>
    </xf>
    <xf numFmtId="1" fontId="18" fillId="0" borderId="6" xfId="0" applyNumberFormat="1" applyFont="1" applyBorder="1" applyAlignment="1">
      <alignment vertical="center"/>
    </xf>
    <xf numFmtId="9" fontId="18" fillId="0" borderId="1" xfId="0" applyNumberFormat="1" applyFont="1" applyBorder="1" applyAlignment="1">
      <alignment horizontal="right" vertical="center"/>
    </xf>
    <xf numFmtId="9" fontId="18" fillId="0" borderId="24" xfId="0" applyNumberFormat="1" applyFont="1" applyBorder="1" applyAlignment="1">
      <alignment horizontal="right" vertical="center"/>
    </xf>
    <xf numFmtId="1" fontId="1" fillId="0" borderId="1" xfId="0" applyNumberFormat="1" applyFont="1" applyBorder="1" applyAlignment="1">
      <alignment horizontal="center" vertical="center"/>
    </xf>
    <xf numFmtId="164" fontId="19" fillId="0" borderId="0" xfId="0" applyNumberFormat="1" applyFont="1" applyAlignment="1">
      <alignment horizontal="right" vertical="center"/>
    </xf>
    <xf numFmtId="164" fontId="19" fillId="0" borderId="2" xfId="0" applyNumberFormat="1" applyFont="1" applyBorder="1" applyAlignment="1">
      <alignment horizontal="right"/>
    </xf>
    <xf numFmtId="1" fontId="19" fillId="0" borderId="23" xfId="0" applyNumberFormat="1" applyFont="1" applyBorder="1" applyAlignment="1">
      <alignment horizontal="center"/>
    </xf>
    <xf numFmtId="164" fontId="19" fillId="0" borderId="24" xfId="0" applyNumberFormat="1" applyFont="1" applyBorder="1" applyAlignment="1">
      <alignment horizontal="right"/>
    </xf>
    <xf numFmtId="1" fontId="1" fillId="3" borderId="1" xfId="0" applyNumberFormat="1" applyFont="1" applyFill="1" applyBorder="1" applyAlignment="1">
      <alignment horizontal="center"/>
    </xf>
    <xf numFmtId="167" fontId="2" fillId="0" borderId="2" xfId="0" applyNumberFormat="1" applyFont="1" applyBorder="1"/>
    <xf numFmtId="167" fontId="2" fillId="0" borderId="0" xfId="0" applyNumberFormat="1" applyFont="1"/>
    <xf numFmtId="167" fontId="2" fillId="0" borderId="6" xfId="0" applyNumberFormat="1" applyFont="1" applyBorder="1"/>
    <xf numFmtId="9" fontId="2" fillId="0" borderId="1" xfId="0" applyNumberFormat="1" applyFont="1" applyBorder="1"/>
    <xf numFmtId="9" fontId="2" fillId="0" borderId="24" xfId="0" applyNumberFormat="1" applyFont="1" applyBorder="1"/>
    <xf numFmtId="164" fontId="1" fillId="0" borderId="0" xfId="0" applyNumberFormat="1" applyFont="1" applyAlignment="1">
      <alignment vertical="center"/>
    </xf>
    <xf numFmtId="164" fontId="1" fillId="0" borderId="24" xfId="0" applyNumberFormat="1" applyFont="1" applyBorder="1" applyAlignment="1">
      <alignment vertical="center"/>
    </xf>
    <xf numFmtId="2" fontId="19" fillId="0" borderId="0" xfId="0" applyNumberFormat="1" applyFont="1" applyAlignment="1">
      <alignment horizontal="left" vertical="center" wrapText="1"/>
    </xf>
    <xf numFmtId="2" fontId="1" fillId="0" borderId="0" xfId="0" applyNumberFormat="1" applyFont="1" applyAlignment="1">
      <alignment horizontal="right"/>
    </xf>
    <xf numFmtId="2" fontId="9" fillId="0" borderId="2" xfId="0" applyNumberFormat="1" applyFont="1" applyBorder="1" applyAlignment="1">
      <alignment horizontal="right"/>
    </xf>
    <xf numFmtId="164" fontId="14" fillId="0" borderId="0" xfId="0" applyNumberFormat="1" applyFont="1"/>
    <xf numFmtId="164" fontId="1" fillId="0" borderId="2" xfId="0" applyNumberFormat="1" applyFont="1" applyBorder="1"/>
    <xf numFmtId="165" fontId="10" fillId="0" borderId="0" xfId="0" applyNumberFormat="1" applyFont="1" applyAlignment="1">
      <alignment horizontal="right"/>
    </xf>
    <xf numFmtId="169" fontId="2" fillId="0" borderId="23" xfId="0" applyNumberFormat="1" applyFont="1" applyBorder="1"/>
    <xf numFmtId="169" fontId="2" fillId="0" borderId="0" xfId="0" applyNumberFormat="1" applyFont="1"/>
    <xf numFmtId="169" fontId="2" fillId="0" borderId="1" xfId="0" applyNumberFormat="1" applyFont="1" applyBorder="1" applyAlignment="1">
      <alignment horizontal="right" vertical="center"/>
    </xf>
    <xf numFmtId="169" fontId="2" fillId="0" borderId="2" xfId="0" applyNumberFormat="1" applyFont="1" applyBorder="1" applyAlignment="1">
      <alignment horizontal="right" vertical="center"/>
    </xf>
    <xf numFmtId="169" fontId="2" fillId="0" borderId="6" xfId="0" applyNumberFormat="1" applyFont="1" applyBorder="1"/>
    <xf numFmtId="164" fontId="2" fillId="0" borderId="6" xfId="0" applyNumberFormat="1" applyFont="1" applyBorder="1"/>
    <xf numFmtId="9" fontId="2" fillId="0" borderId="1" xfId="0" applyNumberFormat="1" applyFont="1" applyBorder="1" applyAlignment="1">
      <alignment horizontal="right" vertical="center"/>
    </xf>
    <xf numFmtId="9" fontId="2" fillId="0" borderId="24" xfId="0" applyNumberFormat="1" applyFont="1" applyBorder="1" applyAlignment="1">
      <alignment vertical="center"/>
    </xf>
    <xf numFmtId="167" fontId="2" fillId="0" borderId="23" xfId="0" applyNumberFormat="1" applyFont="1" applyBorder="1"/>
    <xf numFmtId="167" fontId="2" fillId="0" borderId="1" xfId="0" applyNumberFormat="1" applyFont="1" applyBorder="1"/>
    <xf numFmtId="166" fontId="2" fillId="0" borderId="1" xfId="0" applyNumberFormat="1" applyFont="1" applyBorder="1"/>
    <xf numFmtId="166" fontId="2" fillId="0" borderId="24" xfId="0" applyNumberFormat="1" applyFont="1" applyBorder="1"/>
    <xf numFmtId="165" fontId="19" fillId="0" borderId="23" xfId="0" applyNumberFormat="1" applyFont="1" applyBorder="1" applyAlignment="1">
      <alignment vertical="top" wrapText="1"/>
    </xf>
    <xf numFmtId="165" fontId="19" fillId="0" borderId="2" xfId="0" applyNumberFormat="1" applyFont="1" applyBorder="1" applyAlignment="1">
      <alignment vertical="top" wrapText="1"/>
    </xf>
    <xf numFmtId="1" fontId="19" fillId="0" borderId="0" xfId="0" applyNumberFormat="1" applyFont="1" applyAlignment="1">
      <alignment vertical="top" wrapText="1"/>
    </xf>
    <xf numFmtId="2" fontId="19" fillId="0" borderId="6" xfId="0" applyNumberFormat="1" applyFont="1" applyBorder="1" applyAlignment="1">
      <alignment vertical="top" wrapText="1"/>
    </xf>
    <xf numFmtId="165" fontId="19" fillId="0" borderId="6" xfId="0" applyNumberFormat="1" applyFont="1" applyBorder="1" applyAlignment="1">
      <alignment vertical="top" wrapText="1"/>
    </xf>
    <xf numFmtId="9" fontId="19" fillId="0" borderId="1" xfId="0" applyNumberFormat="1" applyFont="1" applyBorder="1" applyAlignment="1">
      <alignment vertical="top" wrapText="1"/>
    </xf>
    <xf numFmtId="9" fontId="19" fillId="0" borderId="24" xfId="0" applyNumberFormat="1" applyFont="1" applyBorder="1" applyAlignment="1">
      <alignment vertical="top" wrapText="1"/>
    </xf>
    <xf numFmtId="1" fontId="1" fillId="0" borderId="0" xfId="0" applyNumberFormat="1" applyFont="1" applyAlignment="1">
      <alignment vertical="top" wrapText="1"/>
    </xf>
    <xf numFmtId="165" fontId="1" fillId="0" borderId="6" xfId="0" applyNumberFormat="1" applyFont="1" applyBorder="1" applyAlignment="1">
      <alignment vertical="top" wrapText="1"/>
    </xf>
    <xf numFmtId="9" fontId="1" fillId="0" borderId="1" xfId="0" applyNumberFormat="1" applyFont="1" applyBorder="1" applyAlignment="1">
      <alignment vertical="top" wrapText="1"/>
    </xf>
    <xf numFmtId="9" fontId="1" fillId="0" borderId="24" xfId="0" applyNumberFormat="1" applyFont="1" applyBorder="1" applyAlignment="1">
      <alignment vertical="top" wrapText="1"/>
    </xf>
    <xf numFmtId="165" fontId="1" fillId="0" borderId="23" xfId="0" applyNumberFormat="1" applyFont="1" applyBorder="1" applyAlignment="1">
      <alignment vertical="top" wrapText="1"/>
    </xf>
    <xf numFmtId="165" fontId="1" fillId="0" borderId="0" xfId="0" applyNumberFormat="1" applyFont="1" applyAlignment="1">
      <alignment vertical="top" wrapText="1"/>
    </xf>
    <xf numFmtId="165" fontId="2" fillId="0" borderId="1" xfId="0" applyNumberFormat="1" applyFont="1" applyBorder="1" applyAlignment="1">
      <alignment horizontal="right"/>
    </xf>
    <xf numFmtId="165" fontId="2" fillId="0" borderId="2" xfId="0" applyNumberFormat="1" applyFont="1" applyBorder="1" applyAlignment="1">
      <alignment horizontal="right"/>
    </xf>
    <xf numFmtId="165" fontId="1" fillId="0" borderId="24" xfId="0" applyNumberFormat="1" applyFont="1" applyBorder="1" applyAlignment="1">
      <alignment horizontal="right"/>
    </xf>
    <xf numFmtId="1" fontId="2" fillId="0" borderId="2" xfId="0" applyNumberFormat="1" applyFont="1" applyBorder="1"/>
    <xf numFmtId="2" fontId="2" fillId="0" borderId="6" xfId="0" applyNumberFormat="1" applyFont="1" applyBorder="1"/>
    <xf numFmtId="167" fontId="1" fillId="0" borderId="0" xfId="0" applyNumberFormat="1" applyFont="1" applyAlignment="1">
      <alignment horizontal="right" vertical="center"/>
    </xf>
    <xf numFmtId="167" fontId="1" fillId="0" borderId="2" xfId="0" applyNumberFormat="1" applyFont="1" applyBorder="1" applyAlignment="1">
      <alignment horizontal="right"/>
    </xf>
    <xf numFmtId="2" fontId="2" fillId="0" borderId="23" xfId="0" applyNumberFormat="1" applyFont="1" applyBorder="1"/>
    <xf numFmtId="164" fontId="2" fillId="0" borderId="1" xfId="0" applyNumberFormat="1" applyFont="1" applyBorder="1"/>
    <xf numFmtId="164" fontId="2" fillId="0" borderId="2" xfId="0" applyNumberFormat="1" applyFont="1" applyBorder="1"/>
    <xf numFmtId="169" fontId="2" fillId="0" borderId="2" xfId="0" applyNumberFormat="1" applyFont="1" applyBorder="1"/>
    <xf numFmtId="165" fontId="2" fillId="0" borderId="1" xfId="0" applyNumberFormat="1" applyFont="1" applyBorder="1" applyAlignment="1">
      <alignment horizontal="right" vertical="center"/>
    </xf>
    <xf numFmtId="165" fontId="2" fillId="0" borderId="2" xfId="0" applyNumberFormat="1" applyFont="1" applyBorder="1" applyAlignment="1">
      <alignment horizontal="right" vertical="center"/>
    </xf>
    <xf numFmtId="1" fontId="2" fillId="0" borderId="0" xfId="0" applyNumberFormat="1" applyFont="1" applyAlignment="1">
      <alignment horizontal="right" vertical="center"/>
    </xf>
    <xf numFmtId="1" fontId="2" fillId="0" borderId="6" xfId="0" applyNumberFormat="1" applyFont="1" applyBorder="1" applyAlignment="1">
      <alignment horizontal="right" vertical="center"/>
    </xf>
    <xf numFmtId="165" fontId="2" fillId="0" borderId="6" xfId="0" applyNumberFormat="1" applyFont="1" applyBorder="1" applyAlignment="1">
      <alignment horizontal="right" vertical="center"/>
    </xf>
    <xf numFmtId="165" fontId="14" fillId="0" borderId="1" xfId="0" applyNumberFormat="1" applyFont="1" applyBorder="1"/>
    <xf numFmtId="165" fontId="14" fillId="0" borderId="2" xfId="0" applyNumberFormat="1" applyFont="1" applyBorder="1"/>
    <xf numFmtId="1" fontId="14" fillId="0" borderId="0" xfId="0" applyNumberFormat="1" applyFont="1"/>
    <xf numFmtId="165" fontId="14" fillId="0" borderId="6" xfId="0" applyNumberFormat="1" applyFont="1" applyBorder="1"/>
    <xf numFmtId="164" fontId="14" fillId="0" borderId="6" xfId="0" applyNumberFormat="1" applyFont="1" applyBorder="1"/>
    <xf numFmtId="9" fontId="14" fillId="0" borderId="1" xfId="0" applyNumberFormat="1" applyFont="1" applyBorder="1"/>
    <xf numFmtId="9" fontId="14" fillId="0" borderId="24" xfId="0" applyNumberFormat="1" applyFont="1" applyBorder="1"/>
    <xf numFmtId="169" fontId="0" fillId="5" borderId="1" xfId="0" applyNumberFormat="1" applyFill="1" applyBorder="1" applyAlignment="1">
      <alignment horizontal="right" vertical="center"/>
    </xf>
    <xf numFmtId="169" fontId="0" fillId="5" borderId="2" xfId="0" applyNumberFormat="1" applyFill="1" applyBorder="1" applyAlignment="1">
      <alignment horizontal="right" vertical="center"/>
    </xf>
    <xf numFmtId="1" fontId="1" fillId="0" borderId="1" xfId="0" applyNumberFormat="1" applyFont="1" applyBorder="1" applyAlignment="1">
      <alignment horizontal="right" vertical="center" wrapText="1"/>
    </xf>
    <xf numFmtId="164" fontId="7" fillId="0" borderId="6" xfId="0" applyNumberFormat="1" applyFont="1" applyBorder="1" applyAlignment="1">
      <alignment horizontal="right"/>
    </xf>
    <xf numFmtId="1" fontId="7" fillId="0" borderId="6" xfId="0" applyNumberFormat="1" applyFont="1" applyBorder="1" applyAlignment="1">
      <alignment horizontal="right"/>
    </xf>
    <xf numFmtId="0" fontId="22" fillId="0" borderId="0" xfId="0" applyFont="1" applyAlignment="1">
      <alignment vertical="top" wrapText="1"/>
    </xf>
    <xf numFmtId="164" fontId="0" fillId="3" borderId="24" xfId="0" applyNumberFormat="1" applyFill="1" applyBorder="1" applyAlignment="1">
      <alignment horizontal="right"/>
    </xf>
    <xf numFmtId="166" fontId="0" fillId="2" borderId="1" xfId="0" applyNumberFormat="1" applyFill="1" applyBorder="1" applyAlignment="1">
      <alignment vertical="top"/>
    </xf>
    <xf numFmtId="166" fontId="0" fillId="2" borderId="0" xfId="0" applyNumberFormat="1" applyFill="1" applyAlignment="1">
      <alignment vertical="top"/>
    </xf>
    <xf numFmtId="165" fontId="2" fillId="3" borderId="23" xfId="0" applyNumberFormat="1" applyFont="1" applyFill="1" applyBorder="1"/>
    <xf numFmtId="165" fontId="2" fillId="3" borderId="2" xfId="0" applyNumberFormat="1" applyFont="1" applyFill="1" applyBorder="1"/>
    <xf numFmtId="165" fontId="2" fillId="3" borderId="0" xfId="0" applyNumberFormat="1" applyFont="1" applyFill="1"/>
    <xf numFmtId="1" fontId="2" fillId="3" borderId="0" xfId="0" applyNumberFormat="1" applyFont="1" applyFill="1"/>
    <xf numFmtId="165" fontId="2" fillId="3" borderId="6" xfId="0" applyNumberFormat="1" applyFont="1" applyFill="1" applyBorder="1"/>
    <xf numFmtId="166" fontId="2" fillId="0" borderId="1" xfId="0" applyNumberFormat="1" applyFont="1" applyBorder="1" applyAlignment="1">
      <alignment horizontal="right" vertical="center"/>
    </xf>
    <xf numFmtId="166" fontId="2" fillId="0" borderId="24" xfId="0" applyNumberFormat="1" applyFont="1" applyBorder="1" applyAlignment="1">
      <alignment vertical="center"/>
    </xf>
    <xf numFmtId="1" fontId="2" fillId="0" borderId="23" xfId="0" applyNumberFormat="1" applyFont="1" applyBorder="1" applyAlignment="1">
      <alignment horizontal="center"/>
    </xf>
    <xf numFmtId="165" fontId="2" fillId="0" borderId="23" xfId="0" applyNumberFormat="1" applyFont="1" applyBorder="1" applyAlignment="1">
      <alignment vertical="center"/>
    </xf>
    <xf numFmtId="165" fontId="21" fillId="0" borderId="0" xfId="0" applyNumberFormat="1" applyFont="1"/>
    <xf numFmtId="165" fontId="21" fillId="0" borderId="2" xfId="0" applyNumberFormat="1" applyFont="1" applyBorder="1"/>
    <xf numFmtId="1" fontId="21" fillId="0" borderId="0" xfId="0" applyNumberFormat="1" applyFont="1"/>
    <xf numFmtId="165" fontId="19" fillId="0" borderId="2" xfId="0" applyNumberFormat="1" applyFont="1" applyBorder="1"/>
    <xf numFmtId="164" fontId="19" fillId="0" borderId="6" xfId="0" applyNumberFormat="1" applyFont="1" applyBorder="1"/>
    <xf numFmtId="2" fontId="21" fillId="0" borderId="6" xfId="0" applyNumberFormat="1" applyFont="1" applyBorder="1"/>
    <xf numFmtId="169" fontId="2" fillId="0" borderId="1" xfId="0" applyNumberFormat="1" applyFont="1" applyBorder="1"/>
    <xf numFmtId="1" fontId="2" fillId="0" borderId="6" xfId="0" applyNumberFormat="1" applyFont="1" applyBorder="1"/>
    <xf numFmtId="9" fontId="2" fillId="3" borderId="1" xfId="0" applyNumberFormat="1" applyFont="1" applyFill="1" applyBorder="1"/>
    <xf numFmtId="9" fontId="2" fillId="3" borderId="24" xfId="0" applyNumberFormat="1" applyFont="1" applyFill="1" applyBorder="1"/>
    <xf numFmtId="165" fontId="2" fillId="0" borderId="0" xfId="0" applyNumberFormat="1" applyFont="1" applyAlignment="1">
      <alignment vertical="center"/>
    </xf>
    <xf numFmtId="165" fontId="2" fillId="0" borderId="6" xfId="0" applyNumberFormat="1" applyFont="1" applyBorder="1" applyAlignment="1">
      <alignment vertical="center"/>
    </xf>
    <xf numFmtId="9" fontId="2" fillId="0" borderId="1" xfId="0" applyNumberFormat="1" applyFont="1" applyBorder="1" applyAlignment="1">
      <alignment vertical="center"/>
    </xf>
    <xf numFmtId="170" fontId="2" fillId="3" borderId="1" xfId="0" applyNumberFormat="1" applyFont="1" applyFill="1" applyBorder="1" applyAlignment="1">
      <alignment horizontal="right" vertical="center"/>
    </xf>
    <xf numFmtId="170" fontId="2" fillId="3" borderId="2" xfId="0" applyNumberFormat="1" applyFont="1" applyFill="1" applyBorder="1" applyAlignment="1">
      <alignment horizontal="right" vertical="center"/>
    </xf>
    <xf numFmtId="170" fontId="2" fillId="0" borderId="6" xfId="0" applyNumberFormat="1" applyFont="1" applyBorder="1" applyAlignment="1">
      <alignment vertical="center"/>
    </xf>
    <xf numFmtId="2" fontId="19" fillId="0" borderId="23" xfId="0" applyNumberFormat="1" applyFont="1" applyBorder="1"/>
    <xf numFmtId="9" fontId="19" fillId="0" borderId="1" xfId="0" applyNumberFormat="1" applyFont="1" applyBorder="1"/>
    <xf numFmtId="9" fontId="19" fillId="0" borderId="24" xfId="0" applyNumberFormat="1" applyFont="1" applyBorder="1"/>
    <xf numFmtId="165" fontId="19" fillId="2" borderId="23" xfId="0" applyNumberFormat="1" applyFont="1" applyFill="1" applyBorder="1"/>
    <xf numFmtId="165" fontId="19" fillId="2" borderId="0" xfId="0" applyNumberFormat="1" applyFont="1" applyFill="1"/>
    <xf numFmtId="165" fontId="2" fillId="2" borderId="1" xfId="0" applyNumberFormat="1" applyFont="1" applyFill="1" applyBorder="1"/>
    <xf numFmtId="165" fontId="2" fillId="2" borderId="2" xfId="0" applyNumberFormat="1" applyFont="1" applyFill="1" applyBorder="1"/>
    <xf numFmtId="1" fontId="2" fillId="2" borderId="0" xfId="0" applyNumberFormat="1" applyFont="1" applyFill="1"/>
    <xf numFmtId="165" fontId="2" fillId="2" borderId="6" xfId="0" applyNumberFormat="1" applyFont="1" applyFill="1" applyBorder="1" applyAlignment="1">
      <alignment horizontal="right" vertical="center"/>
    </xf>
    <xf numFmtId="9" fontId="2" fillId="2" borderId="1" xfId="0" applyNumberFormat="1" applyFont="1" applyFill="1" applyBorder="1"/>
    <xf numFmtId="9" fontId="2" fillId="2" borderId="24" xfId="0" applyNumberFormat="1" applyFont="1" applyFill="1" applyBorder="1"/>
    <xf numFmtId="170" fontId="2" fillId="0" borderId="1" xfId="0" applyNumberFormat="1" applyFont="1" applyBorder="1" applyAlignment="1">
      <alignment horizontal="right" vertical="center"/>
    </xf>
    <xf numFmtId="170" fontId="2" fillId="0" borderId="2" xfId="0" applyNumberFormat="1" applyFont="1" applyBorder="1" applyAlignment="1">
      <alignment horizontal="right" vertical="center"/>
    </xf>
    <xf numFmtId="170" fontId="2" fillId="0" borderId="6" xfId="0" applyNumberFormat="1" applyFont="1" applyBorder="1" applyAlignment="1">
      <alignment horizontal="right" vertical="center"/>
    </xf>
    <xf numFmtId="167" fontId="2" fillId="0" borderId="6" xfId="0" applyNumberFormat="1" applyFont="1" applyBorder="1" applyAlignment="1">
      <alignment horizontal="right" vertical="center"/>
    </xf>
    <xf numFmtId="164" fontId="1" fillId="3" borderId="24" xfId="0" applyNumberFormat="1" applyFont="1" applyFill="1" applyBorder="1" applyAlignment="1">
      <alignment horizontal="right" vertical="center"/>
    </xf>
    <xf numFmtId="1" fontId="1" fillId="0" borderId="23" xfId="0" applyNumberFormat="1" applyFont="1" applyBorder="1" applyAlignment="1">
      <alignment horizontal="center" vertical="top" wrapText="1"/>
    </xf>
    <xf numFmtId="164" fontId="1" fillId="0" borderId="2" xfId="0" applyNumberFormat="1" applyFont="1" applyBorder="1" applyAlignment="1">
      <alignment horizontal="right" vertical="top" wrapText="1"/>
    </xf>
    <xf numFmtId="1" fontId="1" fillId="0" borderId="1" xfId="0" applyNumberFormat="1" applyFont="1" applyBorder="1" applyAlignment="1">
      <alignment horizontal="center" vertical="top" wrapText="1"/>
    </xf>
    <xf numFmtId="170" fontId="0" fillId="3" borderId="1" xfId="0" applyNumberFormat="1" applyFill="1" applyBorder="1" applyAlignment="1">
      <alignment vertical="center"/>
    </xf>
    <xf numFmtId="170" fontId="0" fillId="3" borderId="2" xfId="0" applyNumberFormat="1" applyFill="1" applyBorder="1" applyAlignment="1">
      <alignment vertical="center"/>
    </xf>
    <xf numFmtId="166" fontId="1" fillId="0" borderId="0" xfId="0" applyNumberFormat="1" applyFont="1" applyAlignment="1">
      <alignment horizontal="right" vertical="center"/>
    </xf>
    <xf numFmtId="9" fontId="9" fillId="0" borderId="0" xfId="0" applyNumberFormat="1" applyFont="1"/>
    <xf numFmtId="2" fontId="19" fillId="0" borderId="0" xfId="0" applyNumberFormat="1" applyFont="1" applyAlignment="1">
      <alignment horizontal="left" vertical="top" wrapText="1"/>
    </xf>
    <xf numFmtId="164" fontId="21" fillId="0" borderId="0" xfId="0" applyNumberFormat="1" applyFont="1" applyAlignment="1">
      <alignment horizontal="right" vertical="center"/>
    </xf>
    <xf numFmtId="165" fontId="2" fillId="0" borderId="6" xfId="0" applyNumberFormat="1" applyFont="1" applyBorder="1" applyAlignment="1">
      <alignment horizontal="right" vertical="center" wrapText="1"/>
    </xf>
    <xf numFmtId="165" fontId="21" fillId="0" borderId="6" xfId="0" applyNumberFormat="1" applyFont="1" applyBorder="1"/>
    <xf numFmtId="164" fontId="21" fillId="0" borderId="6" xfId="0" applyNumberFormat="1" applyFont="1" applyBorder="1"/>
    <xf numFmtId="9" fontId="21" fillId="0" borderId="1" xfId="0" applyNumberFormat="1" applyFont="1" applyBorder="1"/>
    <xf numFmtId="9" fontId="21" fillId="0" borderId="24" xfId="0" applyNumberFormat="1" applyFont="1" applyBorder="1"/>
    <xf numFmtId="165" fontId="21" fillId="0" borderId="1" xfId="0" applyNumberFormat="1" applyFont="1" applyBorder="1"/>
    <xf numFmtId="164" fontId="20" fillId="0" borderId="6" xfId="0" applyNumberFormat="1" applyFont="1" applyBorder="1"/>
    <xf numFmtId="9" fontId="21" fillId="0" borderId="24" xfId="0" applyNumberFormat="1" applyFont="1" applyBorder="1" applyAlignment="1">
      <alignment horizontal="right" vertical="center"/>
    </xf>
    <xf numFmtId="10" fontId="2" fillId="0" borderId="1" xfId="0" applyNumberFormat="1" applyFont="1" applyBorder="1"/>
    <xf numFmtId="1" fontId="19" fillId="0" borderId="0" xfId="0" applyNumberFormat="1" applyFont="1"/>
    <xf numFmtId="164" fontId="19" fillId="0" borderId="0" xfId="0" quotePrefix="1" applyNumberFormat="1" applyFont="1" applyAlignment="1">
      <alignment horizontal="right"/>
    </xf>
    <xf numFmtId="164" fontId="19" fillId="0" borderId="24" xfId="0" quotePrefix="1" applyNumberFormat="1" applyFont="1" applyBorder="1" applyAlignment="1">
      <alignment horizontal="right"/>
    </xf>
    <xf numFmtId="165" fontId="1" fillId="9" borderId="1" xfId="0" applyNumberFormat="1" applyFont="1" applyFill="1" applyBorder="1" applyAlignment="1">
      <alignment horizontal="right" vertical="center"/>
    </xf>
    <xf numFmtId="165" fontId="1" fillId="9" borderId="2" xfId="0" applyNumberFormat="1" applyFont="1" applyFill="1" applyBorder="1" applyAlignment="1">
      <alignment horizontal="right" vertical="center"/>
    </xf>
    <xf numFmtId="9" fontId="2" fillId="0" borderId="1" xfId="0" applyNumberFormat="1" applyFont="1" applyBorder="1" applyAlignment="1">
      <alignment horizontal="right"/>
    </xf>
    <xf numFmtId="165" fontId="21" fillId="0" borderId="23" xfId="0" applyNumberFormat="1" applyFont="1" applyBorder="1"/>
    <xf numFmtId="2" fontId="21" fillId="0" borderId="0" xfId="0" applyNumberFormat="1" applyFont="1" applyAlignment="1">
      <alignment horizontal="left" vertical="center"/>
    </xf>
    <xf numFmtId="167" fontId="21" fillId="0" borderId="1" xfId="0" applyNumberFormat="1" applyFont="1" applyBorder="1"/>
    <xf numFmtId="167" fontId="21" fillId="0" borderId="2" xfId="0" applyNumberFormat="1" applyFont="1" applyBorder="1"/>
    <xf numFmtId="1" fontId="1" fillId="0" borderId="25" xfId="0" applyNumberFormat="1" applyFont="1" applyBorder="1" applyAlignment="1">
      <alignment horizontal="center" vertical="top"/>
    </xf>
    <xf numFmtId="1" fontId="1" fillId="0" borderId="3" xfId="0" applyNumberFormat="1" applyFont="1" applyBorder="1" applyAlignment="1">
      <alignment horizontal="center"/>
    </xf>
    <xf numFmtId="1" fontId="1" fillId="0" borderId="8" xfId="0" applyNumberFormat="1" applyFont="1" applyBorder="1" applyAlignment="1">
      <alignment horizontal="center"/>
    </xf>
    <xf numFmtId="1" fontId="1" fillId="0" borderId="25" xfId="0" applyNumberFormat="1" applyFont="1" applyBorder="1" applyAlignment="1">
      <alignment horizontal="center"/>
    </xf>
    <xf numFmtId="164" fontId="1" fillId="0" borderId="26" xfId="0" applyNumberFormat="1" applyFont="1" applyBorder="1" applyAlignment="1">
      <alignment horizontal="right"/>
    </xf>
    <xf numFmtId="165" fontId="1" fillId="0" borderId="4" xfId="0" applyNumberFormat="1" applyFont="1" applyBorder="1"/>
    <xf numFmtId="165" fontId="1" fillId="0" borderId="8" xfId="0" applyNumberFormat="1" applyFont="1" applyBorder="1"/>
    <xf numFmtId="165" fontId="2" fillId="0" borderId="1" xfId="0" applyNumberFormat="1" applyFont="1" applyBorder="1" applyAlignment="1">
      <alignment vertical="center"/>
    </xf>
    <xf numFmtId="165" fontId="2" fillId="0" borderId="2" xfId="0" applyNumberFormat="1" applyFont="1" applyBorder="1" applyAlignment="1">
      <alignment vertical="center"/>
    </xf>
    <xf numFmtId="1" fontId="2" fillId="0" borderId="0" xfId="0" applyNumberFormat="1" applyFont="1" applyAlignment="1">
      <alignment vertical="center"/>
    </xf>
    <xf numFmtId="170" fontId="2" fillId="0" borderId="0" xfId="0" applyNumberFormat="1" applyFont="1"/>
    <xf numFmtId="170" fontId="2" fillId="0" borderId="2" xfId="0" applyNumberFormat="1" applyFont="1" applyBorder="1"/>
    <xf numFmtId="170" fontId="2" fillId="0" borderId="6" xfId="0" applyNumberFormat="1" applyFont="1" applyBorder="1"/>
    <xf numFmtId="2" fontId="2" fillId="0" borderId="0" xfId="0" applyNumberFormat="1" applyFont="1" applyAlignment="1">
      <alignment horizontal="left" vertical="center"/>
    </xf>
    <xf numFmtId="170" fontId="2" fillId="0" borderId="23" xfId="0" applyNumberFormat="1" applyFont="1" applyBorder="1"/>
    <xf numFmtId="165" fontId="19" fillId="0" borderId="23" xfId="0" applyNumberFormat="1" applyFont="1" applyBorder="1" applyAlignment="1">
      <alignment vertical="top"/>
    </xf>
    <xf numFmtId="165" fontId="19" fillId="0" borderId="2" xfId="0" applyNumberFormat="1" applyFont="1" applyBorder="1" applyAlignment="1">
      <alignment vertical="center"/>
    </xf>
    <xf numFmtId="170" fontId="2" fillId="0" borderId="1" xfId="0" applyNumberFormat="1" applyFont="1" applyBorder="1"/>
    <xf numFmtId="165" fontId="23" fillId="0" borderId="23" xfId="0" applyNumberFormat="1" applyFont="1" applyBorder="1"/>
    <xf numFmtId="165" fontId="23" fillId="0" borderId="2" xfId="0" applyNumberFormat="1" applyFont="1" applyBorder="1"/>
    <xf numFmtId="165" fontId="23" fillId="0" borderId="0" xfId="0" applyNumberFormat="1" applyFont="1"/>
    <xf numFmtId="1" fontId="23" fillId="0" borderId="0" xfId="0" applyNumberFormat="1" applyFont="1"/>
    <xf numFmtId="165" fontId="23" fillId="0" borderId="6" xfId="0" applyNumberFormat="1" applyFont="1" applyBorder="1"/>
    <xf numFmtId="9" fontId="23" fillId="0" borderId="1" xfId="0" applyNumberFormat="1" applyFont="1" applyBorder="1"/>
    <xf numFmtId="9" fontId="23" fillId="0" borderId="24" xfId="0" applyNumberFormat="1" applyFont="1" applyBorder="1"/>
    <xf numFmtId="167" fontId="2" fillId="0" borderId="1" xfId="0" applyNumberFormat="1" applyFont="1" applyBorder="1" applyAlignment="1">
      <alignment horizontal="right" vertical="center"/>
    </xf>
    <xf numFmtId="167" fontId="2" fillId="0" borderId="2" xfId="0" applyNumberFormat="1" applyFont="1" applyBorder="1" applyAlignment="1">
      <alignment horizontal="right" vertical="center"/>
    </xf>
    <xf numFmtId="165" fontId="2" fillId="0" borderId="25" xfId="0" applyNumberFormat="1" applyFont="1" applyBorder="1"/>
    <xf numFmtId="165" fontId="2" fillId="0" borderId="4" xfId="0" applyNumberFormat="1" applyFont="1" applyBorder="1"/>
    <xf numFmtId="165" fontId="2" fillId="0" borderId="8" xfId="0" applyNumberFormat="1" applyFont="1" applyBorder="1"/>
    <xf numFmtId="1" fontId="2" fillId="0" borderId="8" xfId="0" applyNumberFormat="1" applyFont="1" applyBorder="1"/>
    <xf numFmtId="165" fontId="2" fillId="0" borderId="7" xfId="0" applyNumberFormat="1" applyFont="1" applyBorder="1"/>
    <xf numFmtId="164" fontId="2" fillId="0" borderId="7" xfId="0" applyNumberFormat="1" applyFont="1" applyBorder="1"/>
    <xf numFmtId="165" fontId="2" fillId="0" borderId="3" xfId="0" applyNumberFormat="1" applyFont="1" applyBorder="1"/>
    <xf numFmtId="2" fontId="2" fillId="0" borderId="7" xfId="0" applyNumberFormat="1" applyFont="1" applyBorder="1"/>
    <xf numFmtId="9" fontId="2" fillId="0" borderId="3" xfId="0" applyNumberFormat="1" applyFont="1" applyBorder="1"/>
    <xf numFmtId="9" fontId="2" fillId="0" borderId="26" xfId="0" applyNumberFormat="1" applyFont="1" applyBorder="1"/>
    <xf numFmtId="1" fontId="1" fillId="0" borderId="0" xfId="0" applyNumberFormat="1" applyFont="1" applyAlignment="1">
      <alignment vertical="center"/>
    </xf>
    <xf numFmtId="165" fontId="1" fillId="3" borderId="6" xfId="0" applyNumberFormat="1" applyFont="1" applyFill="1" applyBorder="1" applyAlignment="1">
      <alignment vertical="center"/>
    </xf>
    <xf numFmtId="164" fontId="1" fillId="0" borderId="1" xfId="0" applyNumberFormat="1" applyFont="1" applyBorder="1" applyAlignment="1">
      <alignment horizontal="center"/>
    </xf>
    <xf numFmtId="1" fontId="2" fillId="0" borderId="1" xfId="0" applyNumberFormat="1" applyFont="1" applyBorder="1" applyAlignment="1">
      <alignment horizontal="center"/>
    </xf>
    <xf numFmtId="164" fontId="2" fillId="0" borderId="2" xfId="0" applyNumberFormat="1" applyFont="1" applyBorder="1" applyAlignment="1">
      <alignment horizontal="right"/>
    </xf>
    <xf numFmtId="166" fontId="2" fillId="0" borderId="0" xfId="0" applyNumberFormat="1" applyFont="1"/>
    <xf numFmtId="1" fontId="1" fillId="3" borderId="0" xfId="0" applyNumberFormat="1" applyFont="1" applyFill="1" applyAlignment="1">
      <alignment horizontal="center"/>
    </xf>
    <xf numFmtId="2" fontId="2" fillId="0" borderId="0" xfId="0" applyNumberFormat="1" applyFont="1" applyAlignment="1">
      <alignment horizontal="right"/>
    </xf>
    <xf numFmtId="10" fontId="2" fillId="0" borderId="24" xfId="0" applyNumberFormat="1" applyFont="1" applyBorder="1"/>
    <xf numFmtId="165" fontId="2" fillId="3" borderId="6" xfId="0" applyNumberFormat="1" applyFont="1" applyFill="1" applyBorder="1" applyAlignment="1">
      <alignment horizontal="right" vertical="center"/>
    </xf>
    <xf numFmtId="2" fontId="2" fillId="0" borderId="24" xfId="0" applyNumberFormat="1" applyFont="1" applyBorder="1" applyAlignment="1">
      <alignment horizontal="right"/>
    </xf>
    <xf numFmtId="165" fontId="2" fillId="0" borderId="23" xfId="0" applyNumberFormat="1" applyFont="1" applyBorder="1" applyAlignment="1">
      <alignment horizontal="right"/>
    </xf>
    <xf numFmtId="164" fontId="20" fillId="0" borderId="0" xfId="0" applyNumberFormat="1" applyFont="1" applyAlignment="1">
      <alignment horizontal="right"/>
    </xf>
    <xf numFmtId="169" fontId="9" fillId="0" borderId="24" xfId="0" applyNumberFormat="1" applyFont="1" applyBorder="1"/>
    <xf numFmtId="165" fontId="2" fillId="0" borderId="0" xfId="0" applyNumberFormat="1" applyFont="1" applyAlignment="1">
      <alignment horizontal="right"/>
    </xf>
    <xf numFmtId="164" fontId="24" fillId="0" borderId="0" xfId="0" applyNumberFormat="1" applyFont="1" applyAlignment="1">
      <alignment horizontal="left" vertical="center"/>
    </xf>
    <xf numFmtId="1" fontId="26" fillId="3" borderId="23" xfId="0" applyNumberFormat="1" applyFont="1" applyFill="1" applyBorder="1" applyAlignment="1">
      <alignment horizontal="center" vertical="center"/>
    </xf>
    <xf numFmtId="164" fontId="26" fillId="0" borderId="0" xfId="0" applyNumberFormat="1" applyFont="1" applyAlignment="1">
      <alignment horizontal="right" vertical="center"/>
    </xf>
    <xf numFmtId="164" fontId="24" fillId="0" borderId="24" xfId="0" applyNumberFormat="1" applyFont="1" applyBorder="1" applyAlignment="1">
      <alignment horizontal="right" vertical="center"/>
    </xf>
    <xf numFmtId="165" fontId="23" fillId="0" borderId="1" xfId="0" applyNumberFormat="1" applyFont="1" applyBorder="1" applyAlignment="1">
      <alignment horizontal="right" vertical="center"/>
    </xf>
    <xf numFmtId="165" fontId="23" fillId="0" borderId="2" xfId="0" applyNumberFormat="1" applyFont="1" applyBorder="1" applyAlignment="1">
      <alignment horizontal="right" vertical="center"/>
    </xf>
    <xf numFmtId="1" fontId="23" fillId="0" borderId="0" xfId="0" applyNumberFormat="1" applyFont="1" applyAlignment="1">
      <alignment horizontal="right" vertical="center"/>
    </xf>
    <xf numFmtId="165" fontId="23" fillId="0" borderId="6" xfId="0" applyNumberFormat="1" applyFont="1" applyBorder="1" applyAlignment="1">
      <alignment horizontal="right" vertical="center" wrapText="1"/>
    </xf>
    <xf numFmtId="2" fontId="23" fillId="2" borderId="6" xfId="0" applyNumberFormat="1" applyFont="1" applyFill="1" applyBorder="1"/>
    <xf numFmtId="9" fontId="23" fillId="0" borderId="1" xfId="0" applyNumberFormat="1" applyFont="1" applyBorder="1" applyAlignment="1">
      <alignment horizontal="right" vertical="center"/>
    </xf>
    <xf numFmtId="9" fontId="23" fillId="0" borderId="24" xfId="0" applyNumberFormat="1" applyFont="1" applyBorder="1" applyAlignment="1">
      <alignment horizontal="right" vertical="center"/>
    </xf>
    <xf numFmtId="164" fontId="2" fillId="3" borderId="1" xfId="0" applyNumberFormat="1" applyFont="1" applyFill="1" applyBorder="1" applyAlignment="1">
      <alignment horizontal="right" vertical="center"/>
    </xf>
    <xf numFmtId="164" fontId="2" fillId="3" borderId="2" xfId="0" applyNumberFormat="1" applyFont="1" applyFill="1" applyBorder="1" applyAlignment="1">
      <alignment horizontal="right" vertical="center"/>
    </xf>
    <xf numFmtId="166" fontId="1" fillId="0" borderId="1" xfId="0" applyNumberFormat="1" applyFont="1" applyBorder="1"/>
    <xf numFmtId="166" fontId="1" fillId="0" borderId="24" xfId="0" applyNumberFormat="1" applyFont="1" applyBorder="1"/>
    <xf numFmtId="2" fontId="9" fillId="0" borderId="23" xfId="0" applyNumberFormat="1" applyFont="1" applyBorder="1" applyAlignment="1">
      <alignment horizontal="right"/>
    </xf>
    <xf numFmtId="164" fontId="9" fillId="0" borderId="23" xfId="0" applyNumberFormat="1" applyFont="1" applyBorder="1" applyAlignment="1">
      <alignment horizontal="right"/>
    </xf>
    <xf numFmtId="165" fontId="2" fillId="3" borderId="1" xfId="0" applyNumberFormat="1" applyFont="1" applyFill="1" applyBorder="1" applyAlignment="1">
      <alignment horizontal="right" vertical="center"/>
    </xf>
    <xf numFmtId="165" fontId="2" fillId="3" borderId="2" xfId="0" applyNumberFormat="1" applyFont="1" applyFill="1" applyBorder="1" applyAlignment="1">
      <alignment horizontal="right" vertical="center"/>
    </xf>
    <xf numFmtId="1" fontId="2" fillId="3" borderId="0" xfId="0" applyNumberFormat="1" applyFont="1" applyFill="1" applyAlignment="1">
      <alignment horizontal="right" vertical="center"/>
    </xf>
    <xf numFmtId="165" fontId="9" fillId="0" borderId="1" xfId="0" applyNumberFormat="1" applyFont="1" applyBorder="1" applyAlignment="1">
      <alignment horizontal="center"/>
    </xf>
    <xf numFmtId="165" fontId="9" fillId="0" borderId="2" xfId="0" applyNumberFormat="1" applyFont="1" applyBorder="1" applyAlignment="1">
      <alignment horizontal="center"/>
    </xf>
    <xf numFmtId="1" fontId="2" fillId="0" borderId="34" xfId="0" applyNumberFormat="1" applyFont="1" applyBorder="1" applyAlignment="1">
      <alignment horizontal="center" vertical="center"/>
    </xf>
    <xf numFmtId="1" fontId="2" fillId="0" borderId="36" xfId="0" applyNumberFormat="1" applyFont="1" applyBorder="1" applyAlignment="1">
      <alignment horizontal="center" vertical="center"/>
    </xf>
    <xf numFmtId="1" fontId="2" fillId="0" borderId="35" xfId="0" applyNumberFormat="1" applyFont="1" applyBorder="1" applyAlignment="1">
      <alignment horizontal="center" vertical="center"/>
    </xf>
    <xf numFmtId="2" fontId="2" fillId="0" borderId="39" xfId="0" applyNumberFormat="1" applyFont="1" applyBorder="1" applyAlignment="1">
      <alignment horizontal="center" vertical="center"/>
    </xf>
    <xf numFmtId="2" fontId="2" fillId="0" borderId="15" xfId="0" applyNumberFormat="1" applyFont="1" applyBorder="1" applyAlignment="1">
      <alignment horizontal="center" vertical="center"/>
    </xf>
    <xf numFmtId="2" fontId="2" fillId="0" borderId="40" xfId="0" applyNumberFormat="1" applyFont="1" applyBorder="1" applyAlignment="1">
      <alignment horizontal="center" vertical="center"/>
    </xf>
    <xf numFmtId="2" fontId="2" fillId="0" borderId="17" xfId="0" applyNumberFormat="1" applyFont="1" applyBorder="1" applyAlignment="1">
      <alignment horizontal="center" vertical="center"/>
    </xf>
    <xf numFmtId="2" fontId="2" fillId="0" borderId="19" xfId="0" applyNumberFormat="1" applyFont="1" applyBorder="1" applyAlignment="1">
      <alignment horizontal="center" vertical="center"/>
    </xf>
    <xf numFmtId="2" fontId="2" fillId="0" borderId="18" xfId="0" applyNumberFormat="1" applyFont="1" applyBorder="1" applyAlignment="1">
      <alignment horizontal="center" vertical="center" wrapText="1"/>
    </xf>
    <xf numFmtId="2"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49" fontId="2" fillId="0" borderId="20" xfId="0" applyNumberFormat="1" applyFont="1" applyBorder="1" applyAlignment="1">
      <alignment horizontal="center" vertical="center" wrapText="1"/>
    </xf>
    <xf numFmtId="2" fontId="2" fillId="3" borderId="17" xfId="0" applyNumberFormat="1" applyFont="1" applyFill="1" applyBorder="1" applyAlignment="1">
      <alignment horizontal="center" vertical="center" wrapText="1"/>
    </xf>
    <xf numFmtId="164" fontId="9" fillId="0" borderId="1" xfId="0" applyNumberFormat="1" applyFont="1" applyBorder="1" applyAlignment="1">
      <alignment horizontal="center"/>
    </xf>
    <xf numFmtId="164" fontId="9" fillId="0" borderId="2" xfId="0" applyNumberFormat="1" applyFont="1" applyBorder="1" applyAlignment="1">
      <alignment horizontal="center"/>
    </xf>
    <xf numFmtId="2" fontId="2" fillId="0" borderId="34" xfId="0" applyNumberFormat="1" applyFont="1" applyBorder="1" applyAlignment="1">
      <alignment horizontal="center" vertical="center"/>
    </xf>
    <xf numFmtId="2" fontId="2" fillId="0" borderId="36" xfId="0" applyNumberFormat="1" applyFont="1" applyBorder="1" applyAlignment="1">
      <alignment horizontal="center" vertical="center"/>
    </xf>
    <xf numFmtId="2" fontId="2" fillId="0" borderId="37" xfId="0" applyNumberFormat="1" applyFont="1" applyBorder="1" applyAlignment="1">
      <alignment horizontal="center" vertical="center"/>
    </xf>
    <xf numFmtId="1" fontId="2" fillId="0" borderId="38" xfId="0" applyNumberFormat="1" applyFont="1" applyBorder="1" applyAlignment="1">
      <alignment horizontal="center" vertical="center"/>
    </xf>
    <xf numFmtId="1" fontId="2" fillId="0" borderId="37" xfId="0" applyNumberFormat="1" applyFont="1" applyBorder="1" applyAlignment="1">
      <alignment horizontal="center" vertical="center"/>
    </xf>
    <xf numFmtId="1" fontId="2" fillId="0" borderId="12" xfId="0" applyNumberFormat="1" applyFont="1" applyBorder="1" applyAlignment="1">
      <alignment horizontal="center" vertical="center"/>
    </xf>
    <xf numFmtId="1" fontId="2" fillId="0" borderId="13" xfId="0" applyNumberFormat="1" applyFont="1" applyBorder="1" applyAlignment="1">
      <alignment horizontal="center" vertical="center"/>
    </xf>
    <xf numFmtId="165" fontId="9" fillId="0" borderId="1" xfId="0" applyNumberFormat="1" applyFont="1" applyBorder="1" applyAlignment="1">
      <alignment horizontal="center" vertical="center"/>
    </xf>
    <xf numFmtId="165" fontId="9" fillId="0" borderId="2" xfId="0" applyNumberFormat="1" applyFont="1" applyBorder="1" applyAlignment="1">
      <alignment horizontal="center" vertical="center"/>
    </xf>
    <xf numFmtId="49" fontId="2" fillId="0" borderId="17" xfId="0" applyNumberFormat="1" applyFont="1" applyBorder="1" applyAlignment="1">
      <alignment horizontal="center" vertical="center" wrapText="1"/>
    </xf>
    <xf numFmtId="2" fontId="2" fillId="3" borderId="16" xfId="0" applyNumberFormat="1" applyFont="1" applyFill="1" applyBorder="1" applyAlignment="1">
      <alignment horizontal="center" vertical="center" wrapText="1"/>
    </xf>
    <xf numFmtId="167" fontId="9" fillId="0" borderId="1" xfId="0" applyNumberFormat="1" applyFont="1" applyBorder="1" applyAlignment="1">
      <alignment horizontal="center"/>
    </xf>
    <xf numFmtId="167" fontId="9" fillId="0" borderId="2" xfId="0" applyNumberFormat="1" applyFont="1" applyBorder="1" applyAlignment="1">
      <alignment horizontal="center"/>
    </xf>
    <xf numFmtId="1" fontId="0" fillId="0" borderId="34" xfId="0" applyNumberFormat="1" applyBorder="1" applyAlignment="1">
      <alignment horizontal="center"/>
    </xf>
    <xf numFmtId="1" fontId="0" fillId="0" borderId="35" xfId="0" applyNumberFormat="1"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1" fontId="1" fillId="0" borderId="12" xfId="0" applyNumberFormat="1" applyFont="1" applyBorder="1" applyAlignment="1">
      <alignment horizontal="center"/>
    </xf>
    <xf numFmtId="166" fontId="1" fillId="0" borderId="8" xfId="0" applyNumberFormat="1" applyFont="1" applyBorder="1" applyAlignment="1">
      <alignment horizontal="center"/>
    </xf>
    <xf numFmtId="166" fontId="1" fillId="0" borderId="25" xfId="0" applyNumberFormat="1" applyFont="1" applyBorder="1" applyAlignment="1">
      <alignment horizontal="center"/>
    </xf>
    <xf numFmtId="166" fontId="1" fillId="0" borderId="26" xfId="0" applyNumberFormat="1" applyFont="1" applyBorder="1" applyAlignment="1">
      <alignment horizontal="center"/>
    </xf>
    <xf numFmtId="2" fontId="1" fillId="0" borderId="14" xfId="0" applyNumberFormat="1" applyFont="1" applyBorder="1" applyAlignment="1">
      <alignment horizontal="center" vertical="top"/>
    </xf>
    <xf numFmtId="2" fontId="1" fillId="0" borderId="15" xfId="0" applyNumberFormat="1" applyFont="1" applyBorder="1" applyAlignment="1">
      <alignment horizontal="center" vertical="top"/>
    </xf>
    <xf numFmtId="2" fontId="1" fillId="0" borderId="11" xfId="0" applyNumberFormat="1" applyFont="1" applyBorder="1" applyAlignment="1">
      <alignment horizontal="center" vertical="top"/>
    </xf>
  </cellXfs>
  <cellStyles count="4">
    <cellStyle name="Comma" xfId="3" builtinId="3"/>
    <cellStyle name="Hyperlink" xfId="1" builtinId="8"/>
    <cellStyle name="Normal" xfId="0" builtinId="0"/>
    <cellStyle name="Percent" xfId="2" builtinId="5"/>
  </cellStyles>
  <dxfs count="0"/>
  <tableStyles count="0" defaultTableStyle="TableStyleMedium9" defaultPivotStyle="PivotStyleLight16"/>
  <colors>
    <mruColors>
      <color rgb="FFC0C0C0"/>
      <color rgb="FF14F850"/>
      <color rgb="FF0000FF"/>
      <color rgb="FF003B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www.hinku-foorumi.fi/en-US" TargetMode="External"/><Relationship Id="rId18" Type="http://schemas.openxmlformats.org/officeDocument/2006/relationships/hyperlink" Target="http://www.hinku-foorumi.fi/en-US" TargetMode="External"/><Relationship Id="rId26" Type="http://schemas.openxmlformats.org/officeDocument/2006/relationships/hyperlink" Target="http://www.hinku-foorumi.fi/en-US" TargetMode="External"/><Relationship Id="rId39" Type="http://schemas.openxmlformats.org/officeDocument/2006/relationships/hyperlink" Target="http://www.hinku-foorumi.fi/en-US" TargetMode="External"/><Relationship Id="rId21" Type="http://schemas.openxmlformats.org/officeDocument/2006/relationships/hyperlink" Target="http://www.hinku-foorumi.fi/en-US" TargetMode="External"/><Relationship Id="rId34" Type="http://schemas.openxmlformats.org/officeDocument/2006/relationships/hyperlink" Target="http://www.hinku-foorumi.fi/en-US" TargetMode="External"/><Relationship Id="rId42" Type="http://schemas.openxmlformats.org/officeDocument/2006/relationships/hyperlink" Target="http://www.japanfs.org/en/news/archives/news_id032745.html" TargetMode="External"/><Relationship Id="rId47" Type="http://schemas.openxmlformats.org/officeDocument/2006/relationships/hyperlink" Target="http://www.bbsr.bund.de/BBSR/DE/Veroeffentlichungen/IzR/2012/5_6/Inhalt/DL_DiabRoberts.pdf?__blob=publicationFile&amp;v=2" TargetMode="External"/><Relationship Id="rId50" Type="http://schemas.openxmlformats.org/officeDocument/2006/relationships/hyperlink" Target="http://urbanaillinois.us/sites/default/files/attachments/city-urbana-cap-phase-i-final.pdf" TargetMode="External"/><Relationship Id="rId55" Type="http://schemas.openxmlformats.org/officeDocument/2006/relationships/hyperlink" Target="http://www.mbbl.dk/sites/mbbl.dk/files/dokumenter/publikationer/green_urban_dk_03072014.pdf" TargetMode="External"/><Relationship Id="rId63" Type="http://schemas.openxmlformats.org/officeDocument/2006/relationships/hyperlink" Target="http://www.dpac.tas.gov.au/__data/assets/pdf_file/0014/117410/Wedges_Fact_Sheet.pdf" TargetMode="External"/><Relationship Id="rId68" Type="http://schemas.openxmlformats.org/officeDocument/2006/relationships/hyperlink" Target="../../Downloads/4__Chap_2_Inv_For_Targ%20CAP.pdf" TargetMode="External"/><Relationship Id="rId76" Type="http://schemas.openxmlformats.org/officeDocument/2006/relationships/hyperlink" Target="https://www.colorado.gov/pacific/sites/default/files/AP-COGHGInventory2014Update.pdf" TargetMode="External"/><Relationship Id="rId84" Type="http://schemas.openxmlformats.org/officeDocument/2006/relationships/hyperlink" Target="https://www.eesi.org/files/100709_state_plans_issuebrief.pdf" TargetMode="External"/><Relationship Id="rId89" Type="http://schemas.openxmlformats.org/officeDocument/2006/relationships/comments" Target="../comments1.xml"/><Relationship Id="rId7" Type="http://schemas.openxmlformats.org/officeDocument/2006/relationships/hyperlink" Target="https://atlantaclimateactionplan.wordpress.com/ghg-emissions-and-reduction-targets/" TargetMode="External"/><Relationship Id="rId71" Type="http://schemas.openxmlformats.org/officeDocument/2006/relationships/hyperlink" Target="http://carbonn.org/uploads/tx_carbonndata/ghg%20framework%20plan%20090215%20-2-.pdf" TargetMode="External"/><Relationship Id="rId2" Type="http://schemas.openxmlformats.org/officeDocument/2006/relationships/hyperlink" Target="http://www.taiwanembassy.org/US/MIA/ct.asp?xItem=294319&amp;ctNode=11325&amp;mp=57" TargetMode="External"/><Relationship Id="rId16" Type="http://schemas.openxmlformats.org/officeDocument/2006/relationships/hyperlink" Target="http://www.hinku-foorumi.fi/en-US" TargetMode="External"/><Relationship Id="rId29" Type="http://schemas.openxmlformats.org/officeDocument/2006/relationships/hyperlink" Target="http://www.hinku-foorumi.fi/en-US" TargetMode="External"/><Relationship Id="rId11" Type="http://schemas.openxmlformats.org/officeDocument/2006/relationships/hyperlink" Target="http://www.hinku-foorumi.fi/en-US" TargetMode="External"/><Relationship Id="rId24" Type="http://schemas.openxmlformats.org/officeDocument/2006/relationships/hyperlink" Target="http://www.hinku-foorumi.fi/en-US" TargetMode="External"/><Relationship Id="rId32" Type="http://schemas.openxmlformats.org/officeDocument/2006/relationships/hyperlink" Target="http://www.hinku-foorumi.fi/en-US" TargetMode="External"/><Relationship Id="rId37" Type="http://schemas.openxmlformats.org/officeDocument/2006/relationships/hyperlink" Target="http://www.hinku-foorumi.fi/en-US" TargetMode="External"/><Relationship Id="rId40" Type="http://schemas.openxmlformats.org/officeDocument/2006/relationships/hyperlink" Target="http://www.lahti.fi/www/cms.nsf/pages/A7538F9AA0BE1BFFC22576C400426E3D" TargetMode="External"/><Relationship Id="rId45" Type="http://schemas.openxmlformats.org/officeDocument/2006/relationships/hyperlink" Target="http://www.theguardian.com/australia-news/2015/sep/09/adelaide-joins-race-to-become-worlds-first-carbon-neutral-city" TargetMode="External"/><Relationship Id="rId53" Type="http://schemas.openxmlformats.org/officeDocument/2006/relationships/hyperlink" Target="http://wellington.govt.nz/~/media/services/environment-and-waste/environment/files/greenhouse-gas-inventory-web.pdf" TargetMode="External"/><Relationship Id="rId58" Type="http://schemas.openxmlformats.org/officeDocument/2006/relationships/hyperlink" Target="http://www.abetteroakland.com/wp-content/uploads/2010/11/DraftECAP.pdf" TargetMode="External"/><Relationship Id="rId66" Type="http://schemas.openxmlformats.org/officeDocument/2006/relationships/hyperlink" Target="http://www.cityoforlando.net/greenworks/energy-and-green-buildings/" TargetMode="External"/><Relationship Id="rId74" Type="http://schemas.openxmlformats.org/officeDocument/2006/relationships/hyperlink" Target="http://www.responsiblepurchasing.org/UserFiles/File/New_Mexico_Climate_Change_Executive_Order%202006.pdf" TargetMode="External"/><Relationship Id="rId79" Type="http://schemas.openxmlformats.org/officeDocument/2006/relationships/hyperlink" Target="https://www.canada.ca/en/environment-climate-change/services/climate-change/greenhouse-gas-emissions/sources-sinks-executive-summary.html" TargetMode="External"/><Relationship Id="rId87" Type="http://schemas.openxmlformats.org/officeDocument/2006/relationships/printerSettings" Target="../printerSettings/printerSettings1.bin"/><Relationship Id="rId5" Type="http://schemas.openxmlformats.org/officeDocument/2006/relationships/hyperlink" Target="http://anr.vermont.gov/sites/anr/files/specialtopics/climate/documents/emissions/Vermont%20GHG%20Emissions%20Inventory%20Update%201990-2012_June%20-2015.pdf" TargetMode="External"/><Relationship Id="rId61" Type="http://schemas.openxmlformats.org/officeDocument/2006/relationships/hyperlink" Target="http://www.awac.be/index.php/thematiques/changement-climatique/les-politiques/politique-wallonne" TargetMode="External"/><Relationship Id="rId82" Type="http://schemas.openxmlformats.org/officeDocument/2006/relationships/hyperlink" Target="https://www.eesi.org/files/100709_state_plans_issuebrief.pdf" TargetMode="External"/><Relationship Id="rId19" Type="http://schemas.openxmlformats.org/officeDocument/2006/relationships/hyperlink" Target="http://www.hinku-foorumi.fi/en-US" TargetMode="External"/><Relationship Id="rId4" Type="http://schemas.openxmlformats.org/officeDocument/2006/relationships/hyperlink" Target="http://www.oregon.gov/deq/AQ/Pages/Greenhouse-Gas-Inventory-Report.aspx" TargetMode="External"/><Relationship Id="rId9" Type="http://schemas.openxmlformats.org/officeDocument/2006/relationships/hyperlink" Target="http://green.terresiena.it/en/project/carbon-free/the-project" TargetMode="External"/><Relationship Id="rId14" Type="http://schemas.openxmlformats.org/officeDocument/2006/relationships/hyperlink" Target="http://www.hinku-foorumi.fi/en-US" TargetMode="External"/><Relationship Id="rId22" Type="http://schemas.openxmlformats.org/officeDocument/2006/relationships/hyperlink" Target="http://www.hinku-foorumi.fi/en-US" TargetMode="External"/><Relationship Id="rId27" Type="http://schemas.openxmlformats.org/officeDocument/2006/relationships/hyperlink" Target="http://www.hinku-foorumi.fi/en-US" TargetMode="External"/><Relationship Id="rId30" Type="http://schemas.openxmlformats.org/officeDocument/2006/relationships/hyperlink" Target="http://www.hinku-foorumi.fi/en-US" TargetMode="External"/><Relationship Id="rId35" Type="http://schemas.openxmlformats.org/officeDocument/2006/relationships/hyperlink" Target="http://www.hinku-foorumi.fi/en-US" TargetMode="External"/><Relationship Id="rId43" Type="http://schemas.openxmlformats.org/officeDocument/2006/relationships/hyperlink" Target="http://www.japanfs.org/en/news/archives/news_id032745.html" TargetMode="External"/><Relationship Id="rId48" Type="http://schemas.openxmlformats.org/officeDocument/2006/relationships/hyperlink" Target="http://www.a2gov.org/departments/systems-planning/energy/Documents/CityofAnnArborClimateActionPlan_low%20res_12_17_12.pdf" TargetMode="External"/><Relationship Id="rId56" Type="http://schemas.openxmlformats.org/officeDocument/2006/relationships/hyperlink" Target="http://www.santafenm.gov/media/files/Sustainable_SF_Commission/Sustainable_SF_Commission_Benchmarks_Final.pdf" TargetMode="External"/><Relationship Id="rId64" Type="http://schemas.openxmlformats.org/officeDocument/2006/relationships/hyperlink" Target="http://carbonn.org/uploads/tx_carbonndata/Cleveland_Climate_Action_Plan_Final2013_01.pdf" TargetMode="External"/><Relationship Id="rId69" Type="http://schemas.openxmlformats.org/officeDocument/2006/relationships/hyperlink" Target="https://slcgreen.files.wordpress.com/2016/07/carbon-reduction-joint-resolution.pdf" TargetMode="External"/><Relationship Id="rId77" Type="http://schemas.openxmlformats.org/officeDocument/2006/relationships/hyperlink" Target="http://www.climatestrategies.us/library/library/download/322" TargetMode="External"/><Relationship Id="rId8" Type="http://schemas.openxmlformats.org/officeDocument/2006/relationships/hyperlink" Target="http://www3.epa.gov/region9/climatechange/pdfs/ghg-baja-executive-summary.pdf" TargetMode="External"/><Relationship Id="rId51" Type="http://schemas.openxmlformats.org/officeDocument/2006/relationships/hyperlink" Target="https://www.cityoftacoma.org/cms/One.aspx?portalId=169&amp;pageId=9659" TargetMode="External"/><Relationship Id="rId72" Type="http://schemas.openxmlformats.org/officeDocument/2006/relationships/hyperlink" Target="http://ageis.climatechange.gov.au/" TargetMode="External"/><Relationship Id="rId80" Type="http://schemas.openxmlformats.org/officeDocument/2006/relationships/hyperlink" Target="https://www.sandiego.gov/sites/default/files/final_july_2016_cap.pdf" TargetMode="External"/><Relationship Id="rId85" Type="http://schemas.openxmlformats.org/officeDocument/2006/relationships/hyperlink" Target="http://www.env.go.jp/en/earth/cc/2050_zero_carbon_cities_in_japan.html" TargetMode="External"/><Relationship Id="rId3" Type="http://schemas.openxmlformats.org/officeDocument/2006/relationships/hyperlink" Target="http://www.ammk-rks.net/repository/docs/Brochure_Kosovo_Greenhouse_Gas_Emissions_Eng.pdf" TargetMode="External"/><Relationship Id="rId12" Type="http://schemas.openxmlformats.org/officeDocument/2006/relationships/hyperlink" Target="http://www.hinku-foorumi.fi/en-US" TargetMode="External"/><Relationship Id="rId17" Type="http://schemas.openxmlformats.org/officeDocument/2006/relationships/hyperlink" Target="http://www.hinku-foorumi.fi/en-US" TargetMode="External"/><Relationship Id="rId25" Type="http://schemas.openxmlformats.org/officeDocument/2006/relationships/hyperlink" Target="http://www.hinku-foorumi.fi/en-US" TargetMode="External"/><Relationship Id="rId33" Type="http://schemas.openxmlformats.org/officeDocument/2006/relationships/hyperlink" Target="http://www.hinku-foorumi.fi/en-US" TargetMode="External"/><Relationship Id="rId38" Type="http://schemas.openxmlformats.org/officeDocument/2006/relationships/hyperlink" Target="http://www.hinku-foorumi.fi/en-US" TargetMode="External"/><Relationship Id="rId46" Type="http://schemas.openxmlformats.org/officeDocument/2006/relationships/hyperlink" Target="http://www.echnoserve.com/publications/Final%20aa-inventory-low-res(encrypted).pdf" TargetMode="External"/><Relationship Id="rId59" Type="http://schemas.openxmlformats.org/officeDocument/2006/relationships/hyperlink" Target="https://www.des.nh.gov/organization/commissioner/pip/forms/ard/documents/ard-01-1.pdf" TargetMode="External"/><Relationship Id="rId67" Type="http://schemas.openxmlformats.org/officeDocument/2006/relationships/hyperlink" Target="http://kcmo.gov/citymanagersoffice/wp-content/uploads/sites/11/2013/11/City-Climate-Protection-Plan.pdf" TargetMode="External"/><Relationship Id="rId20" Type="http://schemas.openxmlformats.org/officeDocument/2006/relationships/hyperlink" Target="http://www.hinku-foorumi.fi/en-US" TargetMode="External"/><Relationship Id="rId41" Type="http://schemas.openxmlformats.org/officeDocument/2006/relationships/hyperlink" Target="http://mapleridge.ca/DocumentCenter/View/924" TargetMode="External"/><Relationship Id="rId54" Type="http://schemas.openxmlformats.org/officeDocument/2006/relationships/hyperlink" Target="http://www.mbbl.dk/sites/mbbl.dk/files/dokumenter/publikationer/green_urban_dk_03072014.pdf" TargetMode="External"/><Relationship Id="rId62" Type="http://schemas.openxmlformats.org/officeDocument/2006/relationships/hyperlink" Target="http://www.cbc.ca/news/canada/manitoba/manitoba-climate-change-plan-1.3348572" TargetMode="External"/><Relationship Id="rId70" Type="http://schemas.openxmlformats.org/officeDocument/2006/relationships/hyperlink" Target="https://www.smgov.net/uploadedFiles/Departments/OSE/Home_Page_Item_with_Image/CAP_Final.pdf" TargetMode="External"/><Relationship Id="rId75" Type="http://schemas.openxmlformats.org/officeDocument/2006/relationships/hyperlink" Target="http://www.regiuneavest.ro/assets/north_karelia_invests_in_fossil_oil_free_region_in_2030_pasip_29_10_2013.pdf" TargetMode="External"/><Relationship Id="rId83" Type="http://schemas.openxmlformats.org/officeDocument/2006/relationships/hyperlink" Target="../../Downloads/wisconsin_gov_taskforce_final_2008.pdf" TargetMode="External"/><Relationship Id="rId88" Type="http://schemas.openxmlformats.org/officeDocument/2006/relationships/vmlDrawing" Target="../drawings/vmlDrawing1.vml"/><Relationship Id="rId1" Type="http://schemas.openxmlformats.org/officeDocument/2006/relationships/hyperlink" Target="http://blogs.worldwatch.org/revolt/wp-content/uploads/2011/09/DR-ClimateCompatibleDevPlan-Sep-2011.pdf" TargetMode="External"/><Relationship Id="rId6" Type="http://schemas.openxmlformats.org/officeDocument/2006/relationships/hyperlink" Target="http://austintexas.gov/sites/default/files/files/Sustainability/FINAL_-_OOS_AustinClimatePlan_061015.pdf" TargetMode="External"/><Relationship Id="rId15" Type="http://schemas.openxmlformats.org/officeDocument/2006/relationships/hyperlink" Target="http://www.hinku-foorumi.fi/en-US" TargetMode="External"/><Relationship Id="rId23" Type="http://schemas.openxmlformats.org/officeDocument/2006/relationships/hyperlink" Target="http://www.hinku-foorumi.fi/en-US" TargetMode="External"/><Relationship Id="rId28" Type="http://schemas.openxmlformats.org/officeDocument/2006/relationships/hyperlink" Target="http://www.hinku-foorumi.fi/en-US" TargetMode="External"/><Relationship Id="rId36" Type="http://schemas.openxmlformats.org/officeDocument/2006/relationships/hyperlink" Target="http://www.hinku-foorumi.fi/en-US" TargetMode="External"/><Relationship Id="rId49" Type="http://schemas.openxmlformats.org/officeDocument/2006/relationships/hyperlink" Target="http://www.aspenpitkin.com/Portals/0/docs/City/envhealth/2014%20Aspen%20Community-wide%20GHG%20Inventory.pdf" TargetMode="External"/><Relationship Id="rId57" Type="http://schemas.openxmlformats.org/officeDocument/2006/relationships/hyperlink" Target="http://charmeck.org/p2c/2lead/documents/final%20charlotte%20community%20ghg%20emissions%20inventory%20rpt.pdf" TargetMode="External"/><Relationship Id="rId10" Type="http://schemas.openxmlformats.org/officeDocument/2006/relationships/hyperlink" Target="http://www.lappeenranta.fi/en/Our-City/Green-Lappeenranta" TargetMode="External"/><Relationship Id="rId31" Type="http://schemas.openxmlformats.org/officeDocument/2006/relationships/hyperlink" Target="http://www.hinku-foorumi.fi/en-US" TargetMode="External"/><Relationship Id="rId44" Type="http://schemas.openxmlformats.org/officeDocument/2006/relationships/hyperlink" Target="http://www.japanfs.org/en/news/archives/news_id032745.html" TargetMode="External"/><Relationship Id="rId52" Type="http://schemas.openxmlformats.org/officeDocument/2006/relationships/hyperlink" Target="http://www.compactofmayors.org/content/uploads/sites/14/2015/06/youblisher.com-1266029-Plan_Distrital_de_Adaptaci_n_y_Mitigaci_na_al_Cambio_Clim_tico.pdf" TargetMode="External"/><Relationship Id="rId60" Type="http://schemas.openxmlformats.org/officeDocument/2006/relationships/hyperlink" Target="http://www.dem.ri.gov/climate/pdf/gginv2010.pdf" TargetMode="External"/><Relationship Id="rId65" Type="http://schemas.openxmlformats.org/officeDocument/2006/relationships/hyperlink" Target="http://www.cityofberkeley.info/uploadedFiles/Planning_and_Development/Level_3_-_Energy_and_Sustainable_Development/Berkeley%20Climate%20Action%20Plan.pdf" TargetMode="External"/><Relationship Id="rId73" Type="http://schemas.openxmlformats.org/officeDocument/2006/relationships/hyperlink" Target="http://www.epa.state.il.us/air/climatechange/documents/iccag-final-report.pdf" TargetMode="External"/><Relationship Id="rId78" Type="http://schemas.openxmlformats.org/officeDocument/2006/relationships/hyperlink" Target="http://local.climate-kic.org/wp-content/uploads/2016/06/D2-Gap-analysis-of-GHG-emissions-inventory-methods.pdf" TargetMode="External"/><Relationship Id="rId81" Type="http://schemas.openxmlformats.org/officeDocument/2006/relationships/hyperlink" Target="https://www8.iowa-city.org/weblink/0/edoc/1587170/ICGreenhouseGasUpdate-2017.pdf" TargetMode="External"/><Relationship Id="rId86" Type="http://schemas.openxmlformats.org/officeDocument/2006/relationships/hyperlink" Target="http://www.env.go.jp/en/earth/cc/2050_zero_carbon_cities_in_japan.html"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32"/>
  <sheetViews>
    <sheetView workbookViewId="0">
      <selection activeCell="A47" sqref="A47"/>
    </sheetView>
  </sheetViews>
  <sheetFormatPr defaultRowHeight="12.75" x14ac:dyDescent="0.2"/>
  <cols>
    <col min="1" max="1" width="137.140625" customWidth="1"/>
  </cols>
  <sheetData>
    <row r="1" spans="1:1" x14ac:dyDescent="0.2">
      <c r="A1" t="str">
        <f>+'Cities and regions'!A1</f>
        <v>This Pipeline was produced by Jørgen Fenhann, UNEP Copenhagen Climate Centre, 1. October 2022 , jorgen.fenhann@un.org, Phone (+45)40202789</v>
      </c>
    </row>
    <row r="3" spans="1:1" x14ac:dyDescent="0.2">
      <c r="A3" s="783" t="s">
        <v>2111</v>
      </c>
    </row>
    <row r="5" spans="1:1" x14ac:dyDescent="0.2">
      <c r="A5" s="166" t="s">
        <v>2110</v>
      </c>
    </row>
    <row r="6" spans="1:1" x14ac:dyDescent="0.2">
      <c r="A6" s="166"/>
    </row>
    <row r="7" spans="1:1" x14ac:dyDescent="0.2">
      <c r="A7" s="166" t="s">
        <v>2109</v>
      </c>
    </row>
    <row r="8" spans="1:1" x14ac:dyDescent="0.2">
      <c r="A8" s="166"/>
    </row>
    <row r="9" spans="1:1" x14ac:dyDescent="0.2">
      <c r="A9" s="783" t="s">
        <v>1633</v>
      </c>
    </row>
    <row r="10" spans="1:1" x14ac:dyDescent="0.2">
      <c r="A10" s="783" t="s">
        <v>1634</v>
      </c>
    </row>
    <row r="11" spans="1:1" x14ac:dyDescent="0.2">
      <c r="A11" s="783" t="s">
        <v>1635</v>
      </c>
    </row>
    <row r="12" spans="1:1" x14ac:dyDescent="0.2">
      <c r="A12" s="783" t="s">
        <v>1636</v>
      </c>
    </row>
    <row r="13" spans="1:1" x14ac:dyDescent="0.2">
      <c r="A13" s="783" t="s">
        <v>1637</v>
      </c>
    </row>
    <row r="14" spans="1:1" x14ac:dyDescent="0.2">
      <c r="A14" s="783" t="s">
        <v>1638</v>
      </c>
    </row>
    <row r="15" spans="1:1" x14ac:dyDescent="0.2">
      <c r="A15" s="783" t="s">
        <v>1639</v>
      </c>
    </row>
    <row r="16" spans="1:1" x14ac:dyDescent="0.2">
      <c r="A16" s="783" t="s">
        <v>1640</v>
      </c>
    </row>
    <row r="17" spans="1:1" x14ac:dyDescent="0.2">
      <c r="A17" s="783" t="s">
        <v>1642</v>
      </c>
    </row>
    <row r="18" spans="1:1" x14ac:dyDescent="0.2">
      <c r="A18" s="783"/>
    </row>
    <row r="19" spans="1:1" x14ac:dyDescent="0.2">
      <c r="A19" s="166" t="s">
        <v>1641</v>
      </c>
    </row>
    <row r="20" spans="1:1" x14ac:dyDescent="0.2">
      <c r="A20" s="783" t="s">
        <v>2160</v>
      </c>
    </row>
    <row r="21" spans="1:1" x14ac:dyDescent="0.2">
      <c r="A21" s="783" t="s">
        <v>2161</v>
      </c>
    </row>
    <row r="22" spans="1:1" x14ac:dyDescent="0.2">
      <c r="A22" s="166" t="s">
        <v>2647</v>
      </c>
    </row>
    <row r="23" spans="1:1" x14ac:dyDescent="0.2">
      <c r="A23" s="783" t="s">
        <v>2162</v>
      </c>
    </row>
    <row r="24" spans="1:1" x14ac:dyDescent="0.2">
      <c r="A24" s="166" t="s">
        <v>2163</v>
      </c>
    </row>
    <row r="25" spans="1:1" x14ac:dyDescent="0.2">
      <c r="A25" s="166" t="s">
        <v>2164</v>
      </c>
    </row>
    <row r="26" spans="1:1" x14ac:dyDescent="0.2">
      <c r="A26" s="166" t="s">
        <v>2648</v>
      </c>
    </row>
    <row r="27" spans="1:1" x14ac:dyDescent="0.2">
      <c r="A27" s="166"/>
    </row>
    <row r="28" spans="1:1" x14ac:dyDescent="0.2">
      <c r="A28" s="166" t="s">
        <v>2107</v>
      </c>
    </row>
    <row r="30" spans="1:1" x14ac:dyDescent="0.2">
      <c r="A30" s="166" t="s">
        <v>2108</v>
      </c>
    </row>
    <row r="31" spans="1:1" x14ac:dyDescent="0.2">
      <c r="A31" s="166" t="s">
        <v>2165</v>
      </c>
    </row>
    <row r="32" spans="1:1" x14ac:dyDescent="0.2">
      <c r="A32" s="783" t="s">
        <v>2166</v>
      </c>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BY2786"/>
  <sheetViews>
    <sheetView tabSelected="1" zoomScale="70" zoomScaleNormal="70" workbookViewId="0">
      <pane xSplit="3" ySplit="5" topLeftCell="D648" activePane="bottomRight" state="frozen"/>
      <selection pane="topRight" activeCell="D1" sqref="D1"/>
      <selection pane="bottomLeft" activeCell="A6" sqref="A6"/>
      <selection pane="bottomRight" activeCell="E681" sqref="E681:T681"/>
    </sheetView>
  </sheetViews>
  <sheetFormatPr defaultColWidth="9.140625" defaultRowHeight="12.75" outlineLevelRow="1" x14ac:dyDescent="0.2"/>
  <cols>
    <col min="1" max="1" width="32.28515625" style="1" customWidth="1"/>
    <col min="2" max="2" width="27" style="1" customWidth="1"/>
    <col min="3" max="3" width="27.7109375" style="2" customWidth="1"/>
    <col min="4" max="4" width="14.7109375" style="1" customWidth="1"/>
    <col min="5" max="5" width="65.5703125" style="2" customWidth="1"/>
    <col min="6" max="6" width="7.5703125" style="12" customWidth="1"/>
    <col min="7" max="7" width="10" style="1" customWidth="1"/>
    <col min="8" max="8" width="10.140625" style="1" customWidth="1"/>
    <col min="9" max="9" width="8.140625" style="12" customWidth="1"/>
    <col min="10" max="10" width="10.140625" style="1" customWidth="1"/>
    <col min="11" max="11" width="10.7109375" style="1" customWidth="1"/>
    <col min="12" max="12" width="9.85546875" style="12" customWidth="1"/>
    <col min="13" max="13" width="9.5703125" style="1" customWidth="1"/>
    <col min="14" max="14" width="11.28515625" style="1" customWidth="1"/>
    <col min="15" max="15" width="9.85546875" style="12" customWidth="1"/>
    <col min="16" max="16" width="9.5703125" style="1" customWidth="1"/>
    <col min="17" max="17" width="11.28515625" style="1" customWidth="1"/>
    <col min="18" max="18" width="9.85546875" style="12" customWidth="1"/>
    <col min="19" max="19" width="9.5703125" style="1" customWidth="1"/>
    <col min="20" max="20" width="11.28515625" style="1" customWidth="1"/>
    <col min="21" max="21" width="9.42578125" style="1" customWidth="1"/>
    <col min="22" max="22" width="9.7109375" style="1" customWidth="1"/>
    <col min="23" max="23" width="12.42578125" style="1" customWidth="1"/>
    <col min="24" max="24" width="12" style="1" customWidth="1"/>
    <col min="25" max="25" width="8.85546875" style="1" customWidth="1"/>
    <col min="26" max="26" width="11.85546875" style="1" customWidth="1"/>
    <col min="27" max="27" width="11.7109375" style="16" customWidth="1"/>
    <col min="28" max="28" width="8.28515625" style="1" customWidth="1"/>
    <col min="29" max="29" width="8" style="5" customWidth="1"/>
    <col min="30" max="30" width="9.5703125" style="1" customWidth="1"/>
    <col min="31" max="31" width="9.28515625" style="1" customWidth="1"/>
    <col min="32" max="32" width="9.42578125" style="1" customWidth="1"/>
    <col min="33" max="33" width="9.140625" style="1" customWidth="1"/>
    <col min="34" max="34" width="7.85546875" style="1" customWidth="1"/>
    <col min="35" max="35" width="11.5703125" style="1" customWidth="1"/>
    <col min="36" max="36" width="10.7109375" style="1" customWidth="1"/>
    <col min="37" max="37" width="8.5703125" style="1" customWidth="1"/>
    <col min="38" max="38" width="8.140625" style="1" customWidth="1"/>
    <col min="39" max="39" width="11.140625" style="1" customWidth="1"/>
    <col min="40" max="40" width="10" style="1" customWidth="1"/>
    <col min="41" max="41" width="12.85546875" style="1" customWidth="1"/>
    <col min="42" max="42" width="10.85546875" style="1" customWidth="1"/>
    <col min="43" max="43" width="9.42578125" style="1" customWidth="1"/>
    <col min="44" max="44" width="11.42578125" style="1" customWidth="1"/>
    <col min="45" max="45" width="11.85546875" style="1" customWidth="1"/>
    <col min="46" max="46" width="9.5703125" style="1" customWidth="1"/>
    <col min="47" max="47" width="11" style="1" customWidth="1"/>
    <col min="48" max="49" width="8.28515625" style="1" customWidth="1"/>
    <col min="50" max="50" width="10.5703125" style="1" customWidth="1"/>
    <col min="51" max="51" width="11.7109375" style="1" customWidth="1"/>
    <col min="52" max="52" width="7.85546875" style="1" customWidth="1"/>
    <col min="53" max="53" width="10.5703125" style="1" customWidth="1"/>
    <col min="54" max="54" width="11.28515625" style="1" customWidth="1"/>
    <col min="55" max="55" width="6.85546875" style="1" customWidth="1"/>
    <col min="56" max="56" width="6.7109375" style="1" customWidth="1"/>
    <col min="57" max="58" width="8.28515625" style="1" customWidth="1"/>
    <col min="59" max="59" width="9.7109375" style="1" customWidth="1"/>
    <col min="60" max="60" width="8.85546875" style="1" customWidth="1"/>
    <col min="61" max="61" width="7.85546875" style="1" customWidth="1"/>
    <col min="62" max="62" width="10.5703125" style="1" customWidth="1"/>
    <col min="63" max="63" width="11.28515625" style="1" customWidth="1"/>
    <col min="64" max="64" width="8.42578125" style="1" customWidth="1"/>
    <col min="65" max="65" width="9" style="1" customWidth="1"/>
    <col min="66" max="66" width="8.7109375" style="1" customWidth="1"/>
    <col min="67" max="67" width="8.28515625" style="1" customWidth="1"/>
    <col min="68" max="68" width="9.85546875" style="1" customWidth="1"/>
    <col min="69" max="69" width="10.7109375" style="1" customWidth="1"/>
    <col min="70" max="70" width="8.85546875" style="1" customWidth="1"/>
    <col min="71" max="71" width="11" style="1" customWidth="1"/>
    <col min="72" max="72" width="10.5703125" style="1" customWidth="1"/>
    <col min="73" max="73" width="7.140625" style="1" customWidth="1"/>
    <col min="74" max="74" width="6.7109375" style="1" customWidth="1"/>
    <col min="75" max="75" width="61.28515625" style="1" customWidth="1"/>
    <col min="76" max="76" width="82.140625" style="244" customWidth="1"/>
    <col min="77" max="77" width="149" style="1" customWidth="1"/>
    <col min="78" max="16384" width="9.140625" style="1"/>
  </cols>
  <sheetData>
    <row r="1" spans="1:77" ht="13.5" thickBot="1" x14ac:dyDescent="0.25">
      <c r="A1" s="166" t="s">
        <v>3346</v>
      </c>
      <c r="B1" s="166"/>
      <c r="C1" s="659"/>
      <c r="D1" s="166"/>
      <c r="H1" s="12"/>
      <c r="X1" s="1108"/>
      <c r="Y1" s="204" t="s">
        <v>2552</v>
      </c>
    </row>
    <row r="2" spans="1:77" x14ac:dyDescent="0.2">
      <c r="F2" s="1550" t="s">
        <v>136</v>
      </c>
      <c r="G2" s="1551"/>
      <c r="H2" s="1552"/>
      <c r="I2" s="1553" t="s">
        <v>155</v>
      </c>
      <c r="J2" s="1536"/>
      <c r="K2" s="1554"/>
      <c r="L2" s="1553" t="s">
        <v>1915</v>
      </c>
      <c r="M2" s="1536"/>
      <c r="N2" s="1537"/>
      <c r="O2" s="1535" t="s">
        <v>2901</v>
      </c>
      <c r="P2" s="1536"/>
      <c r="Q2" s="1537"/>
      <c r="R2" s="1535" t="s">
        <v>137</v>
      </c>
      <c r="S2" s="1536"/>
      <c r="T2" s="1537"/>
      <c r="U2" s="1555" t="s">
        <v>210</v>
      </c>
      <c r="V2" s="1556"/>
      <c r="X2" s="8"/>
      <c r="Y2" s="8"/>
      <c r="Z2" s="8"/>
      <c r="AA2" s="15"/>
      <c r="AB2" s="8"/>
      <c r="AC2" s="77"/>
      <c r="AD2" s="1535" t="s">
        <v>277</v>
      </c>
      <c r="AE2" s="1537"/>
      <c r="AF2" s="9"/>
      <c r="AM2" s="1535" t="s">
        <v>279</v>
      </c>
      <c r="AN2" s="1537"/>
      <c r="AO2" s="9"/>
      <c r="AV2" s="1535" t="s">
        <v>312</v>
      </c>
      <c r="AW2" s="1537"/>
      <c r="AX2" s="9"/>
      <c r="BE2" s="1535" t="s">
        <v>281</v>
      </c>
      <c r="BF2" s="1537"/>
      <c r="BG2" s="9"/>
      <c r="BN2" s="1535" t="s">
        <v>283</v>
      </c>
      <c r="BO2" s="1537"/>
      <c r="BP2" s="9"/>
      <c r="BR2" s="9"/>
    </row>
    <row r="3" spans="1:77" s="244" customFormat="1" ht="28.5" customHeight="1" thickBot="1" x14ac:dyDescent="0.25">
      <c r="C3" s="143"/>
      <c r="E3" s="143"/>
      <c r="F3" s="350" t="s">
        <v>138</v>
      </c>
      <c r="G3" s="246" t="s">
        <v>140</v>
      </c>
      <c r="H3" s="247" t="s">
        <v>139</v>
      </c>
      <c r="I3" s="246" t="s">
        <v>138</v>
      </c>
      <c r="J3" s="246" t="s">
        <v>140</v>
      </c>
      <c r="K3" s="247" t="s">
        <v>139</v>
      </c>
      <c r="L3" s="245" t="s">
        <v>138</v>
      </c>
      <c r="M3" s="246" t="s">
        <v>140</v>
      </c>
      <c r="N3" s="351" t="s">
        <v>139</v>
      </c>
      <c r="O3" s="350" t="s">
        <v>138</v>
      </c>
      <c r="P3" s="246" t="s">
        <v>140</v>
      </c>
      <c r="Q3" s="351" t="s">
        <v>139</v>
      </c>
      <c r="R3" s="350" t="s">
        <v>138</v>
      </c>
      <c r="S3" s="246" t="s">
        <v>140</v>
      </c>
      <c r="T3" s="351" t="s">
        <v>139</v>
      </c>
      <c r="U3" s="246" t="s">
        <v>140</v>
      </c>
      <c r="V3" s="247" t="s">
        <v>139</v>
      </c>
      <c r="X3" s="250"/>
      <c r="Y3" s="250"/>
      <c r="Z3" s="250"/>
      <c r="AA3" s="251"/>
      <c r="AB3" s="250"/>
      <c r="AC3" s="252"/>
      <c r="AD3" s="248" t="s">
        <v>140</v>
      </c>
      <c r="AE3" s="249" t="s">
        <v>139</v>
      </c>
      <c r="AF3" s="253"/>
      <c r="AM3" s="248" t="s">
        <v>140</v>
      </c>
      <c r="AN3" s="249" t="s">
        <v>139</v>
      </c>
      <c r="AO3" s="253"/>
      <c r="AV3" s="248" t="s">
        <v>140</v>
      </c>
      <c r="AW3" s="249" t="s">
        <v>139</v>
      </c>
      <c r="AX3" s="253"/>
      <c r="BE3" s="248" t="s">
        <v>140</v>
      </c>
      <c r="BF3" s="249" t="s">
        <v>139</v>
      </c>
      <c r="BG3" s="253"/>
      <c r="BN3" s="248" t="s">
        <v>140</v>
      </c>
      <c r="BO3" s="249" t="s">
        <v>139</v>
      </c>
      <c r="BP3" s="253"/>
      <c r="BR3" s="253"/>
    </row>
    <row r="4" spans="1:77" ht="87.95" customHeight="1" x14ac:dyDescent="0.2">
      <c r="A4" s="175" t="s">
        <v>129</v>
      </c>
      <c r="B4" s="175" t="s">
        <v>2460</v>
      </c>
      <c r="C4" s="660" t="s">
        <v>2461</v>
      </c>
      <c r="D4" s="175" t="s">
        <v>2462</v>
      </c>
      <c r="E4" s="175" t="s">
        <v>141</v>
      </c>
      <c r="F4" s="352"/>
      <c r="G4" s="1300" t="s">
        <v>134</v>
      </c>
      <c r="H4" s="1301"/>
      <c r="I4" s="1285"/>
      <c r="J4" s="1300" t="s">
        <v>153</v>
      </c>
      <c r="K4" s="1301"/>
      <c r="L4" s="176"/>
      <c r="M4" s="1300" t="s">
        <v>154</v>
      </c>
      <c r="N4" s="1302"/>
      <c r="O4" s="1286"/>
      <c r="P4" s="1300" t="s">
        <v>2508</v>
      </c>
      <c r="Q4" s="1302"/>
      <c r="R4" s="1538" t="s">
        <v>2902</v>
      </c>
      <c r="S4" s="1539"/>
      <c r="T4" s="1540"/>
      <c r="U4" s="1541" t="s">
        <v>209</v>
      </c>
      <c r="V4" s="1542"/>
      <c r="W4" s="1543" t="s">
        <v>145</v>
      </c>
      <c r="X4" s="1544"/>
      <c r="Y4" s="237" t="s">
        <v>211</v>
      </c>
      <c r="Z4" s="238" t="s">
        <v>299</v>
      </c>
      <c r="AA4" s="238" t="s">
        <v>300</v>
      </c>
      <c r="AB4" s="1545" t="s">
        <v>235</v>
      </c>
      <c r="AC4" s="1546"/>
      <c r="AD4" s="1547" t="s">
        <v>278</v>
      </c>
      <c r="AE4" s="1547"/>
      <c r="AF4" s="1543" t="s">
        <v>260</v>
      </c>
      <c r="AG4" s="1544"/>
      <c r="AH4" s="237" t="s">
        <v>211</v>
      </c>
      <c r="AI4" s="492" t="s">
        <v>299</v>
      </c>
      <c r="AJ4" s="238" t="s">
        <v>300</v>
      </c>
      <c r="AK4" s="1545" t="s">
        <v>261</v>
      </c>
      <c r="AL4" s="1546"/>
      <c r="AM4" s="1560" t="s">
        <v>280</v>
      </c>
      <c r="AN4" s="1547"/>
      <c r="AO4" s="1543" t="s">
        <v>253</v>
      </c>
      <c r="AP4" s="1544"/>
      <c r="AQ4" s="237" t="s">
        <v>211</v>
      </c>
      <c r="AR4" s="492" t="s">
        <v>299</v>
      </c>
      <c r="AS4" s="238" t="s">
        <v>300</v>
      </c>
      <c r="AT4" s="1545" t="s">
        <v>254</v>
      </c>
      <c r="AU4" s="1546"/>
      <c r="AV4" s="1547" t="s">
        <v>313</v>
      </c>
      <c r="AW4" s="1547"/>
      <c r="AX4" s="1543" t="s">
        <v>314</v>
      </c>
      <c r="AY4" s="1544"/>
      <c r="AZ4" s="237" t="s">
        <v>211</v>
      </c>
      <c r="BA4" s="492" t="s">
        <v>299</v>
      </c>
      <c r="BB4" s="238" t="s">
        <v>300</v>
      </c>
      <c r="BC4" s="1545" t="s">
        <v>315</v>
      </c>
      <c r="BD4" s="1546"/>
      <c r="BE4" s="1547" t="s">
        <v>282</v>
      </c>
      <c r="BF4" s="1547"/>
      <c r="BG4" s="1543" t="s">
        <v>262</v>
      </c>
      <c r="BH4" s="1544"/>
      <c r="BI4" s="237" t="s">
        <v>211</v>
      </c>
      <c r="BJ4" s="492" t="s">
        <v>299</v>
      </c>
      <c r="BK4" s="238" t="s">
        <v>300</v>
      </c>
      <c r="BL4" s="1545" t="s">
        <v>263</v>
      </c>
      <c r="BM4" s="1559"/>
      <c r="BN4" s="1560" t="s">
        <v>284</v>
      </c>
      <c r="BO4" s="1547"/>
      <c r="BP4" s="1543" t="s">
        <v>146</v>
      </c>
      <c r="BQ4" s="1544"/>
      <c r="BR4" s="237" t="s">
        <v>211</v>
      </c>
      <c r="BS4" s="492" t="s">
        <v>299</v>
      </c>
      <c r="BT4" s="238" t="s">
        <v>300</v>
      </c>
      <c r="BU4" s="1545" t="s">
        <v>236</v>
      </c>
      <c r="BV4" s="1546"/>
      <c r="BW4" s="302" t="s">
        <v>285</v>
      </c>
      <c r="BX4" s="826" t="s">
        <v>494</v>
      </c>
      <c r="BY4" s="185" t="s">
        <v>495</v>
      </c>
    </row>
    <row r="5" spans="1:77" ht="40.5" customHeight="1" x14ac:dyDescent="0.2">
      <c r="A5" s="178" t="s">
        <v>143</v>
      </c>
      <c r="B5" s="622" t="s">
        <v>350</v>
      </c>
      <c r="C5" s="582" t="s">
        <v>341</v>
      </c>
      <c r="D5" s="625" t="s">
        <v>2905</v>
      </c>
      <c r="E5" s="491"/>
      <c r="F5" s="568"/>
      <c r="G5" s="150"/>
      <c r="H5" s="581"/>
      <c r="I5" s="151"/>
      <c r="J5" s="716"/>
      <c r="K5" s="716"/>
      <c r="L5" s="152"/>
      <c r="M5" s="716"/>
      <c r="N5" s="353"/>
      <c r="O5" s="1035"/>
      <c r="P5" s="716"/>
      <c r="Q5" s="353"/>
      <c r="R5" s="1035"/>
      <c r="S5" s="716"/>
      <c r="T5" s="353"/>
      <c r="U5" s="150"/>
      <c r="V5" s="581"/>
      <c r="W5" s="959" t="s">
        <v>2196</v>
      </c>
      <c r="X5" s="959" t="s">
        <v>2197</v>
      </c>
      <c r="Y5" s="950"/>
      <c r="Z5" s="179"/>
      <c r="AA5" s="180"/>
      <c r="AB5" s="181"/>
      <c r="AC5" s="687"/>
      <c r="AD5" s="273" t="s">
        <v>140</v>
      </c>
      <c r="AE5" s="243" t="s">
        <v>139</v>
      </c>
      <c r="AF5" s="959" t="s">
        <v>2196</v>
      </c>
      <c r="AG5" s="959" t="s">
        <v>2197</v>
      </c>
      <c r="AH5" s="961"/>
      <c r="AI5" s="715"/>
      <c r="AJ5" s="180"/>
      <c r="AK5" s="182"/>
      <c r="AL5" s="206"/>
      <c r="AM5" s="283" t="s">
        <v>140</v>
      </c>
      <c r="AN5" s="243" t="s">
        <v>139</v>
      </c>
      <c r="AO5" s="959" t="s">
        <v>2196</v>
      </c>
      <c r="AP5" s="959" t="s">
        <v>2197</v>
      </c>
      <c r="AQ5" s="960"/>
      <c r="AR5" s="715"/>
      <c r="AS5" s="180"/>
      <c r="AT5" s="182"/>
      <c r="AU5" s="206"/>
      <c r="AV5" s="273" t="s">
        <v>140</v>
      </c>
      <c r="AW5" s="243" t="s">
        <v>139</v>
      </c>
      <c r="AX5" s="959" t="s">
        <v>2196</v>
      </c>
      <c r="AY5" s="959" t="s">
        <v>2197</v>
      </c>
      <c r="AZ5" s="961"/>
      <c r="BA5" s="715"/>
      <c r="BB5" s="180"/>
      <c r="BC5" s="182"/>
      <c r="BD5" s="184"/>
      <c r="BE5" s="283" t="s">
        <v>140</v>
      </c>
      <c r="BF5" s="273" t="s">
        <v>139</v>
      </c>
      <c r="BG5" s="980" t="s">
        <v>2196</v>
      </c>
      <c r="BH5" s="981" t="s">
        <v>2197</v>
      </c>
      <c r="BI5" s="979"/>
      <c r="BJ5" s="715"/>
      <c r="BK5" s="180"/>
      <c r="BL5" s="182"/>
      <c r="BM5" s="184"/>
      <c r="BN5" s="283" t="s">
        <v>140</v>
      </c>
      <c r="BO5" s="273" t="s">
        <v>139</v>
      </c>
      <c r="BP5" s="962" t="s">
        <v>2196</v>
      </c>
      <c r="BQ5" s="963" t="s">
        <v>2197</v>
      </c>
      <c r="BR5" s="961"/>
      <c r="BS5" s="715"/>
      <c r="BT5" s="180"/>
      <c r="BU5" s="182"/>
      <c r="BV5" s="206"/>
      <c r="BW5" s="303"/>
      <c r="BX5" s="827"/>
      <c r="BY5" s="186"/>
    </row>
    <row r="6" spans="1:77" ht="15" customHeight="1" x14ac:dyDescent="0.2">
      <c r="A6" s="386" t="s">
        <v>337</v>
      </c>
      <c r="B6" s="627"/>
      <c r="C6" s="627"/>
      <c r="D6" s="627"/>
      <c r="E6" s="118"/>
      <c r="F6" s="377"/>
      <c r="G6" s="115">
        <f>SUM(G7:G82)</f>
        <v>1535.67176879</v>
      </c>
      <c r="H6" s="111">
        <f>SUM(H7:H82)</f>
        <v>1576.9292627</v>
      </c>
      <c r="I6" s="112"/>
      <c r="J6" s="110">
        <f>SUM(J7:J82)</f>
        <v>1821.1983824000001</v>
      </c>
      <c r="K6" s="111">
        <f>SUM(K7:K82)</f>
        <v>2564.1706656400002</v>
      </c>
      <c r="L6" s="112"/>
      <c r="M6" s="110">
        <f t="shared" ref="M6:X6" si="0">SUM(M7:M82)</f>
        <v>1726.4019546</v>
      </c>
      <c r="N6" s="367">
        <f t="shared" si="0"/>
        <v>2633.6773173000001</v>
      </c>
      <c r="O6" s="1036"/>
      <c r="P6" s="110"/>
      <c r="Q6" s="367"/>
      <c r="R6" s="1036"/>
      <c r="S6" s="110"/>
      <c r="T6" s="367"/>
      <c r="U6" s="110">
        <f t="shared" si="0"/>
        <v>731.36300037000001</v>
      </c>
      <c r="V6" s="72">
        <f t="shared" si="0"/>
        <v>269.59222087000001</v>
      </c>
      <c r="W6" s="414">
        <f t="shared" si="0"/>
        <v>2.8754786806399988</v>
      </c>
      <c r="X6" s="954">
        <f t="shared" si="0"/>
        <v>2.8606686116399986</v>
      </c>
      <c r="Y6" s="144"/>
      <c r="Z6" s="28"/>
      <c r="AA6" s="145"/>
      <c r="AB6" s="80"/>
      <c r="AC6" s="209"/>
      <c r="AD6" s="78">
        <f>SUM(AD7:AD82)</f>
        <v>0.94178987000000003</v>
      </c>
      <c r="AE6" s="47">
        <f>SUM(AE7:AE82)</f>
        <v>0.28042289999999997</v>
      </c>
      <c r="AF6" s="78">
        <f>SUM(AF7:AF82)</f>
        <v>1.305905890414</v>
      </c>
      <c r="AG6" s="47">
        <f>SUM(AG7:AG82)</f>
        <v>1.3903814285599998</v>
      </c>
      <c r="AH6" s="77"/>
      <c r="AI6" s="38"/>
      <c r="AJ6" s="145"/>
      <c r="AK6" s="80"/>
      <c r="AL6" s="215"/>
      <c r="AM6" s="207">
        <f>SUM(AM7:AM82)</f>
        <v>3.4728314964347824</v>
      </c>
      <c r="AN6" s="78">
        <f>SUM(AN7:AN82)</f>
        <v>1.0886700920000001</v>
      </c>
      <c r="AO6" s="46">
        <f>SUM(AO7:AO82)</f>
        <v>12.529706784043951</v>
      </c>
      <c r="AP6" s="47">
        <f>SUM(AP7:AP82)</f>
        <v>12.053848681015783</v>
      </c>
      <c r="AQ6" s="77"/>
      <c r="AR6" s="38"/>
      <c r="AS6" s="145"/>
      <c r="AT6" s="80"/>
      <c r="AU6" s="215"/>
      <c r="AV6" s="78">
        <f>SUM(AV7:AV82)</f>
        <v>0</v>
      </c>
      <c r="AW6" s="47">
        <f>SUM(AW7:AW82)</f>
        <v>3.4527000000000002E-2</v>
      </c>
      <c r="AX6" s="78">
        <f>SUM(AX7:AX82)</f>
        <v>1.5858000000000001E-2</v>
      </c>
      <c r="AY6" s="47">
        <f>SUM(AY7:AY82)</f>
        <v>1.5858000000000001E-2</v>
      </c>
      <c r="AZ6" s="77"/>
      <c r="BA6" s="38"/>
      <c r="BB6" s="145"/>
      <c r="BC6" s="80"/>
      <c r="BD6" s="75"/>
      <c r="BE6" s="207">
        <f>SUM(BE7:BE82)</f>
        <v>3.4599999999999999E-2</v>
      </c>
      <c r="BF6" s="78">
        <f>SUM(BF7:BF82)</f>
        <v>0</v>
      </c>
      <c r="BG6" s="46">
        <f>SUM(BG7:BG82)</f>
        <v>6.2223915519999999E-2</v>
      </c>
      <c r="BH6" s="47">
        <f>SUM(BH7:BH82)</f>
        <v>4.6653915519999999E-2</v>
      </c>
      <c r="BI6" s="77"/>
      <c r="BJ6" s="38"/>
      <c r="BK6" s="145"/>
      <c r="BL6" s="80"/>
      <c r="BM6" s="75"/>
      <c r="BN6" s="207">
        <f>SUM(BN7:BN82)</f>
        <v>-0.14072820000000003</v>
      </c>
      <c r="BO6" s="78">
        <f>SUM(BO7:BO82)</f>
        <v>0.18927179999999999</v>
      </c>
      <c r="BP6" s="46">
        <f>SUM(BP7:BP82)</f>
        <v>-0.1289342</v>
      </c>
      <c r="BQ6" s="47">
        <f>SUM(BQ7:BQ82)</f>
        <v>-0.1658442</v>
      </c>
      <c r="BR6" s="32"/>
      <c r="BS6" s="38"/>
      <c r="BT6" s="145"/>
      <c r="BU6" s="80"/>
      <c r="BV6" s="215"/>
      <c r="BX6" s="321"/>
      <c r="BY6" s="38"/>
    </row>
    <row r="7" spans="1:77" ht="15" customHeight="1" x14ac:dyDescent="0.2">
      <c r="A7" s="10" t="s">
        <v>40</v>
      </c>
      <c r="B7" s="56" t="s">
        <v>1606</v>
      </c>
      <c r="C7" s="637"/>
      <c r="D7" s="544">
        <v>37062.82</v>
      </c>
      <c r="E7" s="107" t="s">
        <v>308</v>
      </c>
      <c r="F7" s="362">
        <v>1994</v>
      </c>
      <c r="G7" s="62">
        <v>104.794</v>
      </c>
      <c r="H7" s="69">
        <f>G7-13.04</f>
        <v>91.753999999999991</v>
      </c>
      <c r="I7" s="74">
        <v>2000</v>
      </c>
      <c r="J7" s="68">
        <v>103.143</v>
      </c>
      <c r="K7" s="69">
        <v>117.31</v>
      </c>
      <c r="L7" s="74"/>
      <c r="M7" s="68"/>
      <c r="N7" s="356"/>
      <c r="O7" s="923"/>
      <c r="P7" s="68"/>
      <c r="Q7" s="356"/>
      <c r="R7" s="923"/>
      <c r="S7" s="68"/>
      <c r="T7" s="356"/>
      <c r="U7" s="68"/>
      <c r="V7" s="68"/>
      <c r="W7" s="27"/>
      <c r="Y7" s="145"/>
      <c r="Z7" s="28"/>
      <c r="AA7" s="145"/>
      <c r="AB7" s="80"/>
      <c r="AC7" s="209"/>
      <c r="AD7" s="16"/>
      <c r="AE7" s="20"/>
      <c r="AF7" s="16"/>
      <c r="AG7" s="20"/>
      <c r="AH7" s="77"/>
      <c r="AI7" s="38"/>
      <c r="AJ7" s="145"/>
      <c r="AK7" s="80"/>
      <c r="AL7" s="215"/>
      <c r="AM7" s="456"/>
      <c r="AN7" s="387"/>
      <c r="AO7" s="1533" t="s">
        <v>320</v>
      </c>
      <c r="AP7" s="1534"/>
      <c r="AQ7" s="440">
        <v>2030</v>
      </c>
      <c r="AR7" s="441"/>
      <c r="AS7" s="453"/>
      <c r="AT7" s="292">
        <v>-7.0000000000000007E-2</v>
      </c>
      <c r="AU7" s="293">
        <v>-0.22</v>
      </c>
      <c r="AV7" s="16"/>
      <c r="AW7" s="20"/>
      <c r="AX7" s="16"/>
      <c r="AY7" s="20"/>
      <c r="AZ7" s="77"/>
      <c r="BA7" s="38"/>
      <c r="BB7" s="145"/>
      <c r="BC7" s="80"/>
      <c r="BD7" s="75"/>
      <c r="BE7" s="208"/>
      <c r="BF7" s="16"/>
      <c r="BG7" s="19"/>
      <c r="BH7" s="20"/>
      <c r="BI7" s="77"/>
      <c r="BJ7" s="38"/>
      <c r="BK7" s="145"/>
      <c r="BL7" s="80"/>
      <c r="BM7" s="75"/>
      <c r="BN7" s="208"/>
      <c r="BO7" s="16"/>
      <c r="BP7" s="19"/>
      <c r="BQ7" s="20"/>
      <c r="BR7" s="32"/>
      <c r="BS7" s="38"/>
      <c r="BT7" s="145"/>
      <c r="BU7" s="80"/>
      <c r="BV7" s="215"/>
      <c r="BX7" s="321"/>
      <c r="BY7" s="38"/>
    </row>
    <row r="8" spans="1:77" ht="15" customHeight="1" x14ac:dyDescent="0.2">
      <c r="A8" s="10" t="s">
        <v>40</v>
      </c>
      <c r="B8" s="629"/>
      <c r="C8" s="637" t="s">
        <v>630</v>
      </c>
      <c r="D8" s="544">
        <v>350</v>
      </c>
      <c r="E8" s="107" t="s">
        <v>631</v>
      </c>
      <c r="F8" s="362"/>
      <c r="G8" s="62"/>
      <c r="H8" s="69"/>
      <c r="I8" s="74"/>
      <c r="J8" s="68"/>
      <c r="K8" s="69"/>
      <c r="L8" s="74">
        <v>2014</v>
      </c>
      <c r="M8" s="68"/>
      <c r="N8" s="375">
        <v>1.5129999999999999</v>
      </c>
      <c r="O8" s="923">
        <v>2014</v>
      </c>
      <c r="P8" s="68"/>
      <c r="Q8" s="375">
        <v>1.5129999999999999</v>
      </c>
      <c r="R8" s="923"/>
      <c r="S8" s="68"/>
      <c r="T8" s="375"/>
      <c r="U8" s="68"/>
      <c r="V8" s="167">
        <v>1.7090000000000001</v>
      </c>
      <c r="W8" s="409">
        <f>AA8*(1+AB8)</f>
        <v>1.3620729999999999</v>
      </c>
      <c r="X8" s="920">
        <f>AA8*(1+AC8)</f>
        <v>1.3620729999999999</v>
      </c>
      <c r="Y8" s="188">
        <v>2020</v>
      </c>
      <c r="Z8" s="28"/>
      <c r="AA8" s="32">
        <f>+V8</f>
        <v>1.7090000000000001</v>
      </c>
      <c r="AB8" s="763">
        <v>-0.20300000000000001</v>
      </c>
      <c r="AC8" s="745">
        <f>AB8</f>
        <v>-0.20300000000000001</v>
      </c>
      <c r="AD8" s="16"/>
      <c r="AE8" s="20"/>
      <c r="AF8" s="16"/>
      <c r="AG8" s="20"/>
      <c r="AH8" s="77"/>
      <c r="AI8" s="38"/>
      <c r="AJ8" s="145"/>
      <c r="AK8" s="80"/>
      <c r="AL8" s="215"/>
      <c r="AM8" s="456"/>
      <c r="AN8" s="387"/>
      <c r="AO8" s="820"/>
      <c r="AP8" s="821"/>
      <c r="AQ8" s="440"/>
      <c r="AR8" s="441"/>
      <c r="AS8" s="453"/>
      <c r="AT8" s="292"/>
      <c r="AU8" s="293"/>
      <c r="AV8" s="16"/>
      <c r="AW8" s="20"/>
      <c r="AX8" s="16"/>
      <c r="AY8" s="20"/>
      <c r="AZ8" s="77"/>
      <c r="BA8" s="38"/>
      <c r="BB8" s="145"/>
      <c r="BC8" s="80"/>
      <c r="BD8" s="75"/>
      <c r="BE8" s="208"/>
      <c r="BF8" s="16"/>
      <c r="BG8" s="19"/>
      <c r="BH8" s="20"/>
      <c r="BI8" s="77"/>
      <c r="BJ8" s="38"/>
      <c r="BK8" s="145"/>
      <c r="BL8" s="80"/>
      <c r="BM8" s="75"/>
      <c r="BN8" s="208"/>
      <c r="BO8" s="16"/>
      <c r="BP8" s="19"/>
      <c r="BQ8" s="20"/>
      <c r="BR8" s="32"/>
      <c r="BS8" s="38"/>
      <c r="BT8" s="145"/>
      <c r="BU8" s="80"/>
      <c r="BV8" s="215"/>
      <c r="BX8" s="321"/>
      <c r="BY8" s="38"/>
    </row>
    <row r="9" spans="1:77" ht="15" customHeight="1" x14ac:dyDescent="0.2">
      <c r="A9" s="10" t="s">
        <v>40</v>
      </c>
      <c r="B9" s="629"/>
      <c r="C9" s="637" t="s">
        <v>632</v>
      </c>
      <c r="D9" s="544">
        <v>42.5</v>
      </c>
      <c r="E9" s="107" t="s">
        <v>631</v>
      </c>
      <c r="F9" s="362"/>
      <c r="G9" s="62"/>
      <c r="H9" s="69"/>
      <c r="I9" s="74"/>
      <c r="J9" s="68"/>
      <c r="K9" s="69"/>
      <c r="L9" s="74">
        <v>2014</v>
      </c>
      <c r="M9" s="68"/>
      <c r="N9" s="375">
        <v>0.159</v>
      </c>
      <c r="O9" s="923">
        <v>2014</v>
      </c>
      <c r="P9" s="68"/>
      <c r="Q9" s="375">
        <v>0.159</v>
      </c>
      <c r="R9" s="923"/>
      <c r="S9" s="68"/>
      <c r="T9" s="375"/>
      <c r="U9" s="68"/>
      <c r="V9" s="167">
        <v>0.18</v>
      </c>
      <c r="W9" s="409">
        <f>AA9*(1+AB9)</f>
        <v>0.14381999999999998</v>
      </c>
      <c r="X9" s="920">
        <f>AA9*(1+AC9)</f>
        <v>0.14381999999999998</v>
      </c>
      <c r="Y9" s="188">
        <v>2020</v>
      </c>
      <c r="Z9" s="28"/>
      <c r="AA9" s="32">
        <f>+V9</f>
        <v>0.18</v>
      </c>
      <c r="AB9" s="763">
        <v>-0.20100000000000001</v>
      </c>
      <c r="AC9" s="745">
        <f>AB9</f>
        <v>-0.20100000000000001</v>
      </c>
      <c r="AD9" s="16"/>
      <c r="AE9" s="20"/>
      <c r="AF9" s="16"/>
      <c r="AG9" s="20"/>
      <c r="AH9" s="77"/>
      <c r="AI9" s="38"/>
      <c r="AJ9" s="145"/>
      <c r="AK9" s="80"/>
      <c r="AL9" s="215"/>
      <c r="AM9" s="456"/>
      <c r="AN9" s="387"/>
      <c r="AO9" s="820"/>
      <c r="AP9" s="821"/>
      <c r="AQ9" s="440"/>
      <c r="AR9" s="441"/>
      <c r="AS9" s="453"/>
      <c r="AT9" s="292"/>
      <c r="AU9" s="293"/>
      <c r="AV9" s="16"/>
      <c r="AW9" s="20"/>
      <c r="AX9" s="16"/>
      <c r="AY9" s="20"/>
      <c r="AZ9" s="77"/>
      <c r="BA9" s="38"/>
      <c r="BB9" s="145"/>
      <c r="BC9" s="80"/>
      <c r="BD9" s="75"/>
      <c r="BE9" s="208"/>
      <c r="BF9" s="16"/>
      <c r="BG9" s="19"/>
      <c r="BH9" s="20"/>
      <c r="BI9" s="77"/>
      <c r="BJ9" s="38"/>
      <c r="BK9" s="145"/>
      <c r="BL9" s="80"/>
      <c r="BM9" s="75"/>
      <c r="BN9" s="208"/>
      <c r="BO9" s="16"/>
      <c r="BP9" s="19"/>
      <c r="BQ9" s="20"/>
      <c r="BR9" s="32"/>
      <c r="BS9" s="38"/>
      <c r="BT9" s="145"/>
      <c r="BU9" s="80"/>
      <c r="BV9" s="215"/>
      <c r="BX9" s="321"/>
      <c r="BY9" s="38"/>
    </row>
    <row r="10" spans="1:77" ht="15" customHeight="1" x14ac:dyDescent="0.2">
      <c r="A10" s="10" t="s">
        <v>40</v>
      </c>
      <c r="B10" s="629"/>
      <c r="C10" s="637" t="s">
        <v>633</v>
      </c>
      <c r="D10" s="544">
        <v>300</v>
      </c>
      <c r="E10" s="107" t="s">
        <v>631</v>
      </c>
      <c r="F10" s="362"/>
      <c r="G10" s="62"/>
      <c r="H10" s="69"/>
      <c r="I10" s="74"/>
      <c r="J10" s="68"/>
      <c r="K10" s="69"/>
      <c r="L10" s="74">
        <v>2014</v>
      </c>
      <c r="M10" s="68"/>
      <c r="N10" s="375">
        <v>0.751</v>
      </c>
      <c r="O10" s="923">
        <v>2014</v>
      </c>
      <c r="P10" s="68"/>
      <c r="Q10" s="375">
        <v>0.751</v>
      </c>
      <c r="R10" s="923"/>
      <c r="S10" s="68"/>
      <c r="T10" s="375"/>
      <c r="U10" s="68"/>
      <c r="V10" s="167">
        <v>0.84899999999999998</v>
      </c>
      <c r="W10" s="409">
        <f>AA10*(1+AB10)</f>
        <v>0.67835099999999993</v>
      </c>
      <c r="X10" s="920">
        <f>AA10*(1+AC10)</f>
        <v>0.67835099999999993</v>
      </c>
      <c r="Y10" s="188">
        <v>2020</v>
      </c>
      <c r="Z10" s="28"/>
      <c r="AA10" s="32">
        <f>+V10</f>
        <v>0.84899999999999998</v>
      </c>
      <c r="AB10" s="763">
        <v>-0.20100000000000001</v>
      </c>
      <c r="AC10" s="745">
        <f>AB10</f>
        <v>-0.20100000000000001</v>
      </c>
      <c r="AD10" s="16"/>
      <c r="AE10" s="20"/>
      <c r="AF10" s="16"/>
      <c r="AG10" s="20"/>
      <c r="AH10" s="77"/>
      <c r="AI10" s="38"/>
      <c r="AJ10" s="145"/>
      <c r="AK10" s="80"/>
      <c r="AL10" s="215"/>
      <c r="AM10" s="456"/>
      <c r="AN10" s="387"/>
      <c r="AO10" s="820"/>
      <c r="AP10" s="821"/>
      <c r="AQ10" s="440"/>
      <c r="AR10" s="441"/>
      <c r="AS10" s="453"/>
      <c r="AT10" s="292"/>
      <c r="AU10" s="293"/>
      <c r="AV10" s="16"/>
      <c r="AW10" s="20"/>
      <c r="AX10" s="16"/>
      <c r="AY10" s="20"/>
      <c r="AZ10" s="77"/>
      <c r="BA10" s="38"/>
      <c r="BB10" s="145"/>
      <c r="BC10" s="80"/>
      <c r="BD10" s="75"/>
      <c r="BE10" s="208"/>
      <c r="BF10" s="16"/>
      <c r="BG10" s="19"/>
      <c r="BH10" s="20"/>
      <c r="BI10" s="77"/>
      <c r="BJ10" s="38"/>
      <c r="BK10" s="145"/>
      <c r="BL10" s="80"/>
      <c r="BM10" s="75"/>
      <c r="BN10" s="208"/>
      <c r="BO10" s="16"/>
      <c r="BP10" s="19"/>
      <c r="BQ10" s="20"/>
      <c r="BR10" s="32"/>
      <c r="BS10" s="38"/>
      <c r="BT10" s="145"/>
      <c r="BU10" s="80"/>
      <c r="BV10" s="215"/>
      <c r="BX10" s="321"/>
      <c r="BY10" s="38"/>
    </row>
    <row r="11" spans="1:77" ht="15" customHeight="1" x14ac:dyDescent="0.25">
      <c r="A11" s="10" t="s">
        <v>41</v>
      </c>
      <c r="B11" s="56" t="s">
        <v>1606</v>
      </c>
      <c r="C11" s="637"/>
      <c r="D11" s="544">
        <v>19549.124</v>
      </c>
      <c r="E11" s="95" t="s">
        <v>3327</v>
      </c>
      <c r="F11" s="373">
        <v>2000</v>
      </c>
      <c r="G11" s="121">
        <v>43.140999999999998</v>
      </c>
      <c r="H11" s="346">
        <v>46.2</v>
      </c>
      <c r="I11" s="114"/>
      <c r="J11" s="437">
        <v>56.070883000000002</v>
      </c>
      <c r="K11" s="346">
        <v>16.007999999999999</v>
      </c>
      <c r="L11" s="114"/>
      <c r="M11" s="93">
        <v>61.884580999999997</v>
      </c>
      <c r="N11" s="93">
        <v>21.567</v>
      </c>
      <c r="O11" s="1038"/>
      <c r="P11" s="93">
        <v>100.05577</v>
      </c>
      <c r="Q11" s="378">
        <v>29.695</v>
      </c>
      <c r="R11" s="1038">
        <v>2018</v>
      </c>
      <c r="S11" s="93">
        <v>100.54904999999999</v>
      </c>
      <c r="T11" s="378">
        <v>30.139468000000001</v>
      </c>
      <c r="U11" s="1529">
        <v>103.9</v>
      </c>
      <c r="V11" s="93"/>
      <c r="W11" s="454">
        <v>0.12578</v>
      </c>
      <c r="X11" s="439">
        <f>W11</f>
        <v>0.12578</v>
      </c>
      <c r="Y11" s="1333"/>
      <c r="Z11" s="424">
        <f>+W11</f>
        <v>0.12578</v>
      </c>
      <c r="AA11" s="145"/>
      <c r="AB11" s="80"/>
      <c r="AC11" s="209"/>
      <c r="AD11" s="1457">
        <v>0.1085</v>
      </c>
      <c r="AE11" s="1402"/>
      <c r="AF11" s="1401">
        <f>AI11*(1+AK11)</f>
        <v>9.3310000000000004E-2</v>
      </c>
      <c r="AG11" s="1402">
        <f>AI11*(1+AL11)</f>
        <v>8.2460000000000006E-2</v>
      </c>
      <c r="AH11" s="1403">
        <v>2025</v>
      </c>
      <c r="AI11" s="1443">
        <f>+AD11</f>
        <v>0.1085</v>
      </c>
      <c r="AJ11" s="1444"/>
      <c r="AK11" s="1445">
        <v>-0.14000000000000001</v>
      </c>
      <c r="AL11" s="1446">
        <v>-0.24</v>
      </c>
      <c r="AM11" s="456"/>
      <c r="AN11" s="439"/>
      <c r="AO11" s="387">
        <f>AR11*(1+AT11)</f>
        <v>0</v>
      </c>
      <c r="AP11" s="439">
        <f>AR11*(1+AU11)</f>
        <v>0</v>
      </c>
      <c r="AQ11" s="440"/>
      <c r="AR11" s="424">
        <f>+AM11</f>
        <v>0</v>
      </c>
      <c r="AS11" s="453"/>
      <c r="AT11" s="1445">
        <v>-0.21</v>
      </c>
      <c r="AU11" s="1446">
        <v>-0.36</v>
      </c>
      <c r="AV11" s="16"/>
      <c r="AW11" s="20"/>
      <c r="AX11" s="16"/>
      <c r="AY11" s="20"/>
      <c r="AZ11" s="77"/>
      <c r="BA11" s="38"/>
      <c r="BB11" s="145"/>
      <c r="BC11" s="80"/>
      <c r="BD11" s="75"/>
      <c r="BE11" s="208"/>
      <c r="BF11" s="16"/>
      <c r="BG11" s="19"/>
      <c r="BH11" s="20"/>
      <c r="BI11" s="77"/>
      <c r="BJ11" s="38"/>
      <c r="BK11" s="145"/>
      <c r="BL11" s="80"/>
      <c r="BM11" s="75"/>
      <c r="BN11" s="208"/>
      <c r="BO11" s="16"/>
      <c r="BP11" s="19"/>
      <c r="BQ11" s="20"/>
      <c r="BR11" s="32"/>
      <c r="BS11" s="38"/>
      <c r="BT11" s="145"/>
      <c r="BU11" s="80"/>
      <c r="BV11" s="215"/>
      <c r="BX11" s="321"/>
      <c r="BY11" s="38"/>
    </row>
    <row r="12" spans="1:77" ht="15" customHeight="1" x14ac:dyDescent="0.2">
      <c r="A12" s="575" t="s">
        <v>47</v>
      </c>
      <c r="B12" s="56" t="s">
        <v>1606</v>
      </c>
      <c r="C12" s="637"/>
      <c r="D12" s="544">
        <v>9509.7980000000007</v>
      </c>
      <c r="E12" s="95" t="s">
        <v>3287</v>
      </c>
      <c r="F12" s="373">
        <v>1990</v>
      </c>
      <c r="G12" s="121">
        <v>-1.09361</v>
      </c>
      <c r="H12" s="346">
        <v>3.2358500000000001</v>
      </c>
      <c r="I12" s="114"/>
      <c r="J12" s="93">
        <v>4.1004899999999997</v>
      </c>
      <c r="K12" s="346">
        <v>7.40184</v>
      </c>
      <c r="L12" s="114"/>
      <c r="M12" s="93">
        <v>5.1393500000000003</v>
      </c>
      <c r="N12" s="93">
        <v>9.9190000000000005</v>
      </c>
      <c r="O12" s="1038"/>
      <c r="P12" s="93">
        <v>7.79237</v>
      </c>
      <c r="Q12" s="378">
        <v>11.752179999999999</v>
      </c>
      <c r="R12" s="1038">
        <v>2018</v>
      </c>
      <c r="S12" s="93"/>
      <c r="T12" s="1308">
        <v>16.93</v>
      </c>
      <c r="U12" s="437"/>
      <c r="V12" s="437"/>
      <c r="W12" s="481"/>
      <c r="X12" s="535"/>
      <c r="Y12" s="453"/>
      <c r="Z12" s="490"/>
      <c r="AA12" s="453"/>
      <c r="AB12" s="292"/>
      <c r="AC12" s="284"/>
      <c r="AD12" s="486"/>
      <c r="AE12" s="485"/>
      <c r="AF12" s="486"/>
      <c r="AG12" s="485"/>
      <c r="AH12" s="440"/>
      <c r="AI12" s="441"/>
      <c r="AJ12" s="498"/>
      <c r="AK12" s="292"/>
      <c r="AL12" s="293"/>
      <c r="AM12" s="1343"/>
      <c r="AN12" s="47">
        <f>29.02/1000</f>
        <v>2.9020000000000001E-2</v>
      </c>
      <c r="AO12" s="46">
        <f>AS12*(1+AT12)</f>
        <v>2.4957199999999999E-2</v>
      </c>
      <c r="AP12" s="47">
        <f>AS12*(1+AU12)</f>
        <v>2.3172470000000001E-2</v>
      </c>
      <c r="AQ12" s="262">
        <v>2030</v>
      </c>
      <c r="AR12" s="1364"/>
      <c r="AS12" s="1324">
        <f>+AN12</f>
        <v>2.9020000000000001E-2</v>
      </c>
      <c r="AT12" s="1325">
        <v>-0.14000000000000001</v>
      </c>
      <c r="AU12" s="1326">
        <v>-0.20150000000000001</v>
      </c>
      <c r="AV12" s="16"/>
      <c r="AW12" s="20"/>
      <c r="AX12" s="16"/>
      <c r="AY12" s="20"/>
      <c r="AZ12" s="77"/>
      <c r="BA12" s="38"/>
      <c r="BB12" s="145"/>
      <c r="BC12" s="80"/>
      <c r="BD12" s="75"/>
      <c r="BE12" s="208"/>
      <c r="BF12" s="16"/>
      <c r="BG12" s="19"/>
      <c r="BH12" s="20"/>
      <c r="BI12" s="77"/>
      <c r="BJ12" s="38"/>
      <c r="BK12" s="145"/>
      <c r="BL12" s="80"/>
      <c r="BM12" s="75"/>
      <c r="BN12" s="208"/>
      <c r="BO12" s="16"/>
      <c r="BP12" s="19"/>
      <c r="BQ12" s="20"/>
      <c r="BR12" s="32"/>
      <c r="BS12" s="38"/>
      <c r="BT12" s="145"/>
      <c r="BU12" s="80"/>
      <c r="BV12" s="215"/>
      <c r="BX12" s="321"/>
      <c r="BY12" s="38"/>
    </row>
    <row r="13" spans="1:77" ht="15" customHeight="1" x14ac:dyDescent="0.2">
      <c r="A13" s="10" t="s">
        <v>50</v>
      </c>
      <c r="B13" s="56" t="s">
        <v>1606</v>
      </c>
      <c r="C13" s="637"/>
      <c r="D13" s="544">
        <v>1969.3409999999999</v>
      </c>
      <c r="E13" s="95" t="s">
        <v>2883</v>
      </c>
      <c r="F13" s="362">
        <v>1994</v>
      </c>
      <c r="G13" s="62">
        <v>-29.4</v>
      </c>
      <c r="H13" s="69">
        <v>9.3000000000000007</v>
      </c>
      <c r="I13" s="74">
        <v>2000</v>
      </c>
      <c r="J13" s="68">
        <v>-35.506799999999998</v>
      </c>
      <c r="K13" s="69">
        <v>7.4341999999999997</v>
      </c>
      <c r="L13" s="74"/>
      <c r="M13" s="68"/>
      <c r="N13" s="437">
        <v>8.3070000000000004</v>
      </c>
      <c r="O13" s="923">
        <v>2014</v>
      </c>
      <c r="P13" s="68">
        <v>5.7621399999999996</v>
      </c>
      <c r="Q13" s="471">
        <v>8.7328100000000006</v>
      </c>
      <c r="R13" s="923"/>
      <c r="S13" s="68"/>
      <c r="T13" s="471"/>
      <c r="U13" s="68"/>
      <c r="V13" s="68"/>
      <c r="W13" s="27"/>
      <c r="Y13" s="145"/>
      <c r="Z13" s="28"/>
      <c r="AA13" s="145"/>
      <c r="AB13" s="80"/>
      <c r="AC13" s="209"/>
      <c r="AD13" s="456"/>
      <c r="AE13" s="439"/>
      <c r="AF13" s="387"/>
      <c r="AG13" s="485"/>
      <c r="AH13" s="440"/>
      <c r="AI13" s="441"/>
      <c r="AJ13" s="498"/>
      <c r="AK13" s="292"/>
      <c r="AL13" s="293"/>
      <c r="AM13" s="456"/>
      <c r="AN13" s="439"/>
      <c r="AO13" s="387"/>
      <c r="AP13" s="485">
        <f>AS13*(1+AU13)</f>
        <v>7.0609499999999999E-3</v>
      </c>
      <c r="AQ13" s="440">
        <v>2010</v>
      </c>
      <c r="AR13" s="441"/>
      <c r="AS13" s="498">
        <f>N13/1000</f>
        <v>8.3070000000000001E-3</v>
      </c>
      <c r="AT13" s="292"/>
      <c r="AU13" s="293">
        <v>-0.15</v>
      </c>
      <c r="AV13" s="16"/>
      <c r="AW13" s="20"/>
      <c r="AX13" s="16"/>
      <c r="AY13" s="20"/>
      <c r="AZ13" s="77"/>
      <c r="BA13" s="38"/>
      <c r="BB13" s="145"/>
      <c r="BC13" s="80"/>
      <c r="BD13" s="75"/>
      <c r="BE13" s="208"/>
      <c r="BF13" s="16"/>
      <c r="BG13" s="19"/>
      <c r="BH13" s="20"/>
      <c r="BI13" s="77"/>
      <c r="BJ13" s="38"/>
      <c r="BK13" s="145"/>
      <c r="BL13" s="80"/>
      <c r="BM13" s="75"/>
      <c r="BN13" s="208"/>
      <c r="BO13" s="16"/>
      <c r="BP13" s="19"/>
      <c r="BQ13" s="20"/>
      <c r="BR13" s="32"/>
      <c r="BS13" s="38"/>
      <c r="BT13" s="145"/>
      <c r="BU13" s="80"/>
      <c r="BV13" s="215"/>
      <c r="BW13" s="1" t="s">
        <v>241</v>
      </c>
      <c r="BX13" s="321"/>
      <c r="BY13" s="38"/>
    </row>
    <row r="14" spans="1:77" ht="15" customHeight="1" x14ac:dyDescent="0.2">
      <c r="A14" s="95" t="s">
        <v>184</v>
      </c>
      <c r="B14" s="56" t="s">
        <v>1606</v>
      </c>
      <c r="C14" s="637"/>
      <c r="D14" s="544">
        <v>15540.284</v>
      </c>
      <c r="E14" s="95" t="s">
        <v>3282</v>
      </c>
      <c r="F14" s="373"/>
      <c r="G14" s="121">
        <v>12.151009999999999</v>
      </c>
      <c r="H14" s="346">
        <f>G14</f>
        <v>12.151009999999999</v>
      </c>
      <c r="I14" s="1501">
        <v>1995</v>
      </c>
      <c r="J14" s="72">
        <f>36.64752</f>
        <v>36.64752</v>
      </c>
      <c r="K14" s="1502">
        <f>J14-34.64586</f>
        <v>2.0016600000000011</v>
      </c>
      <c r="L14" s="436"/>
      <c r="M14" s="437"/>
      <c r="N14" s="437"/>
      <c r="O14" s="1037"/>
      <c r="P14" s="72">
        <v>66.035510000000002</v>
      </c>
      <c r="Q14" s="1308">
        <f>66.03551-59.832</f>
        <v>6.2035100000000014</v>
      </c>
      <c r="R14" s="1037"/>
      <c r="S14" s="437"/>
      <c r="T14" s="471"/>
      <c r="U14" s="437"/>
      <c r="V14" s="437"/>
      <c r="W14" s="489"/>
      <c r="X14" s="534"/>
      <c r="Y14" s="497"/>
      <c r="Z14" s="490"/>
      <c r="AA14" s="453"/>
      <c r="AB14" s="461"/>
      <c r="AC14" s="285"/>
      <c r="AD14" s="207">
        <f>92.51138/1000</f>
        <v>9.2511380000000004E-2</v>
      </c>
      <c r="AE14" s="47">
        <f>AD14-80.41031/1000</f>
        <v>1.2101070000000005E-2</v>
      </c>
      <c r="AF14" s="78">
        <f>AD14-6.608/1000</f>
        <v>8.5903380000000001E-2</v>
      </c>
      <c r="AG14" s="47">
        <f>AF14-11.829/1000</f>
        <v>7.4074379999999995E-2</v>
      </c>
      <c r="AH14" s="262">
        <v>2025</v>
      </c>
      <c r="AI14" s="1364"/>
      <c r="AJ14" s="1340"/>
      <c r="AK14" s="1345">
        <v>-0.1077</v>
      </c>
      <c r="AL14" s="1346">
        <v>-0.16250000000000001</v>
      </c>
      <c r="AM14" s="207">
        <f>107.52271/1000</f>
        <v>0.10752271000000001</v>
      </c>
      <c r="AN14" s="47">
        <f>AM14-88.39568/1000</f>
        <v>1.9127030000000003E-2</v>
      </c>
      <c r="AO14" s="78">
        <f>AM14-7.808/1000</f>
        <v>9.9714710000000012E-2</v>
      </c>
      <c r="AP14" s="47">
        <f>AO14-13.7663/1000</f>
        <v>8.5948410000000017E-2</v>
      </c>
      <c r="AQ14" s="262">
        <v>2030</v>
      </c>
      <c r="AR14" s="1364"/>
      <c r="AS14" s="1340"/>
      <c r="AT14" s="1345">
        <v>-0.19600000000000001</v>
      </c>
      <c r="AU14" s="1346">
        <v>-0.29420000000000002</v>
      </c>
      <c r="AV14" s="16"/>
      <c r="AW14" s="20"/>
      <c r="AX14" s="16"/>
      <c r="AY14" s="20"/>
      <c r="AZ14" s="77"/>
      <c r="BA14" s="38"/>
      <c r="BB14" s="145"/>
      <c r="BC14" s="80"/>
      <c r="BD14" s="75"/>
      <c r="BE14" s="208"/>
      <c r="BF14" s="16"/>
      <c r="BG14" s="19"/>
      <c r="BH14" s="20"/>
      <c r="BI14" s="77"/>
      <c r="BJ14" s="38"/>
      <c r="BK14" s="145"/>
      <c r="BL14" s="80"/>
      <c r="BM14" s="75"/>
      <c r="BN14" s="208"/>
      <c r="BO14" s="16"/>
      <c r="BP14" s="19"/>
      <c r="BQ14" s="20"/>
      <c r="BR14" s="32"/>
      <c r="BS14" s="38"/>
      <c r="BT14" s="145"/>
      <c r="BU14" s="80"/>
      <c r="BV14" s="215"/>
      <c r="BX14" s="321"/>
      <c r="BY14" s="38"/>
    </row>
    <row r="15" spans="1:77" ht="15" customHeight="1" x14ac:dyDescent="0.2">
      <c r="A15" s="576" t="s">
        <v>163</v>
      </c>
      <c r="B15" s="56" t="s">
        <v>1606</v>
      </c>
      <c r="C15" s="637"/>
      <c r="D15" s="544">
        <v>9232.7530000000006</v>
      </c>
      <c r="E15" s="95" t="s">
        <v>3343</v>
      </c>
      <c r="F15" s="373">
        <v>1998</v>
      </c>
      <c r="G15" s="121">
        <v>16.63026</v>
      </c>
      <c r="H15" s="346">
        <f>G15+2.99806</f>
        <v>19.628319999999999</v>
      </c>
      <c r="I15" s="114"/>
      <c r="J15" s="93">
        <v>0.71399999999999997</v>
      </c>
      <c r="K15" s="346">
        <v>2.125</v>
      </c>
      <c r="L15" s="114"/>
      <c r="M15" s="93">
        <v>-7.26</v>
      </c>
      <c r="N15" s="93">
        <v>2.9449999999999998</v>
      </c>
      <c r="O15" s="1038"/>
      <c r="P15" s="93">
        <v>-9.8719999999999999</v>
      </c>
      <c r="Q15" s="378">
        <v>3.3260000000000001</v>
      </c>
      <c r="R15" s="1038">
        <v>2019</v>
      </c>
      <c r="S15" s="93">
        <v>-11.218999999999999</v>
      </c>
      <c r="T15" s="378">
        <v>4.2089999999999996</v>
      </c>
      <c r="U15" s="387">
        <v>5.9133700000000003E-3</v>
      </c>
      <c r="V15" s="439">
        <v>6.0698699999999998E-3</v>
      </c>
      <c r="W15" s="454">
        <f>Z15*(1+AB15)</f>
        <v>5.8542363000000002E-3</v>
      </c>
      <c r="X15" s="387">
        <f>Z15*(1+AC15)</f>
        <v>5.2628993000000002E-3</v>
      </c>
      <c r="Y15" s="497">
        <v>2030</v>
      </c>
      <c r="Z15" s="439">
        <f>U15</f>
        <v>5.9133700000000003E-3</v>
      </c>
      <c r="AA15" s="424"/>
      <c r="AB15" s="292">
        <v>-0.01</v>
      </c>
      <c r="AC15" s="293">
        <v>-0.11</v>
      </c>
      <c r="AD15" s="207">
        <v>7.48929E-3</v>
      </c>
      <c r="AE15" s="47">
        <v>6.4538199999999999E-3</v>
      </c>
      <c r="AF15" s="78">
        <f>AI15*(1+AK15)</f>
        <v>6.3518496439999997E-3</v>
      </c>
      <c r="AG15" s="47">
        <f>AI15*(1+AL15)</f>
        <v>5.7438997999999996E-3</v>
      </c>
      <c r="AH15" s="262">
        <v>2025</v>
      </c>
      <c r="AI15" s="48">
        <f>+AE15</f>
        <v>6.4538199999999999E-3</v>
      </c>
      <c r="AJ15" s="48"/>
      <c r="AK15" s="1450">
        <v>-1.5800000000000002E-2</v>
      </c>
      <c r="AL15" s="1326">
        <v>-0.11</v>
      </c>
      <c r="AM15" s="207">
        <v>9.0820099999999997E-3</v>
      </c>
      <c r="AN15" s="47">
        <v>6.85456E-3</v>
      </c>
      <c r="AO15" s="78">
        <f>AR15*(1+AT15)</f>
        <v>6.6461813760000004E-3</v>
      </c>
      <c r="AP15" s="47">
        <f>AR15*(1+AU15)</f>
        <v>5.9634672000000001E-3</v>
      </c>
      <c r="AQ15" s="262">
        <v>2030</v>
      </c>
      <c r="AR15" s="48">
        <f>+AN15</f>
        <v>6.85456E-3</v>
      </c>
      <c r="AS15" s="48"/>
      <c r="AT15" s="1450">
        <v>-3.04E-2</v>
      </c>
      <c r="AU15" s="1326">
        <v>-0.13</v>
      </c>
      <c r="AV15" s="16"/>
      <c r="AW15" s="20"/>
      <c r="AX15" s="16"/>
      <c r="AY15" s="20"/>
      <c r="AZ15" s="77"/>
      <c r="BA15" s="38"/>
      <c r="BB15" s="145"/>
      <c r="BC15" s="80"/>
      <c r="BD15" s="75"/>
      <c r="BE15" s="208"/>
      <c r="BF15" s="16"/>
      <c r="BG15" s="19"/>
      <c r="BH15" s="20"/>
      <c r="BI15" s="77"/>
      <c r="BJ15" s="38"/>
      <c r="BK15" s="145"/>
      <c r="BL15" s="80"/>
      <c r="BM15" s="75"/>
      <c r="BN15" s="208"/>
      <c r="BO15" s="16"/>
      <c r="BP15" s="19"/>
      <c r="BQ15" s="20"/>
      <c r="BR15" s="32"/>
      <c r="BS15" s="38"/>
      <c r="BT15" s="145"/>
      <c r="BU15" s="80"/>
      <c r="BV15" s="215"/>
      <c r="BX15" s="321"/>
      <c r="BY15" s="38"/>
    </row>
    <row r="16" spans="1:77" ht="15" customHeight="1" x14ac:dyDescent="0.2">
      <c r="A16" s="10" t="s">
        <v>54</v>
      </c>
      <c r="B16" s="56" t="s">
        <v>1606</v>
      </c>
      <c r="C16" s="637"/>
      <c r="D16" s="544">
        <v>20624.343000000001</v>
      </c>
      <c r="E16" s="95" t="s">
        <v>3286</v>
      </c>
      <c r="F16" s="362">
        <v>1994</v>
      </c>
      <c r="G16" s="62">
        <v>43.987859999999998</v>
      </c>
      <c r="H16" s="69">
        <f>G16-22.18534</f>
        <v>21.802519999999998</v>
      </c>
      <c r="I16" s="74"/>
      <c r="J16" s="68"/>
      <c r="K16" s="69"/>
      <c r="L16" s="74"/>
      <c r="M16" s="437">
        <v>39.158000000000001</v>
      </c>
      <c r="N16" s="356"/>
      <c r="O16" s="923"/>
      <c r="P16" s="437"/>
      <c r="Q16" s="356"/>
      <c r="R16" s="923"/>
      <c r="S16" s="437"/>
      <c r="T16" s="356"/>
      <c r="U16" s="68"/>
      <c r="V16" s="68"/>
      <c r="W16" s="27"/>
      <c r="Y16" s="145"/>
      <c r="Z16" s="28"/>
      <c r="AA16" s="145"/>
      <c r="AB16" s="80"/>
      <c r="AC16" s="209"/>
      <c r="AD16" s="919"/>
      <c r="AE16" s="713"/>
      <c r="AF16" s="920"/>
      <c r="AG16" s="713"/>
      <c r="AH16" s="640"/>
      <c r="AI16" s="48">
        <f>82.157/1000</f>
        <v>8.2156999999999994E-2</v>
      </c>
      <c r="AJ16" s="541"/>
      <c r="AK16" s="406"/>
      <c r="AL16" s="407"/>
      <c r="AM16" s="456"/>
      <c r="AN16" s="439"/>
      <c r="AO16" s="78">
        <f>AR16*(1+AT16)</f>
        <v>0.10479392000000001</v>
      </c>
      <c r="AP16" s="47">
        <f>AR16*(1+AU16)</f>
        <v>7.7404600000000004E-2</v>
      </c>
      <c r="AQ16" s="262">
        <v>2030</v>
      </c>
      <c r="AR16" s="48">
        <f>119.084/1000</f>
        <v>0.11908400000000001</v>
      </c>
      <c r="AS16" s="1340"/>
      <c r="AT16" s="1325">
        <v>-0.12</v>
      </c>
      <c r="AU16" s="1326">
        <v>-0.35</v>
      </c>
      <c r="AV16" s="456"/>
      <c r="AW16" s="439"/>
      <c r="AX16" s="486"/>
      <c r="AY16" s="485"/>
      <c r="AZ16" s="440"/>
      <c r="BA16" s="424"/>
      <c r="BB16" s="453"/>
      <c r="BC16" s="292"/>
      <c r="BD16" s="293"/>
      <c r="BE16" s="208"/>
      <c r="BF16" s="16"/>
      <c r="BG16" s="19"/>
      <c r="BH16" s="20"/>
      <c r="BI16" s="77"/>
      <c r="BJ16" s="38"/>
      <c r="BK16" s="145"/>
      <c r="BL16" s="80"/>
      <c r="BM16" s="75"/>
      <c r="BN16" s="208"/>
      <c r="BO16" s="16"/>
      <c r="BP16" s="19"/>
      <c r="BQ16" s="20"/>
      <c r="BR16" s="32"/>
      <c r="BS16" s="38"/>
      <c r="BT16" s="145"/>
      <c r="BU16" s="80"/>
      <c r="BV16" s="215"/>
      <c r="BX16" s="321"/>
      <c r="BY16" s="38"/>
    </row>
    <row r="17" spans="1:77" ht="15" customHeight="1" x14ac:dyDescent="0.2">
      <c r="A17" s="10" t="s">
        <v>54</v>
      </c>
      <c r="B17" s="56"/>
      <c r="C17" s="637" t="s">
        <v>3210</v>
      </c>
      <c r="D17" s="544">
        <v>792.54600000000005</v>
      </c>
      <c r="E17" s="95" t="s">
        <v>387</v>
      </c>
      <c r="F17" s="362"/>
      <c r="G17" s="62"/>
      <c r="H17" s="69"/>
      <c r="I17" s="74"/>
      <c r="J17" s="68"/>
      <c r="K17" s="69"/>
      <c r="L17" s="74"/>
      <c r="M17" s="437"/>
      <c r="N17" s="68"/>
      <c r="O17" s="923"/>
      <c r="P17" s="437"/>
      <c r="Q17" s="356"/>
      <c r="R17" s="923">
        <v>2018</v>
      </c>
      <c r="S17" s="437"/>
      <c r="T17" s="356">
        <v>1.9911513000000001</v>
      </c>
      <c r="U17" s="68"/>
      <c r="V17" s="68"/>
      <c r="W17" s="27"/>
      <c r="Y17" s="145"/>
      <c r="Z17" s="28"/>
      <c r="AA17" s="145"/>
      <c r="AB17" s="80"/>
      <c r="AC17" s="209"/>
      <c r="AD17" s="16"/>
      <c r="AE17" s="20"/>
      <c r="AF17" s="16"/>
      <c r="AG17" s="20"/>
      <c r="AH17" s="77"/>
      <c r="AI17" s="38"/>
      <c r="AJ17" s="145"/>
      <c r="AK17" s="80"/>
      <c r="AL17" s="215"/>
      <c r="AM17" s="456"/>
      <c r="AN17" s="387"/>
      <c r="AO17" s="635">
        <f>+AS17*(1+AT17)</f>
        <v>1.5331865010000001E-3</v>
      </c>
      <c r="AP17" s="636">
        <f>+AS17*(1+AU17)</f>
        <v>1.5331865010000001E-3</v>
      </c>
      <c r="AQ17" s="640">
        <v>2030</v>
      </c>
      <c r="AR17" s="714"/>
      <c r="AS17" s="641">
        <f>+T17/1000</f>
        <v>1.9911513000000001E-3</v>
      </c>
      <c r="AT17" s="406">
        <v>-0.23</v>
      </c>
      <c r="AU17" s="407">
        <f>AT17</f>
        <v>-0.23</v>
      </c>
      <c r="AV17" s="387"/>
      <c r="AW17" s="439"/>
      <c r="AX17" s="486"/>
      <c r="AY17" s="485"/>
      <c r="AZ17" s="440"/>
      <c r="BA17" s="424"/>
      <c r="BB17" s="453"/>
      <c r="BC17" s="292"/>
      <c r="BD17" s="1439"/>
      <c r="BE17" s="208"/>
      <c r="BF17" s="16"/>
      <c r="BG17" s="19"/>
      <c r="BH17" s="20"/>
      <c r="BI17" s="77"/>
      <c r="BJ17" s="38"/>
      <c r="BK17" s="145"/>
      <c r="BL17" s="80"/>
      <c r="BM17" s="75"/>
      <c r="BN17" s="208"/>
      <c r="BO17" s="16"/>
      <c r="BP17" s="19"/>
      <c r="BQ17" s="20"/>
      <c r="BR17" s="32"/>
      <c r="BS17" s="38"/>
      <c r="BT17" s="145"/>
      <c r="BU17" s="80"/>
      <c r="BV17" s="215"/>
      <c r="BX17" s="321"/>
      <c r="BY17" s="38"/>
    </row>
    <row r="18" spans="1:77" ht="15" customHeight="1" x14ac:dyDescent="0.2">
      <c r="A18" s="95" t="s">
        <v>164</v>
      </c>
      <c r="B18" s="56" t="s">
        <v>1606</v>
      </c>
      <c r="C18" s="637"/>
      <c r="D18" s="544">
        <v>487.601</v>
      </c>
      <c r="E18" s="1273" t="s">
        <v>3217</v>
      </c>
      <c r="F18" s="373">
        <v>1995</v>
      </c>
      <c r="G18" s="121">
        <f>165.7/1000</f>
        <v>0.16569999999999999</v>
      </c>
      <c r="H18" s="346">
        <f>+G18+96.27/1000</f>
        <v>0.26196999999999998</v>
      </c>
      <c r="I18" s="114"/>
      <c r="J18" s="93">
        <f>452.54/1000</f>
        <v>0.45254</v>
      </c>
      <c r="K18" s="346">
        <f>J18+129.77/1000</f>
        <v>0.58230999999999999</v>
      </c>
      <c r="L18" s="114"/>
      <c r="M18" s="93">
        <f>485.26/1000</f>
        <v>0.48525999999999997</v>
      </c>
      <c r="N18" s="93">
        <f>+M18+117.81/1000</f>
        <v>0.60306999999999999</v>
      </c>
      <c r="O18" s="923"/>
      <c r="P18" s="1276">
        <v>0.46100000000000002</v>
      </c>
      <c r="Q18" s="1320">
        <f>P18+0.118</f>
        <v>0.57899999999999996</v>
      </c>
      <c r="R18" s="923"/>
      <c r="S18" s="68"/>
      <c r="T18" s="356"/>
      <c r="U18" s="511">
        <v>0.68400000000000005</v>
      </c>
      <c r="V18" s="511">
        <f>U18+0.108</f>
        <v>0.79200000000000004</v>
      </c>
      <c r="W18" s="1478">
        <f>0.636/1000</f>
        <v>6.3600000000000006E-4</v>
      </c>
      <c r="X18" s="1472">
        <f>W18</f>
        <v>6.3600000000000006E-4</v>
      </c>
      <c r="Y18" s="145"/>
      <c r="Z18" s="28"/>
      <c r="AA18" s="145"/>
      <c r="AB18" s="80"/>
      <c r="AC18" s="209"/>
      <c r="AD18" s="919">
        <f>0.847/1000</f>
        <v>8.4699999999999999E-4</v>
      </c>
      <c r="AE18" s="713">
        <f>AD18+0.105/1000</f>
        <v>9.5199999999999994E-4</v>
      </c>
      <c r="AF18" s="1407">
        <f>0.736/1000</f>
        <v>7.36E-4</v>
      </c>
      <c r="AG18" s="1370">
        <f>AF18</f>
        <v>7.36E-4</v>
      </c>
      <c r="AH18" s="77"/>
      <c r="AI18" s="38"/>
      <c r="AJ18" s="145"/>
      <c r="AK18" s="80"/>
      <c r="AL18" s="215"/>
      <c r="AM18" s="484">
        <f>1.006/1000</f>
        <v>1.0059999999999999E-3</v>
      </c>
      <c r="AN18" s="485">
        <f>AM18+0.096/1000</f>
        <v>1.1019999999999999E-3</v>
      </c>
      <c r="AO18" s="1407">
        <f>AM18*(1+AT18)</f>
        <v>8.2492000000000004E-4</v>
      </c>
      <c r="AP18" s="1370">
        <f>AM18*(1+AU18)</f>
        <v>7.6455999999999996E-4</v>
      </c>
      <c r="AQ18" s="262">
        <v>2030</v>
      </c>
      <c r="AR18" s="441"/>
      <c r="AS18" s="453"/>
      <c r="AT18" s="1325">
        <v>-0.18</v>
      </c>
      <c r="AU18" s="1326">
        <v>-0.24</v>
      </c>
      <c r="AV18" s="16"/>
      <c r="AW18" s="20"/>
      <c r="AX18" s="16"/>
      <c r="AY18" s="20"/>
      <c r="AZ18" s="77"/>
      <c r="BA18" s="38"/>
      <c r="BB18" s="145"/>
      <c r="BC18" s="80"/>
      <c r="BD18" s="75"/>
      <c r="BE18" s="208"/>
      <c r="BF18" s="16"/>
      <c r="BG18" s="19"/>
      <c r="BH18" s="20"/>
      <c r="BI18" s="77"/>
      <c r="BJ18" s="38"/>
      <c r="BK18" s="145"/>
      <c r="BL18" s="80"/>
      <c r="BM18" s="75"/>
      <c r="BN18" s="208"/>
      <c r="BO18" s="16"/>
      <c r="BP18" s="19"/>
      <c r="BQ18" s="20"/>
      <c r="BR18" s="32"/>
      <c r="BS18" s="38"/>
      <c r="BT18" s="145"/>
      <c r="BU18" s="80"/>
      <c r="BV18" s="215"/>
      <c r="BX18" s="321"/>
      <c r="BY18" s="38"/>
    </row>
    <row r="19" spans="1:77" ht="15" customHeight="1" x14ac:dyDescent="0.2">
      <c r="A19" s="95" t="s">
        <v>185</v>
      </c>
      <c r="B19" s="56" t="s">
        <v>1606</v>
      </c>
      <c r="C19" s="637"/>
      <c r="D19" s="544">
        <v>4349.9210000000003</v>
      </c>
      <c r="E19" s="95" t="s">
        <v>3342</v>
      </c>
      <c r="F19" s="373">
        <v>1994</v>
      </c>
      <c r="G19" s="121">
        <v>-101.6</v>
      </c>
      <c r="H19" s="346">
        <v>37.700000000000003</v>
      </c>
      <c r="I19" s="114"/>
      <c r="J19" s="93"/>
      <c r="K19" s="346"/>
      <c r="L19" s="114"/>
      <c r="M19" s="437">
        <f>N19-728.896</f>
        <v>-718.85599999999999</v>
      </c>
      <c r="N19" s="93">
        <v>10.039999999999999</v>
      </c>
      <c r="O19" s="1038"/>
      <c r="P19" s="93"/>
      <c r="Q19" s="378"/>
      <c r="R19" s="1038"/>
      <c r="S19" s="93"/>
      <c r="T19" s="378"/>
      <c r="U19" s="68"/>
      <c r="V19" s="68"/>
      <c r="W19" s="27"/>
      <c r="Y19" s="145"/>
      <c r="Z19" s="28"/>
      <c r="AA19" s="145"/>
      <c r="AB19" s="80"/>
      <c r="AC19" s="209"/>
      <c r="AD19" s="456"/>
      <c r="AE19" s="47">
        <f>AJ19</f>
        <v>1.4414099999999999E-2</v>
      </c>
      <c r="AF19" s="46">
        <f>+AJ19*(1+AK19)</f>
        <v>1.3112506769999999E-2</v>
      </c>
      <c r="AG19" s="47">
        <f>+AJ19*(1+AL19)</f>
        <v>1.2303875759999999E-2</v>
      </c>
      <c r="AH19" s="262">
        <v>2030</v>
      </c>
      <c r="AI19" s="424"/>
      <c r="AJ19" s="48">
        <v>1.4414099999999999E-2</v>
      </c>
      <c r="AK19" s="1450">
        <v>-9.0300000000000005E-2</v>
      </c>
      <c r="AL19" s="1506">
        <v>-0.1464</v>
      </c>
      <c r="AM19" s="456"/>
      <c r="AN19" s="47">
        <f>AS19</f>
        <v>0.11628549000000001</v>
      </c>
      <c r="AO19" s="46">
        <f>+AS19*(1+AT19)</f>
        <v>0.11628549000000001</v>
      </c>
      <c r="AP19" s="47">
        <f>+AS19*(1+AU19)</f>
        <v>0.11628549000000001</v>
      </c>
      <c r="AQ19" s="262">
        <v>2030</v>
      </c>
      <c r="AR19" s="424"/>
      <c r="AS19" s="424">
        <v>0.11628549000000001</v>
      </c>
      <c r="AT19" s="292"/>
      <c r="AU19" s="293"/>
      <c r="AV19" s="16"/>
      <c r="AW19" s="20"/>
      <c r="AX19" s="16"/>
      <c r="AY19" s="20"/>
      <c r="AZ19" s="77"/>
      <c r="BA19" s="38"/>
      <c r="BB19" s="145"/>
      <c r="BC19" s="80"/>
      <c r="BD19" s="75"/>
      <c r="BE19" s="208"/>
      <c r="BF19" s="16"/>
      <c r="BG19" s="19"/>
      <c r="BH19" s="20"/>
      <c r="BI19" s="77"/>
      <c r="BJ19" s="38"/>
      <c r="BK19" s="145"/>
      <c r="BL19" s="80"/>
      <c r="BM19" s="75"/>
      <c r="BN19" s="456">
        <f>BO19-0.33</f>
        <v>-0.14072820000000003</v>
      </c>
      <c r="BO19" s="439">
        <f>BT19</f>
        <v>0.18927179999999999</v>
      </c>
      <c r="BP19" s="387">
        <f>BT19-0.01041-0.310146</f>
        <v>-0.13128419999999999</v>
      </c>
      <c r="BQ19" s="439">
        <f>BT19-0.04732-0.310146</f>
        <v>-0.16819419999999999</v>
      </c>
      <c r="BR19" s="440">
        <v>2030</v>
      </c>
      <c r="BS19" s="424"/>
      <c r="BT19" s="424">
        <v>0.18927179999999999</v>
      </c>
      <c r="BU19" s="80"/>
      <c r="BV19" s="215"/>
      <c r="BX19" s="321"/>
      <c r="BY19" s="38"/>
    </row>
    <row r="20" spans="1:77" ht="15" customHeight="1" x14ac:dyDescent="0.2">
      <c r="A20" s="576" t="s">
        <v>186</v>
      </c>
      <c r="B20" s="56" t="s">
        <v>1606</v>
      </c>
      <c r="C20" s="637"/>
      <c r="D20" s="544">
        <v>11720.781000000001</v>
      </c>
      <c r="E20" s="95" t="s">
        <v>3294</v>
      </c>
      <c r="F20" s="373">
        <v>1993</v>
      </c>
      <c r="G20" s="121">
        <v>-38.200000000000003</v>
      </c>
      <c r="H20" s="346">
        <v>8</v>
      </c>
      <c r="I20" s="114">
        <v>2000</v>
      </c>
      <c r="J20" s="93">
        <v>-11.18295</v>
      </c>
      <c r="K20" s="346">
        <v>54.405760000000001</v>
      </c>
      <c r="L20" s="114"/>
      <c r="M20" s="93">
        <v>49.32</v>
      </c>
      <c r="N20" s="93">
        <f>M20+5.144</f>
        <v>54.463999999999999</v>
      </c>
      <c r="O20" s="1038"/>
      <c r="P20" s="93">
        <v>62.377000000000002</v>
      </c>
      <c r="Q20" s="378">
        <f>P20+1.296</f>
        <v>63.673000000000002</v>
      </c>
      <c r="R20" s="1038">
        <v>2018</v>
      </c>
      <c r="S20" s="93">
        <v>74.09</v>
      </c>
      <c r="T20" s="378">
        <f>S20+0.641</f>
        <v>74.731000000000009</v>
      </c>
      <c r="U20" s="68"/>
      <c r="V20" s="68"/>
      <c r="W20" s="27"/>
      <c r="Y20" s="145"/>
      <c r="Z20" s="28"/>
      <c r="AA20" s="145"/>
      <c r="AB20" s="80"/>
      <c r="AC20" s="209"/>
      <c r="AD20" s="207">
        <f>79.998/1000</f>
        <v>7.9998E-2</v>
      </c>
      <c r="AE20" s="47">
        <f>AD20+0.587/1000</f>
        <v>8.0585000000000004E-2</v>
      </c>
      <c r="AF20" s="46">
        <f>+AI20*(1+AK20)</f>
        <v>7.7038073999999998E-2</v>
      </c>
      <c r="AG20" s="47">
        <f>+AI20*(1+AL20)</f>
        <v>7.2078197999999996E-2</v>
      </c>
      <c r="AH20" s="262">
        <v>2025</v>
      </c>
      <c r="AI20" s="48">
        <f>+AD20</f>
        <v>7.9998E-2</v>
      </c>
      <c r="AJ20" s="1340"/>
      <c r="AK20" s="1345">
        <v>-3.6999999999999998E-2</v>
      </c>
      <c r="AL20" s="1346">
        <v>-9.9000000000000005E-2</v>
      </c>
      <c r="AM20" s="207">
        <f>84.589/1000</f>
        <v>8.4588999999999998E-2</v>
      </c>
      <c r="AN20" s="47">
        <f>AM20+0.722/1000</f>
        <v>8.5310999999999998E-2</v>
      </c>
      <c r="AO20" s="46">
        <f>+AR20*(1+AT20)</f>
        <v>8.2051329999999992E-2</v>
      </c>
      <c r="AP20" s="47">
        <f>+AR20*(1+AU20)</f>
        <v>6.8178734000000005E-2</v>
      </c>
      <c r="AQ20" s="262">
        <v>2030</v>
      </c>
      <c r="AR20" s="48">
        <f>AM20</f>
        <v>8.4588999999999998E-2</v>
      </c>
      <c r="AS20" s="1340"/>
      <c r="AT20" s="1345">
        <v>-0.03</v>
      </c>
      <c r="AU20" s="1346">
        <v>-0.19400000000000001</v>
      </c>
      <c r="AV20" s="16"/>
      <c r="AW20" s="20"/>
      <c r="AX20" s="16"/>
      <c r="AY20" s="20"/>
      <c r="AZ20" s="77"/>
      <c r="BA20" s="38"/>
      <c r="BB20" s="145"/>
      <c r="BC20" s="80"/>
      <c r="BD20" s="75"/>
      <c r="BE20" s="208"/>
      <c r="BF20" s="16"/>
      <c r="BG20" s="19"/>
      <c r="BH20" s="20"/>
      <c r="BI20" s="77"/>
      <c r="BJ20" s="38"/>
      <c r="BK20" s="145"/>
      <c r="BL20" s="80"/>
      <c r="BM20" s="75"/>
      <c r="BN20" s="208"/>
      <c r="BO20" s="16"/>
      <c r="BP20" s="19"/>
      <c r="BQ20" s="20"/>
      <c r="BR20" s="32"/>
      <c r="BS20" s="38"/>
      <c r="BT20" s="145"/>
      <c r="BU20" s="80"/>
      <c r="BV20" s="215"/>
      <c r="BX20" s="321"/>
      <c r="BY20" s="38"/>
    </row>
    <row r="21" spans="1:77" ht="15" customHeight="1" x14ac:dyDescent="0.2">
      <c r="A21" s="95" t="s">
        <v>177</v>
      </c>
      <c r="B21" s="56" t="s">
        <v>1606</v>
      </c>
      <c r="C21" s="637"/>
      <c r="D21" s="544">
        <v>683.08100000000002</v>
      </c>
      <c r="E21" s="95" t="s">
        <v>3325</v>
      </c>
      <c r="F21" s="373">
        <v>1994</v>
      </c>
      <c r="G21" s="121">
        <v>-0.4</v>
      </c>
      <c r="H21" s="346">
        <v>0.5</v>
      </c>
      <c r="I21" s="114">
        <v>2000</v>
      </c>
      <c r="J21" s="494"/>
      <c r="K21" s="1502">
        <v>-2.2000000000000002</v>
      </c>
      <c r="L21" s="436"/>
      <c r="M21" s="494"/>
      <c r="N21" s="494"/>
      <c r="O21" s="1038"/>
      <c r="P21" s="72">
        <v>-1.714</v>
      </c>
      <c r="Q21" s="378"/>
      <c r="R21" s="1038"/>
      <c r="S21" s="93"/>
      <c r="T21" s="378"/>
      <c r="U21" s="1528"/>
      <c r="V21" s="93"/>
      <c r="W21" s="493"/>
      <c r="X21" s="450"/>
      <c r="Y21" s="497"/>
      <c r="Z21" s="451"/>
      <c r="AA21" s="453"/>
      <c r="AB21" s="156"/>
      <c r="AC21" s="284"/>
      <c r="AD21" s="450"/>
      <c r="AE21" s="439"/>
      <c r="AF21" s="450"/>
      <c r="AG21" s="451"/>
      <c r="AH21" s="440"/>
      <c r="AI21" s="452"/>
      <c r="AJ21" s="453"/>
      <c r="AK21" s="156"/>
      <c r="AL21" s="295"/>
      <c r="AM21" s="449"/>
      <c r="AN21" s="1322">
        <f>-1.26/1000</f>
        <v>-1.2600000000000001E-3</v>
      </c>
      <c r="AO21" s="1344">
        <f>+AS21*(1-AT21)</f>
        <v>-1.5498E-3</v>
      </c>
      <c r="AP21" s="1322">
        <f>+AS21*(1-AU21)</f>
        <v>-1.5498E-3</v>
      </c>
      <c r="AQ21" s="262">
        <v>2030</v>
      </c>
      <c r="AR21" s="452"/>
      <c r="AS21" s="1324">
        <f>+AN21</f>
        <v>-1.2600000000000001E-3</v>
      </c>
      <c r="AT21" s="1341">
        <v>-0.23</v>
      </c>
      <c r="AU21" s="1342">
        <v>-0.23</v>
      </c>
      <c r="AV21" s="16"/>
      <c r="AW21" s="20"/>
      <c r="AX21" s="16"/>
      <c r="AY21" s="20"/>
      <c r="AZ21" s="77"/>
      <c r="BA21" s="38"/>
      <c r="BB21" s="145"/>
      <c r="BC21" s="80"/>
      <c r="BD21" s="75"/>
      <c r="BE21" s="208"/>
      <c r="BF21" s="16"/>
      <c r="BG21" s="19"/>
      <c r="BH21" s="20"/>
      <c r="BI21" s="77"/>
      <c r="BJ21" s="38"/>
      <c r="BK21" s="145"/>
      <c r="BL21" s="80"/>
      <c r="BM21" s="75"/>
      <c r="BN21" s="208"/>
      <c r="BO21" s="16"/>
      <c r="BP21" s="19"/>
      <c r="BQ21" s="20"/>
      <c r="BR21" s="32"/>
      <c r="BS21" s="38"/>
      <c r="BT21" s="145"/>
      <c r="BU21" s="80"/>
      <c r="BV21" s="215"/>
      <c r="BX21" s="321"/>
      <c r="BY21" s="38"/>
    </row>
    <row r="22" spans="1:77" ht="15" customHeight="1" x14ac:dyDescent="0.2">
      <c r="A22" s="575" t="s">
        <v>57</v>
      </c>
      <c r="B22" s="56" t="s">
        <v>1606</v>
      </c>
      <c r="C22" s="637"/>
      <c r="D22" s="544">
        <v>4111.7150000000001</v>
      </c>
      <c r="E22" s="107" t="s">
        <v>3267</v>
      </c>
      <c r="F22" s="362">
        <v>1994</v>
      </c>
      <c r="G22" s="62">
        <v>68.5</v>
      </c>
      <c r="H22" s="69">
        <v>1.4</v>
      </c>
      <c r="I22" s="436">
        <v>2000</v>
      </c>
      <c r="J22" s="437">
        <f>K22-72.7</f>
        <v>-70.7</v>
      </c>
      <c r="K22" s="438">
        <v>2</v>
      </c>
      <c r="L22" s="74"/>
      <c r="M22" s="68"/>
      <c r="N22" s="356"/>
      <c r="O22" s="923"/>
      <c r="P22" s="68"/>
      <c r="Q22" s="356"/>
      <c r="R22" s="923"/>
      <c r="S22" s="68"/>
      <c r="T22" s="356"/>
      <c r="U22" s="68"/>
      <c r="V22" s="68"/>
      <c r="W22" s="27"/>
      <c r="Y22" s="145"/>
      <c r="Z22" s="28"/>
      <c r="AA22" s="145"/>
      <c r="AB22" s="80"/>
      <c r="AC22" s="209"/>
      <c r="AD22" s="207">
        <f>13.1812/1000</f>
        <v>1.3181200000000001E-2</v>
      </c>
      <c r="AE22" s="47">
        <f>AD22-3.72929/1000</f>
        <v>9.4519100000000009E-3</v>
      </c>
      <c r="AF22" s="78">
        <f>10.92847/1000</f>
        <v>1.0928470000000001E-2</v>
      </c>
      <c r="AG22" s="47">
        <f>5.67207/1000</f>
        <v>5.6720699999999995E-3</v>
      </c>
      <c r="AH22" s="262">
        <v>2025</v>
      </c>
      <c r="AI22" s="48">
        <f>+AD22</f>
        <v>1.3181200000000001E-2</v>
      </c>
      <c r="AJ22" s="48"/>
      <c r="AK22" s="1325">
        <f>(AD22-AF22)/AD22</f>
        <v>0.17090477346523833</v>
      </c>
      <c r="AL22" s="1326">
        <f>(AD22-AG22)/AD22</f>
        <v>0.56968485418626535</v>
      </c>
      <c r="AM22" s="207">
        <f>15.27932/1000</f>
        <v>1.5279320000000001E-2</v>
      </c>
      <c r="AN22" s="47">
        <f>AM22-4.319/1000</f>
        <v>1.0960320000000001E-2</v>
      </c>
      <c r="AO22" s="78">
        <f>12.00016/1000</f>
        <v>1.2000159999999999E-2</v>
      </c>
      <c r="AP22" s="47">
        <f>7.08141/1000</f>
        <v>7.0814099999999998E-3</v>
      </c>
      <c r="AQ22" s="262">
        <v>2030</v>
      </c>
      <c r="AR22" s="48">
        <f>+AM22</f>
        <v>1.5279320000000001E-2</v>
      </c>
      <c r="AS22" s="48"/>
      <c r="AT22" s="1325">
        <f>(AM22-AO22)/AM22</f>
        <v>0.21461426293840311</v>
      </c>
      <c r="AU22" s="1326">
        <f>(AM22-AP22)/AM22</f>
        <v>0.53653631182539541</v>
      </c>
      <c r="AV22" s="387"/>
      <c r="AW22" s="439">
        <f>34.527/1000</f>
        <v>3.4527000000000002E-2</v>
      </c>
      <c r="AX22" s="387">
        <f>15.858/1000</f>
        <v>1.5858000000000001E-2</v>
      </c>
      <c r="AY22" s="439">
        <f>AX22</f>
        <v>1.5858000000000001E-2</v>
      </c>
      <c r="AZ22" s="440">
        <v>2025</v>
      </c>
      <c r="BA22" s="424"/>
      <c r="BB22" s="424">
        <f>+AW22</f>
        <v>3.4527000000000002E-2</v>
      </c>
      <c r="BC22" s="292">
        <v>-0.54</v>
      </c>
      <c r="BD22" s="293">
        <f>BC22</f>
        <v>-0.54</v>
      </c>
      <c r="BE22" s="208"/>
      <c r="BF22" s="16"/>
      <c r="BG22" s="19"/>
      <c r="BH22" s="20"/>
      <c r="BI22" s="77"/>
      <c r="BJ22" s="38"/>
      <c r="BK22" s="145"/>
      <c r="BL22" s="80"/>
      <c r="BM22" s="75"/>
      <c r="BN22" s="208"/>
      <c r="BO22" s="16"/>
      <c r="BP22" s="19"/>
      <c r="BQ22" s="20"/>
      <c r="BR22" s="32"/>
      <c r="BS22" s="38"/>
      <c r="BT22" s="145"/>
      <c r="BU22" s="80"/>
      <c r="BV22" s="215"/>
      <c r="BX22" s="321"/>
      <c r="BY22" s="38"/>
    </row>
    <row r="23" spans="1:77" ht="15" customHeight="1" x14ac:dyDescent="0.2">
      <c r="A23" s="575" t="s">
        <v>58</v>
      </c>
      <c r="B23" s="56" t="s">
        <v>1606</v>
      </c>
      <c r="C23" s="637"/>
      <c r="D23" s="544">
        <v>62191.161</v>
      </c>
      <c r="E23" s="95" t="s">
        <v>3339</v>
      </c>
      <c r="F23" s="362">
        <v>1994</v>
      </c>
      <c r="G23" s="62">
        <v>132.19999999999999</v>
      </c>
      <c r="H23" s="69">
        <v>44.6</v>
      </c>
      <c r="I23" s="74"/>
      <c r="J23" s="437">
        <v>240</v>
      </c>
      <c r="K23" s="438">
        <v>50</v>
      </c>
      <c r="L23" s="74"/>
      <c r="M23" s="488">
        <v>238</v>
      </c>
      <c r="N23" s="566">
        <v>50</v>
      </c>
      <c r="O23" s="923"/>
      <c r="P23" s="488"/>
      <c r="Q23" s="566"/>
      <c r="R23" s="923"/>
      <c r="S23" s="488"/>
      <c r="T23" s="566"/>
      <c r="U23" s="437">
        <v>380</v>
      </c>
      <c r="V23" s="437">
        <v>30</v>
      </c>
      <c r="W23" s="454">
        <f>+U23/1000</f>
        <v>0.38</v>
      </c>
      <c r="X23" s="387">
        <f>+W23</f>
        <v>0.38</v>
      </c>
      <c r="Y23" s="145"/>
      <c r="Z23" s="28"/>
      <c r="AA23" s="145"/>
      <c r="AB23" s="80"/>
      <c r="AC23" s="209"/>
      <c r="AD23" s="387">
        <v>0.40500000000000003</v>
      </c>
      <c r="AE23" s="439">
        <v>0.03</v>
      </c>
      <c r="AF23" s="387">
        <v>0.37</v>
      </c>
      <c r="AG23" s="439">
        <v>0.37</v>
      </c>
      <c r="AH23" s="440">
        <v>2025</v>
      </c>
      <c r="AI23" s="38"/>
      <c r="AJ23" s="145"/>
      <c r="AK23" s="80"/>
      <c r="AL23" s="215"/>
      <c r="AM23" s="207">
        <f>+AR23</f>
        <v>1.4</v>
      </c>
      <c r="AN23" s="47">
        <v>0.03</v>
      </c>
      <c r="AO23" s="46">
        <f>+AR23*(1+AT23)</f>
        <v>1.1339999999999999</v>
      </c>
      <c r="AP23" s="47">
        <f>+AR23*(1+AU23)</f>
        <v>1.1059999999999999</v>
      </c>
      <c r="AQ23" s="262">
        <v>2030</v>
      </c>
      <c r="AR23" s="48">
        <v>1.4</v>
      </c>
      <c r="AS23" s="1340"/>
      <c r="AT23" s="1325">
        <v>-0.19</v>
      </c>
      <c r="AU23" s="1326">
        <v>-0.21</v>
      </c>
      <c r="AV23" s="16"/>
      <c r="AW23" s="20"/>
      <c r="AX23" s="16"/>
      <c r="AY23" s="20"/>
      <c r="AZ23" s="77"/>
      <c r="BA23" s="38"/>
      <c r="BB23" s="145"/>
      <c r="BC23" s="80"/>
      <c r="BD23" s="75"/>
      <c r="BE23" s="208"/>
      <c r="BF23" s="16"/>
      <c r="BG23" s="19"/>
      <c r="BH23" s="20"/>
      <c r="BI23" s="77"/>
      <c r="BJ23" s="38"/>
      <c r="BK23" s="145"/>
      <c r="BL23" s="80"/>
      <c r="BM23" s="75"/>
      <c r="BN23" s="208"/>
      <c r="BO23" s="16"/>
      <c r="BP23" s="19"/>
      <c r="BQ23" s="20"/>
      <c r="BR23" s="32"/>
      <c r="BS23" s="38"/>
      <c r="BT23" s="145"/>
      <c r="BU23" s="80"/>
      <c r="BV23" s="215"/>
      <c r="BX23" s="321"/>
      <c r="BY23" s="38"/>
    </row>
    <row r="24" spans="1:77" ht="15" customHeight="1" x14ac:dyDescent="0.2">
      <c r="A24" s="10" t="s">
        <v>60</v>
      </c>
      <c r="B24" s="56" t="s">
        <v>1606</v>
      </c>
      <c r="C24" s="637"/>
      <c r="D24" s="544">
        <v>18976.588</v>
      </c>
      <c r="E24" s="95" t="s">
        <v>2777</v>
      </c>
      <c r="F24" s="362"/>
      <c r="G24" s="62">
        <v>6.5882727900000004</v>
      </c>
      <c r="H24" s="69">
        <f>G24-2.87145709</f>
        <v>3.7168157000000006</v>
      </c>
      <c r="I24" s="74"/>
      <c r="J24" s="68">
        <v>13.5272234</v>
      </c>
      <c r="K24" s="69">
        <f>J24-5.28523376</f>
        <v>8.2419896399999999</v>
      </c>
      <c r="L24" s="436"/>
      <c r="M24" s="93">
        <v>35.761233599999997</v>
      </c>
      <c r="N24" s="93">
        <f>M24-24.0209945</f>
        <v>11.740239099999997</v>
      </c>
      <c r="O24" s="966">
        <v>2014</v>
      </c>
      <c r="P24" s="569">
        <v>50.356341</v>
      </c>
      <c r="Q24" s="570">
        <f>P24-36.8852445</f>
        <v>13.471096500000002</v>
      </c>
      <c r="R24" s="966"/>
      <c r="S24" s="569"/>
      <c r="T24" s="570"/>
      <c r="U24" s="68"/>
      <c r="V24" s="68"/>
      <c r="W24" s="27"/>
      <c r="Y24" s="145"/>
      <c r="Z24" s="28"/>
      <c r="AA24" s="145"/>
      <c r="AB24" s="80"/>
      <c r="AC24" s="209"/>
      <c r="AD24" s="16"/>
      <c r="AE24" s="20"/>
      <c r="AF24" s="16"/>
      <c r="AG24" s="20"/>
      <c r="AH24" s="77"/>
      <c r="AI24" s="38"/>
      <c r="AJ24" s="145"/>
      <c r="AK24" s="80"/>
      <c r="AL24" s="215"/>
      <c r="AM24" s="456"/>
      <c r="AN24" s="387">
        <f>34.25325/1000</f>
        <v>3.4253249999999999E-2</v>
      </c>
      <c r="AO24" s="454">
        <f>+AS24*(1+AT24)</f>
        <v>2.4662339999999998E-2</v>
      </c>
      <c r="AP24" s="439">
        <f>+AS24*(1+AU24)</f>
        <v>2.4662339999999998E-2</v>
      </c>
      <c r="AQ24" s="440">
        <v>2030</v>
      </c>
      <c r="AR24" s="424"/>
      <c r="AS24" s="424">
        <f>+AN24</f>
        <v>3.4253249999999999E-2</v>
      </c>
      <c r="AT24" s="292">
        <v>-0.28000000000000003</v>
      </c>
      <c r="AU24" s="284">
        <f>AT24</f>
        <v>-0.28000000000000003</v>
      </c>
      <c r="AV24" s="16"/>
      <c r="AW24" s="20"/>
      <c r="AX24" s="16"/>
      <c r="AY24" s="20"/>
      <c r="AZ24" s="77"/>
      <c r="BA24" s="38"/>
      <c r="BB24" s="145"/>
      <c r="BC24" s="80"/>
      <c r="BD24" s="75"/>
      <c r="BE24" s="208"/>
      <c r="BF24" s="16"/>
      <c r="BG24" s="19"/>
      <c r="BH24" s="20"/>
      <c r="BI24" s="77"/>
      <c r="BJ24" s="38"/>
      <c r="BK24" s="145"/>
      <c r="BL24" s="80"/>
      <c r="BM24" s="75"/>
      <c r="BN24" s="208"/>
      <c r="BO24" s="16"/>
      <c r="BP24" s="19"/>
      <c r="BQ24" s="20"/>
      <c r="BR24" s="32"/>
      <c r="BS24" s="38"/>
      <c r="BT24" s="145"/>
      <c r="BU24" s="80"/>
      <c r="BV24" s="215"/>
      <c r="BX24" s="321"/>
      <c r="BY24" s="38"/>
    </row>
    <row r="25" spans="1:77" ht="15" customHeight="1" x14ac:dyDescent="0.2">
      <c r="A25" s="10" t="s">
        <v>60</v>
      </c>
      <c r="B25" s="56"/>
      <c r="C25" s="637" t="s">
        <v>2801</v>
      </c>
      <c r="D25" s="544">
        <v>800</v>
      </c>
      <c r="E25" s="95" t="s">
        <v>387</v>
      </c>
      <c r="F25" s="362"/>
      <c r="G25" s="62"/>
      <c r="H25" s="69"/>
      <c r="I25" s="74"/>
      <c r="J25" s="68"/>
      <c r="K25" s="69"/>
      <c r="L25" s="436"/>
      <c r="M25" s="93"/>
      <c r="N25" s="93"/>
      <c r="O25" s="966">
        <v>2016</v>
      </c>
      <c r="P25" s="569"/>
      <c r="Q25" s="570">
        <v>17.605</v>
      </c>
      <c r="R25" s="966"/>
      <c r="S25" s="569"/>
      <c r="T25" s="570"/>
      <c r="U25" s="68"/>
      <c r="V25" s="68"/>
      <c r="W25" s="27"/>
      <c r="Y25" s="145"/>
      <c r="Z25" s="28"/>
      <c r="AA25" s="145"/>
      <c r="AB25" s="80"/>
      <c r="AC25" s="209"/>
      <c r="AD25" s="16"/>
      <c r="AE25" s="20"/>
      <c r="AF25" s="16"/>
      <c r="AG25" s="20"/>
      <c r="AH25" s="77"/>
      <c r="AI25" s="38"/>
      <c r="AJ25" s="145"/>
      <c r="AK25" s="80"/>
      <c r="AL25" s="75"/>
      <c r="AM25" s="456"/>
      <c r="AN25" s="387"/>
      <c r="AO25" s="1237">
        <f>AR25*(1+AT25)</f>
        <v>8.8025000000000002</v>
      </c>
      <c r="AP25" s="1238">
        <f>AR25*(1+AU25)</f>
        <v>8.8025000000000002</v>
      </c>
      <c r="AQ25" s="640">
        <v>2016</v>
      </c>
      <c r="AR25" s="158">
        <f>+Q25</f>
        <v>17.605</v>
      </c>
      <c r="AS25" s="541"/>
      <c r="AT25" s="406">
        <v>-0.5</v>
      </c>
      <c r="AU25" s="407">
        <f>AT25</f>
        <v>-0.5</v>
      </c>
      <c r="AV25" s="16"/>
      <c r="AW25" s="20"/>
      <c r="AX25" s="16"/>
      <c r="AY25" s="20"/>
      <c r="AZ25" s="77"/>
      <c r="BA25" s="38"/>
      <c r="BB25" s="145"/>
      <c r="BC25" s="80"/>
      <c r="BD25" s="75"/>
      <c r="BE25" s="208"/>
      <c r="BF25" s="16"/>
      <c r="BG25" s="19"/>
      <c r="BH25" s="20"/>
      <c r="BI25" s="77"/>
      <c r="BJ25" s="38"/>
      <c r="BK25" s="145"/>
      <c r="BL25" s="80"/>
      <c r="BM25" s="75"/>
      <c r="BN25" s="208"/>
      <c r="BO25" s="16"/>
      <c r="BP25" s="19"/>
      <c r="BQ25" s="20"/>
      <c r="BR25" s="32"/>
      <c r="BS25" s="38"/>
      <c r="BT25" s="145"/>
      <c r="BU25" s="80"/>
      <c r="BV25" s="215"/>
      <c r="BX25" s="321"/>
      <c r="BY25" s="38"/>
    </row>
    <row r="26" spans="1:77" ht="15" customHeight="1" x14ac:dyDescent="0.2">
      <c r="A26" s="95" t="s">
        <v>179</v>
      </c>
      <c r="B26" s="56" t="s">
        <v>1606</v>
      </c>
      <c r="C26" s="637"/>
      <c r="D26" s="544">
        <v>834.03599999999994</v>
      </c>
      <c r="E26" s="1273" t="s">
        <v>2894</v>
      </c>
      <c r="F26" s="362">
        <v>1994</v>
      </c>
      <c r="G26" s="62">
        <v>-9.3160000000000007E-2</v>
      </c>
      <c r="H26" s="69">
        <v>2.3532600000000001</v>
      </c>
      <c r="I26" s="74">
        <v>2000</v>
      </c>
      <c r="J26" s="68">
        <v>-1.2391000000000001</v>
      </c>
      <c r="K26" s="438">
        <v>1.4</v>
      </c>
      <c r="L26" s="74"/>
      <c r="M26" s="1276">
        <f>N26-7.030427</f>
        <v>-0.22586100000000098</v>
      </c>
      <c r="N26" s="1510">
        <f>0.583536+0.03333*21+0.01781*310</f>
        <v>6.8045659999999994</v>
      </c>
      <c r="O26" s="923"/>
      <c r="P26" s="68"/>
      <c r="Q26" s="471"/>
      <c r="R26" s="923"/>
      <c r="S26" s="68"/>
      <c r="T26" s="471"/>
      <c r="U26" s="68"/>
      <c r="V26" s="437">
        <v>2.9049999999999998</v>
      </c>
      <c r="W26" s="454">
        <f>AA26*(1+AB26)</f>
        <v>2.3239999999999997E-3</v>
      </c>
      <c r="X26" s="387">
        <f>AA26*(1+AC26)</f>
        <v>1.8882499999999997E-3</v>
      </c>
      <c r="Y26" s="497">
        <v>2020</v>
      </c>
      <c r="Z26" s="490"/>
      <c r="AA26" s="424">
        <f>+V26/1000</f>
        <v>2.9049999999999996E-3</v>
      </c>
      <c r="AB26" s="292">
        <v>-0.2</v>
      </c>
      <c r="AC26" s="284">
        <v>-0.35</v>
      </c>
      <c r="AD26" s="16"/>
      <c r="AE26" s="439"/>
      <c r="AF26" s="454"/>
      <c r="AG26" s="439"/>
      <c r="AH26" s="479"/>
      <c r="AI26" s="441"/>
      <c r="AJ26" s="424"/>
      <c r="AK26" s="292"/>
      <c r="AL26" s="455"/>
      <c r="AM26" s="456"/>
      <c r="AN26" s="387">
        <f>4.475/1000</f>
        <v>4.4749999999999998E-3</v>
      </c>
      <c r="AO26" s="454">
        <f>AS26*(1+AT26)</f>
        <v>2.6849999999999999E-3</v>
      </c>
      <c r="AP26" s="439">
        <f>AS26*(1+AU26)</f>
        <v>1.7899999999999999E-3</v>
      </c>
      <c r="AQ26" s="479">
        <v>2030</v>
      </c>
      <c r="AR26" s="441"/>
      <c r="AS26" s="424">
        <f>+AN26</f>
        <v>4.4749999999999998E-3</v>
      </c>
      <c r="AT26" s="292">
        <v>-0.4</v>
      </c>
      <c r="AU26" s="284">
        <v>-0.6</v>
      </c>
      <c r="AV26" s="16"/>
      <c r="AW26" s="20"/>
      <c r="AX26" s="16"/>
      <c r="AY26" s="20"/>
      <c r="AZ26" s="77"/>
      <c r="BA26" s="38"/>
      <c r="BB26" s="145"/>
      <c r="BC26" s="80"/>
      <c r="BD26" s="75"/>
      <c r="BE26" s="208"/>
      <c r="BF26" s="16"/>
      <c r="BG26" s="19"/>
      <c r="BH26" s="20"/>
      <c r="BI26" s="77"/>
      <c r="BJ26" s="38"/>
      <c r="BK26" s="145"/>
      <c r="BL26" s="80"/>
      <c r="BM26" s="75"/>
      <c r="BN26" s="208"/>
      <c r="BO26" s="16"/>
      <c r="BP26" s="19"/>
      <c r="BQ26" s="20"/>
      <c r="BR26" s="32"/>
      <c r="BS26" s="38"/>
      <c r="BT26" s="145"/>
      <c r="BU26" s="80"/>
      <c r="BV26" s="215"/>
      <c r="BW26" s="204" t="s">
        <v>305</v>
      </c>
      <c r="BX26" s="139" t="s">
        <v>306</v>
      </c>
      <c r="BY26" s="38"/>
    </row>
    <row r="27" spans="1:77" ht="15" customHeight="1" x14ac:dyDescent="0.2">
      <c r="A27" s="10" t="s">
        <v>64</v>
      </c>
      <c r="B27" s="56" t="s">
        <v>1606</v>
      </c>
      <c r="C27" s="637"/>
      <c r="D27" s="544">
        <v>78075.705000000002</v>
      </c>
      <c r="E27" s="95" t="s">
        <v>2894</v>
      </c>
      <c r="F27" s="362">
        <v>1990</v>
      </c>
      <c r="G27" s="62">
        <f>H27</f>
        <v>116.6</v>
      </c>
      <c r="H27" s="69">
        <v>116.6</v>
      </c>
      <c r="I27" s="74"/>
      <c r="J27" s="68">
        <v>248.77</v>
      </c>
      <c r="K27" s="69">
        <f>J27-51.787</f>
        <v>196.983</v>
      </c>
      <c r="L27" s="74"/>
      <c r="M27" s="68">
        <v>291.66199999999998</v>
      </c>
      <c r="N27" s="68">
        <f>M27-51.752</f>
        <v>239.90999999999997</v>
      </c>
      <c r="O27" s="923"/>
      <c r="P27" s="68">
        <v>325.61399999999998</v>
      </c>
      <c r="Q27" s="356">
        <f>P27-48.39</f>
        <v>277.22399999999999</v>
      </c>
      <c r="R27" s="923"/>
      <c r="S27" s="68"/>
      <c r="T27" s="356"/>
      <c r="U27" s="68"/>
      <c r="V27" s="68"/>
      <c r="W27" s="27"/>
      <c r="Y27" s="145"/>
      <c r="Z27" s="28"/>
      <c r="AA27" s="145"/>
      <c r="AB27" s="80"/>
      <c r="AC27" s="209"/>
      <c r="AD27" s="16"/>
      <c r="AE27" s="20"/>
      <c r="AF27" s="16"/>
      <c r="AG27" s="20"/>
      <c r="AH27" s="77"/>
      <c r="AI27" s="38"/>
      <c r="AJ27" s="145"/>
      <c r="AK27" s="80"/>
      <c r="AL27" s="215"/>
      <c r="AM27" s="456"/>
      <c r="AN27" s="387"/>
      <c r="AO27" s="1533" t="s">
        <v>311</v>
      </c>
      <c r="AP27" s="1534"/>
      <c r="AQ27" s="440"/>
      <c r="AR27" s="441"/>
      <c r="AS27" s="453"/>
      <c r="AT27" s="292"/>
      <c r="AU27" s="293"/>
      <c r="AV27" s="16"/>
      <c r="AW27" s="20"/>
      <c r="AX27" s="16"/>
      <c r="AY27" s="20"/>
      <c r="AZ27" s="77"/>
      <c r="BA27" s="38"/>
      <c r="BB27" s="145"/>
      <c r="BC27" s="80"/>
      <c r="BD27" s="75"/>
      <c r="BE27" s="208"/>
      <c r="BF27" s="16"/>
      <c r="BG27" s="19"/>
      <c r="BH27" s="20"/>
      <c r="BI27" s="77"/>
      <c r="BJ27" s="38"/>
      <c r="BK27" s="145"/>
      <c r="BL27" s="80"/>
      <c r="BM27" s="75"/>
      <c r="BN27" s="208"/>
      <c r="BO27" s="16"/>
      <c r="BP27" s="19"/>
      <c r="BQ27" s="20"/>
      <c r="BR27" s="32"/>
      <c r="BS27" s="38"/>
      <c r="BT27" s="145"/>
      <c r="BU27" s="80"/>
      <c r="BV27" s="215"/>
      <c r="BX27" s="321"/>
      <c r="BY27" s="38"/>
    </row>
    <row r="28" spans="1:77" ht="15" customHeight="1" x14ac:dyDescent="0.2">
      <c r="A28" s="95" t="s">
        <v>165</v>
      </c>
      <c r="B28" s="56" t="s">
        <v>1606</v>
      </c>
      <c r="C28" s="637"/>
      <c r="D28" s="544">
        <v>696.16700000000003</v>
      </c>
      <c r="E28" s="95" t="s">
        <v>3348</v>
      </c>
      <c r="F28" s="373"/>
      <c r="G28" s="62">
        <v>0.24338000000000001</v>
      </c>
      <c r="H28" s="69">
        <f>G28</f>
        <v>0.24338000000000001</v>
      </c>
      <c r="I28" s="74"/>
      <c r="J28" s="68">
        <v>5.6758899999999999</v>
      </c>
      <c r="K28" s="69">
        <f>J28</f>
        <v>5.6758899999999999</v>
      </c>
      <c r="L28" s="74"/>
      <c r="M28" s="488">
        <v>4.7</v>
      </c>
      <c r="N28" s="566">
        <f>M28</f>
        <v>4.7</v>
      </c>
      <c r="O28" s="1038"/>
      <c r="P28" s="93">
        <v>10.8</v>
      </c>
      <c r="Q28" s="378"/>
      <c r="R28" s="1038">
        <v>2019</v>
      </c>
      <c r="S28" s="93">
        <v>12.4</v>
      </c>
      <c r="T28" s="378"/>
      <c r="U28" s="68"/>
      <c r="V28" s="68"/>
      <c r="W28" s="27"/>
      <c r="Y28" s="145"/>
      <c r="Z28" s="28"/>
      <c r="AA28" s="145"/>
      <c r="AB28" s="80"/>
      <c r="AC28" s="209"/>
      <c r="AD28" s="16"/>
      <c r="AE28" s="20"/>
      <c r="AF28" s="16"/>
      <c r="AG28" s="20"/>
      <c r="AH28" s="77"/>
      <c r="AI28" s="38"/>
      <c r="AJ28" s="145"/>
      <c r="AK28" s="80"/>
      <c r="AL28" s="215"/>
      <c r="AM28" s="456"/>
      <c r="AN28" s="387"/>
      <c r="AO28" s="1323">
        <f>AR28*(1+AT28)</f>
        <v>8.0599999999999995E-3</v>
      </c>
      <c r="AP28" s="1322">
        <f>AR28*(1+AU28)</f>
        <v>8.0599999999999995E-3</v>
      </c>
      <c r="AQ28" s="262">
        <v>2019</v>
      </c>
      <c r="AR28" s="1324">
        <f>+S28/1000</f>
        <v>1.24E-2</v>
      </c>
      <c r="AS28" s="1340"/>
      <c r="AT28" s="1325">
        <v>-0.35</v>
      </c>
      <c r="AU28" s="1326">
        <f>AT28</f>
        <v>-0.35</v>
      </c>
      <c r="AV28" s="16"/>
      <c r="AW28" s="20"/>
      <c r="AX28" s="16"/>
      <c r="AY28" s="20"/>
      <c r="AZ28" s="77"/>
      <c r="BA28" s="38"/>
      <c r="BB28" s="145"/>
      <c r="BC28" s="80"/>
      <c r="BD28" s="75"/>
      <c r="BE28" s="208"/>
      <c r="BF28" s="16"/>
      <c r="BG28" s="19"/>
      <c r="BH28" s="20"/>
      <c r="BI28" s="77"/>
      <c r="BJ28" s="38"/>
      <c r="BK28" s="145"/>
      <c r="BL28" s="80"/>
      <c r="BM28" s="75"/>
      <c r="BN28" s="456"/>
      <c r="BO28" s="387"/>
      <c r="BP28" s="481">
        <f>BS28*(1+BU28)</f>
        <v>2.3500000000000001E-3</v>
      </c>
      <c r="BQ28" s="485">
        <f>BS28*(1+BV28)</f>
        <v>2.3500000000000001E-3</v>
      </c>
      <c r="BR28" s="497">
        <v>2010</v>
      </c>
      <c r="BS28" s="498">
        <f>+M28/1000</f>
        <v>4.7000000000000002E-3</v>
      </c>
      <c r="BT28" s="453"/>
      <c r="BU28" s="292">
        <v>-0.5</v>
      </c>
      <c r="BV28" s="293">
        <f>BU28</f>
        <v>-0.5</v>
      </c>
      <c r="BX28" s="321"/>
      <c r="BY28" s="38"/>
    </row>
    <row r="29" spans="1:77" ht="15" customHeight="1" x14ac:dyDescent="0.2">
      <c r="A29" s="575" t="s">
        <v>66</v>
      </c>
      <c r="B29" s="56" t="s">
        <v>1606</v>
      </c>
      <c r="C29" s="637"/>
      <c r="D29" s="544">
        <v>5741.1589999999997</v>
      </c>
      <c r="E29" s="95" t="s">
        <v>3337</v>
      </c>
      <c r="F29" s="373">
        <v>1995</v>
      </c>
      <c r="G29" s="121">
        <v>0.8</v>
      </c>
      <c r="H29" s="346">
        <v>0.8</v>
      </c>
      <c r="I29" s="114">
        <v>2006</v>
      </c>
      <c r="J29" s="93">
        <v>3.29331</v>
      </c>
      <c r="K29" s="346">
        <f>J29-2.60552</f>
        <v>0.68779000000000012</v>
      </c>
      <c r="L29" s="114"/>
      <c r="M29" s="437">
        <v>3.4330500000000002</v>
      </c>
      <c r="N29" s="437">
        <f>M29-2.72502</f>
        <v>0.70802999999999994</v>
      </c>
      <c r="O29" s="1038"/>
      <c r="P29" s="93">
        <v>3.8667600000000002</v>
      </c>
      <c r="Q29" s="378">
        <f>P29-2.8848</f>
        <v>0.98196000000000039</v>
      </c>
      <c r="R29" s="1038">
        <v>2018</v>
      </c>
      <c r="S29" s="93">
        <v>3.9922</v>
      </c>
      <c r="T29" s="378">
        <f>S29-2.98515</f>
        <v>1.00705</v>
      </c>
      <c r="U29" s="437">
        <v>5</v>
      </c>
      <c r="V29" s="68"/>
      <c r="W29" s="481">
        <f>Z29*(1+AB29)+3.302/1000</f>
        <v>4.5739259999999999E-3</v>
      </c>
      <c r="X29" s="486">
        <f>Z29*(1+AC29)+3.302/1000</f>
        <v>4.3539440000000002E-3</v>
      </c>
      <c r="Y29" s="497">
        <v>2020</v>
      </c>
      <c r="Z29" s="482">
        <f>1.654/1000</f>
        <v>1.6539999999999999E-3</v>
      </c>
      <c r="AA29" s="424"/>
      <c r="AB29" s="461">
        <v>-0.23100000000000001</v>
      </c>
      <c r="AC29" s="285">
        <v>-0.36399999999999999</v>
      </c>
      <c r="AD29" s="486">
        <f>5.5/1000</f>
        <v>5.4999999999999997E-3</v>
      </c>
      <c r="AE29" s="20"/>
      <c r="AF29" s="481">
        <f>AI29*(1+AK29)+3.283/1000</f>
        <v>4.8500100000000001E-3</v>
      </c>
      <c r="AG29" s="485">
        <f>AI29*(1+AL29)+3.283/1000</f>
        <v>4.1563049999999999E-3</v>
      </c>
      <c r="AH29" s="440">
        <v>2025</v>
      </c>
      <c r="AI29" s="502">
        <f>2.245/1000</f>
        <v>2.245E-3</v>
      </c>
      <c r="AJ29" s="424"/>
      <c r="AK29" s="461">
        <v>-0.30199999999999999</v>
      </c>
      <c r="AL29" s="285">
        <v>-0.61099999999999999</v>
      </c>
      <c r="AM29" s="501">
        <f>6.331/1000</f>
        <v>6.3310000000000007E-3</v>
      </c>
      <c r="AN29" s="437"/>
      <c r="AO29" s="481">
        <f>AR29*(1+AT29)+3.283/1000</f>
        <v>5.1361840000000002E-3</v>
      </c>
      <c r="AP29" s="485">
        <f>AR29*(1+AU29)+3.283/1000</f>
        <v>3.8743119999999995E-3</v>
      </c>
      <c r="AQ29" s="440">
        <v>2030</v>
      </c>
      <c r="AR29" s="502">
        <f>3.048/1000</f>
        <v>3.0479999999999999E-3</v>
      </c>
      <c r="AS29" s="424"/>
      <c r="AT29" s="461">
        <v>-0.39200000000000002</v>
      </c>
      <c r="AU29" s="285">
        <v>-0.80600000000000005</v>
      </c>
      <c r="AV29" s="16"/>
      <c r="AW29" s="20"/>
      <c r="AX29" s="16"/>
      <c r="AY29" s="20"/>
      <c r="AZ29" s="77"/>
      <c r="BA29" s="38"/>
      <c r="BB29" s="145"/>
      <c r="BC29" s="80"/>
      <c r="BD29" s="75"/>
      <c r="BE29" s="208"/>
      <c r="BF29" s="16"/>
      <c r="BG29" s="19"/>
      <c r="BH29" s="20"/>
      <c r="BI29" s="77"/>
      <c r="BJ29" s="38"/>
      <c r="BK29" s="145"/>
      <c r="BL29" s="80"/>
      <c r="BM29" s="75"/>
      <c r="BN29" s="208"/>
      <c r="BO29" s="16"/>
      <c r="BP29" s="19"/>
      <c r="BQ29" s="20"/>
      <c r="BR29" s="32"/>
      <c r="BS29" s="38"/>
      <c r="BT29" s="145"/>
      <c r="BU29" s="80"/>
      <c r="BV29" s="215"/>
      <c r="BX29" s="321"/>
      <c r="BY29" s="38"/>
    </row>
    <row r="30" spans="1:77" ht="15" customHeight="1" x14ac:dyDescent="0.2">
      <c r="A30" s="10" t="s">
        <v>67</v>
      </c>
      <c r="B30" s="56" t="s">
        <v>1606</v>
      </c>
      <c r="C30" s="637"/>
      <c r="D30" s="544">
        <v>87095.281000000003</v>
      </c>
      <c r="E30" s="95" t="s">
        <v>3352</v>
      </c>
      <c r="F30" s="373">
        <v>1994</v>
      </c>
      <c r="G30" s="121">
        <v>47.55</v>
      </c>
      <c r="H30" s="346">
        <v>108.333</v>
      </c>
      <c r="I30" s="114"/>
      <c r="J30" s="93">
        <v>112.346</v>
      </c>
      <c r="K30" s="346">
        <v>185.0256</v>
      </c>
      <c r="L30" s="114"/>
      <c r="M30" s="93">
        <v>194.1</v>
      </c>
      <c r="N30" s="93">
        <v>279.39600000000002</v>
      </c>
      <c r="O30" s="1038"/>
      <c r="P30" s="93">
        <v>227.92699999999999</v>
      </c>
      <c r="Q30" s="378">
        <v>332.64929999999998</v>
      </c>
      <c r="R30" s="1038">
        <v>2018</v>
      </c>
      <c r="S30" s="93">
        <v>368.83499999999998</v>
      </c>
      <c r="T30" s="378">
        <v>260.41300000000001</v>
      </c>
      <c r="U30" s="68"/>
      <c r="V30" s="68"/>
      <c r="W30" s="27"/>
      <c r="Y30" s="145"/>
      <c r="Z30" s="28"/>
      <c r="AA30" s="145"/>
      <c r="AB30" s="80"/>
      <c r="AC30" s="209"/>
      <c r="AD30" s="16"/>
      <c r="AE30" s="20"/>
      <c r="AF30" s="16"/>
      <c r="AG30" s="20"/>
      <c r="AH30" s="77"/>
      <c r="AI30" s="38"/>
      <c r="AJ30" s="145"/>
      <c r="AK30" s="80"/>
      <c r="AL30" s="215"/>
      <c r="AM30" s="1392">
        <v>0.40350000000000003</v>
      </c>
      <c r="AN30" s="1393">
        <f>AM30-0.09</f>
        <v>0.3135</v>
      </c>
      <c r="AO30" s="1394">
        <f>AR30*(1+AT30)</f>
        <v>0.34701000000000004</v>
      </c>
      <c r="AP30" s="1393">
        <f>AR30*(1+AU30)</f>
        <v>0.12589200000000003</v>
      </c>
      <c r="AQ30" s="1395">
        <v>2030</v>
      </c>
      <c r="AR30" s="1396">
        <f>AM30</f>
        <v>0.40350000000000003</v>
      </c>
      <c r="AS30" s="1340"/>
      <c r="AT30" s="1397">
        <v>-0.14000000000000001</v>
      </c>
      <c r="AU30" s="1398">
        <v>-0.68799999999999994</v>
      </c>
      <c r="AV30" s="16"/>
      <c r="AW30" s="20"/>
      <c r="AX30" s="16"/>
      <c r="AY30" s="20"/>
      <c r="AZ30" s="77"/>
      <c r="BA30" s="38"/>
      <c r="BB30" s="145"/>
      <c r="BC30" s="80"/>
      <c r="BD30" s="75"/>
      <c r="BE30" s="208"/>
      <c r="BF30" s="16"/>
      <c r="BG30" s="19"/>
      <c r="BH30" s="20"/>
      <c r="BI30" s="77"/>
      <c r="BJ30" s="38"/>
      <c r="BK30" s="145"/>
      <c r="BL30" s="80"/>
      <c r="BM30" s="75"/>
      <c r="BN30" s="208"/>
      <c r="BO30" s="16"/>
      <c r="BP30" s="19"/>
      <c r="BQ30" s="20"/>
      <c r="BR30" s="32"/>
      <c r="BS30" s="38"/>
      <c r="BT30" s="145"/>
      <c r="BU30" s="79">
        <v>-1</v>
      </c>
      <c r="BV30" s="212">
        <f>BU30</f>
        <v>-1</v>
      </c>
      <c r="BX30" s="321" t="s">
        <v>267</v>
      </c>
      <c r="BY30" s="38" t="s">
        <v>268</v>
      </c>
    </row>
    <row r="31" spans="1:77" ht="15" customHeight="1" x14ac:dyDescent="0.2">
      <c r="A31" s="10" t="s">
        <v>67</v>
      </c>
      <c r="B31" s="629"/>
      <c r="C31" s="637" t="s">
        <v>554</v>
      </c>
      <c r="D31" s="544">
        <v>3689</v>
      </c>
      <c r="E31" s="107" t="s">
        <v>2523</v>
      </c>
      <c r="F31" s="362"/>
      <c r="G31" s="62"/>
      <c r="H31" s="69"/>
      <c r="I31" s="74"/>
      <c r="J31" s="68"/>
      <c r="K31" s="69"/>
      <c r="L31" s="74"/>
      <c r="M31" s="68"/>
      <c r="N31" s="356"/>
      <c r="O31" s="923">
        <v>2016</v>
      </c>
      <c r="P31" s="68"/>
      <c r="Q31" s="356">
        <v>14.479132999999999</v>
      </c>
      <c r="R31" s="923"/>
      <c r="S31" s="68"/>
      <c r="T31" s="356"/>
      <c r="U31" s="68"/>
      <c r="V31" s="68"/>
      <c r="W31" s="635"/>
      <c r="X31" s="951"/>
      <c r="Y31" s="658"/>
      <c r="Z31" s="639"/>
      <c r="AA31" s="641"/>
      <c r="AB31" s="399"/>
      <c r="AC31" s="618"/>
      <c r="AD31" s="16"/>
      <c r="AE31" s="20"/>
      <c r="AF31" s="16"/>
      <c r="AG31" s="20"/>
      <c r="AH31" s="77"/>
      <c r="AI31" s="38"/>
      <c r="AJ31" s="145"/>
      <c r="AK31" s="80"/>
      <c r="AL31" s="215"/>
      <c r="AM31" s="457"/>
      <c r="AN31" s="459"/>
      <c r="AO31" s="841"/>
      <c r="AP31" s="458"/>
      <c r="AQ31" s="460"/>
      <c r="AR31" s="463"/>
      <c r="AS31" s="453"/>
      <c r="AT31" s="156"/>
      <c r="AU31" s="295"/>
      <c r="AV31" s="16"/>
      <c r="AW31" s="20"/>
      <c r="AX31" s="16"/>
      <c r="AY31" s="20"/>
      <c r="AZ31" s="77"/>
      <c r="BA31" s="38"/>
      <c r="BB31" s="145"/>
      <c r="BC31" s="80"/>
      <c r="BD31" s="75"/>
      <c r="BE31" s="208"/>
      <c r="BF31" s="16"/>
      <c r="BG31" s="19"/>
      <c r="BH31" s="20"/>
      <c r="BI31" s="77"/>
      <c r="BJ31" s="38"/>
      <c r="BK31" s="145"/>
      <c r="BL31" s="80"/>
      <c r="BM31" s="75"/>
      <c r="BN31" s="208"/>
      <c r="BO31" s="16"/>
      <c r="BP31" s="677">
        <f>BS31*(1+BU31)</f>
        <v>0</v>
      </c>
      <c r="BQ31" s="678">
        <f>BS31*(1+BV31)</f>
        <v>0</v>
      </c>
      <c r="BR31" s="427"/>
      <c r="BS31" s="428">
        <f>+Q31/1000</f>
        <v>1.4479133E-2</v>
      </c>
      <c r="BT31" s="48"/>
      <c r="BU31" s="399">
        <v>-1</v>
      </c>
      <c r="BV31" s="618">
        <f>BU31</f>
        <v>-1</v>
      </c>
      <c r="BX31" s="321"/>
      <c r="BY31" s="444" t="s">
        <v>555</v>
      </c>
    </row>
    <row r="32" spans="1:77" ht="15" customHeight="1" x14ac:dyDescent="0.2">
      <c r="A32" s="10" t="s">
        <v>68</v>
      </c>
      <c r="B32" s="56" t="s">
        <v>1606</v>
      </c>
      <c r="C32" s="637"/>
      <c r="D32" s="544">
        <v>1556.222</v>
      </c>
      <c r="E32" s="95" t="s">
        <v>2946</v>
      </c>
      <c r="F32" s="373">
        <v>1994</v>
      </c>
      <c r="G32" s="121">
        <v>494.4</v>
      </c>
      <c r="H32" s="346">
        <v>6.5</v>
      </c>
      <c r="I32" s="436">
        <v>2000</v>
      </c>
      <c r="J32" s="437">
        <v>-57.991999999999997</v>
      </c>
      <c r="K32" s="438">
        <v>6.1619999999999999</v>
      </c>
      <c r="L32" s="74"/>
      <c r="M32" s="68"/>
      <c r="N32" s="356"/>
      <c r="O32" s="923"/>
      <c r="P32" s="68"/>
      <c r="Q32" s="356"/>
      <c r="R32" s="923"/>
      <c r="S32" s="68"/>
      <c r="T32" s="356"/>
      <c r="U32" s="93">
        <v>4.9349999999999996</v>
      </c>
      <c r="V32" s="93">
        <f>U32</f>
        <v>4.9349999999999996</v>
      </c>
      <c r="W32" s="27"/>
      <c r="Y32" s="145"/>
      <c r="Z32" s="28"/>
      <c r="AA32" s="145"/>
      <c r="AB32" s="80"/>
      <c r="AC32" s="209"/>
      <c r="AD32" s="456"/>
      <c r="AE32" s="47">
        <f>5.6/1000</f>
        <v>5.5999999999999999E-3</v>
      </c>
      <c r="AF32" s="46">
        <f>4.2/1000</f>
        <v>4.2000000000000006E-3</v>
      </c>
      <c r="AG32" s="47">
        <f>AF32</f>
        <v>4.2000000000000006E-3</v>
      </c>
      <c r="AH32" s="262">
        <v>2025</v>
      </c>
      <c r="AI32" s="1364"/>
      <c r="AJ32" s="48">
        <f>+AE32</f>
        <v>5.5999999999999999E-3</v>
      </c>
      <c r="AK32" s="1325">
        <f>-(AE32-AG32)/AE32</f>
        <v>-0.24999999999999989</v>
      </c>
      <c r="AL32" s="1326">
        <f>AK32</f>
        <v>-0.24999999999999989</v>
      </c>
      <c r="AM32" s="207"/>
      <c r="AN32" s="47">
        <f>6.617/1000</f>
        <v>6.6169999999999996E-3</v>
      </c>
      <c r="AO32" s="46">
        <f>AS32*(1+AT32)</f>
        <v>3.3283509999999998E-3</v>
      </c>
      <c r="AP32" s="47">
        <f>AS32*(1+AU32)</f>
        <v>3.3283509999999998E-3</v>
      </c>
      <c r="AQ32" s="262">
        <v>2030</v>
      </c>
      <c r="AR32" s="1364"/>
      <c r="AS32" s="48">
        <f>AN32</f>
        <v>6.6169999999999996E-3</v>
      </c>
      <c r="AT32" s="1345">
        <v>-0.497</v>
      </c>
      <c r="AU32" s="1346">
        <f>AT32</f>
        <v>-0.497</v>
      </c>
      <c r="AV32" s="16"/>
      <c r="AW32" s="20"/>
      <c r="AX32" s="16"/>
      <c r="AY32" s="20"/>
      <c r="AZ32" s="77"/>
      <c r="BA32" s="38"/>
      <c r="BB32" s="145"/>
      <c r="BC32" s="80"/>
      <c r="BD32" s="75"/>
      <c r="BE32" s="208"/>
      <c r="BF32" s="16"/>
      <c r="BG32" s="19"/>
      <c r="BH32" s="20"/>
      <c r="BI32" s="77"/>
      <c r="BJ32" s="38"/>
      <c r="BK32" s="145"/>
      <c r="BL32" s="80"/>
      <c r="BM32" s="75"/>
      <c r="BN32" s="208"/>
      <c r="BO32" s="16"/>
      <c r="BP32" s="19"/>
      <c r="BQ32" s="20"/>
      <c r="BR32" s="32"/>
      <c r="BS32" s="38"/>
      <c r="BT32" s="145"/>
      <c r="BU32" s="80"/>
      <c r="BV32" s="215"/>
      <c r="BX32" s="321"/>
      <c r="BY32" s="38"/>
    </row>
    <row r="33" spans="1:77" ht="15" customHeight="1" x14ac:dyDescent="0.2">
      <c r="A33" s="95" t="s">
        <v>188</v>
      </c>
      <c r="B33" s="56" t="s">
        <v>1606</v>
      </c>
      <c r="C33" s="637"/>
      <c r="D33" s="544">
        <v>1680.64</v>
      </c>
      <c r="E33" s="95" t="s">
        <v>3278</v>
      </c>
      <c r="F33" s="362">
        <v>1993</v>
      </c>
      <c r="G33" s="62">
        <v>-45.7</v>
      </c>
      <c r="H33" s="69">
        <v>4.3</v>
      </c>
      <c r="I33" s="74">
        <v>2000</v>
      </c>
      <c r="J33" s="68">
        <f>K33-7.2619</f>
        <v>12.5791</v>
      </c>
      <c r="K33" s="69">
        <v>19.841000000000001</v>
      </c>
      <c r="L33" s="74"/>
      <c r="M33" s="68"/>
      <c r="N33" s="356"/>
      <c r="O33" s="923"/>
      <c r="P33" s="68"/>
      <c r="Q33" s="356"/>
      <c r="R33" s="923"/>
      <c r="S33" s="68"/>
      <c r="T33" s="356"/>
      <c r="U33" s="68"/>
      <c r="V33" s="68"/>
      <c r="W33" s="27"/>
      <c r="Y33" s="145"/>
      <c r="Z33" s="28"/>
      <c r="AA33" s="145"/>
      <c r="AB33" s="80"/>
      <c r="AC33" s="209"/>
      <c r="AD33" s="387"/>
      <c r="AE33" s="439">
        <f>3.25/1000</f>
        <v>3.2499999999999999E-3</v>
      </c>
      <c r="AF33" s="454">
        <f>AJ33*(1+AK33)</f>
        <v>1.807E-3</v>
      </c>
      <c r="AG33" s="439">
        <f>AJ33*(1+AL33)</f>
        <v>1.807E-3</v>
      </c>
      <c r="AH33" s="440">
        <v>2025</v>
      </c>
      <c r="AI33" s="38"/>
      <c r="AJ33" s="424">
        <f>+AE33</f>
        <v>3.2499999999999999E-3</v>
      </c>
      <c r="AK33" s="461">
        <v>-0.44400000000000001</v>
      </c>
      <c r="AL33" s="462">
        <v>-0.44400000000000001</v>
      </c>
      <c r="AM33" s="456"/>
      <c r="AN33" s="387">
        <f>4/1000</f>
        <v>4.0000000000000001E-3</v>
      </c>
      <c r="AO33" s="454">
        <f>AS33*(1+AT33)</f>
        <v>2.1840000000000002E-3</v>
      </c>
      <c r="AP33" s="439">
        <f>AS33*(1+AU33)</f>
        <v>2.1840000000000002E-3</v>
      </c>
      <c r="AQ33" s="440">
        <v>2030</v>
      </c>
      <c r="AR33" s="441"/>
      <c r="AS33" s="424">
        <f>AN33</f>
        <v>4.0000000000000001E-3</v>
      </c>
      <c r="AT33" s="461">
        <v>-0.45400000000000001</v>
      </c>
      <c r="AU33" s="462">
        <f>AT33</f>
        <v>-0.45400000000000001</v>
      </c>
      <c r="AV33" s="16"/>
      <c r="AW33" s="20"/>
      <c r="AX33" s="16"/>
      <c r="AY33" s="20"/>
      <c r="AZ33" s="77"/>
      <c r="BA33" s="38"/>
      <c r="BB33" s="145"/>
      <c r="BC33" s="80"/>
      <c r="BD33" s="75"/>
      <c r="BE33" s="208"/>
      <c r="BF33" s="16"/>
      <c r="BG33" s="19"/>
      <c r="BH33" s="20"/>
      <c r="BI33" s="77"/>
      <c r="BJ33" s="38"/>
      <c r="BK33" s="145"/>
      <c r="BL33" s="80"/>
      <c r="BM33" s="75"/>
      <c r="BN33" s="208"/>
      <c r="BO33" s="16"/>
      <c r="BP33" s="19"/>
      <c r="BQ33" s="20"/>
      <c r="BR33" s="32"/>
      <c r="BS33" s="38"/>
      <c r="BT33" s="145"/>
      <c r="BU33" s="80"/>
      <c r="BV33" s="215"/>
      <c r="BW33" s="1" t="s">
        <v>240</v>
      </c>
      <c r="BX33" s="321"/>
      <c r="BY33" s="38" t="s">
        <v>251</v>
      </c>
    </row>
    <row r="34" spans="1:77" ht="15" customHeight="1" x14ac:dyDescent="0.2">
      <c r="A34" s="56" t="s">
        <v>70</v>
      </c>
      <c r="B34" s="56" t="s">
        <v>1606</v>
      </c>
      <c r="C34" s="637"/>
      <c r="D34" s="544">
        <v>24262.901000000002</v>
      </c>
      <c r="E34" s="95" t="s">
        <v>3316</v>
      </c>
      <c r="F34" s="373"/>
      <c r="G34" s="121">
        <v>25.34</v>
      </c>
      <c r="H34" s="346">
        <v>11.32</v>
      </c>
      <c r="I34" s="114">
        <v>2000</v>
      </c>
      <c r="J34" s="93">
        <v>27.26</v>
      </c>
      <c r="K34" s="346">
        <v>14.53</v>
      </c>
      <c r="L34" s="114">
        <v>2012</v>
      </c>
      <c r="M34" s="93">
        <v>41.62</v>
      </c>
      <c r="N34" s="93">
        <v>28.66</v>
      </c>
      <c r="O34" s="1038">
        <v>2016</v>
      </c>
      <c r="P34" s="93">
        <v>41.83</v>
      </c>
      <c r="Q34" s="378">
        <f>P34-12.872</f>
        <v>28.957999999999998</v>
      </c>
      <c r="R34" s="1399">
        <v>2019</v>
      </c>
      <c r="S34" s="72">
        <v>58.8</v>
      </c>
      <c r="T34" s="1308">
        <f>S34-14.5</f>
        <v>44.3</v>
      </c>
      <c r="U34" s="437">
        <f>37.81</f>
        <v>37.81</v>
      </c>
      <c r="V34" s="437"/>
      <c r="W34" s="454"/>
      <c r="X34" s="387"/>
      <c r="Y34" s="497"/>
      <c r="Z34" s="439"/>
      <c r="AA34" s="424"/>
      <c r="AB34" s="292"/>
      <c r="AC34" s="284"/>
      <c r="AD34" s="494"/>
      <c r="AE34" s="437"/>
      <c r="AF34" s="454"/>
      <c r="AG34" s="439"/>
      <c r="AH34" s="479"/>
      <c r="AI34" s="424"/>
      <c r="AJ34" s="424"/>
      <c r="AK34" s="292"/>
      <c r="AL34" s="455"/>
      <c r="AM34" s="1509">
        <f>+AR34</f>
        <v>0.10159</v>
      </c>
      <c r="AN34" s="72"/>
      <c r="AO34" s="46">
        <f>AR34*(1+AT34)</f>
        <v>7.6192499999999996E-2</v>
      </c>
      <c r="AP34" s="47">
        <f>AR34*(1+AU34)</f>
        <v>3.7588299999999998E-2</v>
      </c>
      <c r="AQ34" s="1363">
        <v>2030</v>
      </c>
      <c r="AR34" s="48">
        <v>0.10159</v>
      </c>
      <c r="AS34" s="48"/>
      <c r="AT34" s="1325">
        <v>-0.25</v>
      </c>
      <c r="AU34" s="694">
        <v>-0.63</v>
      </c>
      <c r="AV34" s="16"/>
      <c r="AW34" s="20"/>
      <c r="AX34" s="16"/>
      <c r="AY34" s="20"/>
      <c r="AZ34" s="77"/>
      <c r="BA34" s="38"/>
      <c r="BB34" s="145"/>
      <c r="BC34" s="80"/>
      <c r="BD34" s="75"/>
      <c r="BE34" s="208"/>
      <c r="BF34" s="16"/>
      <c r="BG34" s="19"/>
      <c r="BH34" s="20"/>
      <c r="BI34" s="77"/>
      <c r="BJ34" s="38"/>
      <c r="BK34" s="145"/>
      <c r="BL34" s="80"/>
      <c r="BM34" s="75"/>
      <c r="BN34" s="208"/>
      <c r="BO34" s="16"/>
      <c r="BP34" s="19"/>
      <c r="BQ34" s="20"/>
      <c r="BR34" s="32"/>
      <c r="BS34" s="38"/>
      <c r="BT34" s="145"/>
      <c r="BU34" s="80"/>
      <c r="BV34" s="215"/>
      <c r="BX34" s="139" t="s">
        <v>301</v>
      </c>
      <c r="BY34" s="38"/>
    </row>
    <row r="35" spans="1:77" ht="15" customHeight="1" x14ac:dyDescent="0.2">
      <c r="A35" s="95" t="s">
        <v>232</v>
      </c>
      <c r="B35" s="56" t="s">
        <v>1606</v>
      </c>
      <c r="C35" s="637"/>
      <c r="D35" s="544">
        <v>10876.032999999999</v>
      </c>
      <c r="E35" s="95" t="s">
        <v>3254</v>
      </c>
      <c r="F35" s="373">
        <v>1994</v>
      </c>
      <c r="G35" s="121">
        <v>-12.5</v>
      </c>
      <c r="H35" s="346">
        <f>7.2*2.1</f>
        <v>15.120000000000001</v>
      </c>
      <c r="I35" s="114">
        <v>2000</v>
      </c>
      <c r="J35" s="93"/>
      <c r="K35" s="346">
        <f>(9.136+371*21+123*310)/1000</f>
        <v>45.930135999999997</v>
      </c>
      <c r="L35" s="114"/>
      <c r="M35" s="93">
        <f>(9.136+371*21+123*310)/1000</f>
        <v>45.930135999999997</v>
      </c>
      <c r="N35" s="437">
        <v>25</v>
      </c>
      <c r="O35" s="923"/>
      <c r="P35" s="68"/>
      <c r="Q35" s="471"/>
      <c r="R35" s="923"/>
      <c r="S35" s="68"/>
      <c r="T35" s="471"/>
      <c r="U35" s="68"/>
      <c r="V35" s="437">
        <v>12.94</v>
      </c>
      <c r="W35" s="27"/>
      <c r="Y35" s="145"/>
      <c r="Z35" s="28"/>
      <c r="AA35" s="145"/>
      <c r="AB35" s="80"/>
      <c r="AC35" s="209"/>
      <c r="AD35" s="16"/>
      <c r="AE35" s="439">
        <v>1.6951000000000001E-2</v>
      </c>
      <c r="AF35" s="16"/>
      <c r="AG35" s="20"/>
      <c r="AH35" s="77"/>
      <c r="AI35" s="38"/>
      <c r="AJ35" s="145"/>
      <c r="AK35" s="80"/>
      <c r="AL35" s="215"/>
      <c r="AM35" s="456"/>
      <c r="AN35" s="387"/>
      <c r="AO35" s="454">
        <f>AS35*(1+AT35)</f>
        <v>2.0927025000000002E-2</v>
      </c>
      <c r="AP35" s="439">
        <f>AS35*(1+AU35)</f>
        <v>1.9235249999999999E-2</v>
      </c>
      <c r="AQ35" s="440">
        <v>2030</v>
      </c>
      <c r="AR35" s="424"/>
      <c r="AS35" s="424">
        <v>2.3175000000000001E-2</v>
      </c>
      <c r="AT35" s="1345">
        <v>-9.7000000000000003E-2</v>
      </c>
      <c r="AU35" s="1326">
        <v>-0.17</v>
      </c>
      <c r="AV35" s="16"/>
      <c r="AW35" s="20"/>
      <c r="AX35" s="16"/>
      <c r="AY35" s="20"/>
      <c r="AZ35" s="77"/>
      <c r="BA35" s="38"/>
      <c r="BB35" s="145"/>
      <c r="BC35" s="80"/>
      <c r="BD35" s="75"/>
      <c r="BE35" s="208"/>
      <c r="BF35" s="16"/>
      <c r="BG35" s="19"/>
      <c r="BH35" s="20"/>
      <c r="BI35" s="77"/>
      <c r="BJ35" s="38"/>
      <c r="BK35" s="145"/>
      <c r="BL35" s="80"/>
      <c r="BM35" s="75"/>
      <c r="BN35" s="208"/>
      <c r="BO35" s="16"/>
      <c r="BP35" s="19"/>
      <c r="BQ35" s="20"/>
      <c r="BR35" s="32"/>
      <c r="BS35" s="38"/>
      <c r="BT35" s="145"/>
      <c r="BU35" s="80"/>
      <c r="BV35" s="215"/>
      <c r="BX35" s="321"/>
      <c r="BY35" s="38"/>
    </row>
    <row r="36" spans="1:77" ht="15" customHeight="1" x14ac:dyDescent="0.2">
      <c r="A36" s="576" t="s">
        <v>178</v>
      </c>
      <c r="B36" s="56" t="s">
        <v>1606</v>
      </c>
      <c r="C36" s="637"/>
      <c r="D36" s="544">
        <v>1586.624</v>
      </c>
      <c r="E36" s="95" t="s">
        <v>3289</v>
      </c>
      <c r="F36" s="373">
        <v>1994</v>
      </c>
      <c r="G36" s="672">
        <v>0.1799</v>
      </c>
      <c r="H36" s="346"/>
      <c r="I36" s="1321">
        <v>2006</v>
      </c>
      <c r="J36" s="1330">
        <v>0.24179</v>
      </c>
      <c r="K36" s="346"/>
      <c r="L36" s="1504"/>
      <c r="M36" s="1330">
        <v>1.55664</v>
      </c>
      <c r="N36" s="1330"/>
      <c r="O36" s="1038"/>
      <c r="P36" s="93"/>
      <c r="Q36" s="378"/>
      <c r="R36" s="1399">
        <v>2019</v>
      </c>
      <c r="S36" s="1505">
        <v>0.40899999999999997</v>
      </c>
      <c r="T36" s="378"/>
      <c r="U36" s="68"/>
      <c r="V36" s="68"/>
      <c r="W36" s="27"/>
      <c r="Y36" s="145"/>
      <c r="Z36" s="28"/>
      <c r="AA36" s="145"/>
      <c r="AB36" s="80"/>
      <c r="AC36" s="209"/>
      <c r="AD36" s="16"/>
      <c r="AE36" s="20"/>
      <c r="AF36" s="16"/>
      <c r="AG36" s="20"/>
      <c r="AH36" s="77"/>
      <c r="AI36" s="38"/>
      <c r="AJ36" s="145"/>
      <c r="AK36" s="80"/>
      <c r="AL36" s="215"/>
      <c r="AM36" s="207">
        <v>1.8200000000000001E-2</v>
      </c>
      <c r="AN36" s="47"/>
      <c r="AO36" s="78">
        <f>AM36*(1+AT36)</f>
        <v>1.6380000000000002E-2</v>
      </c>
      <c r="AP36" s="47">
        <f>AR36*(1+AU36)</f>
        <v>1.274E-2</v>
      </c>
      <c r="AQ36" s="262">
        <v>2030</v>
      </c>
      <c r="AR36" s="48">
        <f>+AM36</f>
        <v>1.8200000000000001E-2</v>
      </c>
      <c r="AS36" s="1340"/>
      <c r="AT36" s="1325">
        <v>-0.1</v>
      </c>
      <c r="AU36" s="1326">
        <v>-0.3</v>
      </c>
      <c r="AV36" s="16"/>
      <c r="AW36" s="20"/>
      <c r="AX36" s="16"/>
      <c r="AY36" s="20"/>
      <c r="AZ36" s="77"/>
      <c r="BA36" s="38"/>
      <c r="BB36" s="145"/>
      <c r="BC36" s="80"/>
      <c r="BD36" s="75"/>
      <c r="BE36" s="208"/>
      <c r="BF36" s="16"/>
      <c r="BG36" s="19"/>
      <c r="BH36" s="20"/>
      <c r="BI36" s="77"/>
      <c r="BJ36" s="38"/>
      <c r="BK36" s="145"/>
      <c r="BL36" s="80"/>
      <c r="BM36" s="75"/>
      <c r="BN36" s="208"/>
      <c r="BO36" s="16"/>
      <c r="BP36" s="19"/>
      <c r="BQ36" s="20"/>
      <c r="BR36" s="32"/>
      <c r="BS36" s="38"/>
      <c r="BT36" s="145"/>
      <c r="BU36" s="80"/>
      <c r="BV36" s="215"/>
      <c r="BX36" s="321"/>
      <c r="BY36" s="38"/>
    </row>
    <row r="37" spans="1:77" ht="15" customHeight="1" x14ac:dyDescent="0.2">
      <c r="A37" s="10" t="s">
        <v>81</v>
      </c>
      <c r="B37" s="56" t="s">
        <v>1606</v>
      </c>
      <c r="C37" s="637"/>
      <c r="D37" s="544">
        <v>40909.194000000003</v>
      </c>
      <c r="E37" s="95" t="s">
        <v>3182</v>
      </c>
      <c r="F37" s="362">
        <v>1995</v>
      </c>
      <c r="G37" s="62">
        <v>45</v>
      </c>
      <c r="H37" s="69">
        <v>35</v>
      </c>
      <c r="I37" s="74"/>
      <c r="J37" s="68">
        <v>58</v>
      </c>
      <c r="K37" s="69">
        <v>40</v>
      </c>
      <c r="L37" s="74"/>
      <c r="M37" s="569">
        <v>69.576999999999998</v>
      </c>
      <c r="N37" s="570">
        <v>48.420999999999999</v>
      </c>
      <c r="O37" s="923"/>
      <c r="P37" s="569"/>
      <c r="Q37" s="570"/>
      <c r="R37" s="923"/>
      <c r="S37" s="569"/>
      <c r="T37" s="570"/>
      <c r="U37" s="68">
        <v>96</v>
      </c>
      <c r="V37" s="68"/>
      <c r="W37" s="27"/>
      <c r="Y37" s="145"/>
      <c r="Z37" s="28"/>
      <c r="AA37" s="145"/>
      <c r="AB37" s="80"/>
      <c r="AC37" s="209"/>
      <c r="AD37" s="16">
        <v>0.115</v>
      </c>
      <c r="AE37" s="20"/>
      <c r="AF37" s="16"/>
      <c r="AG37" s="20"/>
      <c r="AH37" s="77"/>
      <c r="AI37" s="38"/>
      <c r="AJ37" s="145"/>
      <c r="AK37" s="80"/>
      <c r="AL37" s="215"/>
      <c r="AM37" s="207">
        <v>0.14299999999999999</v>
      </c>
      <c r="AN37" s="47"/>
      <c r="AO37" s="78">
        <f>AM37*(1+AT37)</f>
        <v>9.7239999999999979E-2</v>
      </c>
      <c r="AP37" s="47">
        <f>AR37*(1+AU37)</f>
        <v>9.7239999999999979E-2</v>
      </c>
      <c r="AQ37" s="262">
        <v>2030</v>
      </c>
      <c r="AR37" s="48">
        <f>+AM37</f>
        <v>0.14299999999999999</v>
      </c>
      <c r="AS37" s="1340"/>
      <c r="AT37" s="1325">
        <v>-0.32</v>
      </c>
      <c r="AU37" s="1326">
        <f>AT37</f>
        <v>-0.32</v>
      </c>
      <c r="AV37" s="16"/>
      <c r="AW37" s="20"/>
      <c r="AX37" s="16"/>
      <c r="AY37" s="20"/>
      <c r="AZ37" s="77"/>
      <c r="BA37" s="38"/>
      <c r="BB37" s="145"/>
      <c r="BC37" s="80"/>
      <c r="BD37" s="75"/>
      <c r="BE37" s="208"/>
      <c r="BF37" s="16"/>
      <c r="BG37" s="19"/>
      <c r="BH37" s="20"/>
      <c r="BI37" s="77"/>
      <c r="BJ37" s="38"/>
      <c r="BK37" s="145"/>
      <c r="BL37" s="80"/>
      <c r="BM37" s="75"/>
      <c r="BN37" s="208"/>
      <c r="BO37" s="16"/>
      <c r="BP37" s="19"/>
      <c r="BQ37" s="20"/>
      <c r="BR37" s="32"/>
      <c r="BS37" s="38"/>
      <c r="BT37" s="145"/>
      <c r="BU37" s="80"/>
      <c r="BV37" s="215"/>
      <c r="BW37" s="1" t="s">
        <v>239</v>
      </c>
      <c r="BX37" s="321"/>
      <c r="BY37" s="38"/>
    </row>
    <row r="38" spans="1:77" ht="15" customHeight="1" x14ac:dyDescent="0.2">
      <c r="A38" s="10" t="s">
        <v>81</v>
      </c>
      <c r="B38" s="159" t="s">
        <v>416</v>
      </c>
      <c r="C38" s="637"/>
      <c r="D38" s="544">
        <v>420</v>
      </c>
      <c r="E38" s="107" t="s">
        <v>1609</v>
      </c>
      <c r="F38" s="362"/>
      <c r="G38" s="62"/>
      <c r="H38" s="69"/>
      <c r="I38" s="74"/>
      <c r="J38" s="68"/>
      <c r="K38" s="69"/>
      <c r="L38" s="74">
        <v>2015</v>
      </c>
      <c r="M38" s="712">
        <v>0.14399999999999999</v>
      </c>
      <c r="N38" s="570"/>
      <c r="O38" s="923"/>
      <c r="P38" s="712">
        <v>0.14399999999999999</v>
      </c>
      <c r="Q38" s="570"/>
      <c r="R38" s="923"/>
      <c r="S38" s="712"/>
      <c r="T38" s="570"/>
      <c r="U38" s="68"/>
      <c r="V38" s="68"/>
      <c r="W38" s="27"/>
      <c r="Y38" s="145"/>
      <c r="Z38" s="28"/>
      <c r="AA38" s="145"/>
      <c r="AB38" s="80"/>
      <c r="AC38" s="209"/>
      <c r="AD38" s="16"/>
      <c r="AE38" s="20"/>
      <c r="AF38" s="16"/>
      <c r="AG38" s="20"/>
      <c r="AH38" s="77"/>
      <c r="AI38" s="38"/>
      <c r="AJ38" s="145"/>
      <c r="AK38" s="80"/>
      <c r="AL38" s="215"/>
      <c r="AM38" s="456"/>
      <c r="AN38" s="387"/>
      <c r="AO38" s="409">
        <f>AR38*(1+AT38)</f>
        <v>0.10799999999999998</v>
      </c>
      <c r="AP38" s="713">
        <f>AR38*(1+AU38)</f>
        <v>0.10799999999999998</v>
      </c>
      <c r="AQ38" s="640">
        <v>2030</v>
      </c>
      <c r="AR38" s="714">
        <f>+M38</f>
        <v>0.14399999999999999</v>
      </c>
      <c r="AS38" s="541"/>
      <c r="AT38" s="406">
        <v>-0.25</v>
      </c>
      <c r="AU38" s="407">
        <f>AT38</f>
        <v>-0.25</v>
      </c>
      <c r="AV38" s="16"/>
      <c r="AW38" s="20"/>
      <c r="AX38" s="16"/>
      <c r="AY38" s="20"/>
      <c r="AZ38" s="77"/>
      <c r="BA38" s="38"/>
      <c r="BB38" s="145"/>
      <c r="BC38" s="80"/>
      <c r="BD38" s="75"/>
      <c r="BE38" s="208"/>
      <c r="BF38" s="16"/>
      <c r="BG38" s="19"/>
      <c r="BH38" s="20"/>
      <c r="BI38" s="77"/>
      <c r="BJ38" s="38"/>
      <c r="BK38" s="145"/>
      <c r="BL38" s="80"/>
      <c r="BM38" s="75"/>
      <c r="BN38" s="208"/>
      <c r="BO38" s="16"/>
      <c r="BP38" s="19"/>
      <c r="BQ38" s="20"/>
      <c r="BR38" s="32"/>
      <c r="BS38" s="38"/>
      <c r="BT38" s="145"/>
      <c r="BU38" s="80"/>
      <c r="BV38" s="215"/>
      <c r="BX38" s="321"/>
      <c r="BY38" s="38"/>
    </row>
    <row r="39" spans="1:77" ht="15" customHeight="1" x14ac:dyDescent="0.2">
      <c r="A39" s="576" t="s">
        <v>166</v>
      </c>
      <c r="B39" s="56" t="s">
        <v>1606</v>
      </c>
      <c r="C39" s="637"/>
      <c r="D39" s="544">
        <v>2008.921</v>
      </c>
      <c r="E39" s="95" t="s">
        <v>3326</v>
      </c>
      <c r="F39" s="373">
        <v>1994</v>
      </c>
      <c r="G39" s="121">
        <v>3.1</v>
      </c>
      <c r="H39" s="346">
        <v>1.8</v>
      </c>
      <c r="I39" s="1321">
        <v>2000</v>
      </c>
      <c r="J39" s="93">
        <v>2.1349100000000001</v>
      </c>
      <c r="K39" s="346">
        <v>3.5128900000000001</v>
      </c>
      <c r="L39" s="114">
        <v>2011</v>
      </c>
      <c r="M39" s="93">
        <v>5.6172599999999999</v>
      </c>
      <c r="N39" s="93">
        <f>M39-2.61726</f>
        <v>3</v>
      </c>
      <c r="O39" s="1038"/>
      <c r="P39" s="93">
        <v>5.4468040000000002</v>
      </c>
      <c r="Q39" s="378">
        <f>P39-2.30819</f>
        <v>3.138614</v>
      </c>
      <c r="R39" s="1038">
        <v>2017</v>
      </c>
      <c r="S39" s="93">
        <v>5.6604400000000004</v>
      </c>
      <c r="T39" s="378">
        <f>S39-2.41697</f>
        <v>3.2434700000000003</v>
      </c>
      <c r="U39" s="68"/>
      <c r="V39" s="68"/>
      <c r="W39" s="27"/>
      <c r="Y39" s="145"/>
      <c r="Z39" s="28"/>
      <c r="AA39" s="145"/>
      <c r="AB39" s="80"/>
      <c r="AC39" s="209"/>
      <c r="AD39" s="16"/>
      <c r="AE39" s="20"/>
      <c r="AF39" s="16"/>
      <c r="AG39" s="20"/>
      <c r="AH39" s="77"/>
      <c r="AI39" s="38"/>
      <c r="AJ39" s="145"/>
      <c r="AK39" s="80"/>
      <c r="AL39" s="215"/>
      <c r="AM39" s="456"/>
      <c r="AN39" s="387"/>
      <c r="AO39" s="1533" t="s">
        <v>311</v>
      </c>
      <c r="AP39" s="1534"/>
      <c r="AQ39" s="440"/>
      <c r="AR39" s="441"/>
      <c r="AS39" s="453"/>
      <c r="AT39" s="292">
        <v>-0.1</v>
      </c>
      <c r="AU39" s="293">
        <v>-0.35</v>
      </c>
      <c r="AV39" s="16"/>
      <c r="AW39" s="20"/>
      <c r="AX39" s="16"/>
      <c r="AY39" s="20"/>
      <c r="AZ39" s="77"/>
      <c r="BA39" s="38"/>
      <c r="BB39" s="145"/>
      <c r="BC39" s="80"/>
      <c r="BD39" s="75"/>
      <c r="BE39" s="208"/>
      <c r="BF39" s="16"/>
      <c r="BG39" s="19"/>
      <c r="BH39" s="20"/>
      <c r="BI39" s="77"/>
      <c r="BJ39" s="38"/>
      <c r="BK39" s="145"/>
      <c r="BL39" s="80"/>
      <c r="BM39" s="75"/>
      <c r="BN39" s="208"/>
      <c r="BO39" s="16"/>
      <c r="BP39" s="19"/>
      <c r="BQ39" s="20"/>
      <c r="BR39" s="32"/>
      <c r="BS39" s="38"/>
      <c r="BT39" s="145"/>
      <c r="BU39" s="80"/>
      <c r="BV39" s="215"/>
      <c r="BX39" s="321"/>
      <c r="BY39" s="38"/>
    </row>
    <row r="40" spans="1:77" ht="15" customHeight="1" x14ac:dyDescent="0.2">
      <c r="A40" s="576" t="s">
        <v>167</v>
      </c>
      <c r="B40" s="56" t="s">
        <v>1606</v>
      </c>
      <c r="C40" s="637"/>
      <c r="D40" s="544">
        <v>3957.99</v>
      </c>
      <c r="E40" s="107" t="s">
        <v>3268</v>
      </c>
      <c r="F40" s="373">
        <v>2000</v>
      </c>
      <c r="G40" s="62">
        <v>-88.789000000000001</v>
      </c>
      <c r="H40" s="69">
        <v>8.0220000000000002</v>
      </c>
      <c r="I40" s="538">
        <v>2000</v>
      </c>
      <c r="J40" s="62">
        <v>-88.789000000000001</v>
      </c>
      <c r="K40" s="69">
        <v>8.0220000000000002</v>
      </c>
      <c r="L40" s="74"/>
      <c r="M40" s="68"/>
      <c r="N40" s="471">
        <v>1</v>
      </c>
      <c r="O40" s="923"/>
      <c r="P40" s="68"/>
      <c r="Q40" s="471"/>
      <c r="R40" s="923"/>
      <c r="S40" s="68"/>
      <c r="T40" s="471"/>
      <c r="U40" s="68"/>
      <c r="V40" s="68"/>
      <c r="W40" s="27"/>
      <c r="Y40" s="145"/>
      <c r="Z40" s="28"/>
      <c r="AA40" s="145"/>
      <c r="AB40" s="80"/>
      <c r="AC40" s="209"/>
      <c r="AD40" s="16"/>
      <c r="AE40" s="485"/>
      <c r="AF40" s="387"/>
      <c r="AG40" s="485"/>
      <c r="AH40" s="77"/>
      <c r="AI40" s="38"/>
      <c r="AJ40" s="145"/>
      <c r="AK40" s="80"/>
      <c r="AL40" s="215"/>
      <c r="AM40" s="207"/>
      <c r="AN40" s="1322">
        <f>12.42981/1000</f>
        <v>1.2429809999999999E-2</v>
      </c>
      <c r="AO40" s="46">
        <f>AS40*(1+AT40)</f>
        <v>1.1186829000000001E-2</v>
      </c>
      <c r="AP40" s="47">
        <f>AS40*(1+AU40)</f>
        <v>4.4747315999999994E-3</v>
      </c>
      <c r="AQ40" s="262">
        <v>2030</v>
      </c>
      <c r="AR40" s="1364"/>
      <c r="AS40" s="1324">
        <f>+AN40</f>
        <v>1.2429809999999999E-2</v>
      </c>
      <c r="AT40" s="1325">
        <v>-0.1</v>
      </c>
      <c r="AU40" s="1326">
        <v>-0.64</v>
      </c>
      <c r="AV40" s="16"/>
      <c r="AW40" s="20"/>
      <c r="AX40" s="16"/>
      <c r="AY40" s="20"/>
      <c r="AZ40" s="77"/>
      <c r="BA40" s="38"/>
      <c r="BB40" s="145"/>
      <c r="BC40" s="80"/>
      <c r="BD40" s="75"/>
      <c r="BE40" s="208"/>
      <c r="BF40" s="16"/>
      <c r="BG40" s="19"/>
      <c r="BH40" s="20"/>
      <c r="BI40" s="77"/>
      <c r="BJ40" s="38"/>
      <c r="BK40" s="145"/>
      <c r="BL40" s="80"/>
      <c r="BM40" s="75"/>
      <c r="BN40" s="208"/>
      <c r="BO40" s="16"/>
      <c r="BP40" s="19"/>
      <c r="BQ40" s="20"/>
      <c r="BR40" s="32"/>
      <c r="BS40" s="38"/>
      <c r="BT40" s="145"/>
      <c r="BU40" s="80"/>
      <c r="BV40" s="215"/>
      <c r="BX40" s="321"/>
      <c r="BY40" s="38"/>
    </row>
    <row r="41" spans="1:77" ht="15" customHeight="1" x14ac:dyDescent="0.2">
      <c r="A41" s="10" t="s">
        <v>85</v>
      </c>
      <c r="B41" s="56" t="s">
        <v>1606</v>
      </c>
      <c r="C41" s="637"/>
      <c r="D41" s="544">
        <v>6040.6120000000001</v>
      </c>
      <c r="E41" s="107" t="s">
        <v>335</v>
      </c>
      <c r="F41" s="373"/>
      <c r="G41" s="62">
        <v>61.074150000000003</v>
      </c>
      <c r="H41" s="69">
        <f>G41</f>
        <v>61.074150000000003</v>
      </c>
      <c r="I41" s="74"/>
      <c r="J41" s="93">
        <v>69.931740000000005</v>
      </c>
      <c r="K41" s="69">
        <f>J41</f>
        <v>69.931740000000005</v>
      </c>
      <c r="L41" s="74"/>
      <c r="M41" s="68">
        <v>77.780090000000001</v>
      </c>
      <c r="N41" s="356">
        <f>M41</f>
        <v>77.780090000000001</v>
      </c>
      <c r="O41" s="923"/>
      <c r="P41" s="68"/>
      <c r="Q41" s="356"/>
      <c r="R41" s="923"/>
      <c r="S41" s="68"/>
      <c r="T41" s="356"/>
      <c r="U41" s="68"/>
      <c r="V41" s="68"/>
      <c r="W41" s="27"/>
      <c r="Y41" s="145"/>
      <c r="Z41" s="28"/>
      <c r="AA41" s="145"/>
      <c r="AB41" s="80"/>
      <c r="AC41" s="209"/>
      <c r="AD41" s="16"/>
      <c r="AE41" s="20"/>
      <c r="AF41" s="16"/>
      <c r="AG41" s="20"/>
      <c r="AH41" s="77"/>
      <c r="AI41" s="38"/>
      <c r="AJ41" s="145"/>
      <c r="AK41" s="80"/>
      <c r="AL41" s="215"/>
      <c r="AM41" s="456"/>
      <c r="AN41" s="387"/>
      <c r="AO41" s="454"/>
      <c r="AP41" s="439"/>
      <c r="AQ41" s="440"/>
      <c r="AR41" s="441"/>
      <c r="AS41" s="453"/>
      <c r="AT41" s="292"/>
      <c r="AU41" s="293"/>
      <c r="AV41" s="16"/>
      <c r="AW41" s="20"/>
      <c r="AX41" s="16"/>
      <c r="AY41" s="20"/>
      <c r="AZ41" s="77"/>
      <c r="BA41" s="38"/>
      <c r="BB41" s="145"/>
      <c r="BC41" s="80"/>
      <c r="BD41" s="75"/>
      <c r="BE41" s="208"/>
      <c r="BF41" s="16"/>
      <c r="BG41" s="19"/>
      <c r="BH41" s="20"/>
      <c r="BI41" s="77"/>
      <c r="BJ41" s="38"/>
      <c r="BK41" s="145"/>
      <c r="BL41" s="80"/>
      <c r="BM41" s="75"/>
      <c r="BN41" s="208"/>
      <c r="BO41" s="16"/>
      <c r="BP41" s="19"/>
      <c r="BQ41" s="20"/>
      <c r="BR41" s="32"/>
      <c r="BS41" s="38"/>
      <c r="BT41" s="145"/>
      <c r="BU41" s="80"/>
      <c r="BV41" s="215"/>
      <c r="BX41" s="321"/>
      <c r="BY41" s="38"/>
    </row>
    <row r="42" spans="1:77" ht="15" customHeight="1" x14ac:dyDescent="0.2">
      <c r="A42" s="95" t="s">
        <v>150</v>
      </c>
      <c r="B42" s="56" t="s">
        <v>1606</v>
      </c>
      <c r="C42" s="637"/>
      <c r="D42" s="544">
        <v>21079.531999999999</v>
      </c>
      <c r="E42" s="95" t="s">
        <v>2540</v>
      </c>
      <c r="F42" s="373">
        <v>1995</v>
      </c>
      <c r="G42" s="62">
        <f>H42-222</f>
        <v>-196.55161000000001</v>
      </c>
      <c r="H42" s="69">
        <v>25.44839</v>
      </c>
      <c r="I42" s="114"/>
      <c r="J42" s="93">
        <v>-131.86510000000001</v>
      </c>
      <c r="K42" s="346">
        <v>148.38890000000001</v>
      </c>
      <c r="L42" s="114"/>
      <c r="M42" s="93">
        <v>-68.422300000000007</v>
      </c>
      <c r="N42" s="378">
        <v>151.67169999999999</v>
      </c>
      <c r="O42" s="1037"/>
      <c r="P42" s="437"/>
      <c r="Q42" s="471"/>
      <c r="R42" s="1037"/>
      <c r="S42" s="437"/>
      <c r="T42" s="471"/>
      <c r="U42" s="437">
        <v>-23.609000000000002</v>
      </c>
      <c r="V42" s="437">
        <v>192.28100000000001</v>
      </c>
      <c r="W42" s="27"/>
      <c r="Y42" s="145"/>
      <c r="Z42" s="28"/>
      <c r="AA42" s="145"/>
      <c r="AB42" s="80"/>
      <c r="AC42" s="209"/>
      <c r="AD42" s="16"/>
      <c r="AE42" s="20"/>
      <c r="AF42" s="16"/>
      <c r="AG42" s="20"/>
      <c r="AH42" s="77"/>
      <c r="AI42" s="38"/>
      <c r="AJ42" s="145"/>
      <c r="AK42" s="80"/>
      <c r="AL42" s="215"/>
      <c r="AM42" s="456">
        <f>22.095/1000</f>
        <v>2.2095E-2</v>
      </c>
      <c r="AN42" s="387">
        <f>214.206/1000</f>
        <v>0.21420599999999998</v>
      </c>
      <c r="AO42" s="454">
        <f>AS42*(1+AT42)-0.192111</f>
        <v>-7.8938400000000131E-3</v>
      </c>
      <c r="AP42" s="439">
        <f>AS42*(1+AT42)-0.192111*1.32</f>
        <v>-6.9369360000000047E-2</v>
      </c>
      <c r="AQ42" s="440"/>
      <c r="AR42" s="441"/>
      <c r="AS42" s="424">
        <f>+AN42</f>
        <v>0.21420599999999998</v>
      </c>
      <c r="AT42" s="292">
        <v>-0.14000000000000001</v>
      </c>
      <c r="AU42" s="500"/>
      <c r="AV42" s="16"/>
      <c r="AW42" s="20"/>
      <c r="AX42" s="16"/>
      <c r="AY42" s="20"/>
      <c r="AZ42" s="77"/>
      <c r="BA42" s="38"/>
      <c r="BB42" s="145"/>
      <c r="BC42" s="80"/>
      <c r="BD42" s="75"/>
      <c r="BE42" s="208"/>
      <c r="BF42" s="16"/>
      <c r="BG42" s="19"/>
      <c r="BH42" s="20"/>
      <c r="BI42" s="77"/>
      <c r="BJ42" s="38"/>
      <c r="BK42" s="145"/>
      <c r="BL42" s="80"/>
      <c r="BM42" s="75"/>
      <c r="BN42" s="208"/>
      <c r="BO42" s="16"/>
      <c r="BP42" s="19"/>
      <c r="BQ42" s="20"/>
      <c r="BR42" s="32"/>
      <c r="BS42" s="38"/>
      <c r="BT42" s="145"/>
      <c r="BU42" s="80"/>
      <c r="BV42" s="215"/>
      <c r="BX42" s="321"/>
      <c r="BY42" s="38"/>
    </row>
    <row r="43" spans="1:77" ht="15" customHeight="1" x14ac:dyDescent="0.2">
      <c r="A43" s="95" t="s">
        <v>168</v>
      </c>
      <c r="B43" s="56" t="s">
        <v>1606</v>
      </c>
      <c r="C43" s="637"/>
      <c r="D43" s="544">
        <v>15013.694</v>
      </c>
      <c r="E43" s="107" t="s">
        <v>3261</v>
      </c>
      <c r="F43" s="373">
        <v>1994</v>
      </c>
      <c r="G43" s="121">
        <v>24.58278</v>
      </c>
      <c r="H43" s="346">
        <f>G43+2.6</f>
        <v>27.182780000000001</v>
      </c>
      <c r="I43" s="114">
        <v>2000</v>
      </c>
      <c r="J43" s="93">
        <v>-0.88775000000000004</v>
      </c>
      <c r="K43" s="346">
        <f>J43+2.6</f>
        <v>1.71225</v>
      </c>
      <c r="L43" s="436"/>
      <c r="M43" s="437">
        <v>3.6135299999999999</v>
      </c>
      <c r="N43" s="93">
        <f>M43+0.56258</f>
        <v>4.1761099999999995</v>
      </c>
      <c r="O43" s="1038">
        <v>2017</v>
      </c>
      <c r="P43" s="437">
        <v>7.0427200000000001</v>
      </c>
      <c r="Q43" s="1308">
        <v>9.33</v>
      </c>
      <c r="R43" s="1037"/>
      <c r="S43" s="437"/>
      <c r="T43" s="356"/>
      <c r="U43" s="68"/>
      <c r="V43" s="68"/>
      <c r="W43" s="27"/>
      <c r="Y43" s="145"/>
      <c r="Z43" s="28"/>
      <c r="AA43" s="145"/>
      <c r="AB43" s="80"/>
      <c r="AC43" s="209"/>
      <c r="AD43" s="16"/>
      <c r="AE43" s="20"/>
      <c r="AF43" s="16"/>
      <c r="AG43" s="20"/>
      <c r="AH43" s="77"/>
      <c r="AI43" s="38"/>
      <c r="AJ43" s="145"/>
      <c r="AK43" s="80"/>
      <c r="AL43" s="215"/>
      <c r="AM43" s="456"/>
      <c r="AN43" s="387"/>
      <c r="AO43" s="1533"/>
      <c r="AP43" s="1534"/>
      <c r="AQ43" s="440"/>
      <c r="AR43" s="441"/>
      <c r="AS43" s="453"/>
      <c r="AT43" s="292"/>
      <c r="AU43" s="293"/>
      <c r="AV43" s="16"/>
      <c r="AW43" s="20"/>
      <c r="AX43" s="16"/>
      <c r="AY43" s="20"/>
      <c r="AZ43" s="77"/>
      <c r="BA43" s="38"/>
      <c r="BB43" s="145"/>
      <c r="BC43" s="80"/>
      <c r="BD43" s="75"/>
      <c r="BE43" s="207">
        <f>34.6/1000</f>
        <v>3.4599999999999999E-2</v>
      </c>
      <c r="BF43" s="713"/>
      <c r="BG43" s="78">
        <f>BJ43*(1+BL43)</f>
        <v>3.2523999999999997E-2</v>
      </c>
      <c r="BH43" s="47">
        <f>BE43*(1+BM43)</f>
        <v>1.6954E-2</v>
      </c>
      <c r="BI43" s="262"/>
      <c r="BJ43" s="48">
        <f>+BE43</f>
        <v>3.4599999999999999E-2</v>
      </c>
      <c r="BK43" s="1340"/>
      <c r="BL43" s="1325">
        <v>-0.06</v>
      </c>
      <c r="BM43" s="348">
        <v>-0.51</v>
      </c>
      <c r="BN43" s="208"/>
      <c r="BO43" s="16"/>
      <c r="BP43" s="19"/>
      <c r="BQ43" s="20"/>
      <c r="BR43" s="32"/>
      <c r="BS43" s="38"/>
      <c r="BT43" s="145"/>
      <c r="BU43" s="80"/>
      <c r="BV43" s="215"/>
      <c r="BX43" s="321"/>
      <c r="BY43" s="38"/>
    </row>
    <row r="44" spans="1:77" ht="15" customHeight="1" x14ac:dyDescent="0.2">
      <c r="A44" s="95" t="s">
        <v>169</v>
      </c>
      <c r="B44" s="56" t="s">
        <v>1606</v>
      </c>
      <c r="C44" s="637"/>
      <c r="D44" s="544">
        <v>13985.960999999999</v>
      </c>
      <c r="E44" s="95" t="s">
        <v>3285</v>
      </c>
      <c r="F44" s="373">
        <v>1995</v>
      </c>
      <c r="G44" s="62">
        <v>1.1000000000000001</v>
      </c>
      <c r="H44" s="69">
        <v>8.6999999999999993</v>
      </c>
      <c r="I44" s="74"/>
      <c r="J44" s="68">
        <v>-42.205120000000001</v>
      </c>
      <c r="K44" s="69">
        <f>J44+65.64605</f>
        <v>23.440930000000002</v>
      </c>
      <c r="L44" s="74"/>
      <c r="M44" s="494">
        <f>N44-0.245177</f>
        <v>-0.19667000000000001</v>
      </c>
      <c r="N44" s="496">
        <v>4.8507000000000002E-2</v>
      </c>
      <c r="O44" s="923"/>
      <c r="P44" s="437">
        <v>-155.55281400000001</v>
      </c>
      <c r="Q44" s="496"/>
      <c r="R44" s="923"/>
      <c r="S44" s="437"/>
      <c r="T44" s="496"/>
      <c r="U44" s="437"/>
      <c r="V44" s="437"/>
      <c r="W44" s="454"/>
      <c r="X44" s="439"/>
      <c r="Y44" s="145"/>
      <c r="Z44" s="28"/>
      <c r="AA44" s="145"/>
      <c r="AB44" s="292"/>
      <c r="AC44" s="284"/>
      <c r="AD44" s="207">
        <f>-227.857/1000</f>
        <v>-0.227857</v>
      </c>
      <c r="AE44" s="47"/>
      <c r="AF44" s="78">
        <f>-270.217/1000</f>
        <v>-0.27021699999999998</v>
      </c>
      <c r="AG44" s="47"/>
      <c r="AH44" s="262">
        <v>2025</v>
      </c>
      <c r="AI44" s="1364"/>
      <c r="AJ44" s="1340"/>
      <c r="AK44" s="1325"/>
      <c r="AL44" s="1326"/>
      <c r="AM44" s="207">
        <f>-211.864/1000</f>
        <v>-0.211864</v>
      </c>
      <c r="AN44" s="47"/>
      <c r="AO44" s="78">
        <f>-296.483/1000</f>
        <v>-0.296483</v>
      </c>
      <c r="AP44" s="47"/>
      <c r="AQ44" s="262">
        <v>2030</v>
      </c>
      <c r="AR44" s="1364"/>
      <c r="AS44" s="1340"/>
      <c r="AT44" s="1325"/>
      <c r="AU44" s="1326"/>
      <c r="AV44" s="16"/>
      <c r="AW44" s="20"/>
      <c r="AX44" s="16"/>
      <c r="AY44" s="20"/>
      <c r="AZ44" s="77"/>
      <c r="BA44" s="38"/>
      <c r="BB44" s="145"/>
      <c r="BC44" s="80"/>
      <c r="BD44" s="75"/>
      <c r="BE44" s="208"/>
      <c r="BF44" s="16"/>
      <c r="BG44" s="19"/>
      <c r="BH44" s="20"/>
      <c r="BI44" s="77"/>
      <c r="BJ44" s="38"/>
      <c r="BK44" s="145"/>
      <c r="BL44" s="80"/>
      <c r="BM44" s="75"/>
      <c r="BN44" s="208"/>
      <c r="BO44" s="16"/>
      <c r="BP44" s="19"/>
      <c r="BQ44" s="20"/>
      <c r="BR44" s="32"/>
      <c r="BS44" s="38"/>
      <c r="BT44" s="145"/>
      <c r="BU44" s="80"/>
      <c r="BV44" s="215"/>
      <c r="BX44" s="321"/>
      <c r="BY44" s="38"/>
    </row>
    <row r="45" spans="1:77" ht="15" customHeight="1" x14ac:dyDescent="0.2">
      <c r="A45" s="576" t="s">
        <v>171</v>
      </c>
      <c r="B45" s="56" t="s">
        <v>1606</v>
      </c>
      <c r="C45" s="637"/>
      <c r="D45" s="544">
        <v>3609.42</v>
      </c>
      <c r="E45" s="95" t="s">
        <v>3288</v>
      </c>
      <c r="F45" s="373"/>
      <c r="G45" s="775">
        <v>3.4812129999999999</v>
      </c>
      <c r="H45" s="346">
        <f>G45-2.20458</f>
        <v>1.2766329999999999</v>
      </c>
      <c r="I45" s="114">
        <v>2000</v>
      </c>
      <c r="J45" s="93">
        <v>4.24078</v>
      </c>
      <c r="K45" s="346">
        <f>J45-3.040921</f>
        <v>1.199859</v>
      </c>
      <c r="L45" s="114"/>
      <c r="M45" s="93">
        <v>6.2483700000000004</v>
      </c>
      <c r="N45" s="93">
        <f>M45-2.341395</f>
        <v>3.9069750000000005</v>
      </c>
      <c r="O45" s="1038"/>
      <c r="P45" s="93">
        <v>8.2717360000000006</v>
      </c>
      <c r="Q45" s="378">
        <v>10.012956000000001</v>
      </c>
      <c r="R45" s="1038">
        <v>2018</v>
      </c>
      <c r="S45" s="93">
        <v>9.9446180000000002</v>
      </c>
      <c r="T45" s="378">
        <v>11.745507</v>
      </c>
      <c r="U45" s="68"/>
      <c r="V45" s="68"/>
      <c r="W45" s="27"/>
      <c r="Y45" s="145"/>
      <c r="Z45" s="28"/>
      <c r="AA45" s="145"/>
      <c r="AB45" s="80"/>
      <c r="AC45" s="209"/>
      <c r="AD45" s="16"/>
      <c r="AE45" s="20"/>
      <c r="AF45" s="16"/>
      <c r="AG45" s="20"/>
      <c r="AH45" s="77"/>
      <c r="AI45" s="38"/>
      <c r="AJ45" s="145"/>
      <c r="AK45" s="80"/>
      <c r="AL45" s="215"/>
      <c r="AM45" s="207">
        <f>16.13462/0.92/1000</f>
        <v>1.7537630434782611E-2</v>
      </c>
      <c r="AN45" s="47"/>
      <c r="AO45" s="78">
        <f>AR45*(1+AT45)</f>
        <v>1.5608491086956524E-2</v>
      </c>
      <c r="AP45" s="47">
        <f>AR45*(1+AU45)</f>
        <v>1.4030104347826082E-3</v>
      </c>
      <c r="AQ45" s="262">
        <v>2030</v>
      </c>
      <c r="AR45" s="48">
        <f>AM45</f>
        <v>1.7537630434782611E-2</v>
      </c>
      <c r="AS45" s="1340"/>
      <c r="AT45" s="1345">
        <v>-0.11</v>
      </c>
      <c r="AU45" s="1346">
        <v>-0.92</v>
      </c>
      <c r="AV45" s="16"/>
      <c r="AW45" s="20"/>
      <c r="AX45" s="16"/>
      <c r="AY45" s="20"/>
      <c r="AZ45" s="77"/>
      <c r="BA45" s="38"/>
      <c r="BB45" s="145"/>
      <c r="BC45" s="80"/>
      <c r="BD45" s="75"/>
      <c r="BE45" s="208"/>
      <c r="BF45" s="16"/>
      <c r="BG45" s="19"/>
      <c r="BH45" s="20"/>
      <c r="BI45" s="77"/>
      <c r="BJ45" s="38"/>
      <c r="BK45" s="145"/>
      <c r="BL45" s="80"/>
      <c r="BM45" s="75"/>
      <c r="BN45" s="208"/>
      <c r="BO45" s="16"/>
      <c r="BP45" s="19"/>
      <c r="BQ45" s="20"/>
      <c r="BR45" s="32"/>
      <c r="BS45" s="38"/>
      <c r="BT45" s="145"/>
      <c r="BU45" s="80"/>
      <c r="BV45" s="215"/>
      <c r="BX45" s="321"/>
      <c r="BY45" s="38"/>
    </row>
    <row r="46" spans="1:77" ht="15" customHeight="1" x14ac:dyDescent="0.2">
      <c r="A46" s="95" t="s">
        <v>170</v>
      </c>
      <c r="B46" s="56" t="s">
        <v>1606</v>
      </c>
      <c r="C46" s="637"/>
      <c r="D46" s="544">
        <v>1230.6590000000001</v>
      </c>
      <c r="E46" s="95" t="s">
        <v>3336</v>
      </c>
      <c r="F46" s="373"/>
      <c r="G46" s="121">
        <v>1.6</v>
      </c>
      <c r="H46" s="346">
        <f>G46+0.195</f>
        <v>1.7950000000000002</v>
      </c>
      <c r="I46" s="114"/>
      <c r="J46" s="93">
        <v>3.3920400000000002</v>
      </c>
      <c r="K46" s="346">
        <v>3.7159499999999999</v>
      </c>
      <c r="L46" s="114"/>
      <c r="M46" s="93">
        <v>4.3439800000000002</v>
      </c>
      <c r="N46" s="93">
        <v>4.6396300000000004</v>
      </c>
      <c r="O46" s="1038"/>
      <c r="P46" s="93">
        <v>4.7535100000000003</v>
      </c>
      <c r="Q46" s="378">
        <v>5.0750700000000002</v>
      </c>
      <c r="R46" s="1038">
        <v>2016</v>
      </c>
      <c r="S46" s="93">
        <v>4.8813599999999999</v>
      </c>
      <c r="T46" s="378">
        <v>5.2110599999999998</v>
      </c>
      <c r="U46" s="68"/>
      <c r="V46" s="68"/>
      <c r="W46" s="27"/>
      <c r="Y46" s="145"/>
      <c r="Z46" s="28"/>
      <c r="AA46" s="145"/>
      <c r="AB46" s="80"/>
      <c r="AC46" s="209"/>
      <c r="AD46" s="16"/>
      <c r="AE46" s="20"/>
      <c r="AF46" s="16"/>
      <c r="AG46" s="20"/>
      <c r="AH46" s="77"/>
      <c r="AI46" s="38"/>
      <c r="AJ46" s="145"/>
      <c r="AK46" s="80"/>
      <c r="AL46" s="215"/>
      <c r="AM46" s="207">
        <v>6.8999999999999999E-3</v>
      </c>
      <c r="AN46" s="47"/>
      <c r="AO46" s="78">
        <f>AR46*(1+AT46)</f>
        <v>4.1399999999999996E-3</v>
      </c>
      <c r="AP46" s="47">
        <f>AR46*(1+AU46)</f>
        <v>4.1399999999999996E-3</v>
      </c>
      <c r="AQ46" s="262">
        <v>2030</v>
      </c>
      <c r="AR46" s="48">
        <f>AM46</f>
        <v>6.8999999999999999E-3</v>
      </c>
      <c r="AS46" s="1340"/>
      <c r="AT46" s="1325">
        <v>-0.4</v>
      </c>
      <c r="AU46" s="1326">
        <f>AT46</f>
        <v>-0.4</v>
      </c>
      <c r="AV46" s="16"/>
      <c r="AW46" s="20"/>
      <c r="AX46" s="16"/>
      <c r="AY46" s="20"/>
      <c r="AZ46" s="77"/>
      <c r="BA46" s="38"/>
      <c r="BB46" s="145"/>
      <c r="BC46" s="80"/>
      <c r="BD46" s="75"/>
      <c r="BE46" s="208"/>
      <c r="BF46" s="16"/>
      <c r="BG46" s="19"/>
      <c r="BH46" s="20"/>
      <c r="BI46" s="77"/>
      <c r="BJ46" s="38"/>
      <c r="BK46" s="145"/>
      <c r="BL46" s="80"/>
      <c r="BM46" s="75"/>
      <c r="BN46" s="208"/>
      <c r="BO46" s="16"/>
      <c r="BP46" s="19"/>
      <c r="BQ46" s="20"/>
      <c r="BR46" s="32"/>
      <c r="BS46" s="38"/>
      <c r="BT46" s="145"/>
      <c r="BU46" s="80"/>
      <c r="BV46" s="215"/>
      <c r="BX46" s="321"/>
      <c r="BY46" s="38"/>
    </row>
    <row r="47" spans="1:77" ht="15" customHeight="1" x14ac:dyDescent="0.2">
      <c r="A47" s="10" t="s">
        <v>92</v>
      </c>
      <c r="B47" s="56" t="s">
        <v>1606</v>
      </c>
      <c r="C47" s="637"/>
      <c r="D47" s="544">
        <v>31642.36</v>
      </c>
      <c r="E47" s="95" t="s">
        <v>2947</v>
      </c>
      <c r="F47" s="373">
        <v>1994</v>
      </c>
      <c r="G47" s="121">
        <v>47.936999999999998</v>
      </c>
      <c r="H47" s="346">
        <f>G47+5.39</f>
        <v>53.326999999999998</v>
      </c>
      <c r="I47" s="114"/>
      <c r="J47" s="93">
        <v>79.663899999999998</v>
      </c>
      <c r="K47" s="346">
        <f>J47+4.7058</f>
        <v>84.369699999999995</v>
      </c>
      <c r="L47" s="114"/>
      <c r="M47" s="72">
        <v>72.777900000000002</v>
      </c>
      <c r="N47" s="93">
        <f>M47+2.0802</f>
        <v>74.858100000000007</v>
      </c>
      <c r="O47" s="1038">
        <v>2014</v>
      </c>
      <c r="P47" s="93">
        <v>83.522000000000006</v>
      </c>
      <c r="Q47" s="378">
        <f>P47+1.4257</f>
        <v>84.947700000000012</v>
      </c>
      <c r="R47" s="1038">
        <v>2018</v>
      </c>
      <c r="S47" s="93">
        <v>90.944500000000005</v>
      </c>
      <c r="T47" s="378">
        <f>S47+1.7456</f>
        <v>92.690100000000001</v>
      </c>
      <c r="U47" s="437">
        <v>121.6</v>
      </c>
      <c r="V47" s="437"/>
      <c r="W47" s="454">
        <v>0.1071</v>
      </c>
      <c r="X47" s="439">
        <v>9.7199999999999995E-2</v>
      </c>
      <c r="Y47" s="479">
        <v>2020</v>
      </c>
      <c r="Z47" s="424">
        <f>U47/1000</f>
        <v>0.1216</v>
      </c>
      <c r="AA47" s="453"/>
      <c r="AB47" s="292">
        <f>(W47-Z47)/Z47</f>
        <v>-0.11924342105263157</v>
      </c>
      <c r="AC47" s="455">
        <f>(X47-Z47)/Z47</f>
        <v>-0.20065789473684215</v>
      </c>
      <c r="AD47" s="456">
        <v>0.14269999999999999</v>
      </c>
      <c r="AE47" s="439"/>
      <c r="AF47" s="387">
        <v>0.1167</v>
      </c>
      <c r="AG47" s="439">
        <v>9.1600000000000001E-2</v>
      </c>
      <c r="AH47" s="440">
        <v>2025</v>
      </c>
      <c r="AI47" s="424">
        <f>+AD47</f>
        <v>0.14269999999999999</v>
      </c>
      <c r="AJ47" s="453"/>
      <c r="AK47" s="292">
        <f>(AF47-AI47)/AI47</f>
        <v>-0.18220042046250873</v>
      </c>
      <c r="AL47" s="293">
        <f>(AG47-AI47)/AI47</f>
        <v>-0.35809390329362295</v>
      </c>
      <c r="AM47" s="207">
        <v>0.1423449</v>
      </c>
      <c r="AN47" s="439"/>
      <c r="AO47" s="78">
        <f>AR47*(1+AT47)</f>
        <v>0.11629578329999998</v>
      </c>
      <c r="AP47" s="47">
        <f>+AR47*(1+AU47)</f>
        <v>7.7577970499999982E-2</v>
      </c>
      <c r="AQ47" s="262">
        <v>2030</v>
      </c>
      <c r="AR47" s="48">
        <f>+AM47</f>
        <v>0.1423449</v>
      </c>
      <c r="AS47" s="1340"/>
      <c r="AT47" s="1397">
        <v>-0.183</v>
      </c>
      <c r="AU47" s="1398">
        <v>-0.45500000000000002</v>
      </c>
      <c r="AV47" s="16"/>
      <c r="AW47" s="20"/>
      <c r="AX47" s="16"/>
      <c r="AY47" s="20"/>
      <c r="AZ47" s="77"/>
      <c r="BA47" s="38"/>
      <c r="BB47" s="145"/>
      <c r="BC47" s="80"/>
      <c r="BD47" s="75"/>
      <c r="BE47" s="208"/>
      <c r="BF47" s="16"/>
      <c r="BG47" s="19"/>
      <c r="BH47" s="20"/>
      <c r="BI47" s="77"/>
      <c r="BJ47" s="38"/>
      <c r="BK47" s="145"/>
      <c r="BL47" s="80"/>
      <c r="BM47" s="75"/>
      <c r="BN47" s="208"/>
      <c r="BO47" s="16"/>
      <c r="BP47" s="19"/>
      <c r="BQ47" s="20"/>
      <c r="BR47" s="32"/>
      <c r="BS47" s="38"/>
      <c r="BT47" s="145"/>
      <c r="BU47" s="80"/>
      <c r="BV47" s="215"/>
      <c r="BX47" s="321"/>
      <c r="BY47" s="38"/>
    </row>
    <row r="48" spans="1:77" ht="15" customHeight="1" x14ac:dyDescent="0.2">
      <c r="A48" s="10" t="s">
        <v>92</v>
      </c>
      <c r="B48" s="56"/>
      <c r="C48" s="637" t="s">
        <v>2352</v>
      </c>
      <c r="D48" s="544">
        <v>450</v>
      </c>
      <c r="E48" s="107" t="s">
        <v>631</v>
      </c>
      <c r="F48" s="362"/>
      <c r="G48" s="62"/>
      <c r="H48" s="69"/>
      <c r="I48" s="74"/>
      <c r="J48" s="68"/>
      <c r="K48" s="69"/>
      <c r="L48" s="74"/>
      <c r="M48" s="93"/>
      <c r="N48" s="356"/>
      <c r="O48" s="923">
        <v>2013</v>
      </c>
      <c r="P48" s="93"/>
      <c r="Q48" s="354">
        <v>0.78864199999999995</v>
      </c>
      <c r="R48" s="923"/>
      <c r="S48" s="93"/>
      <c r="T48" s="354"/>
      <c r="U48" s="437"/>
      <c r="V48" s="437"/>
      <c r="W48" s="674">
        <f t="shared" ref="W48:W51" si="1">AA48*(1+AB48)</f>
        <v>6.3091360000000008E-4</v>
      </c>
      <c r="X48" s="952">
        <f t="shared" ref="X48:X51" si="2">AA48*(1+AC48)</f>
        <v>6.3091360000000008E-4</v>
      </c>
      <c r="Y48" s="53">
        <v>2013</v>
      </c>
      <c r="Z48" s="948"/>
      <c r="AA48" s="767">
        <f>Q48/1000</f>
        <v>7.8864199999999999E-4</v>
      </c>
      <c r="AB48" s="395">
        <v>-0.2</v>
      </c>
      <c r="AC48" s="443">
        <f t="shared" ref="AC48:AC51" si="3">AB48</f>
        <v>-0.2</v>
      </c>
      <c r="AD48" s="387"/>
      <c r="AE48" s="439"/>
      <c r="AF48" s="387"/>
      <c r="AG48" s="439"/>
      <c r="AH48" s="440"/>
      <c r="AI48" s="424"/>
      <c r="AJ48" s="453"/>
      <c r="AK48" s="292"/>
      <c r="AL48" s="293"/>
      <c r="AM48" s="456"/>
      <c r="AN48" s="387"/>
      <c r="AO48" s="454"/>
      <c r="AP48" s="439"/>
      <c r="AQ48" s="440"/>
      <c r="AR48" s="424"/>
      <c r="AS48" s="453"/>
      <c r="AT48" s="156"/>
      <c r="AU48" s="295"/>
      <c r="AV48" s="16"/>
      <c r="AW48" s="20"/>
      <c r="AX48" s="16"/>
      <c r="AY48" s="20"/>
      <c r="AZ48" s="77"/>
      <c r="BA48" s="38"/>
      <c r="BB48" s="145"/>
      <c r="BC48" s="80"/>
      <c r="BD48" s="75"/>
      <c r="BE48" s="208"/>
      <c r="BF48" s="16"/>
      <c r="BG48" s="19"/>
      <c r="BH48" s="20"/>
      <c r="BI48" s="77"/>
      <c r="BJ48" s="38"/>
      <c r="BK48" s="145"/>
      <c r="BL48" s="80"/>
      <c r="BM48" s="75"/>
      <c r="BN48" s="208"/>
      <c r="BO48" s="16"/>
      <c r="BP48" s="19"/>
      <c r="BQ48" s="20"/>
      <c r="BR48" s="32"/>
      <c r="BS48" s="38"/>
      <c r="BT48" s="145"/>
      <c r="BU48" s="80"/>
      <c r="BV48" s="215"/>
      <c r="BX48" s="321"/>
      <c r="BY48" s="38"/>
    </row>
    <row r="49" spans="1:77" ht="15" customHeight="1" x14ac:dyDescent="0.2">
      <c r="A49" s="10" t="s">
        <v>92</v>
      </c>
      <c r="B49" s="56"/>
      <c r="C49" s="637" t="s">
        <v>2353</v>
      </c>
      <c r="D49" s="544">
        <v>58.194000000000003</v>
      </c>
      <c r="E49" s="107" t="s">
        <v>631</v>
      </c>
      <c r="F49" s="362"/>
      <c r="G49" s="62"/>
      <c r="H49" s="69"/>
      <c r="I49" s="74"/>
      <c r="J49" s="68"/>
      <c r="K49" s="69"/>
      <c r="L49" s="74"/>
      <c r="M49" s="93"/>
      <c r="N49" s="356"/>
      <c r="O49" s="923">
        <v>2013</v>
      </c>
      <c r="P49" s="93"/>
      <c r="Q49" s="354">
        <v>6.4320000000000002E-2</v>
      </c>
      <c r="R49" s="923"/>
      <c r="S49" s="93"/>
      <c r="T49" s="354"/>
      <c r="U49" s="437"/>
      <c r="V49" s="437"/>
      <c r="W49" s="674">
        <f t="shared" si="1"/>
        <v>5.145600000000001E-5</v>
      </c>
      <c r="X49" s="952">
        <f t="shared" si="2"/>
        <v>5.145600000000001E-5</v>
      </c>
      <c r="Y49" s="53">
        <v>2013</v>
      </c>
      <c r="Z49" s="948"/>
      <c r="AA49" s="767">
        <f>Q49/1000</f>
        <v>6.4320000000000008E-5</v>
      </c>
      <c r="AB49" s="395">
        <v>-0.2</v>
      </c>
      <c r="AC49" s="443">
        <f t="shared" si="3"/>
        <v>-0.2</v>
      </c>
      <c r="AD49" s="387"/>
      <c r="AE49" s="439"/>
      <c r="AF49" s="387"/>
      <c r="AG49" s="439"/>
      <c r="AH49" s="440"/>
      <c r="AI49" s="424"/>
      <c r="AJ49" s="453"/>
      <c r="AK49" s="292"/>
      <c r="AL49" s="293"/>
      <c r="AM49" s="456"/>
      <c r="AN49" s="387"/>
      <c r="AO49" s="454"/>
      <c r="AP49" s="439"/>
      <c r="AQ49" s="440"/>
      <c r="AR49" s="424"/>
      <c r="AS49" s="453"/>
      <c r="AT49" s="156"/>
      <c r="AU49" s="295"/>
      <c r="AV49" s="16"/>
      <c r="AW49" s="20"/>
      <c r="AX49" s="16"/>
      <c r="AY49" s="20"/>
      <c r="AZ49" s="77"/>
      <c r="BA49" s="38"/>
      <c r="BB49" s="145"/>
      <c r="BC49" s="80"/>
      <c r="BD49" s="75"/>
      <c r="BE49" s="208"/>
      <c r="BF49" s="16"/>
      <c r="BG49" s="19"/>
      <c r="BH49" s="20"/>
      <c r="BI49" s="77"/>
      <c r="BJ49" s="38"/>
      <c r="BK49" s="145"/>
      <c r="BL49" s="80"/>
      <c r="BM49" s="75"/>
      <c r="BN49" s="208"/>
      <c r="BO49" s="16"/>
      <c r="BP49" s="19"/>
      <c r="BQ49" s="20"/>
      <c r="BR49" s="32"/>
      <c r="BS49" s="38"/>
      <c r="BT49" s="145"/>
      <c r="BU49" s="80"/>
      <c r="BV49" s="215"/>
      <c r="BX49" s="321"/>
      <c r="BY49" s="38"/>
    </row>
    <row r="50" spans="1:77" ht="15" customHeight="1" x14ac:dyDescent="0.2">
      <c r="A50" s="10" t="s">
        <v>92</v>
      </c>
      <c r="B50" s="56"/>
      <c r="C50" s="637" t="s">
        <v>2614</v>
      </c>
      <c r="D50" s="544">
        <v>43</v>
      </c>
      <c r="E50" s="107" t="s">
        <v>631</v>
      </c>
      <c r="F50" s="362"/>
      <c r="G50" s="62"/>
      <c r="H50" s="69"/>
      <c r="I50" s="74"/>
      <c r="J50" s="68"/>
      <c r="K50" s="69"/>
      <c r="L50" s="74"/>
      <c r="M50" s="93"/>
      <c r="N50" s="356"/>
      <c r="O50" s="923">
        <v>2014</v>
      </c>
      <c r="P50" s="93"/>
      <c r="Q50" s="354">
        <v>5.7114999999999999E-2</v>
      </c>
      <c r="R50" s="923"/>
      <c r="S50" s="93"/>
      <c r="T50" s="354"/>
      <c r="U50" s="437"/>
      <c r="V50" s="437"/>
      <c r="W50" s="674">
        <f t="shared" ref="W50" si="4">AA50*(1+AB50)</f>
        <v>3.1413250000000003E-5</v>
      </c>
      <c r="X50" s="952">
        <f t="shared" ref="X50" si="5">AA50*(1+AC50)</f>
        <v>3.1413250000000003E-5</v>
      </c>
      <c r="Y50" s="53">
        <v>2014</v>
      </c>
      <c r="Z50" s="948"/>
      <c r="AA50" s="767">
        <f>Q50/1000</f>
        <v>5.7114999999999998E-5</v>
      </c>
      <c r="AB50" s="395">
        <v>-0.45</v>
      </c>
      <c r="AC50" s="443">
        <f t="shared" ref="AC50" si="6">AB50</f>
        <v>-0.45</v>
      </c>
      <c r="AD50" s="387"/>
      <c r="AE50" s="439"/>
      <c r="AF50" s="387"/>
      <c r="AG50" s="439"/>
      <c r="AH50" s="440"/>
      <c r="AI50" s="424"/>
      <c r="AJ50" s="453"/>
      <c r="AK50" s="292"/>
      <c r="AL50" s="293"/>
      <c r="AM50" s="456"/>
      <c r="AN50" s="387"/>
      <c r="AO50" s="454"/>
      <c r="AP50" s="439"/>
      <c r="AQ50" s="440"/>
      <c r="AR50" s="424"/>
      <c r="AS50" s="453"/>
      <c r="AT50" s="156"/>
      <c r="AU50" s="295"/>
      <c r="AV50" s="16"/>
      <c r="AW50" s="20"/>
      <c r="AX50" s="16"/>
      <c r="AY50" s="20"/>
      <c r="AZ50" s="77"/>
      <c r="BA50" s="38"/>
      <c r="BB50" s="145"/>
      <c r="BC50" s="80"/>
      <c r="BD50" s="75"/>
      <c r="BE50" s="208"/>
      <c r="BF50" s="16"/>
      <c r="BG50" s="19"/>
      <c r="BH50" s="20"/>
      <c r="BI50" s="77"/>
      <c r="BJ50" s="38"/>
      <c r="BK50" s="145"/>
      <c r="BL50" s="80"/>
      <c r="BM50" s="75"/>
      <c r="BN50" s="208"/>
      <c r="BO50" s="16"/>
      <c r="BP50" s="19"/>
      <c r="BQ50" s="20"/>
      <c r="BR50" s="32"/>
      <c r="BS50" s="38"/>
      <c r="BT50" s="145"/>
      <c r="BU50" s="80"/>
      <c r="BV50" s="215"/>
      <c r="BX50" s="321"/>
      <c r="BY50" s="38"/>
    </row>
    <row r="51" spans="1:77" ht="15" customHeight="1" x14ac:dyDescent="0.2">
      <c r="A51" s="10" t="s">
        <v>92</v>
      </c>
      <c r="B51" s="56"/>
      <c r="C51" s="637" t="s">
        <v>2354</v>
      </c>
      <c r="D51" s="544">
        <v>477.1</v>
      </c>
      <c r="E51" s="107" t="s">
        <v>631</v>
      </c>
      <c r="F51" s="362"/>
      <c r="G51" s="62"/>
      <c r="H51" s="69"/>
      <c r="I51" s="74"/>
      <c r="J51" s="68"/>
      <c r="K51" s="69"/>
      <c r="L51" s="74"/>
      <c r="M51" s="93"/>
      <c r="N51" s="356"/>
      <c r="O51" s="923">
        <v>2013</v>
      </c>
      <c r="P51" s="93"/>
      <c r="Q51" s="354">
        <v>0.54932400000000003</v>
      </c>
      <c r="R51" s="923"/>
      <c r="S51" s="93"/>
      <c r="T51" s="354"/>
      <c r="U51" s="437"/>
      <c r="V51" s="437"/>
      <c r="W51" s="674">
        <f t="shared" si="1"/>
        <v>4.3945920000000002E-4</v>
      </c>
      <c r="X51" s="952">
        <f t="shared" si="2"/>
        <v>4.3945920000000002E-4</v>
      </c>
      <c r="Y51" s="53">
        <v>2013</v>
      </c>
      <c r="Z51" s="948"/>
      <c r="AA51" s="767">
        <f>Q51/1000</f>
        <v>5.4932400000000001E-4</v>
      </c>
      <c r="AB51" s="395">
        <v>-0.2</v>
      </c>
      <c r="AC51" s="443">
        <f t="shared" si="3"/>
        <v>-0.2</v>
      </c>
      <c r="AD51" s="387"/>
      <c r="AE51" s="439"/>
      <c r="AF51" s="387"/>
      <c r="AG51" s="439"/>
      <c r="AH51" s="440"/>
      <c r="AI51" s="424"/>
      <c r="AJ51" s="453"/>
      <c r="AK51" s="292"/>
      <c r="AL51" s="293"/>
      <c r="AM51" s="456"/>
      <c r="AN51" s="387"/>
      <c r="AO51" s="454"/>
      <c r="AP51" s="439"/>
      <c r="AQ51" s="440"/>
      <c r="AR51" s="424"/>
      <c r="AS51" s="453"/>
      <c r="AT51" s="156"/>
      <c r="AU51" s="295"/>
      <c r="AV51" s="16"/>
      <c r="AW51" s="20"/>
      <c r="AX51" s="16"/>
      <c r="AY51" s="20"/>
      <c r="AZ51" s="77"/>
      <c r="BA51" s="38"/>
      <c r="BB51" s="145"/>
      <c r="BC51" s="80"/>
      <c r="BD51" s="75"/>
      <c r="BE51" s="208"/>
      <c r="BF51" s="16"/>
      <c r="BG51" s="19"/>
      <c r="BH51" s="20"/>
      <c r="BI51" s="77"/>
      <c r="BJ51" s="38"/>
      <c r="BK51" s="145"/>
      <c r="BL51" s="80"/>
      <c r="BM51" s="75"/>
      <c r="BN51" s="208"/>
      <c r="BO51" s="16"/>
      <c r="BP51" s="19"/>
      <c r="BQ51" s="20"/>
      <c r="BR51" s="32"/>
      <c r="BS51" s="38"/>
      <c r="BT51" s="145"/>
      <c r="BU51" s="80"/>
      <c r="BV51" s="215"/>
      <c r="BX51" s="321"/>
      <c r="BY51" s="38"/>
    </row>
    <row r="52" spans="1:77" ht="15" customHeight="1" x14ac:dyDescent="0.2">
      <c r="A52" s="10" t="s">
        <v>92</v>
      </c>
      <c r="B52" s="629"/>
      <c r="C52" s="637" t="s">
        <v>671</v>
      </c>
      <c r="D52" s="544">
        <v>903.48500000000001</v>
      </c>
      <c r="E52" s="107" t="s">
        <v>631</v>
      </c>
      <c r="F52" s="362"/>
      <c r="G52" s="62"/>
      <c r="H52" s="69"/>
      <c r="I52" s="74">
        <v>2008</v>
      </c>
      <c r="J52" s="68"/>
      <c r="K52" s="69">
        <v>0.87536199999999997</v>
      </c>
      <c r="L52" s="74"/>
      <c r="M52" s="437"/>
      <c r="N52" s="356"/>
      <c r="O52" s="923"/>
      <c r="P52" s="437"/>
      <c r="Q52" s="356"/>
      <c r="R52" s="923"/>
      <c r="S52" s="437"/>
      <c r="T52" s="356"/>
      <c r="U52" s="437"/>
      <c r="V52" s="437"/>
      <c r="W52" s="674">
        <f t="shared" ref="W52" si="7">AA52*(1+AB52)</f>
        <v>7.0028959999999998E-4</v>
      </c>
      <c r="X52" s="952">
        <f t="shared" ref="X52" si="8">AA52*(1+AC52)</f>
        <v>7.0028959999999998E-4</v>
      </c>
      <c r="Y52" s="53">
        <v>2008</v>
      </c>
      <c r="Z52" s="948"/>
      <c r="AA52" s="767">
        <f t="shared" ref="AA52" si="9">K52/1000</f>
        <v>8.7536199999999997E-4</v>
      </c>
      <c r="AB52" s="395">
        <v>-0.2</v>
      </c>
      <c r="AC52" s="443">
        <f t="shared" ref="AC52" si="10">AB52</f>
        <v>-0.2</v>
      </c>
      <c r="AD52" s="387"/>
      <c r="AE52" s="439"/>
      <c r="AF52" s="387"/>
      <c r="AG52" s="439"/>
      <c r="AH52" s="440"/>
      <c r="AI52" s="424"/>
      <c r="AJ52" s="453"/>
      <c r="AK52" s="292"/>
      <c r="AL52" s="293"/>
      <c r="AM52" s="456"/>
      <c r="AN52" s="387"/>
      <c r="AO52" s="454"/>
      <c r="AP52" s="439"/>
      <c r="AQ52" s="440"/>
      <c r="AR52" s="424"/>
      <c r="AS52" s="453"/>
      <c r="AT52" s="156"/>
      <c r="AU52" s="295"/>
      <c r="AV52" s="16"/>
      <c r="AW52" s="20"/>
      <c r="AX52" s="16"/>
      <c r="AY52" s="20"/>
      <c r="AZ52" s="77"/>
      <c r="BA52" s="38"/>
      <c r="BB52" s="145"/>
      <c r="BC52" s="80"/>
      <c r="BD52" s="75"/>
      <c r="BE52" s="208"/>
      <c r="BF52" s="16"/>
      <c r="BG52" s="19"/>
      <c r="BH52" s="20"/>
      <c r="BI52" s="77"/>
      <c r="BJ52" s="38"/>
      <c r="BK52" s="145"/>
      <c r="BL52" s="80"/>
      <c r="BM52" s="75"/>
      <c r="BN52" s="208"/>
      <c r="BO52" s="16"/>
      <c r="BP52" s="19"/>
      <c r="BQ52" s="20"/>
      <c r="BR52" s="32"/>
      <c r="BS52" s="38"/>
      <c r="BT52" s="145"/>
      <c r="BU52" s="80"/>
      <c r="BV52" s="215"/>
      <c r="BX52" s="321"/>
      <c r="BY52" s="38"/>
    </row>
    <row r="53" spans="1:77" ht="15" customHeight="1" x14ac:dyDescent="0.2">
      <c r="A53" s="575" t="s">
        <v>93</v>
      </c>
      <c r="B53" s="56" t="s">
        <v>1606</v>
      </c>
      <c r="C53" s="637"/>
      <c r="D53" s="544">
        <v>23967.264999999999</v>
      </c>
      <c r="E53" s="95" t="s">
        <v>3340</v>
      </c>
      <c r="F53" s="362"/>
      <c r="G53" s="62">
        <v>8.6259999999999994</v>
      </c>
      <c r="H53" s="69">
        <v>6.8</v>
      </c>
      <c r="I53" s="74">
        <v>1994</v>
      </c>
      <c r="J53" s="68">
        <v>15.907</v>
      </c>
      <c r="K53" s="69">
        <v>8.1999999999999993</v>
      </c>
      <c r="L53" s="74"/>
      <c r="M53" s="68"/>
      <c r="N53" s="356"/>
      <c r="O53" s="1038">
        <v>2016</v>
      </c>
      <c r="P53" s="93"/>
      <c r="Q53" s="378">
        <v>35</v>
      </c>
      <c r="R53" s="923"/>
      <c r="S53" s="68"/>
      <c r="T53" s="356"/>
      <c r="U53" s="68"/>
      <c r="V53" s="68"/>
      <c r="W53" s="27"/>
      <c r="Y53" s="145"/>
      <c r="Z53" s="28"/>
      <c r="AA53" s="1067"/>
      <c r="AB53" s="80"/>
      <c r="AC53" s="209"/>
      <c r="AD53" s="919"/>
      <c r="AE53" s="47">
        <v>5.3999999999999999E-2</v>
      </c>
      <c r="AF53" s="78">
        <f>AE53-0.01</f>
        <v>4.3999999999999997E-2</v>
      </c>
      <c r="AG53" s="47">
        <f>AF53</f>
        <v>4.3999999999999997E-2</v>
      </c>
      <c r="AH53" s="262">
        <v>2025</v>
      </c>
      <c r="AI53" s="158"/>
      <c r="AJ53" s="541"/>
      <c r="AK53" s="1325">
        <f>-(AE53-AF53)/AE53</f>
        <v>-0.18518518518518523</v>
      </c>
      <c r="AL53" s="1326">
        <f>AK53</f>
        <v>-0.18518518518518523</v>
      </c>
      <c r="AM53" s="456"/>
      <c r="AN53" s="387"/>
      <c r="AO53" s="454"/>
      <c r="AP53" s="439"/>
      <c r="AQ53" s="440"/>
      <c r="AR53" s="441"/>
      <c r="AS53" s="453"/>
      <c r="AT53" s="292"/>
      <c r="AU53" s="293"/>
      <c r="AV53" s="16"/>
      <c r="AW53" s="20"/>
      <c r="AX53" s="16"/>
      <c r="AY53" s="20"/>
      <c r="AZ53" s="77"/>
      <c r="BA53" s="38"/>
      <c r="BB53" s="145"/>
      <c r="BC53" s="80"/>
      <c r="BD53" s="75"/>
      <c r="BE53" s="208"/>
      <c r="BF53" s="16"/>
      <c r="BG53" s="19"/>
      <c r="BH53" s="20"/>
      <c r="BI53" s="77"/>
      <c r="BJ53" s="38"/>
      <c r="BK53" s="145"/>
      <c r="BL53" s="80"/>
      <c r="BM53" s="75"/>
      <c r="BN53" s="208"/>
      <c r="BO53" s="16"/>
      <c r="BP53" s="19"/>
      <c r="BQ53" s="20"/>
      <c r="BR53" s="32"/>
      <c r="BS53" s="38"/>
      <c r="BT53" s="145"/>
      <c r="BU53" s="80"/>
      <c r="BV53" s="215"/>
      <c r="BX53" s="321"/>
      <c r="BY53" s="38"/>
    </row>
    <row r="54" spans="1:77" ht="15" customHeight="1" x14ac:dyDescent="0.2">
      <c r="A54" s="575" t="s">
        <v>95</v>
      </c>
      <c r="B54" s="56" t="s">
        <v>1606</v>
      </c>
      <c r="C54" s="637"/>
      <c r="D54" s="544">
        <v>2178.9670000000001</v>
      </c>
      <c r="E54" s="95" t="s">
        <v>3260</v>
      </c>
      <c r="F54" s="373">
        <v>1991</v>
      </c>
      <c r="G54" s="672">
        <v>-75.293000000000006</v>
      </c>
      <c r="H54" s="1292">
        <v>19.849</v>
      </c>
      <c r="I54" s="114"/>
      <c r="J54" s="93">
        <v>-93.628</v>
      </c>
      <c r="K54" s="346">
        <v>19.140999999999998</v>
      </c>
      <c r="L54" s="114"/>
      <c r="M54" s="93">
        <v>-86.724999999999994</v>
      </c>
      <c r="N54" s="93">
        <v>20.725999999999999</v>
      </c>
      <c r="O54" s="1038"/>
      <c r="P54" s="93">
        <v>-100.497</v>
      </c>
      <c r="Q54" s="378">
        <v>21.077999999999999</v>
      </c>
      <c r="R54" s="1038"/>
      <c r="S54" s="93"/>
      <c r="T54" s="378"/>
      <c r="U54" s="1510"/>
      <c r="V54" s="1276"/>
      <c r="W54" s="27"/>
      <c r="Y54" s="145"/>
      <c r="Z54" s="28"/>
      <c r="AA54" s="145"/>
      <c r="AB54" s="80"/>
      <c r="AC54" s="209"/>
      <c r="AD54" s="16"/>
      <c r="AE54" s="20"/>
      <c r="AF54" s="16"/>
      <c r="AG54" s="20"/>
      <c r="AH54" s="77"/>
      <c r="AI54" s="38"/>
      <c r="AJ54" s="145"/>
      <c r="AK54" s="80"/>
      <c r="AL54" s="215"/>
      <c r="AM54" s="207">
        <f>24.167/1000</f>
        <v>2.4167000000000001E-2</v>
      </c>
      <c r="AN54" s="47"/>
      <c r="AO54" s="78">
        <f>AR54*(1+AT54)</f>
        <v>2.0783619999999999E-2</v>
      </c>
      <c r="AP54" s="47">
        <f>AR54*(1+AU54)</f>
        <v>2.1750299999999992E-3</v>
      </c>
      <c r="AQ54" s="262">
        <v>2030</v>
      </c>
      <c r="AR54" s="48">
        <f>+AM54</f>
        <v>2.4167000000000001E-2</v>
      </c>
      <c r="AS54" s="1340"/>
      <c r="AT54" s="1325">
        <v>-0.14000000000000001</v>
      </c>
      <c r="AU54" s="1326">
        <v>-0.91</v>
      </c>
      <c r="AV54" s="16"/>
      <c r="AW54" s="20"/>
      <c r="AX54" s="16"/>
      <c r="AY54" s="20"/>
      <c r="AZ54" s="77"/>
      <c r="BA54" s="38"/>
      <c r="BB54" s="145"/>
      <c r="BC54" s="80"/>
      <c r="BD54" s="75"/>
      <c r="BE54" s="208"/>
      <c r="BF54" s="16"/>
      <c r="BG54" s="19"/>
      <c r="BH54" s="20"/>
      <c r="BI54" s="77"/>
      <c r="BJ54" s="38"/>
      <c r="BK54" s="145"/>
      <c r="BL54" s="80"/>
      <c r="BM54" s="75"/>
      <c r="BN54" s="208"/>
      <c r="BO54" s="16"/>
      <c r="BP54" s="19"/>
      <c r="BQ54" s="20"/>
      <c r="BR54" s="32"/>
      <c r="BS54" s="38"/>
      <c r="BT54" s="145"/>
      <c r="BU54" s="80"/>
      <c r="BV54" s="215"/>
      <c r="BX54" s="321"/>
      <c r="BY54" s="38"/>
    </row>
    <row r="55" spans="1:77" ht="15" customHeight="1" x14ac:dyDescent="0.2">
      <c r="A55" s="576" t="s">
        <v>172</v>
      </c>
      <c r="B55" s="56" t="s">
        <v>1606</v>
      </c>
      <c r="C55" s="637"/>
      <c r="D55" s="544">
        <v>15893.745999999999</v>
      </c>
      <c r="E55" s="95" t="s">
        <v>3329</v>
      </c>
      <c r="F55" s="373"/>
      <c r="G55" s="121">
        <v>9</v>
      </c>
      <c r="H55" s="346">
        <f>G55-6.10626</f>
        <v>2.8937400000000002</v>
      </c>
      <c r="I55" s="114">
        <v>2000</v>
      </c>
      <c r="J55" s="93">
        <v>30.800999999999998</v>
      </c>
      <c r="K55" s="346">
        <f>J55-17.132</f>
        <v>13.668999999999997</v>
      </c>
      <c r="L55" s="114">
        <v>2008</v>
      </c>
      <c r="M55" s="93">
        <v>35.9</v>
      </c>
      <c r="N55" s="93">
        <f>M55-12.675</f>
        <v>23.224999999999998</v>
      </c>
      <c r="O55" s="1038">
        <v>2014</v>
      </c>
      <c r="P55" s="437">
        <v>28.777298999999999</v>
      </c>
      <c r="Q55" s="378">
        <f>P55-24</f>
        <v>4.7772989999999993</v>
      </c>
      <c r="R55" s="923"/>
      <c r="S55" s="437"/>
      <c r="T55" s="356"/>
      <c r="U55" s="919"/>
      <c r="V55" s="47">
        <f>7.454/1000</f>
        <v>7.4539999999999997E-3</v>
      </c>
      <c r="W55" s="78">
        <f>6.617/1000</f>
        <v>6.6169999999999996E-3</v>
      </c>
      <c r="X55" s="47">
        <f>3.85/1000</f>
        <v>3.8500000000000001E-3</v>
      </c>
      <c r="Y55" s="262">
        <v>2025</v>
      </c>
      <c r="Z55" s="1364"/>
      <c r="AA55" s="48">
        <f>V55</f>
        <v>7.4539999999999997E-3</v>
      </c>
      <c r="AB55" s="1325">
        <f>-(V55-W55)/V55</f>
        <v>-0.11228870405151598</v>
      </c>
      <c r="AC55" s="1326">
        <f>-(V55-X55)/V55</f>
        <v>-0.48349879259458006</v>
      </c>
      <c r="AD55" s="919"/>
      <c r="AE55" s="47">
        <f>7.454/1000</f>
        <v>7.4539999999999997E-3</v>
      </c>
      <c r="AF55" s="78">
        <f>6.617/1000</f>
        <v>6.6169999999999996E-3</v>
      </c>
      <c r="AG55" s="47">
        <f>3.85/1000</f>
        <v>3.8500000000000001E-3</v>
      </c>
      <c r="AH55" s="262">
        <v>2025</v>
      </c>
      <c r="AI55" s="1364"/>
      <c r="AJ55" s="48">
        <f>AE55</f>
        <v>7.4539999999999997E-3</v>
      </c>
      <c r="AK55" s="1325">
        <f>-(AE55-AF55)/AE55</f>
        <v>-0.11228870405151598</v>
      </c>
      <c r="AL55" s="1326">
        <f>-(AE55-AG55)/AE55</f>
        <v>-0.48349879259458006</v>
      </c>
      <c r="AM55" s="456"/>
      <c r="AN55" s="47">
        <f>11.756/1000</f>
        <v>1.1756000000000001E-2</v>
      </c>
      <c r="AO55" s="78">
        <f>10.515/1000</f>
        <v>1.0515E-2</v>
      </c>
      <c r="AP55" s="47">
        <f>6.432/1000</f>
        <v>6.4320000000000002E-3</v>
      </c>
      <c r="AQ55" s="262">
        <v>2030</v>
      </c>
      <c r="AR55" s="48"/>
      <c r="AS55" s="48">
        <f>AN55</f>
        <v>1.1756000000000001E-2</v>
      </c>
      <c r="AT55" s="1325">
        <f>-(AN55-AO55)/AN55</f>
        <v>-0.10556311670636277</v>
      </c>
      <c r="AU55" s="1326">
        <f>-(AN55-AP55)/AN55</f>
        <v>-0.45287512759441989</v>
      </c>
      <c r="AV55" s="16"/>
      <c r="AW55" s="20"/>
      <c r="AX55" s="16"/>
      <c r="AY55" s="20"/>
      <c r="AZ55" s="77"/>
      <c r="BA55" s="38"/>
      <c r="BB55" s="145"/>
      <c r="BC55" s="80"/>
      <c r="BD55" s="75"/>
      <c r="BE55" s="208"/>
      <c r="BF55" s="16"/>
      <c r="BG55" s="19"/>
      <c r="BH55" s="20"/>
      <c r="BI55" s="77"/>
      <c r="BJ55" s="38"/>
      <c r="BK55" s="145"/>
      <c r="BL55" s="80"/>
      <c r="BM55" s="75"/>
      <c r="BN55" s="208"/>
      <c r="BO55" s="16"/>
      <c r="BP55" s="19"/>
      <c r="BQ55" s="20"/>
      <c r="BR55" s="32"/>
      <c r="BS55" s="38"/>
      <c r="BT55" s="145"/>
      <c r="BU55" s="80"/>
      <c r="BV55" s="215"/>
      <c r="BX55" s="321"/>
      <c r="BY55" s="38"/>
    </row>
    <row r="56" spans="1:77" ht="15" customHeight="1" x14ac:dyDescent="0.2">
      <c r="A56" s="10" t="s">
        <v>98</v>
      </c>
      <c r="B56" s="56" t="s">
        <v>1606</v>
      </c>
      <c r="C56" s="637"/>
      <c r="D56" s="544">
        <v>159707.78</v>
      </c>
      <c r="E56" s="95" t="s">
        <v>3279</v>
      </c>
      <c r="F56" s="373"/>
      <c r="G56" s="121">
        <v>229.04499999999999</v>
      </c>
      <c r="H56" s="346">
        <v>163.91</v>
      </c>
      <c r="I56" s="114"/>
      <c r="J56" s="93">
        <v>543.46</v>
      </c>
      <c r="K56" s="438">
        <v>548.79899999999998</v>
      </c>
      <c r="L56" s="114"/>
      <c r="M56" s="93">
        <v>591.375</v>
      </c>
      <c r="N56" s="437">
        <v>596.17100000000005</v>
      </c>
      <c r="O56" s="1038"/>
      <c r="P56" s="93">
        <v>671.81100000000004</v>
      </c>
      <c r="Q56" s="378">
        <v>676.64099999999996</v>
      </c>
      <c r="R56" s="1038">
        <v>2017</v>
      </c>
      <c r="S56" s="93">
        <v>673.64099999999996</v>
      </c>
      <c r="T56" s="378">
        <v>678.18399999999997</v>
      </c>
      <c r="U56" s="68"/>
      <c r="V56" s="68"/>
      <c r="W56" s="27"/>
      <c r="Y56" s="145"/>
      <c r="Z56" s="28"/>
      <c r="AA56" s="145"/>
      <c r="AB56" s="80"/>
      <c r="AC56" s="209"/>
      <c r="AD56" s="16"/>
      <c r="AE56" s="20"/>
      <c r="AF56" s="16"/>
      <c r="AG56" s="20"/>
      <c r="AH56" s="77"/>
      <c r="AI56" s="38"/>
      <c r="AJ56" s="145"/>
      <c r="AK56" s="80"/>
      <c r="AL56" s="215"/>
      <c r="AM56" s="207">
        <v>0.45300000000000001</v>
      </c>
      <c r="AN56" s="439"/>
      <c r="AO56" s="78">
        <f>AR56*(1+AT56)</f>
        <v>0.36240000000000006</v>
      </c>
      <c r="AP56" s="47">
        <f>AR56*(1+AU56)</f>
        <v>0.24009000000000003</v>
      </c>
      <c r="AQ56" s="262">
        <v>2030</v>
      </c>
      <c r="AR56" s="48">
        <f>AM56</f>
        <v>0.45300000000000001</v>
      </c>
      <c r="AS56" s="1340"/>
      <c r="AT56" s="1325">
        <v>-0.2</v>
      </c>
      <c r="AU56" s="1326">
        <v>-0.47</v>
      </c>
      <c r="AV56" s="16"/>
      <c r="AW56" s="20"/>
      <c r="AX56" s="16"/>
      <c r="AY56" s="20"/>
      <c r="AZ56" s="77"/>
      <c r="BA56" s="38"/>
      <c r="BB56" s="145"/>
      <c r="BC56" s="80"/>
      <c r="BD56" s="75"/>
      <c r="BE56" s="208"/>
      <c r="BF56" s="16"/>
      <c r="BG56" s="19"/>
      <c r="BH56" s="20"/>
      <c r="BI56" s="77"/>
      <c r="BJ56" s="38"/>
      <c r="BK56" s="145"/>
      <c r="BL56" s="80"/>
      <c r="BM56" s="75"/>
      <c r="BN56" s="208"/>
      <c r="BO56" s="16"/>
      <c r="BP56" s="19"/>
      <c r="BQ56" s="20"/>
      <c r="BR56" s="32"/>
      <c r="BS56" s="38"/>
      <c r="BT56" s="145"/>
      <c r="BU56" s="80"/>
      <c r="BV56" s="215"/>
      <c r="BX56" s="321"/>
      <c r="BY56" s="38"/>
    </row>
    <row r="57" spans="1:77" ht="15" customHeight="1" x14ac:dyDescent="0.2">
      <c r="A57" s="10" t="s">
        <v>98</v>
      </c>
      <c r="B57" s="107" t="s">
        <v>2448</v>
      </c>
      <c r="C57" s="637"/>
      <c r="D57" s="544">
        <v>3700</v>
      </c>
      <c r="E57" s="107" t="s">
        <v>371</v>
      </c>
      <c r="F57" s="362"/>
      <c r="G57" s="121"/>
      <c r="H57" s="346"/>
      <c r="I57" s="114"/>
      <c r="J57" s="93"/>
      <c r="K57" s="346"/>
      <c r="L57" s="13"/>
      <c r="M57" s="68"/>
      <c r="N57" s="356"/>
      <c r="O57" s="923"/>
      <c r="P57" s="68"/>
      <c r="Q57" s="356"/>
      <c r="R57" s="923"/>
      <c r="S57" s="68"/>
      <c r="T57" s="356"/>
      <c r="U57" s="68"/>
      <c r="V57" s="68"/>
      <c r="W57" s="27"/>
      <c r="Y57" s="145"/>
      <c r="Z57" s="28"/>
      <c r="AA57" s="145"/>
      <c r="AB57" s="80"/>
      <c r="AC57" s="209"/>
      <c r="AD57" s="16"/>
      <c r="AE57" s="20"/>
      <c r="AF57" s="16"/>
      <c r="AG57" s="20"/>
      <c r="AH57" s="77"/>
      <c r="AI57" s="38"/>
      <c r="AJ57" s="145"/>
      <c r="AK57" s="80"/>
      <c r="AL57" s="215"/>
      <c r="AM57" s="456"/>
      <c r="AN57" s="387"/>
      <c r="AO57" s="454"/>
      <c r="AP57" s="439"/>
      <c r="AQ57" s="440"/>
      <c r="AR57" s="424"/>
      <c r="AS57" s="453"/>
      <c r="AT57" s="292">
        <v>-0.2</v>
      </c>
      <c r="AU57" s="293">
        <v>-0.2</v>
      </c>
      <c r="AV57" s="16"/>
      <c r="AW57" s="20"/>
      <c r="AX57" s="16"/>
      <c r="AY57" s="20"/>
      <c r="AZ57" s="77"/>
      <c r="BA57" s="38"/>
      <c r="BB57" s="145"/>
      <c r="BC57" s="80"/>
      <c r="BD57" s="75"/>
      <c r="BE57" s="208"/>
      <c r="BF57" s="16"/>
      <c r="BG57" s="19"/>
      <c r="BH57" s="20"/>
      <c r="BI57" s="77"/>
      <c r="BJ57" s="38"/>
      <c r="BK57" s="145"/>
      <c r="BL57" s="80"/>
      <c r="BM57" s="75"/>
      <c r="BN57" s="208"/>
      <c r="BO57" s="16"/>
      <c r="BP57" s="19"/>
      <c r="BQ57" s="20"/>
      <c r="BR57" s="32"/>
      <c r="BS57" s="38"/>
      <c r="BT57" s="145"/>
      <c r="BU57" s="80">
        <v>-0.8</v>
      </c>
      <c r="BV57" s="215">
        <v>-0.95</v>
      </c>
      <c r="BX57" s="321"/>
      <c r="BY57" s="38"/>
    </row>
    <row r="58" spans="1:77" ht="15" customHeight="1" x14ac:dyDescent="0.2">
      <c r="A58" s="10" t="s">
        <v>98</v>
      </c>
      <c r="B58" s="107"/>
      <c r="C58" s="637" t="s">
        <v>3315</v>
      </c>
      <c r="D58" s="544">
        <v>21000</v>
      </c>
      <c r="E58" s="107" t="s">
        <v>387</v>
      </c>
      <c r="F58" s="362"/>
      <c r="G58" s="121"/>
      <c r="H58" s="346"/>
      <c r="I58" s="114"/>
      <c r="J58" s="93"/>
      <c r="K58" s="346"/>
      <c r="L58" s="13"/>
      <c r="M58" s="68"/>
      <c r="N58" s="356"/>
      <c r="O58" s="923"/>
      <c r="P58" s="68"/>
      <c r="Q58" s="356">
        <v>26.349727999999999</v>
      </c>
      <c r="R58" s="923"/>
      <c r="S58" s="68"/>
      <c r="T58" s="356"/>
      <c r="U58" s="68"/>
      <c r="V58" s="68"/>
      <c r="W58" s="27"/>
      <c r="Y58" s="145"/>
      <c r="Z58" s="28"/>
      <c r="AA58" s="145"/>
      <c r="AB58" s="80"/>
      <c r="AC58" s="209"/>
      <c r="AD58" s="16"/>
      <c r="AE58" s="20"/>
      <c r="AF58" s="16"/>
      <c r="AG58" s="20"/>
      <c r="AH58" s="77"/>
      <c r="AI58" s="38"/>
      <c r="AJ58" s="145"/>
      <c r="AK58" s="80"/>
      <c r="AL58" s="215"/>
      <c r="AM58" s="456"/>
      <c r="AN58" s="387"/>
      <c r="AO58" s="454"/>
      <c r="AP58" s="439"/>
      <c r="AQ58" s="440"/>
      <c r="AR58" s="424"/>
      <c r="AS58" s="453"/>
      <c r="AT58" s="292"/>
      <c r="AU58" s="293"/>
      <c r="AV58" s="16"/>
      <c r="AW58" s="20"/>
      <c r="AX58" s="16"/>
      <c r="AY58" s="20"/>
      <c r="AZ58" s="77"/>
      <c r="BA58" s="38"/>
      <c r="BB58" s="145"/>
      <c r="BC58" s="80"/>
      <c r="BD58" s="75"/>
      <c r="BE58" s="208"/>
      <c r="BF58" s="16"/>
      <c r="BG58" s="19"/>
      <c r="BH58" s="20"/>
      <c r="BI58" s="77"/>
      <c r="BJ58" s="38"/>
      <c r="BK58" s="145"/>
      <c r="BL58" s="80"/>
      <c r="BM58" s="75"/>
      <c r="BN58" s="208"/>
      <c r="BO58" s="16"/>
      <c r="BP58" s="19">
        <v>0</v>
      </c>
      <c r="BQ58" s="20">
        <v>0</v>
      </c>
      <c r="BR58" s="32"/>
      <c r="BS58" s="38"/>
      <c r="BT58" s="145"/>
      <c r="BU58" s="80">
        <v>-1</v>
      </c>
      <c r="BV58" s="215">
        <v>-1</v>
      </c>
      <c r="BX58" s="321"/>
      <c r="BY58" s="38"/>
    </row>
    <row r="59" spans="1:77" ht="15" customHeight="1" x14ac:dyDescent="0.2">
      <c r="A59" s="576" t="s">
        <v>173</v>
      </c>
      <c r="B59" s="56" t="s">
        <v>1606</v>
      </c>
      <c r="C59" s="637"/>
      <c r="D59" s="544">
        <v>10836.732</v>
      </c>
      <c r="E59" s="95" t="s">
        <v>2948</v>
      </c>
      <c r="F59" s="373">
        <v>2002</v>
      </c>
      <c r="G59" s="121">
        <v>-4.5999999999999996</v>
      </c>
      <c r="H59" s="346">
        <v>2.4</v>
      </c>
      <c r="I59" s="1321"/>
      <c r="J59" s="93">
        <v>-3.5346000000000002</v>
      </c>
      <c r="K59" s="346">
        <v>5.0103999999999997</v>
      </c>
      <c r="L59" s="565"/>
      <c r="M59" s="93">
        <v>-4.6322599999999996</v>
      </c>
      <c r="N59" s="93">
        <v>6.3371899999999997</v>
      </c>
      <c r="O59" s="1038"/>
      <c r="P59" s="93">
        <v>-3.7690899999999998</v>
      </c>
      <c r="Q59" s="1308">
        <v>5.3</v>
      </c>
      <c r="R59" s="923"/>
      <c r="S59" s="68"/>
      <c r="T59" s="356"/>
      <c r="U59" s="68"/>
      <c r="V59" s="68"/>
      <c r="W59" s="27"/>
      <c r="Y59" s="145"/>
      <c r="Z59" s="28"/>
      <c r="AA59" s="145"/>
      <c r="AB59" s="80"/>
      <c r="AC59" s="209"/>
      <c r="AD59" s="919"/>
      <c r="AE59" s="1322">
        <f>+AJ59</f>
        <v>9.6100000000000005E-3</v>
      </c>
      <c r="AF59" s="1323">
        <f>AJ59*(1+AK59)</f>
        <v>8.2646000000000004E-3</v>
      </c>
      <c r="AG59" s="1322">
        <f>AJ59*(1+AL59)</f>
        <v>6.6308999999999995E-3</v>
      </c>
      <c r="AH59" s="262">
        <v>2025</v>
      </c>
      <c r="AI59" s="158"/>
      <c r="AJ59" s="1324">
        <v>9.6100000000000005E-3</v>
      </c>
      <c r="AK59" s="1325">
        <v>-0.14000000000000001</v>
      </c>
      <c r="AL59" s="1326">
        <v>-0.31</v>
      </c>
      <c r="AM59" s="456"/>
      <c r="AN59" s="1322">
        <f>+AS59</f>
        <v>1.206E-2</v>
      </c>
      <c r="AO59" s="1323">
        <f>AS59*(1+AT59)</f>
        <v>1.0130399999999999E-2</v>
      </c>
      <c r="AP59" s="1322">
        <f>AS59*(1+AU59)</f>
        <v>7.4771999999999998E-3</v>
      </c>
      <c r="AQ59" s="262">
        <v>2030</v>
      </c>
      <c r="AR59" s="158"/>
      <c r="AS59" s="1324">
        <v>1.206E-2</v>
      </c>
      <c r="AT59" s="1325">
        <v>-0.16</v>
      </c>
      <c r="AU59" s="1326">
        <v>-0.38</v>
      </c>
      <c r="AV59" s="16"/>
      <c r="AW59" s="20"/>
      <c r="AX59" s="16"/>
      <c r="AY59" s="20"/>
      <c r="AZ59" s="77"/>
      <c r="BA59" s="38"/>
      <c r="BB59" s="145"/>
      <c r="BC59" s="80"/>
      <c r="BD59" s="75"/>
      <c r="BE59" s="208"/>
      <c r="BF59" s="16"/>
      <c r="BG59" s="19"/>
      <c r="BH59" s="20"/>
      <c r="BI59" s="77"/>
      <c r="BJ59" s="38"/>
      <c r="BK59" s="145"/>
      <c r="BL59" s="80"/>
      <c r="BM59" s="75"/>
      <c r="BN59" s="208"/>
      <c r="BO59" s="16"/>
      <c r="BP59" s="19"/>
      <c r="BQ59" s="20"/>
      <c r="BR59" s="32"/>
      <c r="BS59" s="38"/>
      <c r="BT59" s="145"/>
      <c r="BU59" s="80"/>
      <c r="BV59" s="215"/>
      <c r="BX59" s="321"/>
      <c r="BY59" s="38"/>
    </row>
    <row r="60" spans="1:77" ht="15" customHeight="1" x14ac:dyDescent="0.2">
      <c r="A60" s="576" t="s">
        <v>201</v>
      </c>
      <c r="B60" s="56" t="s">
        <v>1606</v>
      </c>
      <c r="C60" s="637"/>
      <c r="D60" s="544">
        <v>178.22800000000001</v>
      </c>
      <c r="E60" s="95" t="s">
        <v>3257</v>
      </c>
      <c r="F60" s="362">
        <v>1998</v>
      </c>
      <c r="G60" s="63">
        <v>-0.26869999999999999</v>
      </c>
      <c r="H60" s="17">
        <v>8.9300000000000004E-2</v>
      </c>
      <c r="I60" s="74"/>
      <c r="J60" s="167">
        <f>-0.2775</f>
        <v>-0.27750000000000002</v>
      </c>
      <c r="K60" s="1254">
        <f>0.1035</f>
        <v>0.10349999999999999</v>
      </c>
      <c r="L60" s="74">
        <v>2012</v>
      </c>
      <c r="M60" s="71">
        <v>-0.16750000000000001</v>
      </c>
      <c r="N60" s="71">
        <v>0.15909999999999999</v>
      </c>
      <c r="O60" s="923"/>
      <c r="P60" s="68"/>
      <c r="Q60" s="356"/>
      <c r="R60" s="923"/>
      <c r="S60" s="68"/>
      <c r="T60" s="356"/>
      <c r="U60" s="68"/>
      <c r="V60" s="68"/>
      <c r="W60" s="27"/>
      <c r="Y60" s="145"/>
      <c r="Z60" s="28"/>
      <c r="AA60" s="145"/>
      <c r="AB60" s="80"/>
      <c r="AC60" s="209"/>
      <c r="AD60" s="16"/>
      <c r="AE60" s="20"/>
      <c r="AF60" s="16"/>
      <c r="AG60" s="20"/>
      <c r="AH60" s="77"/>
      <c r="AI60" s="38"/>
      <c r="AJ60" s="145"/>
      <c r="AK60" s="80"/>
      <c r="AL60" s="215"/>
      <c r="AM60" s="509"/>
      <c r="AN60" s="508"/>
      <c r="AO60" s="1471">
        <f>AP60</f>
        <v>3.1389999999999999E-4</v>
      </c>
      <c r="AP60" s="1472">
        <f>AS60*(1+AU60)</f>
        <v>3.1389999999999999E-4</v>
      </c>
      <c r="AQ60" s="262">
        <v>2030</v>
      </c>
      <c r="AR60" s="1364"/>
      <c r="AS60" s="1473">
        <f>0.43/1000</f>
        <v>4.2999999999999999E-4</v>
      </c>
      <c r="AT60" s="1325">
        <v>-0.27</v>
      </c>
      <c r="AU60" s="1326">
        <f>AT60</f>
        <v>-0.27</v>
      </c>
      <c r="AV60" s="16"/>
      <c r="AW60" s="20"/>
      <c r="AX60" s="16"/>
      <c r="AY60" s="20"/>
      <c r="AZ60" s="77"/>
      <c r="BA60" s="38"/>
      <c r="BB60" s="145"/>
      <c r="BC60" s="80"/>
      <c r="BD60" s="75"/>
      <c r="BE60" s="208"/>
      <c r="BF60" s="16"/>
      <c r="BG60" s="19"/>
      <c r="BH60" s="20"/>
      <c r="BI60" s="77"/>
      <c r="BJ60" s="38"/>
      <c r="BK60" s="145"/>
      <c r="BL60" s="80"/>
      <c r="BM60" s="75"/>
      <c r="BN60" s="208"/>
      <c r="BO60" s="16"/>
      <c r="BP60" s="19"/>
      <c r="BQ60" s="20"/>
      <c r="BR60" s="32"/>
      <c r="BS60" s="38"/>
      <c r="BT60" s="145"/>
      <c r="BU60" s="80"/>
      <c r="BV60" s="215"/>
      <c r="BX60" s="321"/>
      <c r="BY60" s="38"/>
    </row>
    <row r="61" spans="1:77" ht="15" customHeight="1" x14ac:dyDescent="0.2">
      <c r="A61" s="575" t="s">
        <v>107</v>
      </c>
      <c r="B61" s="56" t="s">
        <v>1606</v>
      </c>
      <c r="C61" s="637"/>
      <c r="D61" s="544">
        <v>12950.564</v>
      </c>
      <c r="E61" s="95" t="s">
        <v>3181</v>
      </c>
      <c r="F61" s="362">
        <v>1994</v>
      </c>
      <c r="G61" s="62">
        <f>H61-5.997</f>
        <v>3.3209</v>
      </c>
      <c r="H61" s="69">
        <v>9.3178999999999998</v>
      </c>
      <c r="I61" s="74"/>
      <c r="J61" s="68">
        <f>K61-11.434</f>
        <v>1.6358300000000003</v>
      </c>
      <c r="K61" s="69">
        <f>5.07839+6.24523+1.74621</f>
        <v>13.06983</v>
      </c>
      <c r="L61" s="74"/>
      <c r="M61" s="72">
        <v>3.9249999999999998</v>
      </c>
      <c r="N61" s="72">
        <v>16.751999999999999</v>
      </c>
      <c r="O61" s="923"/>
      <c r="P61" s="437"/>
      <c r="Q61" s="471"/>
      <c r="R61" s="923"/>
      <c r="S61" s="437"/>
      <c r="T61" s="471"/>
      <c r="U61" s="437"/>
      <c r="V61" s="437">
        <v>22.4</v>
      </c>
      <c r="W61" s="454">
        <f>AA61*(1+AB61)</f>
        <v>2.1728000000000001E-2</v>
      </c>
      <c r="X61" s="439">
        <f>AA61*(1+AC61)</f>
        <v>2.0832E-2</v>
      </c>
      <c r="Y61" s="497">
        <v>2020</v>
      </c>
      <c r="Z61" s="439"/>
      <c r="AA61" s="424">
        <f>V61/1000</f>
        <v>2.24E-2</v>
      </c>
      <c r="AB61" s="292">
        <v>-0.03</v>
      </c>
      <c r="AC61" s="284">
        <v>-7.0000000000000007E-2</v>
      </c>
      <c r="AD61" s="207"/>
      <c r="AE61" s="47">
        <f>29.6/1000</f>
        <v>2.9600000000000001E-2</v>
      </c>
      <c r="AF61" s="78">
        <f>AJ61*(1+AK61)</f>
        <v>2.8119999999999999E-2</v>
      </c>
      <c r="AG61" s="47">
        <f>AJ61*(1+AL61)</f>
        <v>2.2584800000000002E-2</v>
      </c>
      <c r="AH61" s="262">
        <v>2025</v>
      </c>
      <c r="AI61" s="1364"/>
      <c r="AJ61" s="48">
        <f>AE61</f>
        <v>2.9600000000000001E-2</v>
      </c>
      <c r="AK61" s="1345">
        <v>-0.05</v>
      </c>
      <c r="AL61" s="1346">
        <v>-0.23699999999999999</v>
      </c>
      <c r="AM61" s="207"/>
      <c r="AN61" s="1322">
        <f>37.761/1000</f>
        <v>3.7761000000000003E-2</v>
      </c>
      <c r="AO61" s="78">
        <f>AS61*(1+AT61)</f>
        <v>3.511773E-2</v>
      </c>
      <c r="AP61" s="47">
        <f>AS61*(1+AU61)</f>
        <v>2.6621505000000004E-2</v>
      </c>
      <c r="AQ61" s="262">
        <v>2030</v>
      </c>
      <c r="AR61" s="48"/>
      <c r="AS61" s="48">
        <f>+AN61</f>
        <v>3.7761000000000003E-2</v>
      </c>
      <c r="AT61" s="1345">
        <v>-7.0000000000000007E-2</v>
      </c>
      <c r="AU61" s="1346">
        <v>-0.29499999999999998</v>
      </c>
      <c r="AV61" s="16"/>
      <c r="AW61" s="20"/>
      <c r="AX61" s="16"/>
      <c r="AY61" s="20"/>
      <c r="AZ61" s="77"/>
      <c r="BA61" s="38"/>
      <c r="BB61" s="145"/>
      <c r="BC61" s="80"/>
      <c r="BD61" s="75"/>
      <c r="BE61" s="208"/>
      <c r="BF61" s="16"/>
      <c r="BG61" s="19"/>
      <c r="BH61" s="20"/>
      <c r="BI61" s="77"/>
      <c r="BJ61" s="38"/>
      <c r="BK61" s="145"/>
      <c r="BL61" s="80"/>
      <c r="BM61" s="75"/>
      <c r="BN61" s="208"/>
      <c r="BO61" s="16"/>
      <c r="BP61" s="19"/>
      <c r="BQ61" s="20"/>
      <c r="BR61" s="32"/>
      <c r="BS61" s="38"/>
      <c r="BT61" s="145"/>
      <c r="BU61" s="80"/>
      <c r="BV61" s="215"/>
      <c r="BX61" s="321"/>
      <c r="BY61" s="38"/>
    </row>
    <row r="62" spans="1:77" ht="15" customHeight="1" x14ac:dyDescent="0.2">
      <c r="A62" s="95" t="s">
        <v>234</v>
      </c>
      <c r="B62" s="56" t="s">
        <v>1606</v>
      </c>
      <c r="C62" s="637"/>
      <c r="D62" s="544">
        <v>91.207999999999998</v>
      </c>
      <c r="E62" s="107" t="s">
        <v>3259</v>
      </c>
      <c r="F62" s="362"/>
      <c r="G62" s="512">
        <f>0.12979-0.845</f>
        <v>-0.71521000000000001</v>
      </c>
      <c r="H62" s="18">
        <v>0.12978999999999999</v>
      </c>
      <c r="I62" s="74"/>
      <c r="J62" s="167">
        <f>0.310816-0.81378</f>
        <v>-0.50296399999999997</v>
      </c>
      <c r="K62" s="18">
        <v>0.31081599999999998</v>
      </c>
      <c r="L62" s="74"/>
      <c r="M62" s="511">
        <f>0.379997-0.805642</f>
        <v>-0.425645</v>
      </c>
      <c r="N62" s="375">
        <v>0.37999699999999997</v>
      </c>
      <c r="O62" s="923"/>
      <c r="P62" s="511"/>
      <c r="Q62" s="375"/>
      <c r="R62" s="923"/>
      <c r="S62" s="511"/>
      <c r="T62" s="375"/>
      <c r="U62" s="167">
        <f>0.587697-0.78961</f>
        <v>-0.20191300000000001</v>
      </c>
      <c r="V62" s="167">
        <f>0.587697</f>
        <v>0.58769700000000002</v>
      </c>
      <c r="W62" s="27"/>
      <c r="Y62" s="145"/>
      <c r="Z62" s="28"/>
      <c r="AA62" s="145"/>
      <c r="AB62" s="80"/>
      <c r="AC62" s="209"/>
      <c r="AD62" s="508"/>
      <c r="AE62" s="510"/>
      <c r="AF62" s="508"/>
      <c r="AG62" s="510"/>
      <c r="AH62" s="440"/>
      <c r="AI62" s="475"/>
      <c r="AJ62" s="145"/>
      <c r="AK62" s="80"/>
      <c r="AL62" s="215"/>
      <c r="AM62" s="1475">
        <f>817/1000000</f>
        <v>8.1700000000000002E-4</v>
      </c>
      <c r="AN62" s="1472"/>
      <c r="AO62" s="1471">
        <f>AR62-293.8/1000000</f>
        <v>5.2320000000000003E-4</v>
      </c>
      <c r="AP62" s="1472">
        <f>AO62</f>
        <v>5.2320000000000003E-4</v>
      </c>
      <c r="AQ62" s="262">
        <v>2030</v>
      </c>
      <c r="AR62" s="1473">
        <f>AM62</f>
        <v>8.1700000000000002E-4</v>
      </c>
      <c r="AS62" s="453"/>
      <c r="AT62" s="292"/>
      <c r="AU62" s="293"/>
      <c r="AV62" s="16"/>
      <c r="AW62" s="20"/>
      <c r="AX62" s="16"/>
      <c r="AY62" s="20"/>
      <c r="AZ62" s="77"/>
      <c r="BA62" s="38"/>
      <c r="BB62" s="145"/>
      <c r="BC62" s="80"/>
      <c r="BD62" s="75"/>
      <c r="BE62" s="208"/>
      <c r="BF62" s="16"/>
      <c r="BG62" s="19"/>
      <c r="BH62" s="20"/>
      <c r="BI62" s="77"/>
      <c r="BJ62" s="38"/>
      <c r="BK62" s="145"/>
      <c r="BL62" s="80"/>
      <c r="BM62" s="75"/>
      <c r="BN62" s="208"/>
      <c r="BO62" s="16"/>
      <c r="BP62" s="19"/>
      <c r="BQ62" s="20"/>
      <c r="BR62" s="32"/>
      <c r="BS62" s="38"/>
      <c r="BT62" s="145"/>
      <c r="BU62" s="80"/>
      <c r="BV62" s="215"/>
      <c r="BX62" s="321"/>
      <c r="BY62" s="38"/>
    </row>
    <row r="63" spans="1:77" ht="15" customHeight="1" x14ac:dyDescent="0.2">
      <c r="A63" s="95" t="s">
        <v>174</v>
      </c>
      <c r="B63" s="56" t="s">
        <v>1606</v>
      </c>
      <c r="C63" s="637"/>
      <c r="D63" s="544">
        <v>5751.9759999999997</v>
      </c>
      <c r="E63" s="95" t="s">
        <v>3265</v>
      </c>
      <c r="F63" s="373">
        <v>1990</v>
      </c>
      <c r="G63" s="62">
        <f>H63-0.36</f>
        <v>5.0422629999999993</v>
      </c>
      <c r="H63" s="69">
        <v>5.4022629999999996</v>
      </c>
      <c r="I63" s="74"/>
      <c r="J63" s="68"/>
      <c r="K63" s="69">
        <v>20.340199999999999</v>
      </c>
      <c r="L63" s="74"/>
      <c r="M63" s="68"/>
      <c r="N63" s="68">
        <v>14.93839</v>
      </c>
      <c r="O63" s="923">
        <v>2013</v>
      </c>
      <c r="P63" s="68"/>
      <c r="Q63" s="356">
        <v>27.6785</v>
      </c>
      <c r="R63" s="923"/>
      <c r="S63" s="68"/>
      <c r="T63" s="356"/>
      <c r="U63" s="68">
        <v>5.2389999999999999</v>
      </c>
      <c r="V63" s="68"/>
      <c r="W63" s="27"/>
      <c r="Y63" s="145"/>
      <c r="Z63" s="28"/>
      <c r="AA63" s="145"/>
      <c r="AB63" s="80"/>
      <c r="AC63" s="209"/>
      <c r="AD63" s="207">
        <f>95.72/1000</f>
        <v>9.572E-2</v>
      </c>
      <c r="AE63" s="47"/>
      <c r="AF63" s="78">
        <f>AI63*(1+AK63)</f>
        <v>9.0934000000000001E-2</v>
      </c>
      <c r="AG63" s="47">
        <f>AI63*(1+AL63)</f>
        <v>9.0934000000000001E-2</v>
      </c>
      <c r="AH63" s="262">
        <v>2025</v>
      </c>
      <c r="AI63" s="48">
        <f>AD63</f>
        <v>9.572E-2</v>
      </c>
      <c r="AJ63" s="1340"/>
      <c r="AK63" s="1325">
        <v>-0.05</v>
      </c>
      <c r="AL63" s="1326">
        <f>AK63</f>
        <v>-0.05</v>
      </c>
      <c r="AM63" s="207">
        <f>125.028/1000</f>
        <v>0.125028</v>
      </c>
      <c r="AN63" s="47"/>
      <c r="AO63" s="78">
        <f>AR63*(1+AT63)</f>
        <v>0.11252520000000001</v>
      </c>
      <c r="AP63" s="47">
        <f>AR63*(1+AU63)</f>
        <v>0.11252520000000001</v>
      </c>
      <c r="AQ63" s="262">
        <v>2030</v>
      </c>
      <c r="AR63" s="48">
        <f>+AM63</f>
        <v>0.125028</v>
      </c>
      <c r="AS63" s="1340"/>
      <c r="AT63" s="1325">
        <v>-0.1</v>
      </c>
      <c r="AU63" s="1326">
        <f>AT63</f>
        <v>-0.1</v>
      </c>
      <c r="AV63" s="16"/>
      <c r="AW63" s="20"/>
      <c r="AX63" s="16"/>
      <c r="AY63" s="20"/>
      <c r="AZ63" s="77"/>
      <c r="BA63" s="38"/>
      <c r="BB63" s="145"/>
      <c r="BC63" s="80"/>
      <c r="BD63" s="75"/>
      <c r="BE63" s="208"/>
      <c r="BF63" s="16"/>
      <c r="BG63" s="19"/>
      <c r="BH63" s="20"/>
      <c r="BI63" s="77"/>
      <c r="BJ63" s="38"/>
      <c r="BK63" s="145"/>
      <c r="BL63" s="80"/>
      <c r="BM63" s="75"/>
      <c r="BN63" s="208"/>
      <c r="BO63" s="16"/>
      <c r="BP63" s="19"/>
      <c r="BQ63" s="20"/>
      <c r="BR63" s="32"/>
      <c r="BS63" s="38"/>
      <c r="BT63" s="145"/>
      <c r="BU63" s="80"/>
      <c r="BV63" s="215"/>
      <c r="BX63" s="321"/>
      <c r="BY63" s="38"/>
    </row>
    <row r="64" spans="1:77" ht="15" customHeight="1" x14ac:dyDescent="0.2">
      <c r="A64" s="95" t="s">
        <v>203</v>
      </c>
      <c r="B64" s="56" t="s">
        <v>1606</v>
      </c>
      <c r="C64" s="637"/>
      <c r="D64" s="544">
        <v>9636.1730000000007</v>
      </c>
      <c r="E64" s="95" t="s">
        <v>3266</v>
      </c>
      <c r="F64" s="373"/>
      <c r="G64" s="121">
        <v>17.953410000000002</v>
      </c>
      <c r="H64" s="346">
        <f>G64</f>
        <v>17.953410000000002</v>
      </c>
      <c r="I64" s="114"/>
      <c r="J64" s="93">
        <v>21.219930000000002</v>
      </c>
      <c r="K64" s="346">
        <f>J64</f>
        <v>21.219930000000002</v>
      </c>
      <c r="L64" s="114"/>
      <c r="M64" s="93">
        <v>21.46181</v>
      </c>
      <c r="N64" s="93">
        <f>M64</f>
        <v>21.46181</v>
      </c>
      <c r="O64" s="1038"/>
      <c r="P64" s="93">
        <f>1.65821+0.69669+61.86575</f>
        <v>64.220649999999992</v>
      </c>
      <c r="Q64" s="378">
        <f>P64-36.05393</f>
        <v>28.166719999999991</v>
      </c>
      <c r="R64" s="923"/>
      <c r="S64" s="93"/>
      <c r="T64" s="356"/>
      <c r="U64" s="68"/>
      <c r="V64" s="68"/>
      <c r="W64" s="27"/>
      <c r="Y64" s="145"/>
      <c r="Z64" s="28"/>
      <c r="AA64" s="145"/>
      <c r="AB64" s="80"/>
      <c r="AC64" s="209"/>
      <c r="AD64" s="16"/>
      <c r="AE64" s="20"/>
      <c r="AF64" s="16"/>
      <c r="AG64" s="20"/>
      <c r="AH64" s="77"/>
      <c r="AI64" s="38"/>
      <c r="AJ64" s="145"/>
      <c r="AK64" s="80"/>
      <c r="AL64" s="215"/>
      <c r="AM64" s="207"/>
      <c r="AN64" s="47">
        <f>107.4/1000</f>
        <v>0.10740000000000001</v>
      </c>
      <c r="AO64" s="78">
        <f>AN64*(1+AT64)</f>
        <v>7.5179999999999997E-2</v>
      </c>
      <c r="AP64" s="47">
        <f>AN64*(1+AU64)</f>
        <v>7.5179999999999997E-2</v>
      </c>
      <c r="AQ64" s="262">
        <v>2030</v>
      </c>
      <c r="AR64" s="1364"/>
      <c r="AS64" s="1396">
        <f>+AN64</f>
        <v>0.10740000000000001</v>
      </c>
      <c r="AT64" s="1325">
        <v>-0.3</v>
      </c>
      <c r="AU64" s="1326">
        <f>AT64</f>
        <v>-0.3</v>
      </c>
      <c r="AV64" s="16"/>
      <c r="AW64" s="20"/>
      <c r="AX64" s="16"/>
      <c r="AY64" s="20"/>
      <c r="AZ64" s="77"/>
      <c r="BA64" s="38"/>
      <c r="BB64" s="145"/>
      <c r="BC64" s="80"/>
      <c r="BD64" s="75"/>
      <c r="BE64" s="208"/>
      <c r="BF64" s="16"/>
      <c r="BG64" s="19"/>
      <c r="BH64" s="20"/>
      <c r="BI64" s="77"/>
      <c r="BJ64" s="38"/>
      <c r="BK64" s="145"/>
      <c r="BL64" s="80"/>
      <c r="BM64" s="75"/>
      <c r="BN64" s="208"/>
      <c r="BO64" s="16"/>
      <c r="BP64" s="19"/>
      <c r="BQ64" s="20"/>
      <c r="BR64" s="32"/>
      <c r="BS64" s="38"/>
      <c r="BT64" s="145"/>
      <c r="BU64" s="80"/>
      <c r="BV64" s="215"/>
      <c r="BX64" s="321"/>
      <c r="BY64" s="38"/>
    </row>
    <row r="65" spans="1:77" s="14" customFormat="1" ht="15" customHeight="1" x14ac:dyDescent="0.2">
      <c r="A65" s="56" t="s">
        <v>110</v>
      </c>
      <c r="B65" s="56" t="s">
        <v>1606</v>
      </c>
      <c r="C65" s="637"/>
      <c r="D65" s="545">
        <v>51452.351999999999</v>
      </c>
      <c r="E65" s="140" t="s">
        <v>3280</v>
      </c>
      <c r="F65" s="373"/>
      <c r="G65" s="1327">
        <v>330.36698999999999</v>
      </c>
      <c r="H65" s="656">
        <v>347.34935999999999</v>
      </c>
      <c r="I65" s="1316"/>
      <c r="J65" s="1327">
        <v>485.4006</v>
      </c>
      <c r="K65" s="1327">
        <v>484.91149999999999</v>
      </c>
      <c r="L65" s="1316"/>
      <c r="M65" s="1327">
        <v>511.20280000000002</v>
      </c>
      <c r="N65" s="1327">
        <v>521.83920000000001</v>
      </c>
      <c r="O65" s="373"/>
      <c r="P65" s="1327">
        <v>504.15789999999998</v>
      </c>
      <c r="Q65" s="1328">
        <v>527.30100000000004</v>
      </c>
      <c r="R65" s="373">
        <v>2017</v>
      </c>
      <c r="S65" s="1327">
        <v>482.0163</v>
      </c>
      <c r="T65" s="1328">
        <v>512.66060000000004</v>
      </c>
      <c r="U65" s="70"/>
      <c r="V65" s="70"/>
      <c r="W65" s="23"/>
      <c r="X65" s="168"/>
      <c r="Y65" s="53"/>
      <c r="Z65" s="125"/>
      <c r="AA65" s="631"/>
      <c r="AB65" s="399"/>
      <c r="AC65" s="618"/>
      <c r="AD65" s="168"/>
      <c r="AE65" s="168"/>
      <c r="AF65" s="1468">
        <v>0.51</v>
      </c>
      <c r="AG65" s="1469">
        <v>0.39800000000000002</v>
      </c>
      <c r="AH65" s="1498"/>
      <c r="AI65" s="1499"/>
      <c r="AJ65" s="48"/>
      <c r="AK65" s="294"/>
      <c r="AL65" s="295"/>
      <c r="AM65" s="216"/>
      <c r="AN65" s="280"/>
      <c r="AO65" s="1468">
        <v>0.42</v>
      </c>
      <c r="AP65" s="1469">
        <v>0.35</v>
      </c>
      <c r="AQ65" s="274"/>
      <c r="AR65" s="126"/>
      <c r="AS65" s="48"/>
      <c r="AT65" s="82"/>
      <c r="AU65" s="217"/>
      <c r="AV65" s="168"/>
      <c r="AW65" s="168"/>
      <c r="AX65" s="263"/>
      <c r="AY65" s="177"/>
      <c r="AZ65" s="274"/>
      <c r="BA65" s="126"/>
      <c r="BB65" s="48"/>
      <c r="BC65" s="82"/>
      <c r="BD65" s="232"/>
      <c r="BE65" s="210"/>
      <c r="BF65" s="168"/>
      <c r="BG65" s="263"/>
      <c r="BH65" s="177"/>
      <c r="BI65" s="274"/>
      <c r="BJ65" s="126"/>
      <c r="BK65" s="48"/>
      <c r="BL65" s="82"/>
      <c r="BM65" s="232"/>
      <c r="BN65" s="210"/>
      <c r="BO65" s="168"/>
      <c r="BP65" s="23"/>
      <c r="BQ65" s="24"/>
      <c r="BR65" s="53"/>
      <c r="BS65" s="126"/>
      <c r="BT65" s="48"/>
      <c r="BU65" s="82"/>
      <c r="BV65" s="217"/>
      <c r="BW65" s="140" t="s">
        <v>214</v>
      </c>
      <c r="BX65" s="309"/>
      <c r="BY65" s="139"/>
    </row>
    <row r="66" spans="1:77" s="14" customFormat="1" ht="15" customHeight="1" x14ac:dyDescent="0.2">
      <c r="A66" s="56" t="s">
        <v>110</v>
      </c>
      <c r="B66" s="107" t="s">
        <v>2254</v>
      </c>
      <c r="C66" s="637"/>
      <c r="D66" s="545">
        <v>11000</v>
      </c>
      <c r="E66" s="127"/>
      <c r="F66" s="362"/>
      <c r="G66" s="70"/>
      <c r="H66" s="61"/>
      <c r="I66" s="67">
        <v>2000</v>
      </c>
      <c r="J66" s="70"/>
      <c r="K66" s="70"/>
      <c r="L66" s="67"/>
      <c r="M66" s="70"/>
      <c r="N66" s="366"/>
      <c r="O66" s="362"/>
      <c r="P66" s="70"/>
      <c r="Q66" s="366"/>
      <c r="R66" s="362"/>
      <c r="S66" s="70"/>
      <c r="T66" s="366"/>
      <c r="U66" s="70"/>
      <c r="V66" s="70"/>
      <c r="W66" s="750">
        <f>AA66*(1+AB66)</f>
        <v>0</v>
      </c>
      <c r="X66" s="953">
        <f>AA66*(1+AC66)</f>
        <v>0</v>
      </c>
      <c r="Y66" s="955">
        <v>2006</v>
      </c>
      <c r="Z66" s="949"/>
      <c r="AA66" s="751">
        <f>K66/1000</f>
        <v>0</v>
      </c>
      <c r="AB66" s="401">
        <v>-0.16</v>
      </c>
      <c r="AC66" s="691">
        <f>AB66</f>
        <v>-0.16</v>
      </c>
      <c r="AD66" s="168"/>
      <c r="AE66" s="168"/>
      <c r="AF66" s="466"/>
      <c r="AG66" s="467"/>
      <c r="AH66" s="274"/>
      <c r="AI66" s="126"/>
      <c r="AJ66" s="48"/>
      <c r="AK66" s="294"/>
      <c r="AL66" s="295"/>
      <c r="AM66" s="210"/>
      <c r="AN66" s="168"/>
      <c r="AO66" s="466"/>
      <c r="AP66" s="467"/>
      <c r="AQ66" s="274"/>
      <c r="AR66" s="126"/>
      <c r="AS66" s="48"/>
      <c r="AT66" s="82"/>
      <c r="AU66" s="217"/>
      <c r="AV66" s="168"/>
      <c r="AW66" s="168"/>
      <c r="AX66" s="263"/>
      <c r="AY66" s="177"/>
      <c r="AZ66" s="274"/>
      <c r="BA66" s="126"/>
      <c r="BB66" s="48"/>
      <c r="BC66" s="82"/>
      <c r="BD66" s="232"/>
      <c r="BE66" s="210"/>
      <c r="BF66" s="168"/>
      <c r="BG66" s="263"/>
      <c r="BH66" s="177"/>
      <c r="BI66" s="274"/>
      <c r="BJ66" s="126"/>
      <c r="BK66" s="48"/>
      <c r="BL66" s="82"/>
      <c r="BM66" s="232"/>
      <c r="BN66" s="210"/>
      <c r="BO66" s="168"/>
      <c r="BP66" s="23"/>
      <c r="BQ66" s="24"/>
      <c r="BR66" s="53"/>
      <c r="BS66" s="126"/>
      <c r="BT66" s="48"/>
      <c r="BU66" s="82"/>
      <c r="BV66" s="217"/>
      <c r="BW66" s="140"/>
      <c r="BX66" s="309"/>
      <c r="BY66" s="139"/>
    </row>
    <row r="67" spans="1:77" s="14" customFormat="1" ht="15" customHeight="1" x14ac:dyDescent="0.2">
      <c r="A67" s="56" t="s">
        <v>110</v>
      </c>
      <c r="B67" s="107" t="s">
        <v>2476</v>
      </c>
      <c r="C67" s="637"/>
      <c r="D67" s="545">
        <v>6290</v>
      </c>
      <c r="E67" s="127" t="s">
        <v>2436</v>
      </c>
      <c r="F67" s="362"/>
      <c r="G67" s="70"/>
      <c r="H67" s="61"/>
      <c r="I67" s="67"/>
      <c r="J67" s="70"/>
      <c r="K67" s="70"/>
      <c r="L67" s="67">
        <v>2009</v>
      </c>
      <c r="M67" s="70"/>
      <c r="N67" s="366">
        <v>38.532296000000002</v>
      </c>
      <c r="O67" s="362">
        <v>2015</v>
      </c>
      <c r="P67" s="70"/>
      <c r="Q67" s="366">
        <v>40.779761000000001</v>
      </c>
      <c r="R67" s="362"/>
      <c r="S67" s="70"/>
      <c r="T67" s="366"/>
      <c r="U67" s="70"/>
      <c r="V67" s="70"/>
      <c r="W67" s="750"/>
      <c r="X67" s="953"/>
      <c r="Y67" s="955"/>
      <c r="Z67" s="949"/>
      <c r="AA67" s="751"/>
      <c r="AB67" s="401"/>
      <c r="AC67" s="691"/>
      <c r="AD67" s="168"/>
      <c r="AE67" s="168"/>
      <c r="AF67" s="466"/>
      <c r="AG67" s="467"/>
      <c r="AH67" s="274"/>
      <c r="AI67" s="126"/>
      <c r="AJ67" s="48"/>
      <c r="AK67" s="294"/>
      <c r="AL67" s="295"/>
      <c r="AM67" s="210"/>
      <c r="AN67" s="168"/>
      <c r="AO67" s="1557" t="s">
        <v>2477</v>
      </c>
      <c r="AP67" s="1558"/>
      <c r="AQ67" s="274"/>
      <c r="AR67" s="126"/>
      <c r="AS67" s="48"/>
      <c r="AT67" s="82"/>
      <c r="AU67" s="217"/>
      <c r="AV67" s="168"/>
      <c r="AW67" s="168"/>
      <c r="AX67" s="263"/>
      <c r="AY67" s="177"/>
      <c r="AZ67" s="274"/>
      <c r="BA67" s="126"/>
      <c r="BB67" s="48"/>
      <c r="BC67" s="82"/>
      <c r="BD67" s="232"/>
      <c r="BE67" s="210"/>
      <c r="BF67" s="168"/>
      <c r="BG67" s="263"/>
      <c r="BH67" s="177"/>
      <c r="BI67" s="274"/>
      <c r="BJ67" s="126"/>
      <c r="BK67" s="48"/>
      <c r="BL67" s="82"/>
      <c r="BM67" s="232"/>
      <c r="BN67" s="210"/>
      <c r="BO67" s="168"/>
      <c r="BP67" s="23"/>
      <c r="BQ67" s="24"/>
      <c r="BR67" s="53"/>
      <c r="BS67" s="126"/>
      <c r="BT67" s="48"/>
      <c r="BU67" s="82"/>
      <c r="BV67" s="217"/>
      <c r="BW67" s="140"/>
      <c r="BX67" s="309"/>
      <c r="BY67" s="139"/>
    </row>
    <row r="68" spans="1:77" s="14" customFormat="1" ht="15" customHeight="1" x14ac:dyDescent="0.2">
      <c r="A68" s="56" t="s">
        <v>110</v>
      </c>
      <c r="B68" s="107"/>
      <c r="C68" s="637" t="s">
        <v>2272</v>
      </c>
      <c r="D68" s="545">
        <v>4400.24</v>
      </c>
      <c r="E68" s="127" t="s">
        <v>387</v>
      </c>
      <c r="F68" s="362"/>
      <c r="G68" s="70"/>
      <c r="H68" s="61"/>
      <c r="I68" s="67"/>
      <c r="J68" s="70"/>
      <c r="K68" s="70">
        <v>27.358547000000002</v>
      </c>
      <c r="L68" s="67">
        <v>2009</v>
      </c>
      <c r="M68" s="70"/>
      <c r="N68" s="1174">
        <v>25.659487200000001</v>
      </c>
      <c r="O68" s="362">
        <v>2012</v>
      </c>
      <c r="P68" s="70"/>
      <c r="Q68" s="366">
        <v>21.093617999999999</v>
      </c>
      <c r="R68" s="362">
        <v>2016</v>
      </c>
      <c r="S68" s="70"/>
      <c r="T68" s="366">
        <v>21.252347</v>
      </c>
      <c r="U68" s="70"/>
      <c r="V68" s="70"/>
      <c r="W68" s="643">
        <f>AA68*(1+AB68)</f>
        <v>1.8351447659999999E-2</v>
      </c>
      <c r="X68" s="281">
        <f>AA68*(1+AC68)</f>
        <v>1.8351447659999999E-2</v>
      </c>
      <c r="Y68" s="955">
        <v>2009</v>
      </c>
      <c r="Z68" s="949"/>
      <c r="AA68" s="645">
        <f>Q68/1000</f>
        <v>2.1093617999999998E-2</v>
      </c>
      <c r="AB68" s="401">
        <v>-0.13</v>
      </c>
      <c r="AC68" s="691">
        <f>AB68</f>
        <v>-0.13</v>
      </c>
      <c r="AD68" s="168"/>
      <c r="AE68" s="168"/>
      <c r="AF68" s="466"/>
      <c r="AG68" s="467"/>
      <c r="AH68" s="274"/>
      <c r="AI68" s="126"/>
      <c r="AJ68" s="48"/>
      <c r="AK68" s="294"/>
      <c r="AL68" s="295"/>
      <c r="AM68" s="210"/>
      <c r="AN68" s="168">
        <v>3.2811632E-2</v>
      </c>
      <c r="AO68" s="23">
        <f>AS68*(1+AT68)</f>
        <v>1.4976468779999998E-2</v>
      </c>
      <c r="AP68" s="24">
        <f>AS68*(1+AU68)</f>
        <v>1.4976468779999998E-2</v>
      </c>
      <c r="AQ68" s="274">
        <v>2012</v>
      </c>
      <c r="AR68" s="126"/>
      <c r="AS68" s="714">
        <f>Q68/1000</f>
        <v>2.1093617999999998E-2</v>
      </c>
      <c r="AT68" s="82">
        <v>-0.28999999999999998</v>
      </c>
      <c r="AU68" s="217">
        <f>AT68</f>
        <v>-0.28999999999999998</v>
      </c>
      <c r="AV68" s="168"/>
      <c r="AW68" s="168"/>
      <c r="AX68" s="263"/>
      <c r="AY68" s="177"/>
      <c r="AZ68" s="274"/>
      <c r="BA68" s="126"/>
      <c r="BB68" s="48"/>
      <c r="BC68" s="82"/>
      <c r="BD68" s="232"/>
      <c r="BE68" s="210"/>
      <c r="BF68" s="168"/>
      <c r="BG68" s="619">
        <f>BK68*(1+BL68)</f>
        <v>1.3499915519999999E-2</v>
      </c>
      <c r="BH68" s="620">
        <f>BK68*(1+BM68)</f>
        <v>1.3499915519999999E-2</v>
      </c>
      <c r="BI68" s="617">
        <v>2007</v>
      </c>
      <c r="BJ68" s="642"/>
      <c r="BK68" s="650">
        <f>+Q68/1000</f>
        <v>2.1093617999999998E-2</v>
      </c>
      <c r="BL68" s="399">
        <v>-0.36</v>
      </c>
      <c r="BM68" s="652">
        <f>BL68</f>
        <v>-0.36</v>
      </c>
      <c r="BN68" s="210"/>
      <c r="BO68" s="168"/>
      <c r="BP68" s="23"/>
      <c r="BQ68" s="24"/>
      <c r="BR68" s="53"/>
      <c r="BS68" s="126"/>
      <c r="BT68" s="48"/>
      <c r="BU68" s="399">
        <v>-1</v>
      </c>
      <c r="BV68" s="618">
        <f t="shared" ref="BV68:BV69" si="11">BU68</f>
        <v>-1</v>
      </c>
      <c r="BW68" s="140"/>
      <c r="BX68" s="309" t="s">
        <v>2273</v>
      </c>
      <c r="BY68" s="139"/>
    </row>
    <row r="69" spans="1:77" s="135" customFormat="1" ht="15" customHeight="1" x14ac:dyDescent="0.2">
      <c r="A69" s="108" t="s">
        <v>110</v>
      </c>
      <c r="B69" s="748"/>
      <c r="C69" s="663" t="s">
        <v>556</v>
      </c>
      <c r="D69" s="545">
        <v>3918.8629999999998</v>
      </c>
      <c r="E69" s="127" t="s">
        <v>2188</v>
      </c>
      <c r="F69" s="365"/>
      <c r="G69" s="336"/>
      <c r="H69" s="128"/>
      <c r="I69" s="98">
        <v>2006</v>
      </c>
      <c r="J69" s="336"/>
      <c r="K69" s="336">
        <v>21.413906000000001</v>
      </c>
      <c r="L69" s="98"/>
      <c r="M69" s="336"/>
      <c r="N69" s="749">
        <v>25.96</v>
      </c>
      <c r="O69" s="365"/>
      <c r="P69" s="336"/>
      <c r="Q69" s="749">
        <v>22.542921</v>
      </c>
      <c r="R69" s="365"/>
      <c r="S69" s="336"/>
      <c r="T69" s="749"/>
      <c r="U69" s="336"/>
      <c r="V69" s="336"/>
      <c r="W69" s="643">
        <f>AA69*(1+AB69)</f>
        <v>1.6167499030000001E-2</v>
      </c>
      <c r="X69" s="281">
        <f>AA69*(1+AC69)</f>
        <v>1.6167499030000001E-2</v>
      </c>
      <c r="Y69" s="955">
        <v>2006</v>
      </c>
      <c r="Z69" s="949"/>
      <c r="AA69" s="645">
        <f>K69/1000</f>
        <v>2.1413906E-2</v>
      </c>
      <c r="AB69" s="956">
        <v>-0.245</v>
      </c>
      <c r="AC69" s="957">
        <f>AB69</f>
        <v>-0.245</v>
      </c>
      <c r="AD69" s="201"/>
      <c r="AE69" s="201"/>
      <c r="AF69" s="754"/>
      <c r="AG69" s="504"/>
      <c r="AH69" s="278"/>
      <c r="AI69" s="752"/>
      <c r="AJ69" s="753"/>
      <c r="AK69" s="296"/>
      <c r="AL69" s="297"/>
      <c r="AM69" s="221"/>
      <c r="AN69" s="201"/>
      <c r="AO69" s="754"/>
      <c r="AP69" s="504"/>
      <c r="AQ69" s="278"/>
      <c r="AR69" s="752"/>
      <c r="AS69" s="753"/>
      <c r="AT69" s="134"/>
      <c r="AU69" s="219"/>
      <c r="AV69" s="201"/>
      <c r="AW69" s="201"/>
      <c r="AX69" s="269"/>
      <c r="AY69" s="270"/>
      <c r="AZ69" s="278"/>
      <c r="BA69" s="752"/>
      <c r="BB69" s="753"/>
      <c r="BC69" s="134"/>
      <c r="BD69" s="233"/>
      <c r="BE69" s="221"/>
      <c r="BF69" s="201"/>
      <c r="BG69" s="269"/>
      <c r="BH69" s="270"/>
      <c r="BI69" s="278"/>
      <c r="BJ69" s="752"/>
      <c r="BK69" s="753"/>
      <c r="BL69" s="134"/>
      <c r="BM69" s="233"/>
      <c r="BN69" s="221"/>
      <c r="BO69" s="201"/>
      <c r="BP69" s="129"/>
      <c r="BQ69" s="130"/>
      <c r="BR69" s="131"/>
      <c r="BS69" s="752"/>
      <c r="BT69" s="753"/>
      <c r="BU69" s="399">
        <v>-1</v>
      </c>
      <c r="BV69" s="618">
        <f t="shared" si="11"/>
        <v>-1</v>
      </c>
      <c r="BW69" s="140"/>
      <c r="BX69" s="309"/>
      <c r="BY69" s="755" t="s">
        <v>557</v>
      </c>
    </row>
    <row r="70" spans="1:77" s="135" customFormat="1" ht="15" customHeight="1" x14ac:dyDescent="0.2">
      <c r="A70" s="108" t="s">
        <v>110</v>
      </c>
      <c r="B70" s="748"/>
      <c r="C70" s="663" t="s">
        <v>558</v>
      </c>
      <c r="D70" s="545">
        <v>4400</v>
      </c>
      <c r="E70" s="127" t="s">
        <v>2583</v>
      </c>
      <c r="F70" s="365">
        <v>2003</v>
      </c>
      <c r="G70" s="336"/>
      <c r="H70" s="128">
        <v>16.502801000000002</v>
      </c>
      <c r="I70" s="98">
        <v>2007</v>
      </c>
      <c r="J70" s="336"/>
      <c r="K70" s="336">
        <v>27</v>
      </c>
      <c r="L70" s="98">
        <v>2013</v>
      </c>
      <c r="M70" s="336"/>
      <c r="N70" s="749">
        <v>26.22</v>
      </c>
      <c r="O70" s="365">
        <v>2014</v>
      </c>
      <c r="P70" s="336"/>
      <c r="Q70" s="749">
        <v>24.716712999999999</v>
      </c>
      <c r="R70" s="365">
        <v>2016</v>
      </c>
      <c r="S70" s="336"/>
      <c r="T70" s="749">
        <v>20.913958000000001</v>
      </c>
      <c r="U70" s="336"/>
      <c r="V70" s="336"/>
      <c r="W70" s="750"/>
      <c r="X70" s="953"/>
      <c r="Y70" s="955"/>
      <c r="Z70" s="949"/>
      <c r="AA70" s="751"/>
      <c r="AB70" s="401"/>
      <c r="AC70" s="691"/>
      <c r="AD70" s="201"/>
      <c r="AE70" s="201"/>
      <c r="AF70" s="615">
        <f>+AJ70*(1+AK70)</f>
        <v>2.0250000000000001E-2</v>
      </c>
      <c r="AG70" s="616">
        <f>+AJ70*(1+AL70)</f>
        <v>2.0250000000000001E-2</v>
      </c>
      <c r="AH70" s="617">
        <v>2005</v>
      </c>
      <c r="AI70" s="650"/>
      <c r="AJ70" s="434">
        <f>+K70/1000</f>
        <v>2.7E-2</v>
      </c>
      <c r="AK70" s="399">
        <v>-0.25</v>
      </c>
      <c r="AL70" s="618">
        <f>AK70</f>
        <v>-0.25</v>
      </c>
      <c r="AM70" s="221"/>
      <c r="AN70" s="201"/>
      <c r="AO70" s="754"/>
      <c r="AP70" s="504"/>
      <c r="AQ70" s="278"/>
      <c r="AR70" s="752"/>
      <c r="AS70" s="753"/>
      <c r="AT70" s="134"/>
      <c r="AU70" s="219"/>
      <c r="AV70" s="201"/>
      <c r="AW70" s="201"/>
      <c r="AX70" s="269"/>
      <c r="AY70" s="270"/>
      <c r="AZ70" s="278"/>
      <c r="BA70" s="752"/>
      <c r="BB70" s="753"/>
      <c r="BC70" s="134"/>
      <c r="BD70" s="233"/>
      <c r="BE70" s="221"/>
      <c r="BF70" s="201"/>
      <c r="BG70" s="619">
        <f>BK70*(1+BL70)</f>
        <v>1.6199999999999999E-2</v>
      </c>
      <c r="BH70" s="620">
        <f>BK70*(1+BM70)</f>
        <v>1.6199999999999999E-2</v>
      </c>
      <c r="BI70" s="617">
        <v>2007</v>
      </c>
      <c r="BJ70" s="642"/>
      <c r="BK70" s="650">
        <f>+K70/1000</f>
        <v>2.7E-2</v>
      </c>
      <c r="BL70" s="399">
        <v>-0.4</v>
      </c>
      <c r="BM70" s="652">
        <f>BL70</f>
        <v>-0.4</v>
      </c>
      <c r="BN70" s="221"/>
      <c r="BO70" s="201"/>
      <c r="BP70" s="129">
        <v>0</v>
      </c>
      <c r="BQ70" s="130">
        <v>0</v>
      </c>
      <c r="BR70" s="131"/>
      <c r="BS70" s="752"/>
      <c r="BT70" s="753"/>
      <c r="BU70" s="134">
        <v>-1</v>
      </c>
      <c r="BV70" s="219">
        <v>-1</v>
      </c>
      <c r="BW70" s="140"/>
      <c r="BX70" s="309"/>
      <c r="BY70" s="755" t="s">
        <v>2101</v>
      </c>
    </row>
    <row r="71" spans="1:77" ht="15" customHeight="1" x14ac:dyDescent="0.2">
      <c r="A71" s="95" t="s">
        <v>246</v>
      </c>
      <c r="B71" s="56" t="s">
        <v>1606</v>
      </c>
      <c r="C71" s="637"/>
      <c r="D71" s="544">
        <v>9940.9290000000001</v>
      </c>
      <c r="E71" s="95" t="s">
        <v>2834</v>
      </c>
      <c r="F71" s="373"/>
      <c r="G71" s="62"/>
      <c r="H71" s="69"/>
      <c r="I71" s="74"/>
      <c r="J71" s="68"/>
      <c r="K71" s="69"/>
      <c r="L71" s="74">
        <v>2012</v>
      </c>
      <c r="M71" s="68">
        <v>34.299999999999997</v>
      </c>
      <c r="N71" s="68">
        <f>M71-2.8</f>
        <v>31.499999999999996</v>
      </c>
      <c r="O71" s="923"/>
      <c r="P71" s="68">
        <v>36.299999999999997</v>
      </c>
      <c r="Q71" s="356">
        <f>P71-2.8</f>
        <v>33.5</v>
      </c>
      <c r="R71" s="923"/>
      <c r="S71" s="68"/>
      <c r="T71" s="356"/>
      <c r="U71" s="68"/>
      <c r="V71" s="68"/>
      <c r="W71" s="27"/>
      <c r="Y71" s="145"/>
      <c r="Z71" s="28"/>
      <c r="AA71" s="145"/>
      <c r="AB71" s="80"/>
      <c r="AC71" s="209"/>
      <c r="AD71" s="16"/>
      <c r="AE71" s="20"/>
      <c r="AF71" s="16"/>
      <c r="AG71" s="20"/>
      <c r="AH71" s="77"/>
      <c r="AI71" s="38"/>
      <c r="AJ71" s="145"/>
      <c r="AK71" s="80"/>
      <c r="AL71" s="215"/>
      <c r="AM71" s="456"/>
      <c r="AN71" s="387"/>
      <c r="AO71" s="1533" t="s">
        <v>311</v>
      </c>
      <c r="AP71" s="1534"/>
      <c r="AQ71" s="440"/>
      <c r="AR71" s="441"/>
      <c r="AS71" s="453"/>
      <c r="AT71" s="292"/>
      <c r="AU71" s="293"/>
      <c r="AV71" s="16"/>
      <c r="AW71" s="20"/>
      <c r="AX71" s="16"/>
      <c r="AY71" s="20"/>
      <c r="AZ71" s="77"/>
      <c r="BA71" s="38"/>
      <c r="BB71" s="145"/>
      <c r="BC71" s="80"/>
      <c r="BD71" s="75"/>
      <c r="BE71" s="208"/>
      <c r="BF71" s="16"/>
      <c r="BG71" s="19"/>
      <c r="BH71" s="20"/>
      <c r="BI71" s="77"/>
      <c r="BJ71" s="38"/>
      <c r="BK71" s="145"/>
      <c r="BL71" s="80"/>
      <c r="BM71" s="75"/>
      <c r="BN71" s="208"/>
      <c r="BO71" s="16"/>
      <c r="BP71" s="19"/>
      <c r="BQ71" s="20"/>
      <c r="BR71" s="32"/>
      <c r="BS71" s="38"/>
      <c r="BT71" s="145"/>
      <c r="BU71" s="80"/>
      <c r="BV71" s="215"/>
      <c r="BX71" s="321"/>
      <c r="BY71" s="38"/>
    </row>
    <row r="72" spans="1:77" ht="15" customHeight="1" x14ac:dyDescent="0.2">
      <c r="A72" s="10" t="s">
        <v>112</v>
      </c>
      <c r="B72" s="56" t="s">
        <v>1606</v>
      </c>
      <c r="C72" s="637"/>
      <c r="D72" s="544">
        <v>35652.002</v>
      </c>
      <c r="E72" s="107" t="s">
        <v>3347</v>
      </c>
      <c r="F72" s="362">
        <v>1995</v>
      </c>
      <c r="G72" s="62">
        <v>72.013999999999996</v>
      </c>
      <c r="H72" s="69">
        <v>54.237000000000002</v>
      </c>
      <c r="I72" s="74">
        <v>2000</v>
      </c>
      <c r="J72" s="68">
        <v>77.013999999999996</v>
      </c>
      <c r="K72" s="69">
        <f>J72-9.392</f>
        <v>67.622</v>
      </c>
      <c r="L72" s="74"/>
      <c r="M72" s="68"/>
      <c r="N72" s="356"/>
      <c r="O72" s="923"/>
      <c r="P72" s="68"/>
      <c r="Q72" s="356"/>
      <c r="R72" s="923"/>
      <c r="S72" s="68"/>
      <c r="T72" s="356"/>
      <c r="U72" s="68"/>
      <c r="V72" s="68"/>
      <c r="W72" s="27"/>
      <c r="Y72" s="145"/>
      <c r="Z72" s="28"/>
      <c r="AA72" s="145"/>
      <c r="AB72" s="80"/>
      <c r="AC72" s="209"/>
      <c r="AD72" s="16"/>
      <c r="AE72" s="20"/>
      <c r="AF72" s="16"/>
      <c r="AG72" s="20"/>
      <c r="AH72" s="77"/>
      <c r="AI72" s="38"/>
      <c r="AJ72" s="145"/>
      <c r="AK72" s="80"/>
      <c r="AL72" s="215"/>
      <c r="AM72" s="207">
        <f>69.026506/1000</f>
        <v>6.9026506000000001E-2</v>
      </c>
      <c r="AN72" s="439"/>
      <c r="AO72" s="78">
        <f>41.90633/1000</f>
        <v>4.1906329999999999E-2</v>
      </c>
      <c r="AP72" s="1322">
        <f>AO72</f>
        <v>4.1906329999999999E-2</v>
      </c>
      <c r="AQ72" s="262">
        <v>2030</v>
      </c>
      <c r="AR72" s="48">
        <f>+AM72</f>
        <v>6.9026506000000001E-2</v>
      </c>
      <c r="AS72" s="453"/>
      <c r="AT72" s="1325">
        <f>-(AR72-AO72)/AR72</f>
        <v>-0.39289510032566333</v>
      </c>
      <c r="AU72" s="1326">
        <f>AT72</f>
        <v>-0.39289510032566333</v>
      </c>
      <c r="AV72" s="16"/>
      <c r="AW72" s="20"/>
      <c r="AX72" s="16"/>
      <c r="AY72" s="20"/>
      <c r="AZ72" s="77"/>
      <c r="BA72" s="38"/>
      <c r="BB72" s="145"/>
      <c r="BC72" s="80"/>
      <c r="BD72" s="75"/>
      <c r="BE72" s="208"/>
      <c r="BF72" s="16"/>
      <c r="BG72" s="19"/>
      <c r="BH72" s="20"/>
      <c r="BI72" s="77"/>
      <c r="BJ72" s="38"/>
      <c r="BK72" s="145"/>
      <c r="BL72" s="80"/>
      <c r="BM72" s="75"/>
      <c r="BN72" s="208"/>
      <c r="BO72" s="16"/>
      <c r="BP72" s="19"/>
      <c r="BQ72" s="20"/>
      <c r="BR72" s="32"/>
      <c r="BS72" s="38"/>
      <c r="BT72" s="145"/>
      <c r="BU72" s="80"/>
      <c r="BV72" s="215"/>
      <c r="BX72" s="321"/>
      <c r="BY72" s="38"/>
    </row>
    <row r="73" spans="1:77" ht="15" customHeight="1" x14ac:dyDescent="0.2">
      <c r="A73" s="576" t="s">
        <v>3290</v>
      </c>
      <c r="B73" s="56" t="s">
        <v>1606</v>
      </c>
      <c r="C73" s="637"/>
      <c r="D73" s="544">
        <v>1193.1479999999999</v>
      </c>
      <c r="E73" s="107" t="s">
        <v>3291</v>
      </c>
      <c r="F73" s="373"/>
      <c r="G73" s="121">
        <v>-5.516</v>
      </c>
      <c r="H73" s="346">
        <v>0.75900000000000001</v>
      </c>
      <c r="I73" s="114"/>
      <c r="J73" s="93">
        <v>6.2480000000000002</v>
      </c>
      <c r="K73" s="346">
        <v>12.255000000000001</v>
      </c>
      <c r="L73" s="114"/>
      <c r="M73" s="93">
        <f>N73-5.863</f>
        <v>-1.0020000000000007</v>
      </c>
      <c r="N73" s="378">
        <v>4.8609999999999998</v>
      </c>
      <c r="O73" s="1038"/>
      <c r="P73" s="437"/>
      <c r="Q73" s="378"/>
      <c r="R73" s="1399">
        <v>2018</v>
      </c>
      <c r="S73" s="72">
        <v>3.2401</v>
      </c>
      <c r="T73" s="378"/>
      <c r="U73" s="68"/>
      <c r="V73" s="68"/>
      <c r="W73" s="27"/>
      <c r="Y73" s="145"/>
      <c r="Z73" s="28"/>
      <c r="AA73" s="145"/>
      <c r="AB73" s="80"/>
      <c r="AC73" s="209"/>
      <c r="AD73" s="16"/>
      <c r="AE73" s="20"/>
      <c r="AF73" s="16"/>
      <c r="AG73" s="20"/>
      <c r="AH73" s="77"/>
      <c r="AI73" s="38"/>
      <c r="AJ73" s="145"/>
      <c r="AK73" s="80"/>
      <c r="AL73" s="215"/>
      <c r="AM73" s="1343">
        <f>10/1000</f>
        <v>0.01</v>
      </c>
      <c r="AN73" s="1322"/>
      <c r="AO73" s="1323">
        <f>AR73*(1+AT73)</f>
        <v>9.4999999999999998E-3</v>
      </c>
      <c r="AP73" s="1322">
        <f>AR73*(1+AU73)</f>
        <v>8.6E-3</v>
      </c>
      <c r="AQ73" s="262">
        <v>2030</v>
      </c>
      <c r="AR73" s="48">
        <f>AM73</f>
        <v>0.01</v>
      </c>
      <c r="AS73" s="1340"/>
      <c r="AT73" s="1325">
        <v>-0.05</v>
      </c>
      <c r="AU73" s="1326">
        <v>-0.14000000000000001</v>
      </c>
      <c r="AV73" s="16"/>
      <c r="AW73" s="20"/>
      <c r="AX73" s="16"/>
      <c r="AY73" s="20"/>
      <c r="AZ73" s="77"/>
      <c r="BA73" s="38"/>
      <c r="BB73" s="145"/>
      <c r="BC73" s="80"/>
      <c r="BD73" s="75"/>
      <c r="BE73" s="208"/>
      <c r="BF73" s="16"/>
      <c r="BG73" s="19"/>
      <c r="BH73" s="20"/>
      <c r="BI73" s="77"/>
      <c r="BJ73" s="38"/>
      <c r="BK73" s="145"/>
      <c r="BL73" s="80"/>
      <c r="BM73" s="75"/>
      <c r="BN73" s="208"/>
      <c r="BO73" s="16"/>
      <c r="BP73" s="19"/>
      <c r="BQ73" s="20"/>
      <c r="BR73" s="32"/>
      <c r="BS73" s="38"/>
      <c r="BT73" s="145"/>
      <c r="BU73" s="80"/>
      <c r="BV73" s="215"/>
      <c r="BW73" s="95" t="s">
        <v>231</v>
      </c>
      <c r="BX73" s="309"/>
      <c r="BY73" s="38"/>
    </row>
    <row r="74" spans="1:77" ht="15" customHeight="1" x14ac:dyDescent="0.2">
      <c r="A74" s="10" t="s">
        <v>115</v>
      </c>
      <c r="B74" s="56" t="s">
        <v>1606</v>
      </c>
      <c r="C74" s="637"/>
      <c r="D74" s="544">
        <v>44973.33</v>
      </c>
      <c r="E74" s="1474" t="s">
        <v>3258</v>
      </c>
      <c r="F74" s="373">
        <v>1994</v>
      </c>
      <c r="G74" s="121">
        <v>112.738</v>
      </c>
      <c r="H74" s="346"/>
      <c r="I74" s="114"/>
      <c r="J74" s="93"/>
      <c r="K74" s="346"/>
      <c r="L74" s="114"/>
      <c r="M74" s="93"/>
      <c r="N74" s="93"/>
      <c r="O74" s="1038">
        <v>2014</v>
      </c>
      <c r="P74" s="93">
        <v>153.55600000000001</v>
      </c>
      <c r="Q74" s="378"/>
      <c r="R74" s="923"/>
      <c r="S74" s="68"/>
      <c r="T74" s="356"/>
      <c r="U74" s="437"/>
      <c r="V74" s="494"/>
      <c r="W74" s="454"/>
      <c r="X74" s="387"/>
      <c r="Y74" s="145"/>
      <c r="Z74" s="28"/>
      <c r="AA74" s="145"/>
      <c r="AB74" s="80"/>
      <c r="AC74" s="694"/>
      <c r="AD74" s="387"/>
      <c r="AE74" s="20"/>
      <c r="AF74" s="387"/>
      <c r="AG74" s="439"/>
      <c r="AH74" s="440"/>
      <c r="AI74" s="38"/>
      <c r="AJ74" s="145"/>
      <c r="AK74" s="80"/>
      <c r="AL74" s="215"/>
      <c r="AM74" s="207">
        <v>0.219469</v>
      </c>
      <c r="AN74" s="47"/>
      <c r="AO74" s="78">
        <f>AR74*(1+AT74)</f>
        <v>0.1536283</v>
      </c>
      <c r="AP74" s="47">
        <f>AR74*(1+AU74)</f>
        <v>0.14265485</v>
      </c>
      <c r="AQ74" s="262">
        <v>2030</v>
      </c>
      <c r="AR74" s="48">
        <f>AM74</f>
        <v>0.219469</v>
      </c>
      <c r="AS74" s="1340"/>
      <c r="AT74" s="1325">
        <v>-0.3</v>
      </c>
      <c r="AU74" s="1326">
        <v>-0.35</v>
      </c>
      <c r="AV74" s="16"/>
      <c r="AW74" s="20"/>
      <c r="AX74" s="16"/>
      <c r="AY74" s="20"/>
      <c r="AZ74" s="77"/>
      <c r="BA74" s="38"/>
      <c r="BB74" s="145"/>
      <c r="BC74" s="80"/>
      <c r="BD74" s="75"/>
      <c r="BE74" s="208"/>
      <c r="BF74" s="16"/>
      <c r="BG74" s="19"/>
      <c r="BH74" s="20"/>
      <c r="BI74" s="77"/>
      <c r="BJ74" s="38"/>
      <c r="BK74" s="145"/>
      <c r="BL74" s="80"/>
      <c r="BM74" s="75"/>
      <c r="BN74" s="208"/>
      <c r="BO74" s="16"/>
      <c r="BP74" s="19"/>
      <c r="BQ74" s="20"/>
      <c r="BR74" s="32"/>
      <c r="BS74" s="38"/>
      <c r="BT74" s="145"/>
      <c r="BU74" s="80"/>
      <c r="BV74" s="215"/>
      <c r="BX74" s="321"/>
      <c r="BY74" s="38"/>
    </row>
    <row r="75" spans="1:77" ht="15" customHeight="1" x14ac:dyDescent="0.2">
      <c r="A75" s="7" t="s">
        <v>117</v>
      </c>
      <c r="B75" s="56" t="s">
        <v>1606</v>
      </c>
      <c r="C75" s="637"/>
      <c r="D75" s="544">
        <v>6306.0140000000001</v>
      </c>
      <c r="E75" s="95" t="s">
        <v>3332</v>
      </c>
      <c r="F75" s="374">
        <v>1995</v>
      </c>
      <c r="G75" s="104">
        <v>12.31409</v>
      </c>
      <c r="H75" s="346">
        <f>G75-6.34527</f>
        <v>5.96882</v>
      </c>
      <c r="I75" s="114"/>
      <c r="J75" s="93">
        <v>27.195689999999999</v>
      </c>
      <c r="K75" s="346">
        <f>J75-12.04855</f>
        <v>15.147139999999998</v>
      </c>
      <c r="L75" s="114"/>
      <c r="M75" s="93">
        <v>34.640630000000002</v>
      </c>
      <c r="N75" s="93">
        <f>M75-15.10069</f>
        <v>19.539940000000001</v>
      </c>
      <c r="O75" s="1038"/>
      <c r="P75" s="93">
        <v>42.227029999999999</v>
      </c>
      <c r="Q75" s="378">
        <f>P75-17.91112</f>
        <v>24.315909999999999</v>
      </c>
      <c r="R75" s="1038">
        <v>2018</v>
      </c>
      <c r="S75" s="93">
        <v>40.990589999999997</v>
      </c>
      <c r="T75" s="378">
        <f>S75-18.1388</f>
        <v>22.851789999999998</v>
      </c>
      <c r="U75" s="68"/>
      <c r="V75" s="68"/>
      <c r="W75" s="27"/>
      <c r="Y75" s="145"/>
      <c r="Z75" s="28"/>
      <c r="AA75" s="145"/>
      <c r="AB75" s="80"/>
      <c r="AC75" s="694"/>
      <c r="AD75" s="16"/>
      <c r="AE75" s="20"/>
      <c r="AF75" s="16"/>
      <c r="AG75" s="20"/>
      <c r="AH75" s="77"/>
      <c r="AI75" s="38"/>
      <c r="AJ75" s="145"/>
      <c r="AK75" s="80"/>
      <c r="AL75" s="215"/>
      <c r="AM75" s="207">
        <v>3.0410420000000001E-2</v>
      </c>
      <c r="AN75" s="47"/>
      <c r="AO75" s="78">
        <f>34.53328/1000</f>
        <v>3.453328E-2</v>
      </c>
      <c r="AP75" s="47">
        <f>27.62662/1000</f>
        <v>2.7626619999999998E-2</v>
      </c>
      <c r="AQ75" s="262">
        <v>2030</v>
      </c>
      <c r="AR75" s="48">
        <f>AM75</f>
        <v>3.0410420000000001E-2</v>
      </c>
      <c r="AS75" s="1340"/>
      <c r="AT75" s="1450">
        <v>-0.2051</v>
      </c>
      <c r="AU75" s="1506">
        <v>-0.50570000000000004</v>
      </c>
      <c r="AV75" s="16"/>
      <c r="AW75" s="20"/>
      <c r="AX75" s="16"/>
      <c r="AY75" s="20"/>
      <c r="AZ75" s="77"/>
      <c r="BA75" s="38"/>
      <c r="BB75" s="145"/>
      <c r="BC75" s="80"/>
      <c r="BD75" s="75"/>
      <c r="BE75" s="208"/>
      <c r="BF75" s="16"/>
      <c r="BG75" s="19"/>
      <c r="BH75" s="20"/>
      <c r="BI75" s="77"/>
      <c r="BJ75" s="38"/>
      <c r="BK75" s="145"/>
      <c r="BL75" s="80"/>
      <c r="BM75" s="75"/>
      <c r="BN75" s="208"/>
      <c r="BO75" s="16"/>
      <c r="BP75" s="19"/>
      <c r="BQ75" s="20"/>
      <c r="BR75" s="32"/>
      <c r="BS75" s="38"/>
      <c r="BT75" s="145"/>
      <c r="BU75" s="80"/>
      <c r="BV75" s="215"/>
      <c r="BX75" s="321"/>
      <c r="BY75" s="38"/>
    </row>
    <row r="76" spans="1:77" ht="15" customHeight="1" x14ac:dyDescent="0.2">
      <c r="A76" s="7" t="s">
        <v>119</v>
      </c>
      <c r="B76" s="56" t="s">
        <v>1606</v>
      </c>
      <c r="C76" s="637"/>
      <c r="D76" s="544">
        <v>10631.83</v>
      </c>
      <c r="E76" s="95" t="s">
        <v>3284</v>
      </c>
      <c r="F76" s="374">
        <v>1994</v>
      </c>
      <c r="G76" s="104">
        <f>H76-8.238</f>
        <v>20.721</v>
      </c>
      <c r="H76" s="346">
        <v>28.959</v>
      </c>
      <c r="I76" s="114">
        <v>2000</v>
      </c>
      <c r="J76" s="93">
        <f>K76-8.669</f>
        <v>27.032</v>
      </c>
      <c r="K76" s="346">
        <v>35.701000000000001</v>
      </c>
      <c r="L76" s="114"/>
      <c r="M76" s="93">
        <f>N76-11.219</f>
        <v>34.7485</v>
      </c>
      <c r="N76" s="93">
        <v>45.967500000000001</v>
      </c>
      <c r="O76" s="1038">
        <v>2012</v>
      </c>
      <c r="P76" s="93">
        <f>Q76-11.15</f>
        <v>35.481999999999999</v>
      </c>
      <c r="Q76" s="378">
        <v>46.631999999999998</v>
      </c>
      <c r="R76" s="923"/>
      <c r="S76" s="437"/>
      <c r="T76" s="356"/>
      <c r="U76" s="437"/>
      <c r="V76" s="68"/>
      <c r="W76" s="454"/>
      <c r="X76" s="387"/>
      <c r="Y76" s="497"/>
      <c r="Z76" s="439"/>
      <c r="AA76" s="145"/>
      <c r="AB76" s="292"/>
      <c r="AC76" s="284"/>
      <c r="AD76" s="207">
        <f>41.2/1000</f>
        <v>4.1200000000000001E-2</v>
      </c>
      <c r="AE76" s="47"/>
      <c r="AF76" s="78">
        <f>38.3/1000</f>
        <v>3.8299999999999994E-2</v>
      </c>
      <c r="AG76" s="47">
        <f>34.6/1000</f>
        <v>3.4599999999999999E-2</v>
      </c>
      <c r="AH76" s="262">
        <v>2025</v>
      </c>
      <c r="AI76" s="48">
        <f>AD76</f>
        <v>4.1200000000000001E-2</v>
      </c>
      <c r="AJ76" s="1340"/>
      <c r="AK76" s="1325">
        <f>(AF76-AI76)/AI76</f>
        <v>-7.038834951456327E-2</v>
      </c>
      <c r="AL76" s="1326">
        <f>(AG76-AI76)/AI76</f>
        <v>-0.16019417475728159</v>
      </c>
      <c r="AM76" s="207">
        <f>49.6/1000</f>
        <v>4.9599999999999998E-2</v>
      </c>
      <c r="AN76" s="47"/>
      <c r="AO76" s="78">
        <f>41.1/1000</f>
        <v>4.1100000000000005E-2</v>
      </c>
      <c r="AP76" s="47">
        <f>31/1000</f>
        <v>3.1E-2</v>
      </c>
      <c r="AQ76" s="262">
        <v>2030</v>
      </c>
      <c r="AR76" s="48">
        <f>AM76</f>
        <v>4.9599999999999998E-2</v>
      </c>
      <c r="AS76" s="1340"/>
      <c r="AT76" s="1341">
        <f>-(AR76-AO76)/AR76</f>
        <v>-0.17137096774193536</v>
      </c>
      <c r="AU76" s="1342">
        <f>-(AR76-AP76)/AR76</f>
        <v>-0.375</v>
      </c>
      <c r="AV76" s="16"/>
      <c r="AW76" s="20"/>
      <c r="AX76" s="16"/>
      <c r="AY76" s="20"/>
      <c r="AZ76" s="77"/>
      <c r="BA76" s="38"/>
      <c r="BB76" s="145"/>
      <c r="BC76" s="80"/>
      <c r="BD76" s="75"/>
      <c r="BE76" s="208"/>
      <c r="BF76" s="16"/>
      <c r="BG76" s="19"/>
      <c r="BH76" s="20"/>
      <c r="BI76" s="77"/>
      <c r="BJ76" s="38"/>
      <c r="BK76" s="145"/>
      <c r="BL76" s="80"/>
      <c r="BM76" s="75"/>
      <c r="BN76" s="208"/>
      <c r="BO76" s="16"/>
      <c r="BP76" s="19"/>
      <c r="BQ76" s="20"/>
      <c r="BR76" s="32"/>
      <c r="BS76" s="38"/>
      <c r="BT76" s="145"/>
      <c r="BU76" s="80"/>
      <c r="BV76" s="215"/>
      <c r="BX76" s="321"/>
      <c r="BY76" s="38"/>
    </row>
    <row r="77" spans="1:77" ht="15" customHeight="1" x14ac:dyDescent="0.2">
      <c r="A77" s="7" t="s">
        <v>119</v>
      </c>
      <c r="B77" s="56"/>
      <c r="C77" s="637" t="s">
        <v>2791</v>
      </c>
      <c r="D77" s="544">
        <v>320</v>
      </c>
      <c r="E77" s="107" t="s">
        <v>631</v>
      </c>
      <c r="F77" s="365"/>
      <c r="G77" s="99"/>
      <c r="H77" s="69"/>
      <c r="I77" s="74"/>
      <c r="J77" s="93"/>
      <c r="K77" s="69"/>
      <c r="L77" s="74"/>
      <c r="M77" s="437"/>
      <c r="N77" s="356">
        <v>0.31130000000000002</v>
      </c>
      <c r="O77" s="923"/>
      <c r="P77" s="437"/>
      <c r="Q77" s="356"/>
      <c r="R77" s="923"/>
      <c r="S77" s="437"/>
      <c r="T77" s="356"/>
      <c r="U77" s="437"/>
      <c r="V77" s="68"/>
      <c r="W77" s="1231">
        <f>AA77*(1+AB77)</f>
        <v>2.4904000000000001E-4</v>
      </c>
      <c r="X77" s="1232">
        <f>AA77*(1+AC77)</f>
        <v>2.4904000000000001E-4</v>
      </c>
      <c r="Y77" s="955">
        <v>2010</v>
      </c>
      <c r="Z77" s="949"/>
      <c r="AA77" s="1230">
        <f>N77/1000</f>
        <v>3.1130000000000003E-4</v>
      </c>
      <c r="AB77" s="401">
        <v>-0.2</v>
      </c>
      <c r="AC77" s="691">
        <f>AB77</f>
        <v>-0.2</v>
      </c>
      <c r="AD77" s="387"/>
      <c r="AE77" s="20"/>
      <c r="AF77" s="387"/>
      <c r="AG77" s="439"/>
      <c r="AH77" s="440"/>
      <c r="AI77" s="424"/>
      <c r="AJ77" s="145"/>
      <c r="AK77" s="292"/>
      <c r="AL77" s="293"/>
      <c r="AM77" s="456"/>
      <c r="AN77" s="387"/>
      <c r="AO77" s="454"/>
      <c r="AP77" s="439"/>
      <c r="AQ77" s="440"/>
      <c r="AR77" s="424"/>
      <c r="AS77" s="453"/>
      <c r="AT77" s="156"/>
      <c r="AU77" s="295"/>
      <c r="AV77" s="16"/>
      <c r="AW77" s="20"/>
      <c r="AX77" s="16"/>
      <c r="AY77" s="20"/>
      <c r="AZ77" s="77"/>
      <c r="BA77" s="38"/>
      <c r="BB77" s="145"/>
      <c r="BC77" s="80"/>
      <c r="BD77" s="75"/>
      <c r="BE77" s="208"/>
      <c r="BF77" s="16"/>
      <c r="BG77" s="19"/>
      <c r="BH77" s="20"/>
      <c r="BI77" s="77"/>
      <c r="BJ77" s="38"/>
      <c r="BK77" s="145"/>
      <c r="BL77" s="80"/>
      <c r="BM77" s="75"/>
      <c r="BN77" s="208"/>
      <c r="BO77" s="16"/>
      <c r="BP77" s="19"/>
      <c r="BQ77" s="20"/>
      <c r="BR77" s="32"/>
      <c r="BS77" s="38"/>
      <c r="BT77" s="145"/>
      <c r="BU77" s="80"/>
      <c r="BV77" s="215"/>
      <c r="BX77" s="321"/>
      <c r="BY77" s="38"/>
    </row>
    <row r="78" spans="1:77" ht="15" customHeight="1" x14ac:dyDescent="0.2">
      <c r="A78" s="103" t="s">
        <v>176</v>
      </c>
      <c r="B78" s="56" t="s">
        <v>1606</v>
      </c>
      <c r="C78" s="637" t="s">
        <v>2456</v>
      </c>
      <c r="D78" s="544">
        <v>33987.213000000003</v>
      </c>
      <c r="E78" s="1273" t="s">
        <v>3344</v>
      </c>
      <c r="F78" s="374">
        <v>1994</v>
      </c>
      <c r="G78" s="104">
        <v>49.8</v>
      </c>
      <c r="H78" s="346">
        <v>41.5</v>
      </c>
      <c r="I78" s="114"/>
      <c r="J78" s="93">
        <v>52</v>
      </c>
      <c r="K78" s="346">
        <f>J78-15.9</f>
        <v>36.1</v>
      </c>
      <c r="L78" s="114"/>
      <c r="M78" s="93">
        <v>72</v>
      </c>
      <c r="N78" s="93"/>
      <c r="O78" s="1038"/>
      <c r="P78" s="72">
        <v>90.1</v>
      </c>
      <c r="Q78" s="378">
        <f>P78-40</f>
        <v>50.099999999999994</v>
      </c>
      <c r="R78" s="923"/>
      <c r="S78" s="68"/>
      <c r="T78" s="356"/>
      <c r="U78" s="68"/>
      <c r="V78" s="68"/>
      <c r="W78" s="27"/>
      <c r="Y78" s="145"/>
      <c r="Z78" s="28"/>
      <c r="AA78" s="145"/>
      <c r="AB78" s="80"/>
      <c r="AC78" s="209"/>
      <c r="AD78" s="16"/>
      <c r="AE78" s="20"/>
      <c r="AF78" s="16"/>
      <c r="AG78" s="20"/>
      <c r="AH78" s="77"/>
      <c r="AI78" s="38"/>
      <c r="AJ78" s="145"/>
      <c r="AK78" s="80"/>
      <c r="AL78" s="215"/>
      <c r="AM78" s="207">
        <v>0.14879999999999999</v>
      </c>
      <c r="AN78" s="439"/>
      <c r="AO78" s="78">
        <f>AR78*(1+AT78)</f>
        <v>0.1400208</v>
      </c>
      <c r="AP78" s="47">
        <f>AR78*(1+AU78)</f>
        <v>0.11204639999999999</v>
      </c>
      <c r="AQ78" s="262">
        <v>2030</v>
      </c>
      <c r="AR78" s="48">
        <f>AM78</f>
        <v>0.14879999999999999</v>
      </c>
      <c r="AS78" s="1340"/>
      <c r="AT78" s="1345">
        <v>-5.8999999999999997E-2</v>
      </c>
      <c r="AU78" s="1346">
        <v>-0.247</v>
      </c>
      <c r="AV78" s="16"/>
      <c r="AW78" s="20"/>
      <c r="AX78" s="16"/>
      <c r="AY78" s="20"/>
      <c r="AZ78" s="77"/>
      <c r="BA78" s="38"/>
      <c r="BB78" s="145"/>
      <c r="BC78" s="80"/>
      <c r="BD78" s="75"/>
      <c r="BE78" s="208"/>
      <c r="BF78" s="16"/>
      <c r="BG78" s="19"/>
      <c r="BH78" s="20"/>
      <c r="BI78" s="77"/>
      <c r="BJ78" s="38"/>
      <c r="BK78" s="145"/>
      <c r="BL78" s="80"/>
      <c r="BM78" s="75"/>
      <c r="BN78" s="208"/>
      <c r="BO78" s="16"/>
      <c r="BP78" s="19"/>
      <c r="BQ78" s="20"/>
      <c r="BR78" s="32"/>
      <c r="BS78" s="38"/>
      <c r="BT78" s="145"/>
      <c r="BU78" s="80"/>
      <c r="BV78" s="215"/>
      <c r="BX78" s="321"/>
      <c r="BY78" s="38"/>
    </row>
    <row r="79" spans="1:77" ht="15" customHeight="1" x14ac:dyDescent="0.2">
      <c r="A79" s="103" t="s">
        <v>176</v>
      </c>
      <c r="B79" s="56"/>
      <c r="C79" s="637" t="s">
        <v>2457</v>
      </c>
      <c r="D79" s="544">
        <v>1720</v>
      </c>
      <c r="E79" s="107" t="s">
        <v>2458</v>
      </c>
      <c r="F79" s="365"/>
      <c r="G79" s="99"/>
      <c r="H79" s="69"/>
      <c r="I79" s="74"/>
      <c r="J79" s="68"/>
      <c r="K79" s="69"/>
      <c r="L79" s="74"/>
      <c r="M79" s="68"/>
      <c r="N79" s="356"/>
      <c r="O79" s="923">
        <v>2012</v>
      </c>
      <c r="P79" s="71">
        <f>1.594+0.6579+1.4604</f>
        <v>3.7122999999999999</v>
      </c>
      <c r="Q79" s="354">
        <f>P79</f>
        <v>3.7122999999999999</v>
      </c>
      <c r="R79" s="923"/>
      <c r="S79" s="71"/>
      <c r="T79" s="354"/>
      <c r="U79" s="68"/>
      <c r="V79" s="68"/>
      <c r="W79" s="27"/>
      <c r="Y79" s="145"/>
      <c r="Z79" s="28"/>
      <c r="AA79" s="145"/>
      <c r="AB79" s="80"/>
      <c r="AC79" s="209"/>
      <c r="AD79" s="16"/>
      <c r="AE79" s="20"/>
      <c r="AF79" s="16"/>
      <c r="AG79" s="20"/>
      <c r="AH79" s="77"/>
      <c r="AI79" s="38"/>
      <c r="AJ79" s="145"/>
      <c r="AK79" s="80"/>
      <c r="AL79" s="215"/>
      <c r="AM79" s="456"/>
      <c r="AN79" s="387"/>
      <c r="AO79" s="1376">
        <f>AR79*(1+AT79)</f>
        <v>2.895594E-3</v>
      </c>
      <c r="AP79" s="1377">
        <f>AR79*(1+AU79)</f>
        <v>2.895594E-3</v>
      </c>
      <c r="AQ79" s="1378">
        <v>2030</v>
      </c>
      <c r="AR79" s="1379">
        <f>P79/1000</f>
        <v>3.7123E-3</v>
      </c>
      <c r="AS79" s="1380"/>
      <c r="AT79" s="1381">
        <v>-0.22</v>
      </c>
      <c r="AU79" s="1382">
        <f>AT79</f>
        <v>-0.22</v>
      </c>
      <c r="AV79" s="16"/>
      <c r="AW79" s="20"/>
      <c r="AX79" s="16"/>
      <c r="AY79" s="20"/>
      <c r="AZ79" s="77"/>
      <c r="BA79" s="38"/>
      <c r="BB79" s="145"/>
      <c r="BC79" s="80"/>
      <c r="BD79" s="75"/>
      <c r="BE79" s="208"/>
      <c r="BF79" s="16"/>
      <c r="BG79" s="19"/>
      <c r="BH79" s="20"/>
      <c r="BI79" s="77"/>
      <c r="BJ79" s="38"/>
      <c r="BK79" s="145"/>
      <c r="BL79" s="80"/>
      <c r="BM79" s="75"/>
      <c r="BN79" s="208"/>
      <c r="BO79" s="16"/>
      <c r="BP79" s="19"/>
      <c r="BQ79" s="20"/>
      <c r="BR79" s="32"/>
      <c r="BS79" s="38"/>
      <c r="BT79" s="145"/>
      <c r="BU79" s="80"/>
      <c r="BV79" s="215"/>
      <c r="BX79" s="321"/>
      <c r="BY79" s="38"/>
    </row>
    <row r="80" spans="1:77" ht="15" customHeight="1" x14ac:dyDescent="0.2">
      <c r="A80" s="103" t="s">
        <v>247</v>
      </c>
      <c r="B80" s="56" t="s">
        <v>1606</v>
      </c>
      <c r="C80" s="637"/>
      <c r="D80" s="544">
        <v>514.64800000000002</v>
      </c>
      <c r="E80" s="107" t="s">
        <v>335</v>
      </c>
      <c r="F80" s="373"/>
      <c r="G80" s="99">
        <v>0.50022</v>
      </c>
      <c r="H80" s="69">
        <f>G80</f>
        <v>0.50022</v>
      </c>
      <c r="I80" s="74"/>
      <c r="J80" s="68">
        <v>0.62344999999999995</v>
      </c>
      <c r="K80" s="69">
        <f>J80</f>
        <v>0.62344999999999995</v>
      </c>
      <c r="L80" s="74"/>
      <c r="M80" s="68">
        <v>0.68235000000000001</v>
      </c>
      <c r="N80" s="356">
        <f>M80</f>
        <v>0.68235000000000001</v>
      </c>
      <c r="O80" s="923"/>
      <c r="P80" s="68"/>
      <c r="Q80" s="356"/>
      <c r="R80" s="923"/>
      <c r="S80" s="68"/>
      <c r="T80" s="356"/>
      <c r="U80" s="68"/>
      <c r="V80" s="68"/>
      <c r="W80" s="27"/>
      <c r="Y80" s="145"/>
      <c r="Z80" s="28"/>
      <c r="AA80" s="145"/>
      <c r="AB80" s="80"/>
      <c r="AC80" s="209"/>
      <c r="AD80" s="16"/>
      <c r="AE80" s="20"/>
      <c r="AF80" s="16"/>
      <c r="AG80" s="20"/>
      <c r="AH80" s="77"/>
      <c r="AI80" s="38"/>
      <c r="AJ80" s="145"/>
      <c r="AK80" s="80"/>
      <c r="AL80" s="215"/>
      <c r="AM80" s="208"/>
      <c r="AN80" s="16"/>
      <c r="AO80" s="19"/>
      <c r="AP80" s="20"/>
      <c r="AQ80" s="77"/>
      <c r="AR80" s="38"/>
      <c r="AS80" s="145"/>
      <c r="AT80" s="80"/>
      <c r="AU80" s="215"/>
      <c r="AV80" s="16"/>
      <c r="AW80" s="20"/>
      <c r="AX80" s="16"/>
      <c r="AY80" s="20"/>
      <c r="AZ80" s="77"/>
      <c r="BA80" s="38"/>
      <c r="BB80" s="145"/>
      <c r="BC80" s="80"/>
      <c r="BD80" s="75"/>
      <c r="BE80" s="208"/>
      <c r="BF80" s="16"/>
      <c r="BG80" s="19"/>
      <c r="BH80" s="20"/>
      <c r="BI80" s="77"/>
      <c r="BJ80" s="38"/>
      <c r="BK80" s="145"/>
      <c r="BL80" s="80"/>
      <c r="BM80" s="75"/>
      <c r="BN80" s="208"/>
      <c r="BO80" s="16"/>
      <c r="BP80" s="19"/>
      <c r="BQ80" s="20"/>
      <c r="BR80" s="32"/>
      <c r="BS80" s="38"/>
      <c r="BT80" s="145"/>
      <c r="BU80" s="80"/>
      <c r="BV80" s="215"/>
      <c r="BX80" s="321"/>
      <c r="BY80" s="38"/>
    </row>
    <row r="81" spans="1:77" ht="15" customHeight="1" x14ac:dyDescent="0.2">
      <c r="A81" s="577" t="s">
        <v>127</v>
      </c>
      <c r="B81" s="56" t="s">
        <v>1606</v>
      </c>
      <c r="C81" s="637"/>
      <c r="D81" s="544">
        <v>13216.985000000001</v>
      </c>
      <c r="E81" s="95" t="s">
        <v>3183</v>
      </c>
      <c r="F81" s="374">
        <v>1994</v>
      </c>
      <c r="G81" s="104">
        <f>86.0632-142.929</f>
        <v>-56.865800000000007</v>
      </c>
      <c r="H81" s="346">
        <v>2.8123999999999998</v>
      </c>
      <c r="I81" s="114"/>
      <c r="J81" s="93">
        <f>105.9384-138.259</f>
        <v>-32.320599999999985</v>
      </c>
      <c r="K81" s="346">
        <v>3.0529000000000002</v>
      </c>
      <c r="L81" s="114"/>
      <c r="M81" s="93">
        <f>120.6047-137.322</f>
        <v>-16.717300000000009</v>
      </c>
      <c r="N81" s="93">
        <v>5.0210999999999997</v>
      </c>
      <c r="O81" s="1038"/>
      <c r="P81" s="437">
        <f>126.4259-136.442</f>
        <v>-10.016100000000009</v>
      </c>
      <c r="Q81" s="378">
        <v>9.2850000000000001</v>
      </c>
      <c r="R81" s="1038">
        <v>2016</v>
      </c>
      <c r="S81" s="437">
        <f>126.7585-136.266</f>
        <v>-9.5074999999999932</v>
      </c>
      <c r="T81" s="378">
        <v>8.8710000000000004</v>
      </c>
      <c r="U81" s="93"/>
      <c r="V81" s="93"/>
      <c r="W81" s="409"/>
      <c r="X81" s="16"/>
      <c r="Y81" s="145"/>
      <c r="Z81" s="28"/>
      <c r="AA81" s="145"/>
      <c r="AB81" s="80"/>
      <c r="AC81" s="209"/>
      <c r="AD81" s="16"/>
      <c r="AE81" s="20"/>
      <c r="AF81" s="16"/>
      <c r="AG81" s="20"/>
      <c r="AH81" s="77"/>
      <c r="AI81" s="38"/>
      <c r="AJ81" s="145"/>
      <c r="AK81" s="80"/>
      <c r="AL81" s="215"/>
      <c r="AM81" s="919"/>
      <c r="AN81" s="713"/>
      <c r="AO81" s="78">
        <f>AR81*(1+AT81)</f>
        <v>0.06</v>
      </c>
      <c r="AP81" s="47">
        <f>AR81*(1+AU81)</f>
        <v>4.24E-2</v>
      </c>
      <c r="AQ81" s="262">
        <v>2010</v>
      </c>
      <c r="AR81" s="48">
        <v>0.08</v>
      </c>
      <c r="AS81" s="1340"/>
      <c r="AT81" s="1341">
        <v>-0.25</v>
      </c>
      <c r="AU81" s="1342">
        <v>-0.47</v>
      </c>
      <c r="AV81" s="16"/>
      <c r="AW81" s="20"/>
      <c r="AX81" s="16"/>
      <c r="AY81" s="20"/>
      <c r="AZ81" s="77"/>
      <c r="BA81" s="38"/>
      <c r="BB81" s="145"/>
      <c r="BC81" s="80"/>
      <c r="BD81" s="75"/>
      <c r="BE81" s="208"/>
      <c r="BF81" s="16"/>
      <c r="BG81" s="19"/>
      <c r="BH81" s="20"/>
      <c r="BI81" s="77"/>
      <c r="BJ81" s="38"/>
      <c r="BK81" s="145"/>
      <c r="BL81" s="80"/>
      <c r="BM81" s="75"/>
      <c r="BN81" s="208"/>
      <c r="BO81" s="16"/>
      <c r="BP81" s="19"/>
      <c r="BQ81" s="20"/>
      <c r="BR81" s="32"/>
      <c r="BS81" s="38"/>
      <c r="BT81" s="145"/>
      <c r="BU81" s="80"/>
      <c r="BV81" s="215"/>
      <c r="BW81" s="204" t="s">
        <v>275</v>
      </c>
      <c r="BX81" s="139" t="s">
        <v>290</v>
      </c>
      <c r="BY81" s="38"/>
    </row>
    <row r="82" spans="1:77" ht="15" customHeight="1" x14ac:dyDescent="0.2">
      <c r="A82" s="921" t="s">
        <v>128</v>
      </c>
      <c r="B82" s="630" t="s">
        <v>1606</v>
      </c>
      <c r="C82" s="661"/>
      <c r="D82" s="623">
        <v>13076.977999999999</v>
      </c>
      <c r="E82" s="1104" t="s">
        <v>3353</v>
      </c>
      <c r="F82" s="1464">
        <v>1994</v>
      </c>
      <c r="G82" s="1105">
        <v>20.669460000000001</v>
      </c>
      <c r="H82" s="983">
        <v>60.149180000000001</v>
      </c>
      <c r="I82" s="1462">
        <v>2006</v>
      </c>
      <c r="J82" s="1105">
        <v>21.107250000000001</v>
      </c>
      <c r="K82" s="983">
        <v>56.405790000000003</v>
      </c>
      <c r="L82" s="1462"/>
      <c r="M82" s="1105">
        <v>37.944020000000002</v>
      </c>
      <c r="N82" s="1105">
        <v>60.743639999999999</v>
      </c>
      <c r="O82" s="1464"/>
      <c r="P82" s="1105"/>
      <c r="Q82" s="1465"/>
      <c r="R82" s="1464">
        <v>2017</v>
      </c>
      <c r="S82" s="1105">
        <v>44.744</v>
      </c>
      <c r="T82" s="1465">
        <v>63.191859999999998</v>
      </c>
      <c r="U82" s="101"/>
      <c r="V82" s="101"/>
      <c r="W82" s="29"/>
      <c r="X82" s="282"/>
      <c r="Y82" s="146"/>
      <c r="Z82" s="30"/>
      <c r="AA82" s="146"/>
      <c r="AB82" s="81"/>
      <c r="AC82" s="689"/>
      <c r="AD82" s="1488">
        <v>6.2E-2</v>
      </c>
      <c r="AE82" s="1489"/>
      <c r="AF82" s="1490">
        <v>4.4699999999999997E-2</v>
      </c>
      <c r="AG82" s="1489">
        <f>AF82</f>
        <v>4.4699999999999997E-2</v>
      </c>
      <c r="AH82" s="1491">
        <v>2025</v>
      </c>
      <c r="AI82" s="1492">
        <f>AD82</f>
        <v>6.2E-2</v>
      </c>
      <c r="AJ82" s="1493"/>
      <c r="AK82" s="525"/>
      <c r="AL82" s="526"/>
      <c r="AM82" s="1488">
        <f>75.4/1000</f>
        <v>7.5400000000000009E-2</v>
      </c>
      <c r="AN82" s="1489"/>
      <c r="AO82" s="1494">
        <f>AR82*(1+AT82)</f>
        <v>4.5240000000000002E-2</v>
      </c>
      <c r="AP82" s="1489">
        <f>AO82</f>
        <v>4.5240000000000002E-2</v>
      </c>
      <c r="AQ82" s="1491">
        <v>2030</v>
      </c>
      <c r="AR82" s="1492">
        <f>+AM82</f>
        <v>7.5400000000000009E-2</v>
      </c>
      <c r="AS82" s="1495"/>
      <c r="AT82" s="1496">
        <v>-0.4</v>
      </c>
      <c r="AU82" s="1497">
        <f>AT82</f>
        <v>-0.4</v>
      </c>
      <c r="AV82" s="169"/>
      <c r="AW82" s="165"/>
      <c r="AX82" s="169"/>
      <c r="AY82" s="165"/>
      <c r="AZ82" s="260"/>
      <c r="BA82" s="42"/>
      <c r="BB82" s="146"/>
      <c r="BC82" s="81"/>
      <c r="BD82" s="235"/>
      <c r="BE82" s="223"/>
      <c r="BF82" s="169"/>
      <c r="BG82" s="410"/>
      <c r="BH82" s="165"/>
      <c r="BI82" s="260"/>
      <c r="BJ82" s="42"/>
      <c r="BK82" s="146"/>
      <c r="BL82" s="81"/>
      <c r="BM82" s="235"/>
      <c r="BN82" s="223"/>
      <c r="BO82" s="169"/>
      <c r="BP82" s="410"/>
      <c r="BQ82" s="165"/>
      <c r="BR82" s="37"/>
      <c r="BS82" s="42"/>
      <c r="BT82" s="146"/>
      <c r="BU82" s="81"/>
      <c r="BV82" s="224"/>
      <c r="BW82" s="282" t="s">
        <v>241</v>
      </c>
      <c r="BX82" s="828"/>
      <c r="BY82" s="42"/>
    </row>
    <row r="83" spans="1:77" ht="15" customHeight="1" x14ac:dyDescent="0.2">
      <c r="A83" s="118" t="s">
        <v>339</v>
      </c>
      <c r="B83" s="118"/>
      <c r="C83" s="118"/>
      <c r="D83" s="118"/>
      <c r="E83" s="349"/>
      <c r="F83" s="606"/>
      <c r="G83" s="119"/>
      <c r="H83" s="119"/>
      <c r="I83" s="610"/>
      <c r="J83" s="119"/>
      <c r="K83" s="119"/>
      <c r="L83" s="112"/>
      <c r="M83" s="119"/>
      <c r="N83" s="368"/>
      <c r="O83" s="1036"/>
      <c r="P83" s="119"/>
      <c r="Q83" s="368"/>
      <c r="R83" s="1036"/>
      <c r="S83" s="119"/>
      <c r="T83" s="368"/>
      <c r="U83" s="119"/>
      <c r="V83" s="119"/>
      <c r="W83" s="849"/>
      <c r="X83" s="775"/>
      <c r="Y83" s="145"/>
      <c r="Z83" s="106"/>
      <c r="AA83" s="106"/>
      <c r="AB83" s="149"/>
      <c r="AC83" s="225"/>
      <c r="AD83" s="119"/>
      <c r="AE83" s="119"/>
      <c r="AF83" s="412"/>
      <c r="AG83" s="119"/>
      <c r="AH83" s="542"/>
      <c r="AI83" s="411"/>
      <c r="AJ83" s="411"/>
      <c r="AK83" s="412"/>
      <c r="AL83" s="413"/>
      <c r="AM83" s="655"/>
      <c r="AN83" s="119"/>
      <c r="AO83" s="849"/>
      <c r="AP83" s="120"/>
      <c r="AQ83" s="846"/>
      <c r="AR83" s="147"/>
      <c r="AS83" s="148"/>
      <c r="AT83" s="149"/>
      <c r="AU83" s="225"/>
      <c r="AV83" s="412"/>
      <c r="AW83" s="119"/>
      <c r="AX83" s="412"/>
      <c r="AY83" s="119"/>
      <c r="AZ83" s="412"/>
      <c r="BA83" s="147"/>
      <c r="BB83" s="148"/>
      <c r="BC83" s="149"/>
      <c r="BD83" s="236"/>
      <c r="BE83" s="412"/>
      <c r="BF83" s="119"/>
      <c r="BG83" s="967"/>
      <c r="BH83" s="982"/>
      <c r="BI83" s="77"/>
      <c r="BJ83" s="147"/>
      <c r="BK83" s="148"/>
      <c r="BL83" s="149"/>
      <c r="BM83" s="236"/>
      <c r="BN83" s="655"/>
      <c r="BO83" s="119"/>
      <c r="BP83" s="967"/>
      <c r="BQ83" s="119"/>
      <c r="BR83" s="32"/>
      <c r="BS83" s="147"/>
      <c r="BT83" s="148"/>
      <c r="BU83" s="149"/>
      <c r="BV83" s="225"/>
      <c r="BW83" s="306"/>
      <c r="BX83" s="829"/>
      <c r="BY83" s="147"/>
    </row>
    <row r="84" spans="1:77" ht="15" customHeight="1" x14ac:dyDescent="0.2">
      <c r="A84" s="579" t="s">
        <v>182</v>
      </c>
      <c r="B84" s="56" t="s">
        <v>1606</v>
      </c>
      <c r="C84" s="637"/>
      <c r="D84" s="544">
        <v>87.233000000000004</v>
      </c>
      <c r="E84" s="140" t="s">
        <v>3277</v>
      </c>
      <c r="F84" s="362"/>
      <c r="G84" s="121">
        <v>0.2918</v>
      </c>
      <c r="H84" s="121">
        <v>0.38862999999999998</v>
      </c>
      <c r="I84" s="114">
        <v>2000</v>
      </c>
      <c r="J84" s="121">
        <v>0.61429999999999996</v>
      </c>
      <c r="K84" s="121">
        <v>0.59775</v>
      </c>
      <c r="L84" s="114">
        <v>2006</v>
      </c>
      <c r="M84" s="672">
        <f>0.945544+0.000639*21+0.000079*310</f>
        <v>0.98345300000000002</v>
      </c>
      <c r="N84" s="363"/>
      <c r="O84" s="1038"/>
      <c r="P84" s="121">
        <f>0.84417+0.001517+0.000004+0.00605</f>
        <v>0.85174099999999997</v>
      </c>
      <c r="Q84" s="915">
        <f>P84-0.1915</f>
        <v>0.66024099999999997</v>
      </c>
      <c r="R84" s="1038"/>
      <c r="S84" s="121"/>
      <c r="T84" s="915"/>
      <c r="U84" s="775"/>
      <c r="V84" s="120"/>
      <c r="W84" s="89">
        <f>AA84*(1+AB84)</f>
        <v>2.9147249999999998E-4</v>
      </c>
      <c r="X84" s="87">
        <f>AA84*(1+AC84)</f>
        <v>2.9147249999999998E-4</v>
      </c>
      <c r="Y84" s="160">
        <v>1990</v>
      </c>
      <c r="Z84" s="21"/>
      <c r="AA84" s="21">
        <f>+H84/1000</f>
        <v>3.8863E-4</v>
      </c>
      <c r="AB84" s="399">
        <v>-0.25</v>
      </c>
      <c r="AC84" s="618">
        <v>-0.25</v>
      </c>
      <c r="AD84" s="16"/>
      <c r="AE84" s="16"/>
      <c r="AF84" s="136"/>
      <c r="AG84" s="59"/>
      <c r="AH84" s="77"/>
      <c r="AI84" s="21"/>
      <c r="AJ84" s="21"/>
      <c r="AK84" s="292"/>
      <c r="AL84" s="293"/>
      <c r="AM84" s="208"/>
      <c r="AN84" s="16"/>
      <c r="AO84" s="1533" t="s">
        <v>311</v>
      </c>
      <c r="AP84" s="1534"/>
      <c r="AQ84" s="440">
        <v>2030</v>
      </c>
      <c r="AR84" s="21"/>
      <c r="AS84" s="21"/>
      <c r="AT84" s="80"/>
      <c r="AU84" s="215"/>
      <c r="AV84" s="16"/>
      <c r="AW84" s="16"/>
      <c r="AX84" s="136"/>
      <c r="AY84" s="59"/>
      <c r="AZ84" s="77"/>
      <c r="BA84" s="21"/>
      <c r="BB84" s="21"/>
      <c r="BC84" s="80"/>
      <c r="BD84" s="75"/>
      <c r="BE84" s="208"/>
      <c r="BF84" s="16"/>
      <c r="BG84" s="136"/>
      <c r="BH84" s="59"/>
      <c r="BI84" s="77"/>
      <c r="BJ84" s="21"/>
      <c r="BK84" s="21"/>
      <c r="BL84" s="80"/>
      <c r="BM84" s="75"/>
      <c r="BN84" s="208"/>
      <c r="BO84" s="16"/>
      <c r="BP84" s="27"/>
      <c r="BQ84" s="28"/>
      <c r="BR84" s="160"/>
      <c r="BS84" s="21"/>
      <c r="BT84" s="21"/>
      <c r="BU84" s="80"/>
      <c r="BV84" s="215"/>
      <c r="BW84" s="143"/>
      <c r="BX84" s="310"/>
      <c r="BY84" s="321"/>
    </row>
    <row r="85" spans="1:77" ht="15" customHeight="1" x14ac:dyDescent="0.2">
      <c r="A85" s="56" t="s">
        <v>42</v>
      </c>
      <c r="B85" s="56" t="s">
        <v>1606</v>
      </c>
      <c r="C85" s="637"/>
      <c r="D85" s="544">
        <v>40374.224000000002</v>
      </c>
      <c r="E85" s="624" t="s">
        <v>3184</v>
      </c>
      <c r="F85" s="373"/>
      <c r="G85" s="121">
        <v>270.291</v>
      </c>
      <c r="H85" s="346">
        <f>G85-50.769</f>
        <v>219.52199999999999</v>
      </c>
      <c r="I85" s="114"/>
      <c r="J85" s="93">
        <v>403.14800000000002</v>
      </c>
      <c r="K85" s="346">
        <f>+J85-128.362</f>
        <v>274.78600000000006</v>
      </c>
      <c r="L85" s="114"/>
      <c r="M85" s="93">
        <v>385.70800000000003</v>
      </c>
      <c r="N85" s="93">
        <f>M85-76.542</f>
        <v>309.16600000000005</v>
      </c>
      <c r="O85" s="1038"/>
      <c r="P85" s="93">
        <v>365.44099999999997</v>
      </c>
      <c r="Q85" s="378">
        <f>P85-34.429</f>
        <v>331.01199999999994</v>
      </c>
      <c r="R85" s="1038">
        <v>2016</v>
      </c>
      <c r="S85" s="93">
        <v>364.43599999999998</v>
      </c>
      <c r="T85" s="378">
        <f>S85-31.068</f>
        <v>333.36799999999999</v>
      </c>
      <c r="U85" s="68"/>
      <c r="V85" s="68"/>
      <c r="W85" s="27"/>
      <c r="X85" s="28"/>
      <c r="Y85" s="145"/>
      <c r="Z85" s="38"/>
      <c r="AA85" s="32"/>
      <c r="AB85" s="80"/>
      <c r="AC85" s="209"/>
      <c r="AD85" s="3"/>
      <c r="AE85" s="49"/>
      <c r="AF85" s="3"/>
      <c r="AG85" s="47">
        <v>0.372</v>
      </c>
      <c r="AH85" s="77"/>
      <c r="AI85" s="38"/>
      <c r="AJ85" s="32"/>
      <c r="AK85" s="80"/>
      <c r="AL85" s="215"/>
      <c r="AM85" s="456"/>
      <c r="AN85" s="387"/>
      <c r="AO85" s="454"/>
      <c r="AP85" s="47">
        <v>0.34899999999999998</v>
      </c>
      <c r="AQ85" s="440"/>
      <c r="AR85" s="424"/>
      <c r="AS85" s="424"/>
      <c r="AT85" s="461"/>
      <c r="AU85" s="462"/>
      <c r="AV85" s="16"/>
      <c r="AW85" s="20"/>
      <c r="AX85" s="16"/>
      <c r="AY85" s="20"/>
      <c r="AZ85" s="77"/>
      <c r="BA85" s="38"/>
      <c r="BB85" s="32"/>
      <c r="BC85" s="80"/>
      <c r="BD85" s="75"/>
      <c r="BE85" s="208"/>
      <c r="BF85" s="16"/>
      <c r="BG85" s="19"/>
      <c r="BH85" s="20"/>
      <c r="BI85" s="77"/>
      <c r="BJ85" s="38"/>
      <c r="BK85" s="32"/>
      <c r="BL85" s="80"/>
      <c r="BM85" s="75"/>
      <c r="BN85" s="208"/>
      <c r="BO85" s="16"/>
      <c r="BP85" s="19"/>
      <c r="BQ85" s="20"/>
      <c r="BR85" s="32"/>
      <c r="BS85" s="38"/>
      <c r="BT85" s="32"/>
      <c r="BU85" s="80"/>
      <c r="BV85" s="215"/>
      <c r="BW85" s="2"/>
      <c r="BX85" s="310"/>
      <c r="BY85" s="39"/>
    </row>
    <row r="86" spans="1:77" ht="15" customHeight="1" x14ac:dyDescent="0.2">
      <c r="A86" s="56" t="s">
        <v>42</v>
      </c>
      <c r="B86" s="56"/>
      <c r="C86" s="637" t="s">
        <v>358</v>
      </c>
      <c r="D86" s="544">
        <v>3064</v>
      </c>
      <c r="E86" s="161" t="s">
        <v>3156</v>
      </c>
      <c r="F86" s="603">
        <v>2000</v>
      </c>
      <c r="G86" s="62"/>
      <c r="H86" s="69">
        <v>10.45</v>
      </c>
      <c r="I86" s="418">
        <v>2008</v>
      </c>
      <c r="J86" s="93"/>
      <c r="K86" s="346">
        <v>10.46</v>
      </c>
      <c r="L86" s="74"/>
      <c r="M86" s="68"/>
      <c r="N86" s="356">
        <v>10.87</v>
      </c>
      <c r="O86" s="923"/>
      <c r="P86" s="68"/>
      <c r="Q86" s="356">
        <v>13.008741000000001</v>
      </c>
      <c r="R86" s="923"/>
      <c r="S86" s="68"/>
      <c r="T86" s="356"/>
      <c r="U86" s="68"/>
      <c r="V86" s="68"/>
      <c r="W86" s="89">
        <f>AA86*(1+AB86)</f>
        <v>9.4140000000000005E-3</v>
      </c>
      <c r="X86" s="87">
        <f>AA86*(1+AC86)</f>
        <v>9.4140000000000005E-3</v>
      </c>
      <c r="Y86" s="188">
        <v>2008</v>
      </c>
      <c r="Z86" s="38"/>
      <c r="AA86" s="564">
        <f>+K86/1000</f>
        <v>1.0460000000000001E-2</v>
      </c>
      <c r="AB86" s="80">
        <v>-0.1</v>
      </c>
      <c r="AC86" s="209">
        <f>AB86</f>
        <v>-0.1</v>
      </c>
      <c r="AD86" s="3"/>
      <c r="AE86" s="49"/>
      <c r="AF86" s="3"/>
      <c r="AG86" s="49"/>
      <c r="AH86" s="77"/>
      <c r="AI86" s="38"/>
      <c r="AJ86" s="32"/>
      <c r="AK86" s="80"/>
      <c r="AL86" s="215"/>
      <c r="AM86" s="456"/>
      <c r="AN86" s="387"/>
      <c r="AO86" s="638">
        <f>AS86*(1+AT86)</f>
        <v>4.9266600000000002E-3</v>
      </c>
      <c r="AP86" s="639">
        <f>AS86*(1+AU86)</f>
        <v>4.9266600000000002E-3</v>
      </c>
      <c r="AQ86" s="640">
        <v>2008</v>
      </c>
      <c r="AR86" s="641"/>
      <c r="AS86" s="641">
        <f>+K86/1000</f>
        <v>1.0460000000000001E-2</v>
      </c>
      <c r="AT86" s="1526">
        <v>-0.52900000000000003</v>
      </c>
      <c r="AU86" s="1527">
        <f>AT86</f>
        <v>-0.52900000000000003</v>
      </c>
      <c r="AV86" s="16"/>
      <c r="AW86" s="20"/>
      <c r="AX86" s="16"/>
      <c r="AY86" s="20"/>
      <c r="AZ86" s="77"/>
      <c r="BA86" s="38"/>
      <c r="BB86" s="32"/>
      <c r="BC86" s="80"/>
      <c r="BD86" s="75"/>
      <c r="BE86" s="208"/>
      <c r="BF86" s="16"/>
      <c r="BG86" s="19"/>
      <c r="BH86" s="20"/>
      <c r="BI86" s="77"/>
      <c r="BJ86" s="38"/>
      <c r="BK86" s="32"/>
      <c r="BL86" s="80"/>
      <c r="BM86" s="75"/>
      <c r="BN86" s="208"/>
      <c r="BO86" s="16"/>
      <c r="BP86" s="19"/>
      <c r="BQ86" s="20"/>
      <c r="BR86" s="32"/>
      <c r="BS86" s="38"/>
      <c r="BT86" s="32"/>
      <c r="BU86" s="400">
        <v>-0.84399999999999997</v>
      </c>
      <c r="BV86" s="680">
        <f t="shared" ref="BV86" si="12">BU86</f>
        <v>-0.84399999999999997</v>
      </c>
      <c r="BW86" s="2"/>
      <c r="BX86" s="310"/>
      <c r="BY86" s="39"/>
    </row>
    <row r="87" spans="1:77" ht="15" customHeight="1" x14ac:dyDescent="0.2">
      <c r="A87" s="56" t="s">
        <v>42</v>
      </c>
      <c r="B87" s="56"/>
      <c r="C87" s="637" t="s">
        <v>3157</v>
      </c>
      <c r="D87" s="544">
        <v>115.041</v>
      </c>
      <c r="E87" s="161" t="s">
        <v>387</v>
      </c>
      <c r="F87" s="603"/>
      <c r="G87" s="62"/>
      <c r="H87" s="69"/>
      <c r="I87" s="418"/>
      <c r="J87" s="93"/>
      <c r="K87" s="346"/>
      <c r="L87" s="74"/>
      <c r="M87" s="68"/>
      <c r="N87" s="356"/>
      <c r="O87" s="923"/>
      <c r="P87" s="68"/>
      <c r="Q87" s="356"/>
      <c r="R87" s="923">
        <v>2018</v>
      </c>
      <c r="S87" s="68"/>
      <c r="T87" s="356">
        <v>0.70877902000000004</v>
      </c>
      <c r="U87" s="68"/>
      <c r="V87" s="68"/>
      <c r="W87" s="89"/>
      <c r="X87" s="87"/>
      <c r="Y87" s="188"/>
      <c r="Z87" s="38"/>
      <c r="AA87" s="564"/>
      <c r="AB87" s="80"/>
      <c r="AC87" s="209"/>
      <c r="AD87" s="3"/>
      <c r="AE87" s="49"/>
      <c r="AF87" s="3"/>
      <c r="AG87" s="49"/>
      <c r="AH87" s="77"/>
      <c r="AI87" s="38"/>
      <c r="AJ87" s="32"/>
      <c r="AK87" s="80"/>
      <c r="AL87" s="215"/>
      <c r="AM87" s="456"/>
      <c r="AN87" s="486">
        <f>0.76819295/1000</f>
        <v>7.6819295000000001E-4</v>
      </c>
      <c r="AO87" s="638">
        <f>AS87*(1+AT87)</f>
        <v>4.9614531399999997E-4</v>
      </c>
      <c r="AP87" s="639">
        <f>AS87*(1+AU87)</f>
        <v>4.9614531399999997E-4</v>
      </c>
      <c r="AQ87" s="640">
        <v>2018</v>
      </c>
      <c r="AR87" s="641"/>
      <c r="AS87" s="641">
        <f>+T87/1000</f>
        <v>7.0877902000000001E-4</v>
      </c>
      <c r="AT87" s="406">
        <v>-0.3</v>
      </c>
      <c r="AU87" s="407">
        <f>AT87</f>
        <v>-0.3</v>
      </c>
      <c r="AV87" s="16"/>
      <c r="AW87" s="20"/>
      <c r="AX87" s="16"/>
      <c r="AY87" s="20"/>
      <c r="AZ87" s="77"/>
      <c r="BA87" s="38"/>
      <c r="BB87" s="32"/>
      <c r="BC87" s="80"/>
      <c r="BD87" s="75"/>
      <c r="BE87" s="208"/>
      <c r="BF87" s="16"/>
      <c r="BG87" s="19"/>
      <c r="BH87" s="20"/>
      <c r="BI87" s="77"/>
      <c r="BJ87" s="38"/>
      <c r="BK87" s="32"/>
      <c r="BL87" s="80"/>
      <c r="BM87" s="75"/>
      <c r="BN87" s="208"/>
      <c r="BO87" s="16"/>
      <c r="BP87" s="19"/>
      <c r="BQ87" s="20"/>
      <c r="BR87" s="32"/>
      <c r="BS87" s="38"/>
      <c r="BT87" s="32"/>
      <c r="BU87" s="400"/>
      <c r="BV87" s="680"/>
      <c r="BW87" s="2"/>
      <c r="BX87" s="310"/>
      <c r="BY87" s="39"/>
    </row>
    <row r="88" spans="1:77" ht="15" customHeight="1" x14ac:dyDescent="0.2">
      <c r="A88" s="56" t="s">
        <v>156</v>
      </c>
      <c r="B88" s="56" t="s">
        <v>1606</v>
      </c>
      <c r="C88" s="637"/>
      <c r="D88" s="544">
        <v>360.49799999999999</v>
      </c>
      <c r="E88" s="624" t="s">
        <v>3350</v>
      </c>
      <c r="F88" s="373"/>
      <c r="G88" s="121">
        <v>-1.6637999999999999</v>
      </c>
      <c r="H88" s="346">
        <v>1.9152</v>
      </c>
      <c r="I88" s="114">
        <v>2001</v>
      </c>
      <c r="J88" s="93">
        <v>5.2148000000000003</v>
      </c>
      <c r="K88" s="346"/>
      <c r="L88" s="114"/>
      <c r="M88" s="93"/>
      <c r="N88" s="93"/>
      <c r="O88" s="1038">
        <v>2018</v>
      </c>
      <c r="P88" s="93">
        <v>6.16988</v>
      </c>
      <c r="Q88" s="378"/>
      <c r="R88" s="923"/>
      <c r="S88" s="68"/>
      <c r="T88" s="356"/>
      <c r="U88" s="68"/>
      <c r="V88" s="68"/>
      <c r="W88" s="27"/>
      <c r="X88" s="28"/>
      <c r="Y88" s="145"/>
      <c r="Z88" s="38"/>
      <c r="AA88" s="32"/>
      <c r="AB88" s="80"/>
      <c r="AC88" s="209"/>
      <c r="AD88" s="16"/>
      <c r="AE88" s="20"/>
      <c r="AF88" s="4"/>
      <c r="AG88" s="59"/>
      <c r="AH88" s="77"/>
      <c r="AI88" s="38"/>
      <c r="AJ88" s="32"/>
      <c r="AK88" s="80"/>
      <c r="AL88" s="215"/>
      <c r="AM88" s="1343">
        <f>6.347/1000</f>
        <v>6.3470000000000002E-3</v>
      </c>
      <c r="AN88" s="920"/>
      <c r="AO88" s="1344">
        <f>AR88*(1+AT88)</f>
        <v>4.4428999999999996E-3</v>
      </c>
      <c r="AP88" s="1322">
        <f>AR88*(1+AU88)</f>
        <v>4.4428999999999996E-3</v>
      </c>
      <c r="AQ88" s="440">
        <v>2030</v>
      </c>
      <c r="AR88" s="1324">
        <f>+AM88</f>
        <v>6.3470000000000002E-3</v>
      </c>
      <c r="AS88" s="424"/>
      <c r="AT88" s="1325">
        <v>-0.3</v>
      </c>
      <c r="AU88" s="1326">
        <f>AT88</f>
        <v>-0.3</v>
      </c>
      <c r="AV88" s="16"/>
      <c r="AW88" s="20"/>
      <c r="AX88" s="16"/>
      <c r="AY88" s="20"/>
      <c r="AZ88" s="77"/>
      <c r="BA88" s="38"/>
      <c r="BB88" s="32"/>
      <c r="BC88" s="80"/>
      <c r="BD88" s="75"/>
      <c r="BE88" s="208"/>
      <c r="BF88" s="16"/>
      <c r="BG88" s="19"/>
      <c r="BH88" s="20"/>
      <c r="BI88" s="77"/>
      <c r="BJ88" s="38"/>
      <c r="BK88" s="32"/>
      <c r="BL88" s="80"/>
      <c r="BM88" s="75"/>
      <c r="BN88" s="208"/>
      <c r="BO88" s="16"/>
      <c r="BP88" s="19"/>
      <c r="BQ88" s="20"/>
      <c r="BR88" s="32"/>
      <c r="BS88" s="38"/>
      <c r="BT88" s="32"/>
      <c r="BU88" s="80"/>
      <c r="BV88" s="215"/>
      <c r="BW88" s="307"/>
      <c r="BX88" s="139" t="s">
        <v>325</v>
      </c>
      <c r="BY88" s="38"/>
    </row>
    <row r="89" spans="1:77" ht="15" customHeight="1" x14ac:dyDescent="0.2">
      <c r="A89" s="56" t="s">
        <v>183</v>
      </c>
      <c r="B89" s="56" t="s">
        <v>1606</v>
      </c>
      <c r="C89" s="637"/>
      <c r="D89" s="544">
        <v>280.39600000000002</v>
      </c>
      <c r="E89" s="624" t="s">
        <v>3264</v>
      </c>
      <c r="F89" s="373"/>
      <c r="G89" s="121">
        <v>3.26539</v>
      </c>
      <c r="H89" s="346">
        <v>3.2763900000000001</v>
      </c>
      <c r="I89" s="436"/>
      <c r="J89" s="1330">
        <v>1.5980000000000001</v>
      </c>
      <c r="K89" s="1331">
        <f>J89+0.045</f>
        <v>1.643</v>
      </c>
      <c r="L89" s="114">
        <v>2008</v>
      </c>
      <c r="M89" s="93">
        <v>2.1230000000000002</v>
      </c>
      <c r="N89" s="93"/>
      <c r="O89" s="1038">
        <v>2010</v>
      </c>
      <c r="P89" s="1330">
        <v>1.93</v>
      </c>
      <c r="Q89" s="784">
        <f>P89+0.051</f>
        <v>1.9809999999999999</v>
      </c>
      <c r="R89" s="1037"/>
      <c r="S89" s="437"/>
      <c r="T89" s="356"/>
      <c r="U89" s="68"/>
      <c r="V89" s="68"/>
      <c r="W89" s="27"/>
      <c r="X89" s="28"/>
      <c r="Y89" s="145"/>
      <c r="Z89" s="38"/>
      <c r="AA89" s="32"/>
      <c r="AB89" s="80"/>
      <c r="AC89" s="209"/>
      <c r="AD89" s="1335">
        <v>1.8810000000000001E-3</v>
      </c>
      <c r="AE89" s="1370">
        <f>AD89</f>
        <v>1.8810000000000001E-3</v>
      </c>
      <c r="AF89" s="1336">
        <f>AI89*(1+AK89)</f>
        <v>1.5048000000000001E-3</v>
      </c>
      <c r="AG89" s="1370">
        <f>AI89*(1+AL89)</f>
        <v>1.22265E-3</v>
      </c>
      <c r="AH89" s="262">
        <v>2030</v>
      </c>
      <c r="AI89" s="1339">
        <f>AE89</f>
        <v>1.8810000000000001E-3</v>
      </c>
      <c r="AJ89" s="48"/>
      <c r="AK89" s="1325">
        <v>-0.2</v>
      </c>
      <c r="AL89" s="1326">
        <v>-0.35</v>
      </c>
      <c r="AM89" s="1335">
        <v>1.9580000000000001E-3</v>
      </c>
      <c r="AN89" s="1370">
        <f>AM89</f>
        <v>1.9580000000000001E-3</v>
      </c>
      <c r="AO89" s="1407">
        <f>AR89*(1+AT89)</f>
        <v>1.2727000000000001E-3</v>
      </c>
      <c r="AP89" s="1370">
        <f>AR89*(1+AU89)</f>
        <v>5.8740000000000007E-4</v>
      </c>
      <c r="AQ89" s="262">
        <v>2008</v>
      </c>
      <c r="AR89" s="1324">
        <f>AM89</f>
        <v>1.9580000000000001E-3</v>
      </c>
      <c r="AS89" s="48"/>
      <c r="AT89" s="1325">
        <v>-0.35</v>
      </c>
      <c r="AU89" s="1326">
        <v>-0.7</v>
      </c>
      <c r="AV89" s="16"/>
      <c r="AW89" s="20"/>
      <c r="AX89" s="16"/>
      <c r="AY89" s="20"/>
      <c r="AZ89" s="77"/>
      <c r="BA89" s="38"/>
      <c r="BB89" s="32"/>
      <c r="BC89" s="80"/>
      <c r="BD89" s="75"/>
      <c r="BE89" s="208"/>
      <c r="BF89" s="16"/>
      <c r="BG89" s="19"/>
      <c r="BH89" s="20"/>
      <c r="BI89" s="77"/>
      <c r="BJ89" s="38"/>
      <c r="BK89" s="32"/>
      <c r="BL89" s="80"/>
      <c r="BM89" s="75"/>
      <c r="BN89" s="208"/>
      <c r="BO89" s="16"/>
      <c r="BP89" s="19"/>
      <c r="BQ89" s="20"/>
      <c r="BR89" s="32"/>
      <c r="BS89" s="38"/>
      <c r="BT89" s="32"/>
      <c r="BU89" s="80"/>
      <c r="BV89" s="215"/>
      <c r="BW89" s="307"/>
      <c r="BX89" s="830"/>
      <c r="BY89" s="38"/>
    </row>
    <row r="90" spans="1:77" ht="15" customHeight="1" x14ac:dyDescent="0.2">
      <c r="A90" s="56" t="s">
        <v>157</v>
      </c>
      <c r="B90" s="56" t="s">
        <v>1606</v>
      </c>
      <c r="C90" s="637"/>
      <c r="D90" s="544">
        <v>308.59500000000003</v>
      </c>
      <c r="E90" s="624" t="s">
        <v>3276</v>
      </c>
      <c r="F90" s="373">
        <v>1994</v>
      </c>
      <c r="G90" s="121">
        <v>-6.6120700000000001</v>
      </c>
      <c r="H90" s="346">
        <v>0.18096000000000001</v>
      </c>
      <c r="I90" s="114">
        <v>2006</v>
      </c>
      <c r="J90" s="93">
        <v>-11.20262</v>
      </c>
      <c r="K90" s="346">
        <v>0.18898000000000001</v>
      </c>
      <c r="L90" s="114">
        <v>2009</v>
      </c>
      <c r="M90" s="93">
        <v>-9.8337900000000005</v>
      </c>
      <c r="N90" s="93">
        <v>0.25525999999999999</v>
      </c>
      <c r="O90" s="1038"/>
      <c r="P90" s="93">
        <v>-5.2600699999999998</v>
      </c>
      <c r="Q90" s="378">
        <v>1.1074600000000001</v>
      </c>
      <c r="R90" s="1038">
        <v>2017</v>
      </c>
      <c r="S90" s="93">
        <v>-5.8267899999999999</v>
      </c>
      <c r="T90" s="378">
        <v>1.1947099999999999</v>
      </c>
      <c r="U90" s="93"/>
      <c r="V90" s="68"/>
      <c r="W90" s="27"/>
      <c r="X90" s="28"/>
      <c r="Y90" s="145"/>
      <c r="Z90" s="38"/>
      <c r="AA90" s="32"/>
      <c r="AB90" s="80"/>
      <c r="AC90" s="209"/>
      <c r="AD90" s="16"/>
      <c r="AE90" s="20"/>
      <c r="AF90" s="4"/>
      <c r="AG90" s="59"/>
      <c r="AH90" s="77"/>
      <c r="AI90" s="38"/>
      <c r="AJ90" s="32"/>
      <c r="AK90" s="80"/>
      <c r="AL90" s="215"/>
      <c r="AM90" s="208"/>
      <c r="AN90" s="16"/>
      <c r="AO90" s="1486">
        <f>(S90-1.08)/1000</f>
        <v>-6.9067900000000003E-3</v>
      </c>
      <c r="AP90" s="1487">
        <f>(T90-1.08)/1000</f>
        <v>1.1470999999999987E-4</v>
      </c>
      <c r="AQ90" s="262">
        <v>2030</v>
      </c>
      <c r="AR90" s="38"/>
      <c r="AS90" s="32"/>
      <c r="AT90" s="80"/>
      <c r="AU90" s="215"/>
      <c r="AV90" s="16"/>
      <c r="AW90" s="20"/>
      <c r="AX90" s="16"/>
      <c r="AY90" s="20"/>
      <c r="AZ90" s="77"/>
      <c r="BA90" s="38"/>
      <c r="BB90" s="32"/>
      <c r="BC90" s="80"/>
      <c r="BD90" s="75"/>
      <c r="BE90" s="208"/>
      <c r="BF90" s="16"/>
      <c r="BG90" s="19"/>
      <c r="BH90" s="20"/>
      <c r="BI90" s="77"/>
      <c r="BJ90" s="38"/>
      <c r="BK90" s="32"/>
      <c r="BL90" s="80"/>
      <c r="BM90" s="75"/>
      <c r="BN90" s="208"/>
      <c r="BO90" s="16"/>
      <c r="BP90" s="19"/>
      <c r="BQ90" s="20"/>
      <c r="BR90" s="32"/>
      <c r="BS90" s="38"/>
      <c r="BT90" s="32"/>
      <c r="BU90" s="80"/>
      <c r="BV90" s="215"/>
      <c r="BW90" s="308"/>
      <c r="BX90" s="831"/>
      <c r="BY90" s="38"/>
    </row>
    <row r="91" spans="1:77" ht="15" customHeight="1" x14ac:dyDescent="0.2">
      <c r="A91" s="56" t="s">
        <v>48</v>
      </c>
      <c r="B91" s="56" t="s">
        <v>1606</v>
      </c>
      <c r="C91" s="637"/>
      <c r="D91" s="544">
        <v>10156.601000000001</v>
      </c>
      <c r="E91" s="624" t="s">
        <v>2949</v>
      </c>
      <c r="F91" s="373"/>
      <c r="G91" s="121">
        <v>38.585940000000001</v>
      </c>
      <c r="H91" s="346">
        <v>15.32357</v>
      </c>
      <c r="I91" s="114">
        <v>2006</v>
      </c>
      <c r="J91" s="93">
        <f>64.1029-11.88423+(712.95*21+3.28*310)/1000</f>
        <v>68.207419999999999</v>
      </c>
      <c r="K91" s="346">
        <f>J91- (52.46506-11.88423)</f>
        <v>27.62659</v>
      </c>
      <c r="L91" s="114">
        <v>2008</v>
      </c>
      <c r="M91" s="93">
        <f>69.44212-20.02972+(737.2*21+3.29*310)/1000</f>
        <v>65.913499999999999</v>
      </c>
      <c r="N91" s="346">
        <f>M91- (56.16473-20.02972)</f>
        <v>29.778490000000005</v>
      </c>
      <c r="O91" s="923"/>
      <c r="P91" s="68"/>
      <c r="Q91" s="356"/>
      <c r="R91" s="923"/>
      <c r="S91" s="68"/>
      <c r="T91" s="356"/>
      <c r="U91" s="68"/>
      <c r="V91" s="68"/>
      <c r="W91" s="27"/>
      <c r="X91" s="28"/>
      <c r="Y91" s="38"/>
      <c r="Z91" s="38"/>
      <c r="AA91" s="145"/>
      <c r="AB91" s="80"/>
      <c r="AC91" s="215"/>
      <c r="AD91" s="16"/>
      <c r="AE91" s="20"/>
      <c r="AF91" s="4"/>
      <c r="AG91" s="59"/>
      <c r="AH91" s="77"/>
      <c r="AI91" s="38"/>
      <c r="AJ91" s="145"/>
      <c r="AK91" s="80"/>
      <c r="AL91" s="215"/>
      <c r="AM91" s="208"/>
      <c r="AN91" s="16"/>
      <c r="AO91" s="1533" t="s">
        <v>311</v>
      </c>
      <c r="AP91" s="1534"/>
      <c r="AQ91" s="77"/>
      <c r="AR91" s="38"/>
      <c r="AS91" s="145"/>
      <c r="AT91" s="80"/>
      <c r="AU91" s="215"/>
      <c r="AV91" s="16"/>
      <c r="AW91" s="20"/>
      <c r="AX91" s="16"/>
      <c r="AY91" s="20"/>
      <c r="AZ91" s="77"/>
      <c r="BA91" s="38"/>
      <c r="BB91" s="145"/>
      <c r="BC91" s="80"/>
      <c r="BD91" s="75"/>
      <c r="BE91" s="208"/>
      <c r="BF91" s="16"/>
      <c r="BG91" s="19"/>
      <c r="BH91" s="20"/>
      <c r="BI91" s="77"/>
      <c r="BJ91" s="38"/>
      <c r="BK91" s="145"/>
      <c r="BL91" s="80"/>
      <c r="BM91" s="75"/>
      <c r="BN91" s="208"/>
      <c r="BO91" s="16"/>
      <c r="BP91" s="19"/>
      <c r="BQ91" s="20"/>
      <c r="BR91" s="32"/>
      <c r="BS91" s="38"/>
      <c r="BT91" s="145"/>
      <c r="BU91" s="80"/>
      <c r="BV91" s="215"/>
      <c r="BW91" s="2"/>
      <c r="BX91" s="310"/>
      <c r="BY91" s="38"/>
    </row>
    <row r="92" spans="1:77" ht="15" customHeight="1" x14ac:dyDescent="0.2">
      <c r="A92" s="56" t="s">
        <v>51</v>
      </c>
      <c r="B92" s="56" t="s">
        <v>1606</v>
      </c>
      <c r="C92" s="637"/>
      <c r="D92" s="544">
        <v>195210.15400000001</v>
      </c>
      <c r="E92" s="95" t="s">
        <v>3185</v>
      </c>
      <c r="F92" s="373"/>
      <c r="G92" s="1332">
        <v>1509.6</v>
      </c>
      <c r="H92" s="1333">
        <f>G92-(907.5)</f>
        <v>602.09999999999991</v>
      </c>
      <c r="I92" s="565"/>
      <c r="J92" s="1332">
        <v>2445.9</v>
      </c>
      <c r="K92" s="710">
        <f>J92-1564.1</f>
        <v>881.80000000000018</v>
      </c>
      <c r="L92" s="114"/>
      <c r="M92" s="1332">
        <f>1229</f>
        <v>1229</v>
      </c>
      <c r="N92" s="1174">
        <f>M92-(252.5)</f>
        <v>976.5</v>
      </c>
      <c r="O92" s="1038"/>
      <c r="P92" s="1332">
        <f>1572.563-774.726+17.6219*21+0.6147*310</f>
        <v>1358.4539000000002</v>
      </c>
      <c r="Q92" s="1174">
        <f>P92-(1067.816-774.724)</f>
        <v>1065.3619000000003</v>
      </c>
      <c r="R92" s="1038">
        <v>2016</v>
      </c>
      <c r="S92" s="1332">
        <v>1467.3</v>
      </c>
      <c r="T92" s="1174">
        <f>S92-397.4</f>
        <v>1069.9000000000001</v>
      </c>
      <c r="U92" s="710">
        <v>2702.5</v>
      </c>
      <c r="V92" s="1333">
        <v>1450.5</v>
      </c>
      <c r="W92" s="124">
        <f>Z92*(1+AB92)</f>
        <v>2.0684430000000003</v>
      </c>
      <c r="X92" s="125">
        <f>Z92*(1+AC92)</f>
        <v>1.9778070000000001</v>
      </c>
      <c r="Y92" s="53">
        <v>2020</v>
      </c>
      <c r="Z92" s="515">
        <v>3.2370000000000001</v>
      </c>
      <c r="AA92" s="74"/>
      <c r="AB92" s="400">
        <v>-0.36099999999999999</v>
      </c>
      <c r="AC92" s="680">
        <v>-0.38900000000000001</v>
      </c>
      <c r="AD92" s="422"/>
      <c r="AE92" s="422"/>
      <c r="AF92" s="454">
        <f>AI92*(1+AK92)</f>
        <v>0.77427000000000001</v>
      </c>
      <c r="AG92" s="439">
        <f>AI92*(1+AL92)</f>
        <v>0.77427000000000001</v>
      </c>
      <c r="AH92" s="514">
        <v>2005</v>
      </c>
      <c r="AI92" s="518">
        <f>+M92/1000</f>
        <v>1.2290000000000001</v>
      </c>
      <c r="AJ92" s="516"/>
      <c r="AK92" s="294">
        <v>-0.37</v>
      </c>
      <c r="AL92" s="295">
        <f>AK92</f>
        <v>-0.37</v>
      </c>
      <c r="AM92" s="421"/>
      <c r="AN92" s="422"/>
      <c r="AO92" s="454">
        <f>AR92*(1+AT92)</f>
        <v>0.7005300000000001</v>
      </c>
      <c r="AP92" s="439">
        <f>AR92*(1+AU92)</f>
        <v>0.7005300000000001</v>
      </c>
      <c r="AQ92" s="514">
        <v>2005</v>
      </c>
      <c r="AR92" s="518">
        <f>+M92/1000</f>
        <v>1.2290000000000001</v>
      </c>
      <c r="AS92" s="516"/>
      <c r="AT92" s="294">
        <v>-0.43</v>
      </c>
      <c r="AU92" s="295">
        <f>AT92</f>
        <v>-0.43</v>
      </c>
      <c r="AV92" s="280"/>
      <c r="AW92" s="168"/>
      <c r="AX92" s="263"/>
      <c r="AY92" s="177"/>
      <c r="AZ92" s="274"/>
      <c r="BA92" s="123"/>
      <c r="BB92" s="48"/>
      <c r="BC92" s="82"/>
      <c r="BD92" s="232"/>
      <c r="BE92" s="216"/>
      <c r="BF92" s="168"/>
      <c r="BG92" s="263"/>
      <c r="BH92" s="177"/>
      <c r="BI92" s="274"/>
      <c r="BJ92" s="123"/>
      <c r="BK92" s="48"/>
      <c r="BL92" s="82"/>
      <c r="BM92" s="232"/>
      <c r="BN92" s="216"/>
      <c r="BO92" s="168"/>
      <c r="BP92" s="23"/>
      <c r="BQ92" s="24"/>
      <c r="BR92" s="53"/>
      <c r="BS92" s="123"/>
      <c r="BT92" s="48"/>
      <c r="BU92" s="82">
        <v>0</v>
      </c>
      <c r="BV92" s="217">
        <v>0</v>
      </c>
      <c r="BW92" s="141" t="s">
        <v>213</v>
      </c>
      <c r="BX92" s="311" t="s">
        <v>269</v>
      </c>
      <c r="BY92" s="139" t="s">
        <v>144</v>
      </c>
    </row>
    <row r="93" spans="1:77" ht="15" customHeight="1" x14ac:dyDescent="0.2">
      <c r="A93" s="56" t="s">
        <v>51</v>
      </c>
      <c r="B93" s="56" t="s">
        <v>2437</v>
      </c>
      <c r="C93" s="637"/>
      <c r="D93" s="544">
        <v>3481</v>
      </c>
      <c r="E93" s="107" t="s">
        <v>371</v>
      </c>
      <c r="F93" s="603"/>
      <c r="G93" s="68"/>
      <c r="H93" s="61"/>
      <c r="I93" s="418"/>
      <c r="J93" s="4"/>
      <c r="K93" s="4"/>
      <c r="L93" s="74"/>
      <c r="M93" s="517"/>
      <c r="N93" s="347"/>
      <c r="O93" s="923"/>
      <c r="P93" s="517"/>
      <c r="Q93" s="347"/>
      <c r="R93" s="923"/>
      <c r="S93" s="517"/>
      <c r="T93" s="347"/>
      <c r="U93" s="4"/>
      <c r="V93" s="59"/>
      <c r="W93" s="124"/>
      <c r="X93" s="125"/>
      <c r="Y93" s="946"/>
      <c r="Z93" s="1024"/>
      <c r="AA93" s="74"/>
      <c r="AB93" s="400"/>
      <c r="AC93" s="680"/>
      <c r="AD93" s="422"/>
      <c r="AE93" s="422"/>
      <c r="AF93" s="454"/>
      <c r="AG93" s="439"/>
      <c r="AH93" s="514"/>
      <c r="AI93" s="518"/>
      <c r="AJ93" s="709"/>
      <c r="AK93" s="294"/>
      <c r="AL93" s="295"/>
      <c r="AM93" s="421"/>
      <c r="AN93" s="422"/>
      <c r="AO93" s="454"/>
      <c r="AP93" s="439"/>
      <c r="AQ93" s="514"/>
      <c r="AR93" s="518"/>
      <c r="AS93" s="516"/>
      <c r="AT93" s="294"/>
      <c r="AU93" s="295"/>
      <c r="AV93" s="280"/>
      <c r="AW93" s="168"/>
      <c r="AX93" s="263"/>
      <c r="AY93" s="177"/>
      <c r="AZ93" s="274"/>
      <c r="BA93" s="123"/>
      <c r="BB93" s="48"/>
      <c r="BC93" s="82"/>
      <c r="BD93" s="232"/>
      <c r="BE93" s="216"/>
      <c r="BF93" s="168"/>
      <c r="BG93" s="263"/>
      <c r="BH93" s="177"/>
      <c r="BI93" s="274"/>
      <c r="BJ93" s="123"/>
      <c r="BK93" s="48"/>
      <c r="BL93" s="82"/>
      <c r="BM93" s="232"/>
      <c r="BN93" s="216"/>
      <c r="BO93" s="168"/>
      <c r="BP93" s="677">
        <f>BS93*(1+BU93)</f>
        <v>0</v>
      </c>
      <c r="BQ93" s="678">
        <f>BS93*(1+BV93)</f>
        <v>0</v>
      </c>
      <c r="BR93" s="427"/>
      <c r="BS93" s="428">
        <f>+K93/1000</f>
        <v>0</v>
      </c>
      <c r="BT93" s="48"/>
      <c r="BU93" s="399">
        <v>-0.8</v>
      </c>
      <c r="BV93" s="618">
        <v>-0.95</v>
      </c>
      <c r="BW93" s="141"/>
      <c r="BX93" s="311"/>
      <c r="BY93" s="139"/>
    </row>
    <row r="94" spans="1:77" ht="15" customHeight="1" x14ac:dyDescent="0.2">
      <c r="A94" s="56" t="s">
        <v>51</v>
      </c>
      <c r="B94" s="56" t="s">
        <v>2187</v>
      </c>
      <c r="C94" s="637"/>
      <c r="D94" s="544">
        <v>3200</v>
      </c>
      <c r="E94" s="107" t="s">
        <v>371</v>
      </c>
      <c r="F94" s="603"/>
      <c r="G94" s="68"/>
      <c r="H94" s="61"/>
      <c r="I94" s="418"/>
      <c r="J94" s="4"/>
      <c r="K94" s="4"/>
      <c r="L94" s="74"/>
      <c r="M94" s="517"/>
      <c r="N94" s="347"/>
      <c r="O94" s="923">
        <v>2014</v>
      </c>
      <c r="P94" s="710">
        <v>145.34967900000001</v>
      </c>
      <c r="Q94" s="347">
        <f>P94-83.572169</f>
        <v>61.777510000000007</v>
      </c>
      <c r="R94" s="923"/>
      <c r="S94" s="710"/>
      <c r="T94" s="347"/>
      <c r="U94" s="4"/>
      <c r="V94" s="59"/>
      <c r="W94" s="124">
        <f>Z94*(1+AB94)+Q94/1000</f>
        <v>7.8491943800000005E-2</v>
      </c>
      <c r="X94" s="125"/>
      <c r="Y94" s="946">
        <v>2014</v>
      </c>
      <c r="Z94" s="947">
        <f>+(P94-Q94)/1000</f>
        <v>8.3572169000000002E-2</v>
      </c>
      <c r="AA94" s="74"/>
      <c r="AB94" s="399">
        <v>-0.8</v>
      </c>
      <c r="AC94" s="618">
        <f>AB94</f>
        <v>-0.8</v>
      </c>
      <c r="AD94" s="422"/>
      <c r="AE94" s="422"/>
      <c r="AF94" s="454"/>
      <c r="AG94" s="439"/>
      <c r="AH94" s="514"/>
      <c r="AI94" s="518"/>
      <c r="AJ94" s="709"/>
      <c r="AK94" s="294"/>
      <c r="AL94" s="295"/>
      <c r="AM94" s="421"/>
      <c r="AN94" s="422"/>
      <c r="AO94" s="454"/>
      <c r="AP94" s="439"/>
      <c r="AQ94" s="514"/>
      <c r="AR94" s="518"/>
      <c r="AS94" s="516"/>
      <c r="AT94" s="294"/>
      <c r="AU94" s="295"/>
      <c r="AV94" s="280"/>
      <c r="AW94" s="168"/>
      <c r="AX94" s="263"/>
      <c r="AY94" s="177"/>
      <c r="AZ94" s="274"/>
      <c r="BA94" s="123"/>
      <c r="BB94" s="48"/>
      <c r="BC94" s="82"/>
      <c r="BD94" s="232"/>
      <c r="BE94" s="216"/>
      <c r="BF94" s="168"/>
      <c r="BG94" s="263"/>
      <c r="BH94" s="177"/>
      <c r="BI94" s="274"/>
      <c r="BJ94" s="123"/>
      <c r="BK94" s="48"/>
      <c r="BL94" s="82"/>
      <c r="BM94" s="232"/>
      <c r="BN94" s="216"/>
      <c r="BO94" s="168"/>
      <c r="BP94" s="23"/>
      <c r="BQ94" s="24"/>
      <c r="BR94" s="53"/>
      <c r="BS94" s="123"/>
      <c r="BT94" s="48"/>
      <c r="BU94" s="82"/>
      <c r="BV94" s="217"/>
      <c r="BW94" s="141"/>
      <c r="BX94" s="311"/>
      <c r="BY94" s="139"/>
    </row>
    <row r="95" spans="1:77" ht="15" customHeight="1" x14ac:dyDescent="0.2">
      <c r="A95" s="56" t="s">
        <v>51</v>
      </c>
      <c r="B95" s="107" t="s">
        <v>2255</v>
      </c>
      <c r="C95" s="637"/>
      <c r="D95" s="544">
        <v>20734</v>
      </c>
      <c r="E95" s="107" t="s">
        <v>2945</v>
      </c>
      <c r="F95" s="603"/>
      <c r="G95" s="68"/>
      <c r="H95" s="61"/>
      <c r="I95" s="418"/>
      <c r="J95" s="4">
        <v>100.13</v>
      </c>
      <c r="K95" s="4"/>
      <c r="L95" s="74"/>
      <c r="M95" s="517">
        <v>132.55000000000001</v>
      </c>
      <c r="N95" s="347">
        <f>M95-18.09</f>
        <v>114.46000000000001</v>
      </c>
      <c r="O95" s="923">
        <v>2014</v>
      </c>
      <c r="P95" s="710">
        <v>150.08000000000001</v>
      </c>
      <c r="Q95" s="347">
        <f>P95-26.25</f>
        <v>123.83000000000001</v>
      </c>
      <c r="R95" s="923"/>
      <c r="S95" s="710"/>
      <c r="T95" s="347"/>
      <c r="U95" s="4"/>
      <c r="V95" s="59"/>
      <c r="W95" s="124"/>
      <c r="X95" s="125"/>
      <c r="Y95" s="946"/>
      <c r="Z95" s="947"/>
      <c r="AA95" s="74"/>
      <c r="AB95" s="399"/>
      <c r="AC95" s="618"/>
      <c r="AD95" s="422"/>
      <c r="AE95" s="422"/>
      <c r="AF95" s="454"/>
      <c r="AG95" s="439"/>
      <c r="AH95" s="514"/>
      <c r="AI95" s="518"/>
      <c r="AJ95" s="709"/>
      <c r="AK95" s="294"/>
      <c r="AL95" s="295"/>
      <c r="AM95" s="421"/>
      <c r="AN95" s="422"/>
      <c r="AO95" s="454"/>
      <c r="AP95" s="439"/>
      <c r="AQ95" s="514"/>
      <c r="AR95" s="518"/>
      <c r="AS95" s="516"/>
      <c r="AT95" s="294"/>
      <c r="AU95" s="295"/>
      <c r="AV95" s="280"/>
      <c r="AW95" s="168"/>
      <c r="AX95" s="263"/>
      <c r="AY95" s="177"/>
      <c r="AZ95" s="274"/>
      <c r="BA95" s="123"/>
      <c r="BB95" s="48"/>
      <c r="BC95" s="82"/>
      <c r="BD95" s="232"/>
      <c r="BE95" s="216"/>
      <c r="BF95" s="168"/>
      <c r="BG95" s="263"/>
      <c r="BH95" s="177"/>
      <c r="BI95" s="274"/>
      <c r="BJ95" s="123"/>
      <c r="BK95" s="48"/>
      <c r="BL95" s="82"/>
      <c r="BM95" s="232"/>
      <c r="BN95" s="216"/>
      <c r="BO95" s="168"/>
      <c r="BP95" s="23"/>
      <c r="BQ95" s="24"/>
      <c r="BR95" s="53"/>
      <c r="BS95" s="123"/>
      <c r="BT95" s="48"/>
      <c r="BU95" s="82"/>
      <c r="BV95" s="217"/>
      <c r="BW95" s="141"/>
      <c r="BX95" s="311"/>
      <c r="BY95" s="139"/>
    </row>
    <row r="96" spans="1:77" ht="15" customHeight="1" x14ac:dyDescent="0.2">
      <c r="A96" s="56" t="s">
        <v>51</v>
      </c>
      <c r="B96" s="107" t="s">
        <v>477</v>
      </c>
      <c r="C96" s="637" t="s">
        <v>411</v>
      </c>
      <c r="D96" s="544">
        <v>2513.451</v>
      </c>
      <c r="E96" s="107" t="s">
        <v>468</v>
      </c>
      <c r="F96" s="603"/>
      <c r="G96" s="68"/>
      <c r="H96" s="61"/>
      <c r="I96" s="418">
        <v>2007</v>
      </c>
      <c r="J96" s="4"/>
      <c r="K96" s="4">
        <v>2.988756</v>
      </c>
      <c r="L96" s="74">
        <v>2013</v>
      </c>
      <c r="M96" s="517"/>
      <c r="N96" s="347">
        <v>4.2140000000000004</v>
      </c>
      <c r="O96" s="923">
        <v>2016</v>
      </c>
      <c r="P96" s="517"/>
      <c r="Q96" s="347">
        <v>3.2417129999999998</v>
      </c>
      <c r="R96" s="923"/>
      <c r="S96" s="517"/>
      <c r="T96" s="347"/>
      <c r="U96" s="4"/>
      <c r="V96" s="59"/>
      <c r="W96" s="89">
        <f t="shared" ref="W96" si="13">AA96*(1+AB96)</f>
        <v>2.3910048000000002E-3</v>
      </c>
      <c r="X96" s="87">
        <f t="shared" ref="X96" si="14">AA96*(1+AC96)</f>
        <v>2.3910048000000002E-3</v>
      </c>
      <c r="Y96" s="160">
        <v>2007</v>
      </c>
      <c r="Z96" s="21"/>
      <c r="AA96" s="21">
        <f>+K96/1000</f>
        <v>2.988756E-3</v>
      </c>
      <c r="AB96" s="399">
        <v>-0.2</v>
      </c>
      <c r="AC96" s="618">
        <f>AB96</f>
        <v>-0.2</v>
      </c>
      <c r="AD96" s="422"/>
      <c r="AE96" s="422"/>
      <c r="AF96" s="454"/>
      <c r="AG96" s="439"/>
      <c r="AH96" s="514"/>
      <c r="AI96" s="518"/>
      <c r="AJ96" s="709"/>
      <c r="AK96" s="294"/>
      <c r="AL96" s="295"/>
      <c r="AM96" s="421"/>
      <c r="AN96" s="422"/>
      <c r="AO96" s="89">
        <f t="shared" ref="AO96" si="15">AS96*(1+AT96)</f>
        <v>2.3910048000000002E-3</v>
      </c>
      <c r="AP96" s="87">
        <f t="shared" ref="AP96" si="16">AS96*(1+AU96)</f>
        <v>2.3910048000000002E-3</v>
      </c>
      <c r="AQ96" s="160">
        <v>2007</v>
      </c>
      <c r="AR96" s="21"/>
      <c r="AS96" s="21">
        <f>+K96/1000</f>
        <v>2.988756E-3</v>
      </c>
      <c r="AT96" s="399">
        <v>-0.2</v>
      </c>
      <c r="AU96" s="618">
        <f>AT96</f>
        <v>-0.2</v>
      </c>
      <c r="AV96" s="280"/>
      <c r="AW96" s="168"/>
      <c r="AX96" s="263"/>
      <c r="AY96" s="177"/>
      <c r="AZ96" s="274"/>
      <c r="BA96" s="123"/>
      <c r="BB96" s="48"/>
      <c r="BC96" s="82"/>
      <c r="BD96" s="232"/>
      <c r="BE96" s="216"/>
      <c r="BF96" s="168"/>
      <c r="BG96" s="263"/>
      <c r="BH96" s="177"/>
      <c r="BI96" s="274"/>
      <c r="BJ96" s="123"/>
      <c r="BK96" s="48"/>
      <c r="BL96" s="82"/>
      <c r="BM96" s="232"/>
      <c r="BN96" s="216"/>
      <c r="BO96" s="168"/>
      <c r="BP96" s="23"/>
      <c r="BQ96" s="24"/>
      <c r="BR96" s="53"/>
      <c r="BS96" s="123"/>
      <c r="BT96" s="48"/>
      <c r="BU96" s="82"/>
      <c r="BV96" s="217"/>
      <c r="BW96" s="141"/>
      <c r="BX96" s="311"/>
      <c r="BY96" s="139"/>
    </row>
    <row r="97" spans="1:77" ht="15" customHeight="1" x14ac:dyDescent="0.2">
      <c r="A97" s="56" t="s">
        <v>51</v>
      </c>
      <c r="B97" s="107" t="s">
        <v>2340</v>
      </c>
      <c r="C97" s="637"/>
      <c r="D97" s="544">
        <v>8931</v>
      </c>
      <c r="E97" s="107" t="s">
        <v>371</v>
      </c>
      <c r="F97" s="603"/>
      <c r="G97" s="68"/>
      <c r="H97" s="61"/>
      <c r="I97" s="418"/>
      <c r="J97" s="4"/>
      <c r="K97" s="4"/>
      <c r="L97" s="74"/>
      <c r="M97" s="517"/>
      <c r="N97" s="347"/>
      <c r="O97" s="923"/>
      <c r="P97" s="710"/>
      <c r="Q97" s="347"/>
      <c r="R97" s="923"/>
      <c r="S97" s="710"/>
      <c r="T97" s="347"/>
      <c r="U97" s="4"/>
      <c r="V97" s="59"/>
      <c r="W97" s="124"/>
      <c r="X97" s="125"/>
      <c r="Y97" s="946"/>
      <c r="Z97" s="947"/>
      <c r="AA97" s="74"/>
      <c r="AB97" s="399"/>
      <c r="AC97" s="618"/>
      <c r="AD97" s="422"/>
      <c r="AE97" s="422"/>
      <c r="AF97" s="454"/>
      <c r="AG97" s="439"/>
      <c r="AH97" s="514"/>
      <c r="AI97" s="518"/>
      <c r="AJ97" s="709"/>
      <c r="AK97" s="294"/>
      <c r="AL97" s="295"/>
      <c r="AM97" s="421"/>
      <c r="AN97" s="422"/>
      <c r="AO97" s="454"/>
      <c r="AP97" s="439"/>
      <c r="AQ97" s="514"/>
      <c r="AR97" s="518"/>
      <c r="AS97" s="516"/>
      <c r="AT97" s="294"/>
      <c r="AU97" s="295"/>
      <c r="AV97" s="280"/>
      <c r="AW97" s="168"/>
      <c r="AX97" s="263"/>
      <c r="AY97" s="177"/>
      <c r="AZ97" s="274"/>
      <c r="BA97" s="123"/>
      <c r="BB97" s="48"/>
      <c r="BC97" s="82"/>
      <c r="BD97" s="232"/>
      <c r="BE97" s="216"/>
      <c r="BF97" s="168"/>
      <c r="BG97" s="263"/>
      <c r="BH97" s="177"/>
      <c r="BI97" s="274"/>
      <c r="BJ97" s="123"/>
      <c r="BK97" s="48"/>
      <c r="BL97" s="82"/>
      <c r="BM97" s="232"/>
      <c r="BN97" s="216"/>
      <c r="BO97" s="168"/>
      <c r="BP97" s="23"/>
      <c r="BQ97" s="24"/>
      <c r="BR97" s="53"/>
      <c r="BS97" s="123"/>
      <c r="BT97" s="48"/>
      <c r="BU97" s="82"/>
      <c r="BV97" s="217"/>
      <c r="BW97" s="141"/>
      <c r="BX97" s="311"/>
      <c r="BY97" s="139"/>
    </row>
    <row r="98" spans="1:77" ht="15" customHeight="1" x14ac:dyDescent="0.2">
      <c r="A98" s="56" t="s">
        <v>51</v>
      </c>
      <c r="B98" s="637" t="s">
        <v>410</v>
      </c>
      <c r="C98" s="637"/>
      <c r="D98" s="544">
        <v>16461</v>
      </c>
      <c r="E98" s="107" t="s">
        <v>2945</v>
      </c>
      <c r="F98" s="603"/>
      <c r="G98" s="68"/>
      <c r="H98" s="61"/>
      <c r="I98" s="418"/>
      <c r="J98" s="4">
        <v>66.126000000000005</v>
      </c>
      <c r="K98" s="4"/>
      <c r="L98" s="74"/>
      <c r="M98" s="710">
        <v>75.578000000000003</v>
      </c>
      <c r="N98" s="347"/>
      <c r="O98" s="923"/>
      <c r="P98" s="710">
        <v>92.67</v>
      </c>
      <c r="Q98" s="347"/>
      <c r="R98" s="923"/>
      <c r="S98" s="710"/>
      <c r="T98" s="347"/>
      <c r="U98" s="4"/>
      <c r="V98" s="59"/>
      <c r="W98" s="124"/>
      <c r="X98" s="125"/>
      <c r="Y98" s="946"/>
      <c r="Z98" s="947"/>
      <c r="AA98" s="74"/>
      <c r="AB98" s="399"/>
      <c r="AC98" s="618"/>
      <c r="AD98" s="422"/>
      <c r="AE98" s="422"/>
      <c r="AF98" s="454"/>
      <c r="AG98" s="439"/>
      <c r="AH98" s="514"/>
      <c r="AI98" s="518"/>
      <c r="AJ98" s="709"/>
      <c r="AK98" s="294"/>
      <c r="AL98" s="295"/>
      <c r="AM98" s="421"/>
      <c r="AN98" s="422"/>
      <c r="AO98" s="454"/>
      <c r="AP98" s="439"/>
      <c r="AQ98" s="514"/>
      <c r="AR98" s="518"/>
      <c r="AS98" s="516"/>
      <c r="AT98" s="294"/>
      <c r="AU98" s="295"/>
      <c r="AV98" s="280"/>
      <c r="AW98" s="168"/>
      <c r="AX98" s="263"/>
      <c r="AY98" s="177"/>
      <c r="AZ98" s="274"/>
      <c r="BA98" s="123"/>
      <c r="BB98" s="48"/>
      <c r="BC98" s="82"/>
      <c r="BD98" s="232"/>
      <c r="BE98" s="216"/>
      <c r="BF98" s="168"/>
      <c r="BG98" s="263"/>
      <c r="BH98" s="177"/>
      <c r="BI98" s="274"/>
      <c r="BJ98" s="123"/>
      <c r="BK98" s="48"/>
      <c r="BL98" s="82"/>
      <c r="BM98" s="232"/>
      <c r="BN98" s="216"/>
      <c r="BO98" s="168"/>
      <c r="BP98" s="23"/>
      <c r="BQ98" s="24"/>
      <c r="BR98" s="53"/>
      <c r="BS98" s="123"/>
      <c r="BT98" s="48"/>
      <c r="BU98" s="82"/>
      <c r="BV98" s="217"/>
      <c r="BW98" s="141"/>
      <c r="BX98" s="311"/>
      <c r="BY98" s="139"/>
    </row>
    <row r="99" spans="1:77" ht="15" customHeight="1" x14ac:dyDescent="0.2">
      <c r="A99" s="56" t="s">
        <v>51</v>
      </c>
      <c r="B99" s="107" t="s">
        <v>477</v>
      </c>
      <c r="C99" s="637" t="s">
        <v>410</v>
      </c>
      <c r="D99" s="544">
        <v>6520.2659999999996</v>
      </c>
      <c r="E99" s="107" t="s">
        <v>387</v>
      </c>
      <c r="F99" s="603"/>
      <c r="G99" s="68"/>
      <c r="H99" s="61"/>
      <c r="I99" s="418"/>
      <c r="J99" s="4">
        <v>11.40218</v>
      </c>
      <c r="K99" s="4"/>
      <c r="L99" s="74"/>
      <c r="M99" s="710"/>
      <c r="N99" s="347"/>
      <c r="O99" s="923"/>
      <c r="P99" s="710"/>
      <c r="Q99" s="347"/>
      <c r="R99" s="923"/>
      <c r="S99" s="710"/>
      <c r="T99" s="347"/>
      <c r="U99" s="4"/>
      <c r="V99" s="59"/>
      <c r="W99" s="89">
        <f>Z99*(1+AB99)</f>
        <v>9.1217439999999993E-3</v>
      </c>
      <c r="X99" s="87">
        <f>Z99*(1+AC99)</f>
        <v>9.1217439999999993E-3</v>
      </c>
      <c r="Y99" s="50">
        <v>2005</v>
      </c>
      <c r="Z99" s="33">
        <f>J99/1000</f>
        <v>1.140218E-2</v>
      </c>
      <c r="AA99" s="74"/>
      <c r="AB99" s="394">
        <v>-0.2</v>
      </c>
      <c r="AC99" s="443">
        <f>AB99</f>
        <v>-0.2</v>
      </c>
      <c r="AD99" s="422"/>
      <c r="AE99" s="422"/>
      <c r="AF99" s="454"/>
      <c r="AG99" s="439"/>
      <c r="AH99" s="514"/>
      <c r="AI99" s="518"/>
      <c r="AJ99" s="709"/>
      <c r="AK99" s="294"/>
      <c r="AL99" s="295"/>
      <c r="AM99" s="421"/>
      <c r="AN99" s="422"/>
      <c r="AO99" s="454"/>
      <c r="AP99" s="439"/>
      <c r="AQ99" s="514"/>
      <c r="AR99" s="518"/>
      <c r="AS99" s="516"/>
      <c r="AT99" s="294"/>
      <c r="AU99" s="295"/>
      <c r="AV99" s="280"/>
      <c r="AW99" s="168"/>
      <c r="AX99" s="263"/>
      <c r="AY99" s="177"/>
      <c r="AZ99" s="274"/>
      <c r="BA99" s="123"/>
      <c r="BB99" s="48"/>
      <c r="BC99" s="82"/>
      <c r="BD99" s="232"/>
      <c r="BE99" s="216"/>
      <c r="BF99" s="168"/>
      <c r="BG99" s="263"/>
      <c r="BH99" s="177"/>
      <c r="BI99" s="274"/>
      <c r="BJ99" s="123"/>
      <c r="BK99" s="48"/>
      <c r="BL99" s="82"/>
      <c r="BM99" s="232"/>
      <c r="BN99" s="216"/>
      <c r="BO99" s="168"/>
      <c r="BP99" s="170">
        <v>0</v>
      </c>
      <c r="BQ99" s="86">
        <v>0</v>
      </c>
      <c r="BR99" s="50"/>
      <c r="BS99" s="31"/>
      <c r="BT99" s="31"/>
      <c r="BU99" s="43">
        <v>-1</v>
      </c>
      <c r="BV99" s="209">
        <f>BU99</f>
        <v>-1</v>
      </c>
      <c r="BW99" s="141" t="s">
        <v>2227</v>
      </c>
      <c r="BX99" s="311"/>
      <c r="BY99" s="139"/>
    </row>
    <row r="100" spans="1:77" ht="15" customHeight="1" x14ac:dyDescent="0.2">
      <c r="A100" s="56" t="s">
        <v>51</v>
      </c>
      <c r="B100" s="107" t="s">
        <v>2438</v>
      </c>
      <c r="C100" s="637"/>
      <c r="D100" s="544">
        <v>1500</v>
      </c>
      <c r="E100" s="107" t="s">
        <v>2436</v>
      </c>
      <c r="F100" s="603"/>
      <c r="G100" s="68"/>
      <c r="H100" s="61"/>
      <c r="I100" s="418"/>
      <c r="J100" s="4"/>
      <c r="K100" s="4"/>
      <c r="L100" s="74"/>
      <c r="M100" s="710"/>
      <c r="N100" s="347"/>
      <c r="O100" s="923"/>
      <c r="P100" s="710"/>
      <c r="Q100" s="347"/>
      <c r="R100" s="923"/>
      <c r="S100" s="710"/>
      <c r="T100" s="347"/>
      <c r="U100" s="4"/>
      <c r="V100" s="59"/>
      <c r="W100" s="89"/>
      <c r="X100" s="87"/>
      <c r="Y100" s="958"/>
      <c r="Z100" s="171"/>
      <c r="AA100" s="74"/>
      <c r="AB100" s="394"/>
      <c r="AC100" s="443"/>
      <c r="AD100" s="422"/>
      <c r="AE100" s="422"/>
      <c r="AF100" s="454"/>
      <c r="AG100" s="439"/>
      <c r="AH100" s="514"/>
      <c r="AI100" s="518"/>
      <c r="AJ100" s="709"/>
      <c r="AK100" s="294"/>
      <c r="AL100" s="295"/>
      <c r="AM100" s="421"/>
      <c r="AN100" s="422"/>
      <c r="AO100" s="454"/>
      <c r="AP100" s="439"/>
      <c r="AQ100" s="514"/>
      <c r="AR100" s="518"/>
      <c r="AS100" s="516"/>
      <c r="AT100" s="294"/>
      <c r="AU100" s="295"/>
      <c r="AV100" s="280"/>
      <c r="AW100" s="168"/>
      <c r="AX100" s="263"/>
      <c r="AY100" s="177"/>
      <c r="AZ100" s="274"/>
      <c r="BA100" s="123"/>
      <c r="BB100" s="48"/>
      <c r="BC100" s="82"/>
      <c r="BD100" s="232"/>
      <c r="BE100" s="216"/>
      <c r="BF100" s="168"/>
      <c r="BG100" s="263"/>
      <c r="BH100" s="177"/>
      <c r="BI100" s="274"/>
      <c r="BJ100" s="123"/>
      <c r="BK100" s="48"/>
      <c r="BL100" s="82"/>
      <c r="BM100" s="232"/>
      <c r="BN100" s="216"/>
      <c r="BO100" s="168"/>
      <c r="BP100" s="677">
        <f>BS100*(1+BU100)</f>
        <v>0</v>
      </c>
      <c r="BQ100" s="678">
        <f>BS100*(1+BV100)</f>
        <v>0</v>
      </c>
      <c r="BR100" s="427"/>
      <c r="BS100" s="428">
        <f>+K100/1000</f>
        <v>0</v>
      </c>
      <c r="BT100" s="48"/>
      <c r="BU100" s="399">
        <v>-0.8</v>
      </c>
      <c r="BV100" s="618">
        <v>-0.95</v>
      </c>
      <c r="BW100" s="141"/>
      <c r="BX100" s="311"/>
      <c r="BY100" s="139"/>
    </row>
    <row r="101" spans="1:77" ht="15" customHeight="1" x14ac:dyDescent="0.2">
      <c r="A101" s="56" t="s">
        <v>51</v>
      </c>
      <c r="B101" s="56" t="s">
        <v>409</v>
      </c>
      <c r="C101" s="637"/>
      <c r="D101" s="544">
        <v>44035</v>
      </c>
      <c r="E101" s="127" t="s">
        <v>2563</v>
      </c>
      <c r="F101" s="603"/>
      <c r="G101" s="68"/>
      <c r="H101" s="61"/>
      <c r="I101" s="418"/>
      <c r="J101" s="4"/>
      <c r="K101" s="4">
        <v>78.584000000000003</v>
      </c>
      <c r="L101" s="74"/>
      <c r="M101" s="517"/>
      <c r="N101" s="347"/>
      <c r="O101" s="923">
        <v>2013</v>
      </c>
      <c r="P101" s="517"/>
      <c r="Q101" s="347">
        <v>98.037080000000003</v>
      </c>
      <c r="R101" s="923"/>
      <c r="S101" s="517"/>
      <c r="T101" s="347"/>
      <c r="U101" s="4"/>
      <c r="V101" s="59"/>
      <c r="W101" s="89">
        <f t="shared" ref="W101" si="17">AA101*(1+AB101)</f>
        <v>6.2867199999999998E-2</v>
      </c>
      <c r="X101" s="87">
        <f t="shared" ref="X101" si="18">AA101*(1+AC101)</f>
        <v>6.2867199999999998E-2</v>
      </c>
      <c r="Y101" s="160">
        <v>2005</v>
      </c>
      <c r="Z101" s="21"/>
      <c r="AA101" s="21">
        <f>+K101/1000</f>
        <v>7.8584000000000001E-2</v>
      </c>
      <c r="AB101" s="399">
        <v>-0.2</v>
      </c>
      <c r="AC101" s="618">
        <f t="shared" ref="AC101" si="19">AB101</f>
        <v>-0.2</v>
      </c>
      <c r="AD101" s="422"/>
      <c r="AE101" s="422"/>
      <c r="AF101" s="454"/>
      <c r="AG101" s="439"/>
      <c r="AH101" s="514"/>
      <c r="AI101" s="518"/>
      <c r="AJ101" s="709"/>
      <c r="AK101" s="294"/>
      <c r="AL101" s="295"/>
      <c r="AM101" s="421"/>
      <c r="AN101" s="422"/>
      <c r="AO101" s="454"/>
      <c r="AP101" s="439"/>
      <c r="AQ101" s="514"/>
      <c r="AR101" s="518"/>
      <c r="AS101" s="516"/>
      <c r="AT101" s="294"/>
      <c r="AU101" s="295"/>
      <c r="AV101" s="280"/>
      <c r="AW101" s="168"/>
      <c r="AX101" s="263"/>
      <c r="AY101" s="177"/>
      <c r="AZ101" s="274"/>
      <c r="BA101" s="123"/>
      <c r="BB101" s="48"/>
      <c r="BC101" s="82"/>
      <c r="BD101" s="232"/>
      <c r="BE101" s="216"/>
      <c r="BF101" s="168"/>
      <c r="BG101" s="263"/>
      <c r="BH101" s="177"/>
      <c r="BI101" s="274"/>
      <c r="BJ101" s="123"/>
      <c r="BK101" s="48"/>
      <c r="BL101" s="82"/>
      <c r="BM101" s="232"/>
      <c r="BN101" s="216"/>
      <c r="BO101" s="168"/>
      <c r="BP101" s="677">
        <f>BT101*(1+BU101)</f>
        <v>1.5716799999999996E-2</v>
      </c>
      <c r="BQ101" s="678">
        <f>BT101*(1+BV101)</f>
        <v>3.9292000000000033E-3</v>
      </c>
      <c r="BR101" s="427">
        <v>2005</v>
      </c>
      <c r="BS101" s="428"/>
      <c r="BT101" s="714">
        <f>+K101/1000</f>
        <v>7.8584000000000001E-2</v>
      </c>
      <c r="BU101" s="399">
        <v>-0.8</v>
      </c>
      <c r="BV101" s="618">
        <v>-0.95</v>
      </c>
      <c r="BW101" s="141"/>
      <c r="BX101" s="311"/>
      <c r="BY101" s="139"/>
    </row>
    <row r="102" spans="1:77" ht="15" customHeight="1" x14ac:dyDescent="0.2">
      <c r="A102" s="56" t="s">
        <v>51</v>
      </c>
      <c r="B102" s="107" t="s">
        <v>477</v>
      </c>
      <c r="C102" s="637" t="s">
        <v>409</v>
      </c>
      <c r="D102" s="544">
        <v>11253.503000000001</v>
      </c>
      <c r="E102" s="107" t="s">
        <v>380</v>
      </c>
      <c r="F102" s="603"/>
      <c r="G102" s="68"/>
      <c r="H102" s="61"/>
      <c r="I102" s="418">
        <v>2003</v>
      </c>
      <c r="J102" s="4">
        <v>15.115</v>
      </c>
      <c r="K102" s="4"/>
      <c r="L102" s="74"/>
      <c r="M102" s="710"/>
      <c r="N102" s="347"/>
      <c r="O102" s="923"/>
      <c r="P102" s="710"/>
      <c r="Q102" s="347"/>
      <c r="R102" s="923"/>
      <c r="S102" s="710"/>
      <c r="T102" s="347"/>
      <c r="U102" s="4"/>
      <c r="V102" s="59"/>
      <c r="W102" s="89">
        <f>Z102*(1+AB102)</f>
        <v>1.05805E-2</v>
      </c>
      <c r="X102" s="87">
        <f>Z102*(1+AC102)</f>
        <v>1.05805E-2</v>
      </c>
      <c r="Y102" s="50">
        <v>2005</v>
      </c>
      <c r="Z102" s="33">
        <f>J102/1000</f>
        <v>1.5115E-2</v>
      </c>
      <c r="AA102" s="74"/>
      <c r="AB102" s="394">
        <v>-0.3</v>
      </c>
      <c r="AC102" s="443">
        <f>AB102</f>
        <v>-0.3</v>
      </c>
      <c r="AD102" s="422"/>
      <c r="AE102" s="422"/>
      <c r="AF102" s="454"/>
      <c r="AG102" s="439"/>
      <c r="AH102" s="514"/>
      <c r="AI102" s="518"/>
      <c r="AJ102" s="709"/>
      <c r="AK102" s="294"/>
      <c r="AL102" s="295"/>
      <c r="AM102" s="421"/>
      <c r="AN102" s="422"/>
      <c r="AO102" s="454"/>
      <c r="AP102" s="439"/>
      <c r="AQ102" s="514"/>
      <c r="AR102" s="518"/>
      <c r="AS102" s="516"/>
      <c r="AT102" s="294"/>
      <c r="AU102" s="295"/>
      <c r="AV102" s="280"/>
      <c r="AW102" s="168"/>
      <c r="AX102" s="263"/>
      <c r="AY102" s="177"/>
      <c r="AZ102" s="274"/>
      <c r="BA102" s="123"/>
      <c r="BB102" s="48"/>
      <c r="BC102" s="82"/>
      <c r="BD102" s="232"/>
      <c r="BE102" s="216"/>
      <c r="BF102" s="168"/>
      <c r="BG102" s="263"/>
      <c r="BH102" s="177"/>
      <c r="BI102" s="274"/>
      <c r="BJ102" s="123"/>
      <c r="BK102" s="48"/>
      <c r="BL102" s="82"/>
      <c r="BM102" s="232"/>
      <c r="BN102" s="216"/>
      <c r="BO102" s="168"/>
      <c r="BP102" s="677">
        <f>BS102*(1+BU102)</f>
        <v>3.0229999999999992E-3</v>
      </c>
      <c r="BQ102" s="678">
        <f>BS102*(1+BV102)</f>
        <v>7.5575000000000067E-4</v>
      </c>
      <c r="BR102" s="427">
        <v>2003</v>
      </c>
      <c r="BS102" s="428">
        <f>+J102/1000</f>
        <v>1.5115E-2</v>
      </c>
      <c r="BT102" s="48"/>
      <c r="BU102" s="399">
        <v>-0.8</v>
      </c>
      <c r="BV102" s="618">
        <v>-0.95</v>
      </c>
      <c r="BW102" s="141"/>
      <c r="BX102" s="311"/>
      <c r="BY102" s="139"/>
    </row>
    <row r="103" spans="1:77" ht="15" customHeight="1" x14ac:dyDescent="0.2">
      <c r="A103" s="56" t="s">
        <v>51</v>
      </c>
      <c r="B103" s="107" t="s">
        <v>477</v>
      </c>
      <c r="C103" s="637" t="s">
        <v>3158</v>
      </c>
      <c r="D103" s="544">
        <v>679.37800000000004</v>
      </c>
      <c r="E103" s="107" t="s">
        <v>387</v>
      </c>
      <c r="F103" s="603"/>
      <c r="G103" s="68"/>
      <c r="H103" s="61"/>
      <c r="I103" s="418"/>
      <c r="J103" s="4"/>
      <c r="K103" s="4"/>
      <c r="L103" s="74">
        <v>2012</v>
      </c>
      <c r="M103" s="710"/>
      <c r="N103" s="347">
        <v>1.0611409999999999</v>
      </c>
      <c r="O103" s="923"/>
      <c r="P103" s="710"/>
      <c r="Q103" s="347"/>
      <c r="R103" s="923"/>
      <c r="S103" s="710"/>
      <c r="T103" s="347"/>
      <c r="U103" s="4"/>
      <c r="V103" s="59"/>
      <c r="W103" s="89"/>
      <c r="X103" s="87"/>
      <c r="Y103" s="958"/>
      <c r="Z103" s="171"/>
      <c r="AA103" s="74"/>
      <c r="AB103" s="394"/>
      <c r="AC103" s="443"/>
      <c r="AD103" s="422"/>
      <c r="AE103" s="422"/>
      <c r="AF103" s="454"/>
      <c r="AG103" s="439"/>
      <c r="AH103" s="514"/>
      <c r="AI103" s="518"/>
      <c r="AJ103" s="709"/>
      <c r="AK103" s="294"/>
      <c r="AL103" s="295"/>
      <c r="AM103" s="421"/>
      <c r="AN103" s="422"/>
      <c r="AO103" s="619">
        <f>AS103*(1+AT103)</f>
        <v>8.489127999999999E-4</v>
      </c>
      <c r="AP103" s="620">
        <f>AS103*(1+AU103)</f>
        <v>8.489127999999999E-4</v>
      </c>
      <c r="AQ103" s="617">
        <v>2014</v>
      </c>
      <c r="AR103" s="432"/>
      <c r="AS103" s="621">
        <f>+N103/1000</f>
        <v>1.0611409999999998E-3</v>
      </c>
      <c r="AT103" s="399">
        <v>-0.2</v>
      </c>
      <c r="AU103" s="618">
        <f>AT103</f>
        <v>-0.2</v>
      </c>
      <c r="AV103" s="280"/>
      <c r="AW103" s="168"/>
      <c r="AX103" s="263"/>
      <c r="AY103" s="177"/>
      <c r="AZ103" s="274"/>
      <c r="BA103" s="123"/>
      <c r="BB103" s="48"/>
      <c r="BC103" s="82"/>
      <c r="BD103" s="232"/>
      <c r="BE103" s="216"/>
      <c r="BF103" s="168"/>
      <c r="BG103" s="263"/>
      <c r="BH103" s="177"/>
      <c r="BI103" s="274"/>
      <c r="BJ103" s="123"/>
      <c r="BK103" s="48"/>
      <c r="BL103" s="82"/>
      <c r="BM103" s="232"/>
      <c r="BN103" s="216"/>
      <c r="BO103" s="168"/>
      <c r="BP103" s="677"/>
      <c r="BQ103" s="678"/>
      <c r="BR103" s="427"/>
      <c r="BS103" s="428"/>
      <c r="BT103" s="48"/>
      <c r="BU103" s="399"/>
      <c r="BV103" s="618"/>
      <c r="BW103" s="141"/>
      <c r="BX103" s="311"/>
      <c r="BY103" s="139"/>
    </row>
    <row r="104" spans="1:77" ht="15" customHeight="1" x14ac:dyDescent="0.2">
      <c r="A104" s="56" t="s">
        <v>51</v>
      </c>
      <c r="B104" s="107"/>
      <c r="C104" s="637" t="s">
        <v>2528</v>
      </c>
      <c r="D104" s="544">
        <v>1409.671</v>
      </c>
      <c r="E104" s="107" t="s">
        <v>387</v>
      </c>
      <c r="F104" s="603"/>
      <c r="G104" s="68"/>
      <c r="H104" s="61"/>
      <c r="I104" s="418"/>
      <c r="J104" s="4"/>
      <c r="K104" s="4">
        <v>5.6481399999999997</v>
      </c>
      <c r="L104" s="74"/>
      <c r="M104" s="517"/>
      <c r="N104" s="347"/>
      <c r="O104" s="923"/>
      <c r="P104" s="517"/>
      <c r="Q104" s="347"/>
      <c r="R104" s="923"/>
      <c r="S104" s="517"/>
      <c r="T104" s="347"/>
      <c r="U104" s="4"/>
      <c r="V104" s="59"/>
      <c r="W104" s="89">
        <f t="shared" ref="W104" si="20">AA104*(1+AB104)</f>
        <v>3.3888839999999996E-3</v>
      </c>
      <c r="X104" s="87">
        <f t="shared" ref="X104" si="21">AA104*(1+AC104)</f>
        <v>3.3888839999999996E-3</v>
      </c>
      <c r="Y104" s="160">
        <v>2005</v>
      </c>
      <c r="Z104" s="21"/>
      <c r="AA104" s="21">
        <f>+K104/1000</f>
        <v>5.6481399999999994E-3</v>
      </c>
      <c r="AB104" s="399">
        <v>-0.4</v>
      </c>
      <c r="AC104" s="618">
        <f t="shared" ref="AC104" si="22">AB104</f>
        <v>-0.4</v>
      </c>
      <c r="AD104" s="422"/>
      <c r="AE104" s="422"/>
      <c r="AF104" s="454"/>
      <c r="AG104" s="439"/>
      <c r="AH104" s="514"/>
      <c r="AI104" s="518"/>
      <c r="AJ104" s="709"/>
      <c r="AK104" s="294"/>
      <c r="AL104" s="295"/>
      <c r="AM104" s="421"/>
      <c r="AN104" s="422"/>
      <c r="AO104" s="454"/>
      <c r="AP104" s="439"/>
      <c r="AQ104" s="514"/>
      <c r="AR104" s="518"/>
      <c r="AS104" s="516"/>
      <c r="AT104" s="294"/>
      <c r="AU104" s="295"/>
      <c r="AV104" s="280"/>
      <c r="AW104" s="168"/>
      <c r="AX104" s="263"/>
      <c r="AY104" s="177"/>
      <c r="AZ104" s="274"/>
      <c r="BA104" s="123"/>
      <c r="BB104" s="48"/>
      <c r="BC104" s="82"/>
      <c r="BD104" s="232"/>
      <c r="BE104" s="216"/>
      <c r="BF104" s="168"/>
      <c r="BG104" s="263"/>
      <c r="BH104" s="177"/>
      <c r="BI104" s="274"/>
      <c r="BJ104" s="123"/>
      <c r="BK104" s="48"/>
      <c r="BL104" s="82"/>
      <c r="BM104" s="232"/>
      <c r="BN104" s="216"/>
      <c r="BO104" s="168"/>
      <c r="BP104" s="23"/>
      <c r="BQ104" s="24"/>
      <c r="BR104" s="53"/>
      <c r="BS104" s="123"/>
      <c r="BT104" s="48"/>
      <c r="BU104" s="82"/>
      <c r="BV104" s="217"/>
      <c r="BW104" s="141"/>
      <c r="BX104" s="311"/>
      <c r="BY104" s="139"/>
    </row>
    <row r="105" spans="1:77" ht="15" customHeight="1" x14ac:dyDescent="0.2">
      <c r="A105" s="56" t="s">
        <v>51</v>
      </c>
      <c r="B105" s="107"/>
      <c r="C105" s="637" t="s">
        <v>3301</v>
      </c>
      <c r="D105" s="544">
        <v>1948.626</v>
      </c>
      <c r="E105" s="107" t="s">
        <v>387</v>
      </c>
      <c r="F105" s="603"/>
      <c r="G105" s="68"/>
      <c r="H105" s="61"/>
      <c r="I105" s="418"/>
      <c r="J105" s="4"/>
      <c r="K105" s="4"/>
      <c r="L105" s="74"/>
      <c r="M105" s="517"/>
      <c r="N105" s="347"/>
      <c r="O105" s="923">
        <v>2016</v>
      </c>
      <c r="P105" s="517"/>
      <c r="Q105" s="347">
        <v>3.5050460000000001</v>
      </c>
      <c r="R105" s="923"/>
      <c r="S105" s="517"/>
      <c r="T105" s="347"/>
      <c r="U105" s="4"/>
      <c r="V105" s="59"/>
      <c r="W105" s="89"/>
      <c r="X105" s="87"/>
      <c r="Y105" s="160"/>
      <c r="Z105" s="21"/>
      <c r="AA105" s="21"/>
      <c r="AB105" s="399"/>
      <c r="AC105" s="618"/>
      <c r="AD105" s="422"/>
      <c r="AE105" s="422"/>
      <c r="AF105" s="454"/>
      <c r="AG105" s="439"/>
      <c r="AH105" s="514"/>
      <c r="AI105" s="518"/>
      <c r="AJ105" s="709"/>
      <c r="AK105" s="294"/>
      <c r="AL105" s="295"/>
      <c r="AM105" s="421"/>
      <c r="AN105" s="422"/>
      <c r="AO105" s="619">
        <f>AS105*(1+AT105)</f>
        <v>1.4510890440000001E-3</v>
      </c>
      <c r="AP105" s="620">
        <f>AS105*(1+AU105)</f>
        <v>1.4510890440000001E-3</v>
      </c>
      <c r="AQ105" s="617">
        <v>2016</v>
      </c>
      <c r="AR105" s="432"/>
      <c r="AS105" s="621">
        <f>+Q105/1000</f>
        <v>3.5050459999999999E-3</v>
      </c>
      <c r="AT105" s="400">
        <v>-0.58599999999999997</v>
      </c>
      <c r="AU105" s="680">
        <f>AT105</f>
        <v>-0.58599999999999997</v>
      </c>
      <c r="AV105" s="280"/>
      <c r="AW105" s="168"/>
      <c r="AX105" s="263"/>
      <c r="AY105" s="177"/>
      <c r="AZ105" s="274"/>
      <c r="BA105" s="123"/>
      <c r="BB105" s="48"/>
      <c r="BC105" s="82"/>
      <c r="BD105" s="232"/>
      <c r="BE105" s="216"/>
      <c r="BF105" s="168"/>
      <c r="BG105" s="263"/>
      <c r="BH105" s="177"/>
      <c r="BI105" s="274"/>
      <c r="BJ105" s="123"/>
      <c r="BK105" s="48"/>
      <c r="BL105" s="82"/>
      <c r="BM105" s="232"/>
      <c r="BN105" s="216"/>
      <c r="BO105" s="168"/>
      <c r="BP105" s="23">
        <v>0</v>
      </c>
      <c r="BQ105" s="24">
        <v>0</v>
      </c>
      <c r="BR105" s="53"/>
      <c r="BS105" s="123"/>
      <c r="BT105" s="48"/>
      <c r="BU105" s="82">
        <v>-1</v>
      </c>
      <c r="BV105" s="217">
        <v>-1</v>
      </c>
      <c r="BW105" s="141"/>
      <c r="BX105" s="311"/>
      <c r="BY105" s="139"/>
    </row>
    <row r="106" spans="1:77" ht="15" customHeight="1" x14ac:dyDescent="0.2">
      <c r="A106" s="56" t="s">
        <v>51</v>
      </c>
      <c r="B106" s="107"/>
      <c r="C106" s="637" t="s">
        <v>2222</v>
      </c>
      <c r="D106" s="544">
        <v>550</v>
      </c>
      <c r="E106" s="107" t="s">
        <v>387</v>
      </c>
      <c r="F106" s="603"/>
      <c r="G106" s="68"/>
      <c r="H106" s="61"/>
      <c r="I106" s="418"/>
      <c r="J106" s="4"/>
      <c r="K106" s="4"/>
      <c r="L106" s="74"/>
      <c r="M106" s="517"/>
      <c r="N106" s="347">
        <f>Q106/(1-0.42)</f>
        <v>2.5008017241379306</v>
      </c>
      <c r="O106" s="923">
        <v>2013</v>
      </c>
      <c r="P106" s="517"/>
      <c r="Q106" s="347">
        <v>1.4504649999999999</v>
      </c>
      <c r="R106" s="923"/>
      <c r="S106" s="517"/>
      <c r="T106" s="347"/>
      <c r="U106" s="4"/>
      <c r="V106" s="59"/>
      <c r="W106" s="89">
        <f t="shared" ref="W106" si="23">AA106*(1+AB106)</f>
        <v>8.4126970000000009E-4</v>
      </c>
      <c r="X106" s="87">
        <f t="shared" ref="X106" si="24">AA106*(1+AC106)</f>
        <v>8.4126970000000009E-4</v>
      </c>
      <c r="Y106" s="160">
        <v>2013</v>
      </c>
      <c r="Z106" s="21"/>
      <c r="AA106" s="21">
        <f>+Q106/1000</f>
        <v>1.450465E-3</v>
      </c>
      <c r="AB106" s="399">
        <v>-0.42</v>
      </c>
      <c r="AC106" s="618">
        <f t="shared" ref="AC106" si="25">AB106</f>
        <v>-0.42</v>
      </c>
      <c r="AD106" s="422"/>
      <c r="AE106" s="422"/>
      <c r="AF106" s="454"/>
      <c r="AG106" s="439"/>
      <c r="AH106" s="514"/>
      <c r="AI106" s="518"/>
      <c r="AJ106" s="709"/>
      <c r="AK106" s="294"/>
      <c r="AL106" s="295"/>
      <c r="AM106" s="421"/>
      <c r="AN106" s="422"/>
      <c r="AO106" s="454"/>
      <c r="AP106" s="439"/>
      <c r="AQ106" s="514"/>
      <c r="AR106" s="518"/>
      <c r="AS106" s="516"/>
      <c r="AT106" s="294"/>
      <c r="AU106" s="295"/>
      <c r="AV106" s="280"/>
      <c r="AW106" s="168"/>
      <c r="AX106" s="263"/>
      <c r="AY106" s="177"/>
      <c r="AZ106" s="274"/>
      <c r="BA106" s="123"/>
      <c r="BB106" s="48"/>
      <c r="BC106" s="82"/>
      <c r="BD106" s="232"/>
      <c r="BE106" s="216"/>
      <c r="BF106" s="168"/>
      <c r="BG106" s="263"/>
      <c r="BH106" s="177"/>
      <c r="BI106" s="274"/>
      <c r="BJ106" s="123"/>
      <c r="BK106" s="48"/>
      <c r="BL106" s="82"/>
      <c r="BM106" s="232"/>
      <c r="BN106" s="216"/>
      <c r="BO106" s="168"/>
      <c r="BP106" s="23"/>
      <c r="BQ106" s="24"/>
      <c r="BR106" s="53"/>
      <c r="BS106" s="123"/>
      <c r="BT106" s="48"/>
      <c r="BU106" s="82"/>
      <c r="BV106" s="217"/>
      <c r="BW106" s="141"/>
      <c r="BX106" s="311"/>
      <c r="BY106" s="139"/>
    </row>
    <row r="107" spans="1:77" ht="15" customHeight="1" x14ac:dyDescent="0.2">
      <c r="A107" s="56" t="s">
        <v>51</v>
      </c>
      <c r="B107" s="107"/>
      <c r="C107" s="637" t="s">
        <v>2792</v>
      </c>
      <c r="D107" s="544">
        <v>2643.2469999999998</v>
      </c>
      <c r="E107" s="107" t="s">
        <v>387</v>
      </c>
      <c r="F107" s="603"/>
      <c r="G107" s="68"/>
      <c r="H107" s="61"/>
      <c r="I107" s="418"/>
      <c r="J107" s="4"/>
      <c r="K107" s="4"/>
      <c r="L107" s="74"/>
      <c r="M107" s="517"/>
      <c r="N107" s="347"/>
      <c r="O107" s="923">
        <v>2014</v>
      </c>
      <c r="P107" s="517"/>
      <c r="Q107" s="347">
        <v>5.1390000000000002</v>
      </c>
      <c r="R107" s="923"/>
      <c r="S107" s="517"/>
      <c r="T107" s="347"/>
      <c r="U107" s="4"/>
      <c r="V107" s="59"/>
      <c r="W107" s="89"/>
      <c r="X107" s="87"/>
      <c r="Y107" s="160"/>
      <c r="Z107" s="21"/>
      <c r="AA107" s="21"/>
      <c r="AB107" s="399"/>
      <c r="AC107" s="618"/>
      <c r="AD107" s="422"/>
      <c r="AE107" s="422"/>
      <c r="AF107" s="454"/>
      <c r="AG107" s="439"/>
      <c r="AH107" s="514"/>
      <c r="AI107" s="518"/>
      <c r="AJ107" s="709"/>
      <c r="AK107" s="294"/>
      <c r="AL107" s="295"/>
      <c r="AM107" s="421"/>
      <c r="AN107" s="422"/>
      <c r="AO107" s="619">
        <f>AS107*(1+AT107)</f>
        <v>3.5972999999999999E-3</v>
      </c>
      <c r="AP107" s="620">
        <f>AS107*(1+AU107)</f>
        <v>3.5972999999999999E-3</v>
      </c>
      <c r="AQ107" s="617">
        <v>2014</v>
      </c>
      <c r="AR107" s="432"/>
      <c r="AS107" s="621">
        <f>+Q107/1000</f>
        <v>5.1390000000000003E-3</v>
      </c>
      <c r="AT107" s="399">
        <v>-0.3</v>
      </c>
      <c r="AU107" s="618">
        <f>AT107</f>
        <v>-0.3</v>
      </c>
      <c r="AV107" s="280"/>
      <c r="AW107" s="168"/>
      <c r="AX107" s="263"/>
      <c r="AY107" s="177"/>
      <c r="AZ107" s="274"/>
      <c r="BA107" s="123"/>
      <c r="BB107" s="48"/>
      <c r="BC107" s="82"/>
      <c r="BD107" s="232"/>
      <c r="BE107" s="216"/>
      <c r="BF107" s="168"/>
      <c r="BG107" s="263"/>
      <c r="BH107" s="177"/>
      <c r="BI107" s="274"/>
      <c r="BJ107" s="123"/>
      <c r="BK107" s="48"/>
      <c r="BL107" s="82"/>
      <c r="BM107" s="232"/>
      <c r="BN107" s="216"/>
      <c r="BO107" s="168"/>
      <c r="BP107" s="23"/>
      <c r="BQ107" s="24"/>
      <c r="BR107" s="53"/>
      <c r="BS107" s="123"/>
      <c r="BT107" s="48"/>
      <c r="BU107" s="82"/>
      <c r="BV107" s="217"/>
      <c r="BW107" s="141"/>
      <c r="BX107" s="311"/>
      <c r="BY107" s="139"/>
    </row>
    <row r="108" spans="1:77" ht="15" customHeight="1" x14ac:dyDescent="0.2">
      <c r="A108" s="56" t="s">
        <v>51</v>
      </c>
      <c r="B108" s="107"/>
      <c r="C108" s="637" t="s">
        <v>2529</v>
      </c>
      <c r="D108" s="544">
        <v>1645.7270000000001</v>
      </c>
      <c r="E108" s="107" t="s">
        <v>387</v>
      </c>
      <c r="F108" s="603"/>
      <c r="G108" s="68"/>
      <c r="H108" s="61"/>
      <c r="I108" s="418"/>
      <c r="J108" s="4"/>
      <c r="K108" s="4"/>
      <c r="L108" s="74">
        <v>2012</v>
      </c>
      <c r="M108" s="517"/>
      <c r="N108" s="347">
        <v>3.120425</v>
      </c>
      <c r="O108" s="923"/>
      <c r="P108" s="517"/>
      <c r="Q108" s="347">
        <v>2.3297919999999999</v>
      </c>
      <c r="R108" s="923"/>
      <c r="S108" s="517"/>
      <c r="T108" s="347"/>
      <c r="U108" s="4"/>
      <c r="V108" s="59">
        <v>4.093521</v>
      </c>
      <c r="W108" s="89">
        <f>V108*(1+AB108)/1000</f>
        <v>3.6317718312000001E-3</v>
      </c>
      <c r="X108" s="87">
        <f>V108*(1+AC108)/1000</f>
        <v>3.6317718312000001E-3</v>
      </c>
      <c r="Y108" s="160">
        <v>2020</v>
      </c>
      <c r="Z108" s="21"/>
      <c r="AA108" s="21">
        <f>+V108/1000</f>
        <v>4.0935210000000001E-3</v>
      </c>
      <c r="AB108" s="1064">
        <v>-0.1128</v>
      </c>
      <c r="AC108" s="1065">
        <f t="shared" ref="AC108" si="26">AB108</f>
        <v>-0.1128</v>
      </c>
      <c r="AD108" s="422"/>
      <c r="AE108" s="422"/>
      <c r="AF108" s="454"/>
      <c r="AG108" s="439"/>
      <c r="AH108" s="514"/>
      <c r="AI108" s="518"/>
      <c r="AJ108" s="709"/>
      <c r="AK108" s="294"/>
      <c r="AL108" s="295"/>
      <c r="AM108" s="421"/>
      <c r="AN108" s="59">
        <v>5.7769649999999997</v>
      </c>
      <c r="AO108" s="89">
        <f>AN108*(1+AT108)/1000</f>
        <v>4.3558316100000003E-3</v>
      </c>
      <c r="AP108" s="87">
        <f>AN108*(1+AU108)/1000</f>
        <v>4.3558316100000003E-3</v>
      </c>
      <c r="AQ108" s="160">
        <v>2030</v>
      </c>
      <c r="AR108" s="21"/>
      <c r="AS108" s="21">
        <f>+AN108/1000</f>
        <v>5.7769649999999994E-3</v>
      </c>
      <c r="AT108" s="400">
        <v>-0.246</v>
      </c>
      <c r="AU108" s="680">
        <f>AT108</f>
        <v>-0.246</v>
      </c>
      <c r="AV108" s="280"/>
      <c r="AW108" s="168"/>
      <c r="AX108" s="263"/>
      <c r="AY108" s="177"/>
      <c r="AZ108" s="274"/>
      <c r="BA108" s="123"/>
      <c r="BB108" s="48"/>
      <c r="BC108" s="82"/>
      <c r="BD108" s="232"/>
      <c r="BE108" s="216"/>
      <c r="BF108" s="59">
        <v>8.2727179999999993</v>
      </c>
      <c r="BG108" s="89">
        <f>BF108*(1+BL108)/1000</f>
        <v>9.8958252715999982E-3</v>
      </c>
      <c r="BH108" s="87">
        <f>BF108*(1+BM108)/1000</f>
        <v>9.8958252715999982E-3</v>
      </c>
      <c r="BI108" s="160">
        <v>2040</v>
      </c>
      <c r="BJ108" s="21"/>
      <c r="BK108" s="21">
        <f>+BF108/1000</f>
        <v>8.2727180000000001E-3</v>
      </c>
      <c r="BL108" s="400">
        <v>0.19620000000000001</v>
      </c>
      <c r="BM108" s="680">
        <f>BL108</f>
        <v>0.19620000000000001</v>
      </c>
      <c r="BN108" s="216"/>
      <c r="BO108" s="168"/>
      <c r="BP108" s="23"/>
      <c r="BQ108" s="24"/>
      <c r="BR108" s="53"/>
      <c r="BS108" s="123"/>
      <c r="BT108" s="48"/>
      <c r="BU108" s="82"/>
      <c r="BV108" s="217"/>
      <c r="BW108" s="141"/>
      <c r="BX108" s="311"/>
      <c r="BY108" s="139"/>
    </row>
    <row r="109" spans="1:77" ht="15" customHeight="1" x14ac:dyDescent="0.2">
      <c r="A109" s="56" t="s">
        <v>51</v>
      </c>
      <c r="B109" s="107"/>
      <c r="C109" s="637" t="s">
        <v>3209</v>
      </c>
      <c r="D109" s="544">
        <v>85.35</v>
      </c>
      <c r="E109" s="95" t="s">
        <v>387</v>
      </c>
      <c r="F109" s="603"/>
      <c r="G109" s="68"/>
      <c r="H109" s="61"/>
      <c r="I109" s="418"/>
      <c r="J109" s="4"/>
      <c r="K109" s="4"/>
      <c r="L109" s="74"/>
      <c r="M109" s="517"/>
      <c r="N109" s="347"/>
      <c r="O109" s="923"/>
      <c r="P109" s="517"/>
      <c r="Q109" s="347"/>
      <c r="R109" s="923">
        <v>2019</v>
      </c>
      <c r="S109" s="517"/>
      <c r="T109" s="220">
        <f>95.88222/1000</f>
        <v>9.5882220000000004E-2</v>
      </c>
      <c r="U109" s="4"/>
      <c r="V109" s="59"/>
      <c r="W109" s="89"/>
      <c r="X109" s="87"/>
      <c r="Y109" s="160"/>
      <c r="Z109" s="21"/>
      <c r="AA109" s="21"/>
      <c r="AB109" s="1064"/>
      <c r="AC109" s="1065"/>
      <c r="AD109" s="422"/>
      <c r="AE109" s="422"/>
      <c r="AF109" s="454"/>
      <c r="AG109" s="439"/>
      <c r="AH109" s="514"/>
      <c r="AI109" s="518"/>
      <c r="AJ109" s="709"/>
      <c r="AK109" s="294"/>
      <c r="AL109" s="295"/>
      <c r="AM109" s="421"/>
      <c r="AN109" s="4"/>
      <c r="AO109" s="674">
        <f>AS109*(1+AT109)</f>
        <v>7.6705776000000008E-5</v>
      </c>
      <c r="AP109" s="675">
        <f>AS109*(1+AU109)</f>
        <v>7.6705776000000008E-5</v>
      </c>
      <c r="AQ109" s="160">
        <v>2030</v>
      </c>
      <c r="AR109" s="21"/>
      <c r="AS109" s="21">
        <f>+T109/1000</f>
        <v>9.5882220000000003E-5</v>
      </c>
      <c r="AT109" s="399">
        <v>-0.2</v>
      </c>
      <c r="AU109" s="618">
        <f>AT109</f>
        <v>-0.2</v>
      </c>
      <c r="AV109" s="280"/>
      <c r="AW109" s="168"/>
      <c r="AX109" s="263"/>
      <c r="AY109" s="177"/>
      <c r="AZ109" s="274"/>
      <c r="BA109" s="123"/>
      <c r="BB109" s="48"/>
      <c r="BC109" s="82"/>
      <c r="BD109" s="232"/>
      <c r="BE109" s="216"/>
      <c r="BF109" s="4"/>
      <c r="BG109" s="89"/>
      <c r="BH109" s="87"/>
      <c r="BI109" s="77"/>
      <c r="BJ109" s="21"/>
      <c r="BK109" s="21"/>
      <c r="BL109" s="400"/>
      <c r="BM109" s="1438"/>
      <c r="BN109" s="216"/>
      <c r="BO109" s="168"/>
      <c r="BP109" s="23"/>
      <c r="BQ109" s="24"/>
      <c r="BR109" s="53"/>
      <c r="BS109" s="123"/>
      <c r="BT109" s="48"/>
      <c r="BU109" s="82"/>
      <c r="BV109" s="217"/>
      <c r="BW109" s="141"/>
      <c r="BX109" s="311"/>
      <c r="BY109" s="139"/>
    </row>
    <row r="110" spans="1:77" ht="15" customHeight="1" x14ac:dyDescent="0.2">
      <c r="A110" s="56" t="s">
        <v>51</v>
      </c>
      <c r="B110" s="107"/>
      <c r="C110" s="637" t="s">
        <v>2730</v>
      </c>
      <c r="D110" s="544">
        <v>679.37800000000004</v>
      </c>
      <c r="E110" s="95" t="s">
        <v>392</v>
      </c>
      <c r="F110" s="603"/>
      <c r="G110" s="68"/>
      <c r="H110" s="61"/>
      <c r="I110" s="418"/>
      <c r="J110" s="4"/>
      <c r="K110" s="4"/>
      <c r="L110" s="74">
        <v>2012</v>
      </c>
      <c r="M110" s="517"/>
      <c r="N110" s="347">
        <v>1.0611409999999999</v>
      </c>
      <c r="O110" s="923"/>
      <c r="P110" s="517"/>
      <c r="Q110" s="347"/>
      <c r="R110" s="923"/>
      <c r="S110" s="517"/>
      <c r="T110" s="347"/>
      <c r="U110" s="4"/>
      <c r="V110" s="59"/>
      <c r="W110" s="89"/>
      <c r="X110" s="87"/>
      <c r="Y110" s="160"/>
      <c r="Z110" s="21"/>
      <c r="AA110" s="21"/>
      <c r="AB110" s="1064"/>
      <c r="AC110" s="1065"/>
      <c r="AD110" s="422"/>
      <c r="AE110" s="422"/>
      <c r="AF110" s="454"/>
      <c r="AG110" s="439"/>
      <c r="AH110" s="514"/>
      <c r="AI110" s="518"/>
      <c r="AJ110" s="709"/>
      <c r="AK110" s="294"/>
      <c r="AL110" s="295"/>
      <c r="AM110" s="421"/>
      <c r="AN110" s="422"/>
      <c r="AO110" s="619">
        <f>AS110*(1+AT110)</f>
        <v>8.489127999999999E-4</v>
      </c>
      <c r="AP110" s="620">
        <f>AS110*(1+AU110)</f>
        <v>8.489127999999999E-4</v>
      </c>
      <c r="AQ110" s="617">
        <v>2005</v>
      </c>
      <c r="AR110" s="432"/>
      <c r="AS110" s="621">
        <f>+N110/1000</f>
        <v>1.0611409999999998E-3</v>
      </c>
      <c r="AT110" s="399">
        <v>-0.2</v>
      </c>
      <c r="AU110" s="618">
        <f>AT110</f>
        <v>-0.2</v>
      </c>
      <c r="AV110" s="280"/>
      <c r="AW110" s="168"/>
      <c r="AX110" s="263"/>
      <c r="AY110" s="177"/>
      <c r="AZ110" s="274"/>
      <c r="BA110" s="123"/>
      <c r="BB110" s="48"/>
      <c r="BC110" s="82"/>
      <c r="BD110" s="232"/>
      <c r="BE110" s="216"/>
      <c r="BF110" s="168"/>
      <c r="BG110" s="263"/>
      <c r="BH110" s="177"/>
      <c r="BI110" s="274"/>
      <c r="BJ110" s="123"/>
      <c r="BK110" s="48"/>
      <c r="BL110" s="82"/>
      <c r="BM110" s="232"/>
      <c r="BN110" s="216"/>
      <c r="BO110" s="168"/>
      <c r="BP110" s="23"/>
      <c r="BQ110" s="24"/>
      <c r="BR110" s="53"/>
      <c r="BS110" s="123"/>
      <c r="BT110" s="48"/>
      <c r="BU110" s="82"/>
      <c r="BV110" s="217"/>
      <c r="BW110" s="141"/>
      <c r="BX110" s="311"/>
      <c r="BY110" s="139"/>
    </row>
    <row r="111" spans="1:77" ht="15" customHeight="1" x14ac:dyDescent="0.2">
      <c r="A111" s="56" t="s">
        <v>9</v>
      </c>
      <c r="B111" s="56" t="s">
        <v>1606</v>
      </c>
      <c r="C111" s="637"/>
      <c r="D111" s="544">
        <v>34126.239999999998</v>
      </c>
      <c r="E111" s="624" t="s">
        <v>3252</v>
      </c>
      <c r="F111" s="1098"/>
      <c r="G111" s="121">
        <v>533.94299999999998</v>
      </c>
      <c r="H111" s="656">
        <v>602.18399999999997</v>
      </c>
      <c r="I111" s="778"/>
      <c r="J111" s="1106">
        <v>709.08299999999997</v>
      </c>
      <c r="K111" s="419">
        <v>730.34900000000005</v>
      </c>
      <c r="L111" s="778"/>
      <c r="M111" s="1106">
        <v>669.21100000000001</v>
      </c>
      <c r="N111" s="121">
        <v>692.61900000000003</v>
      </c>
      <c r="O111" s="1048"/>
      <c r="P111" s="121">
        <v>696.85400000000004</v>
      </c>
      <c r="Q111" s="915">
        <v>721.99199999999996</v>
      </c>
      <c r="R111" s="1048">
        <v>2017</v>
      </c>
      <c r="S111" s="121">
        <v>692.02700000000004</v>
      </c>
      <c r="T111" s="915">
        <v>715.74900000000002</v>
      </c>
      <c r="U111" s="62">
        <v>745</v>
      </c>
      <c r="V111" s="61">
        <v>720</v>
      </c>
      <c r="W111" s="23">
        <f>U111/1000</f>
        <v>0.745</v>
      </c>
      <c r="X111" s="24">
        <f>Z111*(1+AC111)</f>
        <v>0.58853889000000004</v>
      </c>
      <c r="Y111" s="50">
        <v>2005</v>
      </c>
      <c r="Z111" s="31">
        <f>J111/1000</f>
        <v>0.70908300000000002</v>
      </c>
      <c r="AA111" s="74"/>
      <c r="AB111" s="394">
        <v>-0.17</v>
      </c>
      <c r="AC111" s="443">
        <v>-0.17</v>
      </c>
      <c r="AD111" s="16"/>
      <c r="AE111" s="16"/>
      <c r="AF111" s="170"/>
      <c r="AG111" s="86"/>
      <c r="AH111" s="272"/>
      <c r="AI111" s="31"/>
      <c r="AJ111" s="74"/>
      <c r="AK111" s="294"/>
      <c r="AL111" s="284"/>
      <c r="AM111" s="421"/>
      <c r="AN111" s="422"/>
      <c r="AO111" s="1371">
        <f>AS111*(1+AT111)</f>
        <v>0.43820940000000003</v>
      </c>
      <c r="AP111" s="1372">
        <f>AS111*(1+AU111)</f>
        <v>0.40169195000000002</v>
      </c>
      <c r="AQ111" s="1373">
        <v>2005</v>
      </c>
      <c r="AR111" s="433"/>
      <c r="AS111" s="1375">
        <f>+K111/1000</f>
        <v>0.73034900000000003</v>
      </c>
      <c r="AT111" s="1341">
        <v>-0.4</v>
      </c>
      <c r="AU111" s="694">
        <v>-0.45</v>
      </c>
      <c r="AV111" s="16"/>
      <c r="AW111" s="16"/>
      <c r="AX111" s="170"/>
      <c r="AY111" s="86"/>
      <c r="AZ111" s="272"/>
      <c r="BA111" s="31"/>
      <c r="BB111" s="31"/>
      <c r="BC111" s="155"/>
      <c r="BD111" s="341"/>
      <c r="BE111" s="208"/>
      <c r="BF111" s="16"/>
      <c r="BG111" s="170"/>
      <c r="BH111" s="86"/>
      <c r="BI111" s="272"/>
      <c r="BJ111" s="31"/>
      <c r="BK111" s="31"/>
      <c r="BL111" s="155"/>
      <c r="BM111" s="341"/>
      <c r="BN111" s="208"/>
      <c r="BO111" s="16"/>
      <c r="BP111" s="170"/>
      <c r="BQ111" s="86"/>
      <c r="BR111" s="50"/>
      <c r="BS111" s="31"/>
      <c r="BT111" s="31"/>
      <c r="BU111" s="43">
        <v>-1</v>
      </c>
      <c r="BV111" s="209">
        <f>BU111</f>
        <v>-1</v>
      </c>
      <c r="BW111" s="140" t="s">
        <v>218</v>
      </c>
      <c r="BX111" s="309"/>
      <c r="BY111" s="137" t="s">
        <v>225</v>
      </c>
    </row>
    <row r="112" spans="1:77" ht="15" customHeight="1" x14ac:dyDescent="0.2">
      <c r="A112" s="56" t="s">
        <v>9</v>
      </c>
      <c r="B112" s="107" t="s">
        <v>444</v>
      </c>
      <c r="C112" s="637"/>
      <c r="D112" s="544">
        <v>3645</v>
      </c>
      <c r="E112" s="161" t="s">
        <v>2711</v>
      </c>
      <c r="F112" s="602"/>
      <c r="G112" s="62"/>
      <c r="H112" s="61"/>
      <c r="I112" s="608"/>
      <c r="J112" s="62"/>
      <c r="K112" s="62">
        <v>233</v>
      </c>
      <c r="L112" s="74"/>
      <c r="M112" s="62"/>
      <c r="N112" s="355">
        <v>241</v>
      </c>
      <c r="O112" s="923"/>
      <c r="P112" s="62"/>
      <c r="Q112" s="355">
        <v>274</v>
      </c>
      <c r="R112" s="923"/>
      <c r="S112" s="62"/>
      <c r="T112" s="355"/>
      <c r="U112" s="62"/>
      <c r="V112" s="62"/>
      <c r="W112" s="23">
        <f>AA112*(1+AB112)</f>
        <v>0.26711999999999997</v>
      </c>
      <c r="X112" s="24">
        <f>AA112*(1+AC112)</f>
        <v>0.26711999999999997</v>
      </c>
      <c r="Y112" s="160">
        <v>2020</v>
      </c>
      <c r="Z112" s="564"/>
      <c r="AA112" s="19">
        <v>0.318</v>
      </c>
      <c r="AB112" s="399">
        <v>-0.16</v>
      </c>
      <c r="AC112" s="618">
        <f>AB112</f>
        <v>-0.16</v>
      </c>
      <c r="AD112" s="16"/>
      <c r="AE112" s="16"/>
      <c r="AF112" s="170"/>
      <c r="AG112" s="86"/>
      <c r="AH112" s="272"/>
      <c r="AI112" s="31"/>
      <c r="AJ112" s="74"/>
      <c r="AK112" s="294"/>
      <c r="AL112" s="284"/>
      <c r="AM112" s="421"/>
      <c r="AN112" s="422"/>
      <c r="AO112" s="615"/>
      <c r="AP112" s="616"/>
      <c r="AQ112" s="617"/>
      <c r="AR112" s="432"/>
      <c r="AS112" s="679"/>
      <c r="AT112" s="400"/>
      <c r="AU112" s="680"/>
      <c r="AV112" s="16"/>
      <c r="AW112" s="16"/>
      <c r="AX112" s="170"/>
      <c r="AY112" s="86"/>
      <c r="AZ112" s="272"/>
      <c r="BA112" s="31"/>
      <c r="BB112" s="31"/>
      <c r="BC112" s="155"/>
      <c r="BD112" s="341"/>
      <c r="BE112" s="208"/>
      <c r="BF112" s="16"/>
      <c r="BG112" s="170"/>
      <c r="BH112" s="86"/>
      <c r="BI112" s="272"/>
      <c r="BJ112" s="31"/>
      <c r="BK112" s="31"/>
      <c r="BL112" s="155"/>
      <c r="BM112" s="341"/>
      <c r="BN112" s="208"/>
      <c r="BO112" s="16"/>
      <c r="BP112" s="677">
        <f>BS112*(1+BU112)</f>
        <v>0.19900000000000001</v>
      </c>
      <c r="BQ112" s="678">
        <f>BS112*(1+BV112)</f>
        <v>0.19900000000000001</v>
      </c>
      <c r="BR112" s="427">
        <v>2050</v>
      </c>
      <c r="BS112" s="428">
        <v>0.39800000000000002</v>
      </c>
      <c r="BT112" s="48"/>
      <c r="BU112" s="399">
        <v>-0.5</v>
      </c>
      <c r="BV112" s="618">
        <f>BU112</f>
        <v>-0.5</v>
      </c>
      <c r="BW112" s="140"/>
      <c r="BX112" s="309" t="s">
        <v>2509</v>
      </c>
      <c r="BY112" s="743" t="s">
        <v>2710</v>
      </c>
    </row>
    <row r="113" spans="1:77" ht="15" customHeight="1" x14ac:dyDescent="0.2">
      <c r="A113" s="56" t="s">
        <v>9</v>
      </c>
      <c r="B113" s="107" t="s">
        <v>477</v>
      </c>
      <c r="C113" s="637" t="s">
        <v>403</v>
      </c>
      <c r="D113" s="544">
        <v>1285.711</v>
      </c>
      <c r="E113" s="161" t="s">
        <v>468</v>
      </c>
      <c r="F113" s="602"/>
      <c r="G113" s="62"/>
      <c r="H113" s="61">
        <v>11.8711</v>
      </c>
      <c r="I113" s="608"/>
      <c r="J113" s="62"/>
      <c r="K113" s="63">
        <v>15.793730999999999</v>
      </c>
      <c r="L113" s="74">
        <v>2009</v>
      </c>
      <c r="M113" s="62"/>
      <c r="N113" s="357">
        <v>16.561</v>
      </c>
      <c r="O113" s="923">
        <v>2016</v>
      </c>
      <c r="P113" s="62"/>
      <c r="Q113" s="357">
        <v>17.679137000000001</v>
      </c>
      <c r="R113" s="923">
        <v>2016</v>
      </c>
      <c r="S113" s="62"/>
      <c r="T113" s="357">
        <v>17.679137000000001</v>
      </c>
      <c r="U113" s="62"/>
      <c r="V113" s="62"/>
      <c r="W113" s="674">
        <f>AA113*(1+AB113)</f>
        <v>1.2634984799999999E-2</v>
      </c>
      <c r="X113" s="675">
        <f>AA113*(1+AC113)</f>
        <v>1.2634984799999999E-2</v>
      </c>
      <c r="Y113" s="160">
        <v>2005</v>
      </c>
      <c r="Z113" s="21"/>
      <c r="AA113" s="699">
        <f>+K113/1000</f>
        <v>1.5793730999999998E-2</v>
      </c>
      <c r="AB113" s="399">
        <v>-0.2</v>
      </c>
      <c r="AC113" s="618">
        <f>AB113</f>
        <v>-0.2</v>
      </c>
      <c r="AD113" s="16"/>
      <c r="AE113" s="16"/>
      <c r="AF113" s="170"/>
      <c r="AG113" s="86"/>
      <c r="AH113" s="272"/>
      <c r="AI113" s="31"/>
      <c r="AJ113" s="74"/>
      <c r="AK113" s="294"/>
      <c r="AL113" s="284"/>
      <c r="AM113" s="421"/>
      <c r="AN113" s="422"/>
      <c r="AO113" s="388"/>
      <c r="AP113" s="389"/>
      <c r="AQ113" s="390"/>
      <c r="AR113" s="433"/>
      <c r="AS113" s="392"/>
      <c r="AT113" s="156"/>
      <c r="AU113" s="284"/>
      <c r="AV113" s="16"/>
      <c r="AW113" s="16"/>
      <c r="AX113" s="171">
        <f>BB113*(1+BC113)</f>
        <v>5.9355500000000004E-3</v>
      </c>
      <c r="AY113" s="172">
        <f>BB113*(1+BD113)</f>
        <v>5.9355500000000004E-3</v>
      </c>
      <c r="AZ113" s="272">
        <v>1990</v>
      </c>
      <c r="BA113" s="34"/>
      <c r="BB113" s="657">
        <f>H113/1000</f>
        <v>1.1871100000000001E-2</v>
      </c>
      <c r="BC113" s="395">
        <v>-0.5</v>
      </c>
      <c r="BD113" s="443">
        <f>BC113</f>
        <v>-0.5</v>
      </c>
      <c r="BE113" s="208"/>
      <c r="BF113" s="16"/>
      <c r="BG113" s="170"/>
      <c r="BH113" s="86"/>
      <c r="BI113" s="272"/>
      <c r="BJ113" s="31"/>
      <c r="BK113" s="31"/>
      <c r="BL113" s="155"/>
      <c r="BM113" s="341"/>
      <c r="BN113" s="208"/>
      <c r="BO113" s="16"/>
      <c r="BP113" s="677">
        <f>BT113*(1+BU113)</f>
        <v>3.1587461999999988E-3</v>
      </c>
      <c r="BQ113" s="678">
        <f>BT113*(1+BV113)</f>
        <v>3.1587461999999988E-3</v>
      </c>
      <c r="BR113" s="427">
        <v>2005</v>
      </c>
      <c r="BS113" s="428"/>
      <c r="BT113" s="714">
        <f>+K113/1000</f>
        <v>1.5793730999999998E-2</v>
      </c>
      <c r="BU113" s="399">
        <v>-0.8</v>
      </c>
      <c r="BV113" s="618">
        <f>BU113</f>
        <v>-0.8</v>
      </c>
      <c r="BW113" s="140" t="s">
        <v>537</v>
      </c>
      <c r="BX113" s="309"/>
      <c r="BY113" s="137"/>
    </row>
    <row r="114" spans="1:77" ht="15" customHeight="1" x14ac:dyDescent="0.2">
      <c r="A114" s="56" t="s">
        <v>9</v>
      </c>
      <c r="B114" s="107" t="s">
        <v>477</v>
      </c>
      <c r="C114" s="637" t="s">
        <v>2228</v>
      </c>
      <c r="D114" s="544">
        <v>972.22299999999996</v>
      </c>
      <c r="E114" s="161" t="s">
        <v>387</v>
      </c>
      <c r="F114" s="602"/>
      <c r="G114" s="62"/>
      <c r="H114" s="61"/>
      <c r="I114" s="608"/>
      <c r="J114" s="62"/>
      <c r="K114" s="63">
        <v>18.246963000000001</v>
      </c>
      <c r="L114" s="74">
        <v>2012</v>
      </c>
      <c r="M114" s="62"/>
      <c r="N114" s="357">
        <v>16.469283000000001</v>
      </c>
      <c r="O114" s="923"/>
      <c r="P114" s="62"/>
      <c r="Q114" s="357">
        <v>13.357063</v>
      </c>
      <c r="R114" s="923"/>
      <c r="S114" s="62"/>
      <c r="T114" s="357"/>
      <c r="U114" s="62"/>
      <c r="V114" s="62"/>
      <c r="W114" s="674"/>
      <c r="X114" s="675"/>
      <c r="Y114" s="160"/>
      <c r="Z114" s="21"/>
      <c r="AA114" s="699"/>
      <c r="AB114" s="399"/>
      <c r="AC114" s="618"/>
      <c r="AD114" s="16"/>
      <c r="AE114" s="16"/>
      <c r="AF114" s="170"/>
      <c r="AG114" s="86"/>
      <c r="AH114" s="272"/>
      <c r="AI114" s="31"/>
      <c r="AJ114" s="74"/>
      <c r="AK114" s="294"/>
      <c r="AL114" s="284"/>
      <c r="AM114" s="421"/>
      <c r="AN114" s="422"/>
      <c r="AO114" s="388"/>
      <c r="AP114" s="389"/>
      <c r="AQ114" s="390"/>
      <c r="AR114" s="433"/>
      <c r="AS114" s="392"/>
      <c r="AT114" s="156"/>
      <c r="AU114" s="284"/>
      <c r="AV114" s="16"/>
      <c r="AW114" s="16"/>
      <c r="AX114" s="171">
        <f>BB114*(1+BC114)</f>
        <v>1.1860525950000001E-2</v>
      </c>
      <c r="AY114" s="172">
        <f>BB114*(1+BD114)</f>
        <v>1.1860525950000001E-2</v>
      </c>
      <c r="AZ114" s="272">
        <v>2005</v>
      </c>
      <c r="BA114" s="34"/>
      <c r="BB114" s="657">
        <f>K114/1000</f>
        <v>1.8246963000000001E-2</v>
      </c>
      <c r="BC114" s="395">
        <v>-0.35</v>
      </c>
      <c r="BD114" s="443">
        <f>BC114</f>
        <v>-0.35</v>
      </c>
      <c r="BE114" s="208"/>
      <c r="BF114" s="16"/>
      <c r="BG114" s="170"/>
      <c r="BH114" s="86"/>
      <c r="BI114" s="272"/>
      <c r="BJ114" s="31"/>
      <c r="BK114" s="31"/>
      <c r="BL114" s="155"/>
      <c r="BM114" s="341"/>
      <c r="BN114" s="208"/>
      <c r="BO114" s="16"/>
      <c r="BP114" s="677"/>
      <c r="BQ114" s="678"/>
      <c r="BR114" s="427"/>
      <c r="BS114" s="428"/>
      <c r="BT114" s="714"/>
      <c r="BU114" s="399"/>
      <c r="BV114" s="618"/>
      <c r="BW114" s="140"/>
      <c r="BX114" s="309"/>
      <c r="BY114" s="137"/>
    </row>
    <row r="115" spans="1:77" ht="15" customHeight="1" x14ac:dyDescent="0.2">
      <c r="A115" s="56" t="s">
        <v>9</v>
      </c>
      <c r="B115" s="56" t="s">
        <v>394</v>
      </c>
      <c r="C115" s="637"/>
      <c r="D115" s="544">
        <v>4583</v>
      </c>
      <c r="E115" s="161" t="s">
        <v>2911</v>
      </c>
      <c r="F115" s="602"/>
      <c r="G115" s="62"/>
      <c r="H115" s="61">
        <f>N115/0.96</f>
        <v>61.458333333333336</v>
      </c>
      <c r="I115" s="608">
        <v>2007</v>
      </c>
      <c r="J115" s="62"/>
      <c r="K115" s="62">
        <v>63.640999999999998</v>
      </c>
      <c r="L115" s="74"/>
      <c r="M115" s="62"/>
      <c r="N115" s="355">
        <v>59</v>
      </c>
      <c r="O115" s="923"/>
      <c r="P115" s="62"/>
      <c r="Q115" s="355">
        <v>61</v>
      </c>
      <c r="R115" s="923">
        <v>2016</v>
      </c>
      <c r="S115" s="62"/>
      <c r="T115" s="355">
        <v>61.3</v>
      </c>
      <c r="U115" s="92"/>
      <c r="V115" s="62"/>
      <c r="W115" s="89">
        <f t="shared" ref="W115:W131" si="27">AA115*(1+AB115)</f>
        <v>4.2639469999999999E-2</v>
      </c>
      <c r="X115" s="87">
        <f t="shared" ref="X115:X131" si="28">AA115*(1+AC115)</f>
        <v>4.2639469999999999E-2</v>
      </c>
      <c r="Y115" s="160">
        <v>2007</v>
      </c>
      <c r="Z115" s="21"/>
      <c r="AA115" s="21">
        <f>+K115/1000</f>
        <v>6.3641000000000003E-2</v>
      </c>
      <c r="AB115" s="399">
        <v>-0.33</v>
      </c>
      <c r="AC115" s="618">
        <f t="shared" ref="AC115:AC131" si="29">AB115</f>
        <v>-0.33</v>
      </c>
      <c r="AD115" s="16"/>
      <c r="AE115" s="16"/>
      <c r="AF115" s="170"/>
      <c r="AG115" s="86"/>
      <c r="AH115" s="272"/>
      <c r="AI115" s="31"/>
      <c r="AJ115" s="74"/>
      <c r="AK115" s="294"/>
      <c r="AL115" s="284"/>
      <c r="AM115" s="421"/>
      <c r="AN115" s="422"/>
      <c r="AO115" s="89">
        <f>AS115*(1+AT115)</f>
        <v>3.8184599999999999E-2</v>
      </c>
      <c r="AP115" s="87">
        <f>AS115*(1+AU115)</f>
        <v>3.8184599999999999E-2</v>
      </c>
      <c r="AQ115" s="160">
        <v>2007</v>
      </c>
      <c r="AR115" s="21"/>
      <c r="AS115" s="21">
        <f>+K115/1000</f>
        <v>6.3641000000000003E-2</v>
      </c>
      <c r="AT115" s="399">
        <v>-0.4</v>
      </c>
      <c r="AU115" s="618">
        <f t="shared" ref="AU115" si="30">AT115</f>
        <v>-0.4</v>
      </c>
      <c r="AV115" s="16"/>
      <c r="AW115" s="16"/>
      <c r="AX115" s="170"/>
      <c r="AY115" s="86"/>
      <c r="AZ115" s="272"/>
      <c r="BA115" s="31"/>
      <c r="BB115" s="31"/>
      <c r="BC115" s="155"/>
      <c r="BD115" s="341"/>
      <c r="BE115" s="208"/>
      <c r="BF115" s="16"/>
      <c r="BG115" s="89">
        <f>BK115*(1+BL115)</f>
        <v>2.5456400000000004E-2</v>
      </c>
      <c r="BH115" s="87">
        <f>BK115*(1+BM115)</f>
        <v>2.5456400000000004E-2</v>
      </c>
      <c r="BI115" s="160">
        <v>2007</v>
      </c>
      <c r="BJ115" s="21"/>
      <c r="BK115" s="21">
        <f>+K115/1000</f>
        <v>6.3641000000000003E-2</v>
      </c>
      <c r="BL115" s="399">
        <v>-0.6</v>
      </c>
      <c r="BM115" s="618">
        <f t="shared" ref="BM115" si="31">BL115</f>
        <v>-0.6</v>
      </c>
      <c r="BN115" s="208"/>
      <c r="BO115" s="16"/>
      <c r="BP115" s="677">
        <f>BS115*(1+BU115)</f>
        <v>1.2728199999999999E-2</v>
      </c>
      <c r="BQ115" s="678">
        <f>BS115*(1+BV115)</f>
        <v>1.2728199999999999E-2</v>
      </c>
      <c r="BR115" s="427">
        <v>2007</v>
      </c>
      <c r="BS115" s="428">
        <f>+K115/1000</f>
        <v>6.3641000000000003E-2</v>
      </c>
      <c r="BT115" s="48"/>
      <c r="BU115" s="399">
        <v>-0.8</v>
      </c>
      <c r="BV115" s="618">
        <f>BU115</f>
        <v>-0.8</v>
      </c>
      <c r="BW115" s="140"/>
      <c r="BX115" s="309"/>
      <c r="BY115" s="137"/>
    </row>
    <row r="116" spans="1:77" ht="15" customHeight="1" x14ac:dyDescent="0.2">
      <c r="A116" s="56" t="s">
        <v>9</v>
      </c>
      <c r="B116" s="107" t="s">
        <v>477</v>
      </c>
      <c r="C116" s="637" t="s">
        <v>404</v>
      </c>
      <c r="D116" s="544">
        <v>16.100000000000001</v>
      </c>
      <c r="E116" s="161" t="s">
        <v>392</v>
      </c>
      <c r="F116" s="602"/>
      <c r="G116" s="62"/>
      <c r="H116" s="61"/>
      <c r="I116" s="608">
        <v>2007</v>
      </c>
      <c r="J116" s="62"/>
      <c r="K116" s="92">
        <v>6.5000000000000002E-2</v>
      </c>
      <c r="L116" s="74"/>
      <c r="M116" s="62"/>
      <c r="N116" s="357"/>
      <c r="O116" s="923"/>
      <c r="P116" s="62"/>
      <c r="Q116" s="357"/>
      <c r="R116" s="923"/>
      <c r="S116" s="62"/>
      <c r="T116" s="357"/>
      <c r="U116" s="62"/>
      <c r="V116" s="62"/>
      <c r="W116" s="701">
        <f t="shared" si="27"/>
        <v>4.3550000000000001E-5</v>
      </c>
      <c r="X116" s="702">
        <f t="shared" si="28"/>
        <v>4.3550000000000001E-5</v>
      </c>
      <c r="Y116" s="658">
        <v>2007</v>
      </c>
      <c r="Z116" s="204"/>
      <c r="AA116" s="700">
        <f>+K116/1000</f>
        <v>6.5000000000000008E-5</v>
      </c>
      <c r="AB116" s="406">
        <v>-0.33</v>
      </c>
      <c r="AC116" s="618">
        <f t="shared" si="29"/>
        <v>-0.33</v>
      </c>
      <c r="AD116" s="16"/>
      <c r="AE116" s="16"/>
      <c r="AF116" s="170"/>
      <c r="AG116" s="86"/>
      <c r="AH116" s="272"/>
      <c r="AI116" s="31"/>
      <c r="AJ116" s="74"/>
      <c r="AK116" s="294"/>
      <c r="AL116" s="284"/>
      <c r="AM116" s="421"/>
      <c r="AN116" s="422"/>
      <c r="AO116" s="704">
        <f>AS116*(1+AT116)</f>
        <v>3.3150000000000006E-5</v>
      </c>
      <c r="AP116" s="705">
        <f>AS116*(1+AU116)</f>
        <v>3.3150000000000006E-5</v>
      </c>
      <c r="AQ116" s="617">
        <v>2005</v>
      </c>
      <c r="AR116" s="432"/>
      <c r="AS116" s="703">
        <f>+K116/1000</f>
        <v>6.5000000000000008E-5</v>
      </c>
      <c r="AT116" s="399">
        <v>-0.49</v>
      </c>
      <c r="AU116" s="618">
        <f>AT116</f>
        <v>-0.49</v>
      </c>
      <c r="AV116" s="16"/>
      <c r="AW116" s="16"/>
      <c r="AX116" s="170"/>
      <c r="AY116" s="86"/>
      <c r="AZ116" s="272"/>
      <c r="BA116" s="31"/>
      <c r="BB116" s="31"/>
      <c r="BC116" s="155"/>
      <c r="BD116" s="341"/>
      <c r="BE116" s="208"/>
      <c r="BF116" s="16"/>
      <c r="BG116" s="170"/>
      <c r="BH116" s="86"/>
      <c r="BI116" s="272"/>
      <c r="BJ116" s="31"/>
      <c r="BK116" s="31"/>
      <c r="BL116" s="155"/>
      <c r="BM116" s="341"/>
      <c r="BN116" s="208"/>
      <c r="BO116" s="16"/>
      <c r="BP116" s="707">
        <f>BS116*(1+BU116)</f>
        <v>1.2999999999999999E-5</v>
      </c>
      <c r="BQ116" s="708">
        <f>BS116*(1+BV116)</f>
        <v>1.2999999999999999E-5</v>
      </c>
      <c r="BR116" s="427">
        <v>2007</v>
      </c>
      <c r="BS116" s="706">
        <f>+K116/1000</f>
        <v>6.5000000000000008E-5</v>
      </c>
      <c r="BT116" s="48"/>
      <c r="BU116" s="399">
        <v>-0.8</v>
      </c>
      <c r="BV116" s="618">
        <f>BU116</f>
        <v>-0.8</v>
      </c>
      <c r="BW116" s="140"/>
      <c r="BX116" s="309"/>
      <c r="BY116" s="137"/>
    </row>
    <row r="117" spans="1:77" ht="15" customHeight="1" x14ac:dyDescent="0.2">
      <c r="A117" s="56" t="s">
        <v>9</v>
      </c>
      <c r="B117" s="107" t="s">
        <v>477</v>
      </c>
      <c r="C117" s="637" t="s">
        <v>405</v>
      </c>
      <c r="D117" s="544">
        <v>99.86</v>
      </c>
      <c r="E117" s="161" t="s">
        <v>392</v>
      </c>
      <c r="F117" s="602"/>
      <c r="G117" s="62"/>
      <c r="H117" s="61"/>
      <c r="I117" s="608"/>
      <c r="J117" s="62"/>
      <c r="K117" s="63"/>
      <c r="L117" s="74"/>
      <c r="M117" s="62"/>
      <c r="N117" s="357">
        <v>0.84599999999999997</v>
      </c>
      <c r="O117" s="923"/>
      <c r="P117" s="62"/>
      <c r="Q117" s="357"/>
      <c r="R117" s="923"/>
      <c r="S117" s="62"/>
      <c r="T117" s="357"/>
      <c r="U117" s="62"/>
      <c r="V117" s="62"/>
      <c r="W117" s="701">
        <f t="shared" si="27"/>
        <v>5.6681999999999989E-4</v>
      </c>
      <c r="X117" s="702">
        <f t="shared" si="28"/>
        <v>5.6681999999999989E-4</v>
      </c>
      <c r="Y117" s="658">
        <v>2007</v>
      </c>
      <c r="Z117" s="204"/>
      <c r="AA117" s="700">
        <f>+N117/1000</f>
        <v>8.4599999999999996E-4</v>
      </c>
      <c r="AB117" s="406">
        <v>-0.33</v>
      </c>
      <c r="AC117" s="618">
        <f t="shared" si="29"/>
        <v>-0.33</v>
      </c>
      <c r="AD117" s="16"/>
      <c r="AE117" s="16"/>
      <c r="AF117" s="170"/>
      <c r="AG117" s="86"/>
      <c r="AH117" s="272"/>
      <c r="AI117" s="31"/>
      <c r="AJ117" s="74"/>
      <c r="AK117" s="294"/>
      <c r="AL117" s="284"/>
      <c r="AM117" s="421"/>
      <c r="AN117" s="422"/>
      <c r="AO117" s="704"/>
      <c r="AP117" s="705"/>
      <c r="AQ117" s="617"/>
      <c r="AR117" s="432"/>
      <c r="AS117" s="703"/>
      <c r="AT117" s="399"/>
      <c r="AU117" s="618"/>
      <c r="AV117" s="16"/>
      <c r="AW117" s="16"/>
      <c r="AX117" s="170"/>
      <c r="AY117" s="86"/>
      <c r="AZ117" s="272"/>
      <c r="BA117" s="31"/>
      <c r="BB117" s="31"/>
      <c r="BC117" s="155"/>
      <c r="BD117" s="341"/>
      <c r="BE117" s="208"/>
      <c r="BF117" s="16"/>
      <c r="BG117" s="170"/>
      <c r="BH117" s="86"/>
      <c r="BI117" s="272"/>
      <c r="BJ117" s="31"/>
      <c r="BK117" s="31"/>
      <c r="BL117" s="155"/>
      <c r="BM117" s="341"/>
      <c r="BN117" s="208"/>
      <c r="BO117" s="16"/>
      <c r="BP117" s="707"/>
      <c r="BQ117" s="708"/>
      <c r="BR117" s="427"/>
      <c r="BS117" s="706"/>
      <c r="BT117" s="48"/>
      <c r="BU117" s="399"/>
      <c r="BV117" s="618"/>
      <c r="BW117" s="140"/>
      <c r="BX117" s="309"/>
      <c r="BY117" s="137"/>
    </row>
    <row r="118" spans="1:77" ht="15" customHeight="1" x14ac:dyDescent="0.2">
      <c r="A118" s="56" t="s">
        <v>9</v>
      </c>
      <c r="B118" s="107" t="s">
        <v>477</v>
      </c>
      <c r="C118" s="637" t="s">
        <v>538</v>
      </c>
      <c r="D118" s="544">
        <v>76</v>
      </c>
      <c r="E118" s="161" t="s">
        <v>392</v>
      </c>
      <c r="F118" s="602"/>
      <c r="G118" s="62"/>
      <c r="H118" s="61"/>
      <c r="I118" s="608">
        <v>2007</v>
      </c>
      <c r="J118" s="62"/>
      <c r="K118" s="63">
        <v>0.38197900000000001</v>
      </c>
      <c r="L118" s="74"/>
      <c r="M118" s="62"/>
      <c r="N118" s="357">
        <v>0.33700000000000002</v>
      </c>
      <c r="O118" s="923"/>
      <c r="P118" s="62"/>
      <c r="Q118" s="357"/>
      <c r="R118" s="923"/>
      <c r="S118" s="62"/>
      <c r="T118" s="357"/>
      <c r="U118" s="62"/>
      <c r="V118" s="62"/>
      <c r="W118" s="635">
        <f t="shared" ref="W118" si="32">AA118*(1+AB118)</f>
        <v>2.5592592999999997E-4</v>
      </c>
      <c r="X118" s="636">
        <f t="shared" ref="X118" si="33">AA118*(1+AC118)</f>
        <v>2.5592592999999997E-4</v>
      </c>
      <c r="Y118" s="658">
        <v>2007</v>
      </c>
      <c r="Z118" s="204"/>
      <c r="AA118" s="641">
        <f>+K118/1000</f>
        <v>3.8197900000000001E-4</v>
      </c>
      <c r="AB118" s="406">
        <v>-0.33</v>
      </c>
      <c r="AC118" s="618">
        <f t="shared" ref="AC118" si="34">AB118</f>
        <v>-0.33</v>
      </c>
      <c r="AD118" s="16"/>
      <c r="AE118" s="16"/>
      <c r="AF118" s="170"/>
      <c r="AG118" s="86"/>
      <c r="AH118" s="272"/>
      <c r="AI118" s="31"/>
      <c r="AJ118" s="74"/>
      <c r="AK118" s="294"/>
      <c r="AL118" s="284"/>
      <c r="AM118" s="421"/>
      <c r="AN118" s="422"/>
      <c r="AO118" s="388"/>
      <c r="AP118" s="389"/>
      <c r="AQ118" s="390"/>
      <c r="AR118" s="433"/>
      <c r="AS118" s="392"/>
      <c r="AT118" s="156"/>
      <c r="AU118" s="284"/>
      <c r="AV118" s="16"/>
      <c r="AW118" s="16"/>
      <c r="AX118" s="170"/>
      <c r="AY118" s="86"/>
      <c r="AZ118" s="272"/>
      <c r="BA118" s="31"/>
      <c r="BB118" s="31"/>
      <c r="BC118" s="155"/>
      <c r="BD118" s="341"/>
      <c r="BE118" s="208"/>
      <c r="BF118" s="16"/>
      <c r="BG118" s="170"/>
      <c r="BH118" s="86"/>
      <c r="BI118" s="272"/>
      <c r="BJ118" s="31"/>
      <c r="BK118" s="31"/>
      <c r="BL118" s="155"/>
      <c r="BM118" s="341"/>
      <c r="BN118" s="208"/>
      <c r="BO118" s="16"/>
      <c r="BP118" s="682">
        <f>BT118*(1+BU118)</f>
        <v>7.6395799999999991E-5</v>
      </c>
      <c r="BQ118" s="683">
        <f>BT118*(1+BV118)</f>
        <v>7.6395799999999991E-5</v>
      </c>
      <c r="BR118" s="427">
        <v>2007</v>
      </c>
      <c r="BS118" s="428"/>
      <c r="BT118" s="641">
        <f>+K118/1000</f>
        <v>3.8197900000000001E-4</v>
      </c>
      <c r="BU118" s="399">
        <v>-0.8</v>
      </c>
      <c r="BV118" s="618">
        <f t="shared" ref="BV118:BV123" si="35">BU118</f>
        <v>-0.8</v>
      </c>
      <c r="BW118" s="140" t="s">
        <v>537</v>
      </c>
      <c r="BX118" s="309"/>
      <c r="BY118" s="743" t="s">
        <v>539</v>
      </c>
    </row>
    <row r="119" spans="1:77" ht="15" customHeight="1" x14ac:dyDescent="0.2">
      <c r="A119" s="56" t="s">
        <v>9</v>
      </c>
      <c r="B119" s="107" t="s">
        <v>477</v>
      </c>
      <c r="C119" s="637" t="s">
        <v>2230</v>
      </c>
      <c r="D119" s="544">
        <v>52.898000000000003</v>
      </c>
      <c r="E119" s="161" t="s">
        <v>387</v>
      </c>
      <c r="F119" s="602"/>
      <c r="G119" s="62"/>
      <c r="H119" s="61"/>
      <c r="I119" s="608">
        <v>2007</v>
      </c>
      <c r="J119" s="62"/>
      <c r="K119" s="63">
        <v>2.2421199999999999</v>
      </c>
      <c r="L119" s="74"/>
      <c r="M119" s="62"/>
      <c r="N119" s="357"/>
      <c r="O119" s="923"/>
      <c r="P119" s="62"/>
      <c r="Q119" s="357"/>
      <c r="R119" s="923"/>
      <c r="S119" s="62"/>
      <c r="T119" s="357"/>
      <c r="U119" s="62"/>
      <c r="V119" s="62"/>
      <c r="W119" s="635">
        <f>AA119*(1+AB119)</f>
        <v>1.9058019999999998E-3</v>
      </c>
      <c r="X119" s="636">
        <f>AA119*(1+AC119)</f>
        <v>1.9058019999999998E-3</v>
      </c>
      <c r="Y119" s="658">
        <v>2007</v>
      </c>
      <c r="Z119" s="204"/>
      <c r="AA119" s="641">
        <f>+K119/1000</f>
        <v>2.2421199999999998E-3</v>
      </c>
      <c r="AB119" s="406">
        <v>-0.15</v>
      </c>
      <c r="AC119" s="618">
        <f>AB119</f>
        <v>-0.15</v>
      </c>
      <c r="AD119" s="16"/>
      <c r="AE119" s="16"/>
      <c r="AF119" s="170"/>
      <c r="AG119" s="86"/>
      <c r="AH119" s="272"/>
      <c r="AI119" s="31"/>
      <c r="AJ119" s="74"/>
      <c r="AK119" s="294"/>
      <c r="AL119" s="284"/>
      <c r="AM119" s="421"/>
      <c r="AN119" s="422"/>
      <c r="AO119" s="388"/>
      <c r="AP119" s="389"/>
      <c r="AQ119" s="390"/>
      <c r="AR119" s="433"/>
      <c r="AS119" s="392"/>
      <c r="AT119" s="156"/>
      <c r="AU119" s="284"/>
      <c r="AV119" s="16"/>
      <c r="AW119" s="16"/>
      <c r="AX119" s="170"/>
      <c r="AY119" s="86"/>
      <c r="AZ119" s="272"/>
      <c r="BA119" s="31"/>
      <c r="BB119" s="31"/>
      <c r="BC119" s="155"/>
      <c r="BD119" s="341"/>
      <c r="BE119" s="208"/>
      <c r="BF119" s="16"/>
      <c r="BG119" s="682">
        <f>BK119*(1+BL119)</f>
        <v>4.4842399999999984E-4</v>
      </c>
      <c r="BH119" s="683">
        <f>BK119*(1+BM119)</f>
        <v>4.4842399999999984E-4</v>
      </c>
      <c r="BI119" s="427">
        <v>2007</v>
      </c>
      <c r="BJ119" s="428"/>
      <c r="BK119" s="641">
        <f>+K119/1000</f>
        <v>2.2421199999999998E-3</v>
      </c>
      <c r="BL119" s="399">
        <v>-0.8</v>
      </c>
      <c r="BM119" s="618">
        <f>BL119</f>
        <v>-0.8</v>
      </c>
      <c r="BN119" s="208"/>
      <c r="BO119" s="16"/>
      <c r="BP119" s="682">
        <f>BT119*(1+BU119)</f>
        <v>0</v>
      </c>
      <c r="BQ119" s="683">
        <f>BT119*(1+BV119)</f>
        <v>0</v>
      </c>
      <c r="BR119" s="427">
        <v>2007</v>
      </c>
      <c r="BS119" s="428"/>
      <c r="BT119" s="641">
        <f>+K119/1000</f>
        <v>2.2421199999999998E-3</v>
      </c>
      <c r="BU119" s="399">
        <v>-1</v>
      </c>
      <c r="BV119" s="618">
        <f t="shared" si="35"/>
        <v>-1</v>
      </c>
      <c r="BW119" s="140"/>
      <c r="BX119" s="309"/>
      <c r="BY119" s="137"/>
    </row>
    <row r="120" spans="1:77" ht="15" customHeight="1" x14ac:dyDescent="0.2">
      <c r="A120" s="56" t="s">
        <v>9</v>
      </c>
      <c r="B120" s="107" t="s">
        <v>477</v>
      </c>
      <c r="C120" s="637" t="s">
        <v>3161</v>
      </c>
      <c r="D120" s="544">
        <v>114.148</v>
      </c>
      <c r="E120" s="161" t="s">
        <v>387</v>
      </c>
      <c r="F120" s="602"/>
      <c r="G120" s="62"/>
      <c r="H120" s="61"/>
      <c r="I120" s="608">
        <v>2007</v>
      </c>
      <c r="J120" s="62"/>
      <c r="K120" s="63">
        <v>0.57483499999999998</v>
      </c>
      <c r="L120" s="74"/>
      <c r="M120" s="62"/>
      <c r="N120" s="357"/>
      <c r="O120" s="923"/>
      <c r="P120" s="62"/>
      <c r="Q120" s="357"/>
      <c r="R120" s="923"/>
      <c r="S120" s="62"/>
      <c r="T120" s="357"/>
      <c r="U120" s="62"/>
      <c r="V120" s="62"/>
      <c r="W120" s="635"/>
      <c r="X120" s="636"/>
      <c r="Y120" s="759"/>
      <c r="Z120" s="158"/>
      <c r="AA120" s="635"/>
      <c r="AB120" s="406"/>
      <c r="AC120" s="618"/>
      <c r="AD120" s="16"/>
      <c r="AE120" s="16"/>
      <c r="AF120" s="170"/>
      <c r="AG120" s="86"/>
      <c r="AH120" s="272"/>
      <c r="AI120" s="31"/>
      <c r="AJ120" s="74"/>
      <c r="AK120" s="294"/>
      <c r="AL120" s="284"/>
      <c r="AM120" s="421"/>
      <c r="AN120" s="422"/>
      <c r="AO120" s="388"/>
      <c r="AP120" s="389"/>
      <c r="AQ120" s="390"/>
      <c r="AR120" s="433"/>
      <c r="AS120" s="392"/>
      <c r="AT120" s="156"/>
      <c r="AU120" s="284"/>
      <c r="AV120" s="16"/>
      <c r="AW120" s="16"/>
      <c r="AX120" s="170"/>
      <c r="AY120" s="86"/>
      <c r="AZ120" s="272"/>
      <c r="BA120" s="31"/>
      <c r="BB120" s="31"/>
      <c r="BC120" s="155"/>
      <c r="BD120" s="341"/>
      <c r="BE120" s="208"/>
      <c r="BF120" s="16"/>
      <c r="BG120" s="170"/>
      <c r="BH120" s="86"/>
      <c r="BI120" s="272"/>
      <c r="BJ120" s="31"/>
      <c r="BK120" s="31"/>
      <c r="BL120" s="155"/>
      <c r="BM120" s="341"/>
      <c r="BN120" s="208"/>
      <c r="BO120" s="16"/>
      <c r="BP120" s="682">
        <f>BT120*(1+BU120)</f>
        <v>0</v>
      </c>
      <c r="BQ120" s="683">
        <f>BT120*(1+BV120)</f>
        <v>0</v>
      </c>
      <c r="BR120" s="427">
        <v>2007</v>
      </c>
      <c r="BS120" s="428"/>
      <c r="BT120" s="641">
        <f>+K120/1000</f>
        <v>5.7483499999999999E-4</v>
      </c>
      <c r="BU120" s="399">
        <v>-1</v>
      </c>
      <c r="BV120" s="618">
        <f t="shared" si="35"/>
        <v>-1</v>
      </c>
      <c r="BW120" s="140"/>
      <c r="BX120" s="309"/>
      <c r="BY120" s="743"/>
    </row>
    <row r="121" spans="1:77" ht="15" customHeight="1" x14ac:dyDescent="0.2">
      <c r="A121" s="56" t="s">
        <v>9</v>
      </c>
      <c r="B121" s="107" t="s">
        <v>477</v>
      </c>
      <c r="C121" s="637" t="s">
        <v>575</v>
      </c>
      <c r="D121" s="544">
        <v>508</v>
      </c>
      <c r="E121" s="161" t="s">
        <v>392</v>
      </c>
      <c r="F121" s="602"/>
      <c r="G121" s="62"/>
      <c r="H121" s="61"/>
      <c r="I121" s="608"/>
      <c r="J121" s="62"/>
      <c r="K121" s="63"/>
      <c r="L121" s="74"/>
      <c r="M121" s="62"/>
      <c r="N121" s="357">
        <v>2.1179999999999999</v>
      </c>
      <c r="O121" s="923"/>
      <c r="P121" s="62"/>
      <c r="Q121" s="357"/>
      <c r="R121" s="923"/>
      <c r="S121" s="62"/>
      <c r="T121" s="357"/>
      <c r="U121" s="62"/>
      <c r="V121" s="62"/>
      <c r="W121" s="635"/>
      <c r="X121" s="636"/>
      <c r="Y121" s="759"/>
      <c r="Z121" s="158"/>
      <c r="AA121" s="635"/>
      <c r="AB121" s="406"/>
      <c r="AC121" s="618"/>
      <c r="AD121" s="16"/>
      <c r="AE121" s="16"/>
      <c r="AF121" s="170"/>
      <c r="AG121" s="86"/>
      <c r="AH121" s="272"/>
      <c r="AI121" s="31"/>
      <c r="AJ121" s="74"/>
      <c r="AK121" s="294"/>
      <c r="AL121" s="284"/>
      <c r="AM121" s="421"/>
      <c r="AN121" s="422"/>
      <c r="AO121" s="388"/>
      <c r="AP121" s="389"/>
      <c r="AQ121" s="390"/>
      <c r="AR121" s="433"/>
      <c r="AS121" s="392"/>
      <c r="AT121" s="156"/>
      <c r="AU121" s="284"/>
      <c r="AV121" s="16"/>
      <c r="AW121" s="16"/>
      <c r="AX121" s="170"/>
      <c r="AY121" s="86"/>
      <c r="AZ121" s="272"/>
      <c r="BA121" s="31"/>
      <c r="BB121" s="31"/>
      <c r="BC121" s="155"/>
      <c r="BD121" s="341"/>
      <c r="BE121" s="208"/>
      <c r="BF121" s="16"/>
      <c r="BG121" s="170"/>
      <c r="BH121" s="86"/>
      <c r="BI121" s="272"/>
      <c r="BJ121" s="31"/>
      <c r="BK121" s="31"/>
      <c r="BL121" s="155"/>
      <c r="BM121" s="341"/>
      <c r="BN121" s="208"/>
      <c r="BO121" s="16"/>
      <c r="BP121" s="682">
        <f>BT121*(1+BU121)</f>
        <v>4.2359999999999994E-4</v>
      </c>
      <c r="BQ121" s="683">
        <f>BT121*(1+BV121)</f>
        <v>4.2359999999999994E-4</v>
      </c>
      <c r="BR121" s="427">
        <v>2007</v>
      </c>
      <c r="BS121" s="428"/>
      <c r="BT121" s="641">
        <f>+N121/1000</f>
        <v>2.1180000000000001E-3</v>
      </c>
      <c r="BU121" s="399">
        <v>-0.8</v>
      </c>
      <c r="BV121" s="618">
        <f t="shared" si="35"/>
        <v>-0.8</v>
      </c>
      <c r="BW121" s="140"/>
      <c r="BX121" s="309"/>
      <c r="BY121" s="743"/>
    </row>
    <row r="122" spans="1:77" ht="15" customHeight="1" x14ac:dyDescent="0.2">
      <c r="A122" s="56" t="s">
        <v>9</v>
      </c>
      <c r="B122" s="107" t="s">
        <v>477</v>
      </c>
      <c r="C122" s="637" t="s">
        <v>366</v>
      </c>
      <c r="D122" s="544">
        <v>648</v>
      </c>
      <c r="E122" s="161" t="s">
        <v>2526</v>
      </c>
      <c r="F122" s="602"/>
      <c r="G122" s="62"/>
      <c r="H122" s="61"/>
      <c r="I122" s="608">
        <v>2007</v>
      </c>
      <c r="J122" s="62"/>
      <c r="K122" s="63">
        <v>2.7650000000000001</v>
      </c>
      <c r="L122" s="74">
        <v>2012</v>
      </c>
      <c r="M122" s="62"/>
      <c r="N122" s="357">
        <v>2.5499999999999998</v>
      </c>
      <c r="O122" s="923"/>
      <c r="P122" s="62"/>
      <c r="Q122" s="357">
        <v>2.499107</v>
      </c>
      <c r="R122" s="923"/>
      <c r="S122" s="62"/>
      <c r="T122" s="357"/>
      <c r="U122" s="62"/>
      <c r="V122" s="62"/>
      <c r="W122" s="635">
        <f>AA122*(1+AB122)</f>
        <v>1.8525499999999999E-3</v>
      </c>
      <c r="X122" s="636">
        <f>AA122*(1+AC122)</f>
        <v>1.8525499999999999E-3</v>
      </c>
      <c r="Y122" s="658">
        <v>2007</v>
      </c>
      <c r="Z122" s="204"/>
      <c r="AA122" s="641">
        <f>+K122/1000</f>
        <v>2.7650000000000001E-3</v>
      </c>
      <c r="AB122" s="406">
        <v>-0.33</v>
      </c>
      <c r="AC122" s="618">
        <f>AB122</f>
        <v>-0.33</v>
      </c>
      <c r="AD122" s="16"/>
      <c r="AE122" s="16"/>
      <c r="AF122" s="170"/>
      <c r="AG122" s="86"/>
      <c r="AH122" s="272"/>
      <c r="AI122" s="31"/>
      <c r="AJ122" s="74"/>
      <c r="AK122" s="294"/>
      <c r="AL122" s="284"/>
      <c r="AM122" s="421"/>
      <c r="AN122" s="422"/>
      <c r="AO122" s="635">
        <f>AS122*(1+AT122)</f>
        <v>1.3825E-3</v>
      </c>
      <c r="AP122" s="636">
        <f>AS122*(1+AU122)</f>
        <v>1.3825E-3</v>
      </c>
      <c r="AQ122" s="658">
        <v>2007</v>
      </c>
      <c r="AR122" s="204"/>
      <c r="AS122" s="641">
        <f>+K122/1000</f>
        <v>2.7650000000000001E-3</v>
      </c>
      <c r="AT122" s="406">
        <v>-0.5</v>
      </c>
      <c r="AU122" s="618">
        <f>AT122</f>
        <v>-0.5</v>
      </c>
      <c r="AV122" s="16"/>
      <c r="AW122" s="16"/>
      <c r="AX122" s="170"/>
      <c r="AY122" s="86"/>
      <c r="AZ122" s="272"/>
      <c r="BA122" s="31"/>
      <c r="BB122" s="31"/>
      <c r="BC122" s="155"/>
      <c r="BD122" s="341"/>
      <c r="BE122" s="208"/>
      <c r="BF122" s="16"/>
      <c r="BG122" s="170"/>
      <c r="BH122" s="86"/>
      <c r="BI122" s="272"/>
      <c r="BJ122" s="31"/>
      <c r="BK122" s="31"/>
      <c r="BL122" s="155"/>
      <c r="BM122" s="341"/>
      <c r="BN122" s="208"/>
      <c r="BO122" s="16"/>
      <c r="BP122" s="170">
        <v>0</v>
      </c>
      <c r="BQ122" s="86">
        <v>0</v>
      </c>
      <c r="BR122" s="50"/>
      <c r="BS122" s="31"/>
      <c r="BT122" s="31"/>
      <c r="BU122" s="43">
        <v>-1</v>
      </c>
      <c r="BV122" s="209">
        <f t="shared" si="35"/>
        <v>-1</v>
      </c>
      <c r="BW122" s="140"/>
      <c r="BX122" s="309"/>
      <c r="BY122" s="137"/>
    </row>
    <row r="123" spans="1:77" ht="15" customHeight="1" x14ac:dyDescent="0.2">
      <c r="A123" s="56" t="s">
        <v>9</v>
      </c>
      <c r="B123" s="107" t="s">
        <v>477</v>
      </c>
      <c r="C123" s="637" t="s">
        <v>2210</v>
      </c>
      <c r="D123" s="544">
        <v>94</v>
      </c>
      <c r="E123" s="161" t="s">
        <v>387</v>
      </c>
      <c r="F123" s="602"/>
      <c r="G123" s="62"/>
      <c r="H123" s="61"/>
      <c r="I123" s="608">
        <v>2007</v>
      </c>
      <c r="J123" s="62"/>
      <c r="K123" s="63">
        <v>0.41287499999999999</v>
      </c>
      <c r="L123" s="74"/>
      <c r="M123" s="62"/>
      <c r="N123" s="357"/>
      <c r="O123" s="923"/>
      <c r="P123" s="62"/>
      <c r="Q123" s="357"/>
      <c r="R123" s="923"/>
      <c r="S123" s="62"/>
      <c r="T123" s="357"/>
      <c r="U123" s="62"/>
      <c r="V123" s="62"/>
      <c r="W123" s="635">
        <f>AA123*(1+AB123)</f>
        <v>2.7662624999999995E-4</v>
      </c>
      <c r="X123" s="636">
        <f>AA123*(1+AC123)</f>
        <v>2.7662624999999995E-4</v>
      </c>
      <c r="Y123" s="658">
        <v>2007</v>
      </c>
      <c r="Z123" s="204"/>
      <c r="AA123" s="641">
        <f>+K123/1000</f>
        <v>4.1287499999999999E-4</v>
      </c>
      <c r="AB123" s="406">
        <v>-0.33</v>
      </c>
      <c r="AC123" s="618">
        <f>AB123</f>
        <v>-0.33</v>
      </c>
      <c r="AD123" s="16"/>
      <c r="AE123" s="16"/>
      <c r="AF123" s="170"/>
      <c r="AG123" s="86"/>
      <c r="AH123" s="272"/>
      <c r="AI123" s="31"/>
      <c r="AJ123" s="74"/>
      <c r="AK123" s="294"/>
      <c r="AL123" s="284"/>
      <c r="AM123" s="421"/>
      <c r="AN123" s="422"/>
      <c r="AO123" s="388"/>
      <c r="AP123" s="389"/>
      <c r="AQ123" s="390"/>
      <c r="AR123" s="433"/>
      <c r="AS123" s="392"/>
      <c r="AT123" s="156"/>
      <c r="AU123" s="284"/>
      <c r="AV123" s="16"/>
      <c r="AW123" s="16"/>
      <c r="AX123" s="170"/>
      <c r="AY123" s="86"/>
      <c r="AZ123" s="272"/>
      <c r="BA123" s="31"/>
      <c r="BB123" s="31"/>
      <c r="BC123" s="155"/>
      <c r="BD123" s="341"/>
      <c r="BE123" s="208"/>
      <c r="BF123" s="16"/>
      <c r="BG123" s="170"/>
      <c r="BH123" s="86"/>
      <c r="BI123" s="272"/>
      <c r="BJ123" s="31"/>
      <c r="BK123" s="31"/>
      <c r="BL123" s="155"/>
      <c r="BM123" s="341"/>
      <c r="BN123" s="208"/>
      <c r="BO123" s="16"/>
      <c r="BP123" s="682">
        <f>BT123*(1+BU123)</f>
        <v>8.2574999999999974E-5</v>
      </c>
      <c r="BQ123" s="683">
        <f>BT123*(1+BV123)</f>
        <v>8.2574999999999974E-5</v>
      </c>
      <c r="BR123" s="427">
        <v>2007</v>
      </c>
      <c r="BS123" s="428"/>
      <c r="BT123" s="641">
        <f>+K123/1000</f>
        <v>4.1287499999999999E-4</v>
      </c>
      <c r="BU123" s="399">
        <v>-0.8</v>
      </c>
      <c r="BV123" s="618">
        <f t="shared" si="35"/>
        <v>-0.8</v>
      </c>
      <c r="BW123" s="140"/>
      <c r="BX123" s="309"/>
      <c r="BY123" s="137"/>
    </row>
    <row r="124" spans="1:77" ht="15" customHeight="1" x14ac:dyDescent="0.2">
      <c r="A124" s="56" t="s">
        <v>9</v>
      </c>
      <c r="B124" s="107"/>
      <c r="C124" s="637" t="s">
        <v>2799</v>
      </c>
      <c r="D124" s="544">
        <v>217.18799999999999</v>
      </c>
      <c r="E124" s="161" t="s">
        <v>2800</v>
      </c>
      <c r="F124" s="602"/>
      <c r="G124" s="62"/>
      <c r="H124" s="61"/>
      <c r="I124" s="608"/>
      <c r="J124" s="62"/>
      <c r="K124" s="63"/>
      <c r="L124" s="74"/>
      <c r="M124" s="62"/>
      <c r="N124" s="357"/>
      <c r="O124" s="923">
        <v>2014</v>
      </c>
      <c r="P124" s="62"/>
      <c r="Q124" s="355">
        <f>D124*8.8/1000</f>
        <v>1.9112544</v>
      </c>
      <c r="R124" s="923"/>
      <c r="S124" s="62"/>
      <c r="T124" s="355"/>
      <c r="U124" s="62"/>
      <c r="V124" s="62"/>
      <c r="W124" s="635"/>
      <c r="X124" s="636"/>
      <c r="Y124" s="759"/>
      <c r="Z124" s="158"/>
      <c r="AA124" s="635"/>
      <c r="AB124" s="406"/>
      <c r="AC124" s="618"/>
      <c r="AD124" s="16"/>
      <c r="AE124" s="16"/>
      <c r="AF124" s="170"/>
      <c r="AG124" s="86"/>
      <c r="AH124" s="272"/>
      <c r="AI124" s="31"/>
      <c r="AJ124" s="74"/>
      <c r="AK124" s="294"/>
      <c r="AL124" s="284"/>
      <c r="AM124" s="421"/>
      <c r="AN124" s="422"/>
      <c r="AO124" s="388"/>
      <c r="AP124" s="389"/>
      <c r="AQ124" s="390"/>
      <c r="AR124" s="433"/>
      <c r="AS124" s="392"/>
      <c r="AT124" s="156"/>
      <c r="AU124" s="284"/>
      <c r="AV124" s="16"/>
      <c r="AW124" s="16"/>
      <c r="AX124" s="170"/>
      <c r="AY124" s="86"/>
      <c r="AZ124" s="272"/>
      <c r="BA124" s="31"/>
      <c r="BB124" s="31"/>
      <c r="BC124" s="155"/>
      <c r="BD124" s="341"/>
      <c r="BE124" s="208"/>
      <c r="BF124" s="16"/>
      <c r="BG124" s="89">
        <f>BK124*(1+BL124)</f>
        <v>1.1467526399999998E-3</v>
      </c>
      <c r="BH124" s="87">
        <f>BK124*(1+BM124)</f>
        <v>1.9112544E-3</v>
      </c>
      <c r="BI124" s="160">
        <v>2007</v>
      </c>
      <c r="BJ124" s="21"/>
      <c r="BK124" s="21">
        <f>+Q124/1000</f>
        <v>1.9112544E-3</v>
      </c>
      <c r="BL124" s="399">
        <v>-0.4</v>
      </c>
      <c r="BM124" s="618"/>
      <c r="BN124" s="208"/>
      <c r="BO124" s="16"/>
      <c r="BP124" s="170"/>
      <c r="BQ124" s="86"/>
      <c r="BR124" s="50"/>
      <c r="BS124" s="31"/>
      <c r="BT124" s="31"/>
      <c r="BU124" s="43"/>
      <c r="BV124" s="209"/>
      <c r="BW124" s="140"/>
      <c r="BX124" s="309"/>
      <c r="BY124" s="137"/>
    </row>
    <row r="125" spans="1:77" s="135" customFormat="1" ht="27.75" customHeight="1" x14ac:dyDescent="0.2">
      <c r="A125" s="108" t="s">
        <v>9</v>
      </c>
      <c r="B125" s="117" t="s">
        <v>399</v>
      </c>
      <c r="C125" s="663"/>
      <c r="D125" s="545">
        <v>1208</v>
      </c>
      <c r="E125" s="127" t="s">
        <v>2547</v>
      </c>
      <c r="F125" s="1111"/>
      <c r="G125" s="99"/>
      <c r="H125" s="128"/>
      <c r="I125" s="609"/>
      <c r="J125" s="99"/>
      <c r="K125" s="99">
        <v>21</v>
      </c>
      <c r="L125" s="98"/>
      <c r="M125" s="99"/>
      <c r="N125" s="364">
        <v>20</v>
      </c>
      <c r="O125" s="365"/>
      <c r="P125" s="99"/>
      <c r="Q125" s="364">
        <v>21</v>
      </c>
      <c r="R125" s="365"/>
      <c r="S125" s="99"/>
      <c r="T125" s="364"/>
      <c r="U125" s="99"/>
      <c r="V125" s="99"/>
      <c r="W125" s="613">
        <f t="shared" si="27"/>
        <v>1.7850000000000001E-2</v>
      </c>
      <c r="X125" s="614">
        <f t="shared" si="28"/>
        <v>1.7850000000000001E-2</v>
      </c>
      <c r="Y125" s="1112">
        <v>2005</v>
      </c>
      <c r="Z125" s="613"/>
      <c r="AA125" s="613">
        <f>+K125/1000</f>
        <v>2.1000000000000001E-2</v>
      </c>
      <c r="AB125" s="401">
        <v>-0.15</v>
      </c>
      <c r="AC125" s="691">
        <f t="shared" si="29"/>
        <v>-0.15</v>
      </c>
      <c r="AD125" s="201"/>
      <c r="AE125" s="201"/>
      <c r="AF125" s="202"/>
      <c r="AG125" s="203"/>
      <c r="AH125" s="279"/>
      <c r="AI125" s="1113"/>
      <c r="AJ125" s="98"/>
      <c r="AK125" s="296"/>
      <c r="AL125" s="298"/>
      <c r="AM125" s="503"/>
      <c r="AN125" s="527"/>
      <c r="AO125" s="1114">
        <f>AS125*(1+AT125)</f>
        <v>1.4069999999999999E-2</v>
      </c>
      <c r="AP125" s="1115">
        <f>AS125*(1+AU125)</f>
        <v>1.4069999999999999E-2</v>
      </c>
      <c r="AQ125" s="1116">
        <v>2005</v>
      </c>
      <c r="AR125" s="1117"/>
      <c r="AS125" s="1118">
        <f>+K125/1000</f>
        <v>2.1000000000000001E-2</v>
      </c>
      <c r="AT125" s="401">
        <v>-0.33</v>
      </c>
      <c r="AU125" s="691">
        <f>AT125</f>
        <v>-0.33</v>
      </c>
      <c r="AV125" s="201"/>
      <c r="AW125" s="201"/>
      <c r="AX125" s="202"/>
      <c r="AY125" s="203"/>
      <c r="AZ125" s="279"/>
      <c r="BA125" s="1113"/>
      <c r="BB125" s="1113"/>
      <c r="BC125" s="1119"/>
      <c r="BD125" s="1120"/>
      <c r="BE125" s="221"/>
      <c r="BF125" s="201"/>
      <c r="BG125" s="202"/>
      <c r="BH125" s="203"/>
      <c r="BI125" s="279"/>
      <c r="BJ125" s="1113"/>
      <c r="BK125" s="1113"/>
      <c r="BL125" s="1119"/>
      <c r="BM125" s="1120"/>
      <c r="BN125" s="221"/>
      <c r="BO125" s="201"/>
      <c r="BP125" s="1121"/>
      <c r="BQ125" s="1122"/>
      <c r="BR125" s="955"/>
      <c r="BS125" s="645"/>
      <c r="BT125" s="753"/>
      <c r="BU125" s="401"/>
      <c r="BV125" s="691"/>
      <c r="BW125" s="140"/>
      <c r="BX125" s="309" t="s">
        <v>1628</v>
      </c>
      <c r="BY125" s="669" t="s">
        <v>1629</v>
      </c>
    </row>
    <row r="126" spans="1:77" ht="15" customHeight="1" x14ac:dyDescent="0.2">
      <c r="A126" s="56" t="s">
        <v>9</v>
      </c>
      <c r="B126" s="107" t="s">
        <v>477</v>
      </c>
      <c r="C126" s="637" t="s">
        <v>406</v>
      </c>
      <c r="D126" s="544">
        <v>664</v>
      </c>
      <c r="E126" s="161" t="s">
        <v>387</v>
      </c>
      <c r="F126" s="602"/>
      <c r="G126" s="62"/>
      <c r="H126" s="61"/>
      <c r="I126" s="608">
        <v>1998</v>
      </c>
      <c r="J126" s="62"/>
      <c r="K126" s="62">
        <v>5.2573239999999997</v>
      </c>
      <c r="L126" s="74">
        <v>2011</v>
      </c>
      <c r="M126" s="62"/>
      <c r="N126" s="355">
        <v>5.3790240000000002</v>
      </c>
      <c r="O126" s="923"/>
      <c r="P126" s="62"/>
      <c r="Q126" s="355"/>
      <c r="R126" s="923"/>
      <c r="S126" s="62"/>
      <c r="T126" s="355"/>
      <c r="U126" s="62"/>
      <c r="V126" s="62"/>
      <c r="W126" s="89">
        <f t="shared" si="27"/>
        <v>4.9418845599999992E-3</v>
      </c>
      <c r="X126" s="87">
        <f t="shared" si="28"/>
        <v>4.9418845599999992E-3</v>
      </c>
      <c r="Y126" s="160">
        <v>1998</v>
      </c>
      <c r="Z126" s="21"/>
      <c r="AA126" s="21">
        <f>+K126/1000</f>
        <v>5.2573239999999999E-3</v>
      </c>
      <c r="AB126" s="399">
        <v>-0.06</v>
      </c>
      <c r="AC126" s="618">
        <f t="shared" si="29"/>
        <v>-0.06</v>
      </c>
      <c r="AD126" s="16"/>
      <c r="AE126" s="16"/>
      <c r="AF126" s="170"/>
      <c r="AG126" s="86"/>
      <c r="AH126" s="272"/>
      <c r="AI126" s="31"/>
      <c r="AJ126" s="74"/>
      <c r="AK126" s="294"/>
      <c r="AL126" s="284"/>
      <c r="AM126" s="421"/>
      <c r="AN126" s="422"/>
      <c r="AO126" s="388"/>
      <c r="AP126" s="389"/>
      <c r="AQ126" s="390"/>
      <c r="AR126" s="433"/>
      <c r="AS126" s="392"/>
      <c r="AT126" s="156"/>
      <c r="AU126" s="284"/>
      <c r="AV126" s="16"/>
      <c r="AW126" s="16"/>
      <c r="AX126" s="170"/>
      <c r="AY126" s="86"/>
      <c r="AZ126" s="272"/>
      <c r="BA126" s="31"/>
      <c r="BB126" s="31"/>
      <c r="BC126" s="155"/>
      <c r="BD126" s="341"/>
      <c r="BE126" s="208"/>
      <c r="BF126" s="16"/>
      <c r="BG126" s="170"/>
      <c r="BH126" s="86"/>
      <c r="BI126" s="272"/>
      <c r="BJ126" s="31"/>
      <c r="BK126" s="31"/>
      <c r="BL126" s="155"/>
      <c r="BM126" s="341"/>
      <c r="BN126" s="208"/>
      <c r="BO126" s="16"/>
      <c r="BP126" s="677"/>
      <c r="BQ126" s="678"/>
      <c r="BR126" s="427"/>
      <c r="BS126" s="428"/>
      <c r="BT126" s="48"/>
      <c r="BU126" s="399"/>
      <c r="BV126" s="618"/>
      <c r="BW126" s="140"/>
      <c r="BX126" s="309"/>
      <c r="BY126" s="137"/>
    </row>
    <row r="127" spans="1:77" s="135" customFormat="1" ht="27" customHeight="1" x14ac:dyDescent="0.2">
      <c r="A127" s="108" t="s">
        <v>9</v>
      </c>
      <c r="B127" s="117" t="s">
        <v>397</v>
      </c>
      <c r="C127" s="663"/>
      <c r="D127" s="545">
        <v>515</v>
      </c>
      <c r="E127" s="127" t="s">
        <v>2547</v>
      </c>
      <c r="F127" s="1111"/>
      <c r="G127" s="99"/>
      <c r="H127" s="128">
        <v>9.75</v>
      </c>
      <c r="I127" s="609"/>
      <c r="J127" s="99"/>
      <c r="K127" s="99">
        <v>9.8611699999999995</v>
      </c>
      <c r="L127" s="98"/>
      <c r="M127" s="99"/>
      <c r="N127" s="364">
        <v>10.3</v>
      </c>
      <c r="O127" s="365"/>
      <c r="P127" s="99"/>
      <c r="Q127" s="364">
        <v>10.3</v>
      </c>
      <c r="R127" s="365">
        <v>2017</v>
      </c>
      <c r="S127" s="99">
        <v>10.535042000000001</v>
      </c>
      <c r="T127" s="364">
        <v>10.538112999999999</v>
      </c>
      <c r="U127" s="99"/>
      <c r="V127" s="99"/>
      <c r="W127" s="613">
        <f t="shared" si="27"/>
        <v>7.8000000000000005E-3</v>
      </c>
      <c r="X127" s="614">
        <f t="shared" si="28"/>
        <v>7.8000000000000005E-3</v>
      </c>
      <c r="Y127" s="1112">
        <v>1990</v>
      </c>
      <c r="Z127" s="613"/>
      <c r="AA127" s="613">
        <f>+H127/1000</f>
        <v>9.75E-3</v>
      </c>
      <c r="AB127" s="401">
        <v>-0.2</v>
      </c>
      <c r="AC127" s="691">
        <f t="shared" si="29"/>
        <v>-0.2</v>
      </c>
      <c r="AD127" s="201"/>
      <c r="AE127" s="201"/>
      <c r="AF127" s="202"/>
      <c r="AG127" s="203"/>
      <c r="AH127" s="279"/>
      <c r="AI127" s="1113"/>
      <c r="AJ127" s="98"/>
      <c r="AK127" s="296"/>
      <c r="AL127" s="298"/>
      <c r="AM127" s="503"/>
      <c r="AN127" s="527"/>
      <c r="AO127" s="1114">
        <f t="shared" ref="AO127:AO132" si="36">AS127*(1+AT127)</f>
        <v>6.9028189999999984E-3</v>
      </c>
      <c r="AP127" s="1115">
        <f t="shared" ref="AP127:AP132" si="37">AS127*(1+AU127)</f>
        <v>6.9028189999999984E-3</v>
      </c>
      <c r="AQ127" s="1116">
        <v>2005</v>
      </c>
      <c r="AR127" s="1117"/>
      <c r="AS127" s="1118">
        <f>+K127/1000</f>
        <v>9.861169999999999E-3</v>
      </c>
      <c r="AT127" s="401">
        <v>-0.3</v>
      </c>
      <c r="AU127" s="691">
        <f>AT127</f>
        <v>-0.3</v>
      </c>
      <c r="AV127" s="201"/>
      <c r="AW127" s="201"/>
      <c r="AX127" s="202"/>
      <c r="AY127" s="203"/>
      <c r="AZ127" s="279"/>
      <c r="BA127" s="1113"/>
      <c r="BB127" s="1113"/>
      <c r="BC127" s="1119"/>
      <c r="BD127" s="1120"/>
      <c r="BE127" s="221"/>
      <c r="BF127" s="201"/>
      <c r="BG127" s="202"/>
      <c r="BH127" s="203"/>
      <c r="BI127" s="279"/>
      <c r="BJ127" s="1113"/>
      <c r="BK127" s="1113"/>
      <c r="BL127" s="1119"/>
      <c r="BM127" s="1120"/>
      <c r="BN127" s="221"/>
      <c r="BO127" s="201"/>
      <c r="BP127" s="1123">
        <f>BS127*(1+BU127)</f>
        <v>2.4652924999999997E-3</v>
      </c>
      <c r="BQ127" s="1124">
        <f>BS127*(1+BV127)</f>
        <v>2.4652924999999997E-3</v>
      </c>
      <c r="BR127" s="955">
        <v>2001</v>
      </c>
      <c r="BS127" s="751">
        <f>+K127/1000</f>
        <v>9.861169999999999E-3</v>
      </c>
      <c r="BT127" s="753"/>
      <c r="BU127" s="401">
        <v>-0.75</v>
      </c>
      <c r="BV127" s="691">
        <f>BU127</f>
        <v>-0.75</v>
      </c>
      <c r="BW127" s="140"/>
      <c r="BX127" s="309"/>
      <c r="BY127" s="139"/>
    </row>
    <row r="128" spans="1:77" ht="15" customHeight="1" x14ac:dyDescent="0.2">
      <c r="A128" s="56" t="s">
        <v>9</v>
      </c>
      <c r="B128" s="107" t="s">
        <v>398</v>
      </c>
      <c r="C128" s="637"/>
      <c r="D128" s="544">
        <v>41.46</v>
      </c>
      <c r="E128" s="161" t="s">
        <v>2926</v>
      </c>
      <c r="F128" s="602"/>
      <c r="G128" s="62"/>
      <c r="H128" s="61"/>
      <c r="I128" s="608"/>
      <c r="J128" s="62"/>
      <c r="K128" s="63">
        <v>1.5640000000000001</v>
      </c>
      <c r="L128" s="74"/>
      <c r="M128" s="62"/>
      <c r="N128" s="357">
        <v>1.3</v>
      </c>
      <c r="O128" s="923"/>
      <c r="P128" s="62"/>
      <c r="Q128" s="357">
        <v>1.4</v>
      </c>
      <c r="R128" s="923">
        <v>2017</v>
      </c>
      <c r="S128" s="62"/>
      <c r="T128" s="357">
        <v>1.26</v>
      </c>
      <c r="U128" s="62"/>
      <c r="V128" s="62"/>
      <c r="W128" s="89">
        <f t="shared" si="27"/>
        <v>2.5962400000000005E-3</v>
      </c>
      <c r="X128" s="87">
        <f t="shared" si="28"/>
        <v>2.5962400000000005E-3</v>
      </c>
      <c r="Y128" s="160">
        <v>2005</v>
      </c>
      <c r="Z128" s="21"/>
      <c r="AA128" s="21">
        <f>+K128/1000</f>
        <v>1.5640000000000001E-3</v>
      </c>
      <c r="AB128" s="399">
        <v>0.66</v>
      </c>
      <c r="AC128" s="618">
        <f t="shared" si="29"/>
        <v>0.66</v>
      </c>
      <c r="AD128" s="16"/>
      <c r="AE128" s="16"/>
      <c r="AF128" s="170"/>
      <c r="AG128" s="86"/>
      <c r="AH128" s="272"/>
      <c r="AI128" s="31"/>
      <c r="AJ128" s="74"/>
      <c r="AK128" s="294"/>
      <c r="AL128" s="284"/>
      <c r="AM128" s="421"/>
      <c r="AN128" s="422"/>
      <c r="AO128" s="697">
        <f t="shared" si="36"/>
        <v>1.0947999999999999E-3</v>
      </c>
      <c r="AP128" s="698">
        <f t="shared" si="37"/>
        <v>1.0947999999999999E-3</v>
      </c>
      <c r="AQ128" s="617">
        <v>2005</v>
      </c>
      <c r="AR128" s="432"/>
      <c r="AS128" s="696">
        <f>+K128/1000</f>
        <v>1.5640000000000001E-3</v>
      </c>
      <c r="AT128" s="399">
        <v>-0.3</v>
      </c>
      <c r="AU128" s="618">
        <f>AT128</f>
        <v>-0.3</v>
      </c>
      <c r="AV128" s="16"/>
      <c r="AW128" s="16"/>
      <c r="AX128" s="170"/>
      <c r="AY128" s="86"/>
      <c r="AZ128" s="272"/>
      <c r="BA128" s="31"/>
      <c r="BB128" s="31"/>
      <c r="BC128" s="155"/>
      <c r="BD128" s="341"/>
      <c r="BE128" s="208"/>
      <c r="BF128" s="16"/>
      <c r="BG128" s="170"/>
      <c r="BH128" s="86"/>
      <c r="BI128" s="272"/>
      <c r="BJ128" s="31"/>
      <c r="BK128" s="31"/>
      <c r="BL128" s="155"/>
      <c r="BM128" s="341"/>
      <c r="BN128" s="208"/>
      <c r="BO128" s="16"/>
      <c r="BP128" s="682">
        <f>BT128*(1+BU128)</f>
        <v>3.1279999999999996E-4</v>
      </c>
      <c r="BQ128" s="683">
        <f>BT128*(1+BV128)</f>
        <v>7.8200000000000071E-5</v>
      </c>
      <c r="BR128" s="427">
        <v>2005</v>
      </c>
      <c r="BS128" s="428"/>
      <c r="BT128" s="714">
        <f>+K128/1000</f>
        <v>1.5640000000000001E-3</v>
      </c>
      <c r="BU128" s="399">
        <v>-0.8</v>
      </c>
      <c r="BV128" s="618">
        <v>-0.95</v>
      </c>
      <c r="BW128" s="140"/>
      <c r="BX128" s="309"/>
      <c r="BY128" s="137"/>
    </row>
    <row r="129" spans="1:77" ht="15" customHeight="1" x14ac:dyDescent="0.2">
      <c r="A129" s="56" t="s">
        <v>9</v>
      </c>
      <c r="B129" s="107" t="s">
        <v>3211</v>
      </c>
      <c r="C129" s="637" t="s">
        <v>2152</v>
      </c>
      <c r="D129" s="544">
        <v>421.93900000000002</v>
      </c>
      <c r="E129" s="161" t="s">
        <v>392</v>
      </c>
      <c r="F129" s="602"/>
      <c r="G129" s="62"/>
      <c r="H129" s="61"/>
      <c r="I129" s="608">
        <v>2002</v>
      </c>
      <c r="J129" s="62"/>
      <c r="K129" s="63">
        <v>6.7752889999999999</v>
      </c>
      <c r="L129" s="74"/>
      <c r="M129" s="62"/>
      <c r="N129" s="357"/>
      <c r="O129" s="923">
        <v>2016</v>
      </c>
      <c r="P129" s="62"/>
      <c r="Q129" s="357">
        <v>5.462466</v>
      </c>
      <c r="R129" s="923"/>
      <c r="S129" s="62"/>
      <c r="T129" s="357"/>
      <c r="U129" s="62"/>
      <c r="V129" s="62"/>
      <c r="W129" s="89">
        <f t="shared" ref="W129" si="38">AA129*(1+AB129)</f>
        <v>5.4202312000000002E-3</v>
      </c>
      <c r="X129" s="87">
        <f t="shared" ref="X129" si="39">AA129*(1+AC129)</f>
        <v>5.4202312000000002E-3</v>
      </c>
      <c r="Y129" s="160">
        <v>2002</v>
      </c>
      <c r="Z129" s="21"/>
      <c r="AA129" s="21">
        <f>+K129/1000</f>
        <v>6.7752890000000003E-3</v>
      </c>
      <c r="AB129" s="399">
        <v>-0.2</v>
      </c>
      <c r="AC129" s="618">
        <f t="shared" ref="AC129" si="40">AB129</f>
        <v>-0.2</v>
      </c>
      <c r="AD129" s="16"/>
      <c r="AE129" s="16"/>
      <c r="AF129" s="170"/>
      <c r="AG129" s="86"/>
      <c r="AH129" s="272"/>
      <c r="AI129" s="31"/>
      <c r="AJ129" s="74"/>
      <c r="AK129" s="294"/>
      <c r="AL129" s="284"/>
      <c r="AM129" s="421"/>
      <c r="AN129" s="422"/>
      <c r="AO129" s="89">
        <f t="shared" si="36"/>
        <v>1.3656165E-3</v>
      </c>
      <c r="AP129" s="87">
        <f t="shared" si="37"/>
        <v>1.3656165E-3</v>
      </c>
      <c r="AQ129" s="160">
        <v>2007</v>
      </c>
      <c r="AR129" s="21"/>
      <c r="AS129" s="21">
        <f>+Q129/1000</f>
        <v>5.462466E-3</v>
      </c>
      <c r="AT129" s="399">
        <v>-0.75</v>
      </c>
      <c r="AU129" s="618">
        <f t="shared" ref="AU129" si="41">AT129</f>
        <v>-0.75</v>
      </c>
      <c r="AV129" s="16"/>
      <c r="AW129" s="16"/>
      <c r="AX129" s="171"/>
      <c r="AY129" s="172"/>
      <c r="AZ129" s="272"/>
      <c r="BA129" s="34"/>
      <c r="BB129" s="657"/>
      <c r="BC129" s="395"/>
      <c r="BD129" s="670"/>
      <c r="BE129" s="208"/>
      <c r="BF129" s="16"/>
      <c r="BG129" s="170"/>
      <c r="BH129" s="86"/>
      <c r="BI129" s="272"/>
      <c r="BJ129" s="31"/>
      <c r="BK129" s="31"/>
      <c r="BL129" s="155"/>
      <c r="BM129" s="341"/>
      <c r="BN129" s="208"/>
      <c r="BO129" s="16"/>
      <c r="BP129" s="677">
        <f>BT129*(1+BU129)</f>
        <v>0</v>
      </c>
      <c r="BQ129" s="678">
        <f>BT129*(1+BV129)</f>
        <v>0</v>
      </c>
      <c r="BR129" s="427">
        <v>2002</v>
      </c>
      <c r="BS129" s="428"/>
      <c r="BT129" s="714">
        <f>+Q129/1000</f>
        <v>5.462466E-3</v>
      </c>
      <c r="BU129" s="399">
        <v>-1</v>
      </c>
      <c r="BV129" s="618">
        <f>BU129</f>
        <v>-1</v>
      </c>
      <c r="BW129" s="140"/>
      <c r="BX129" s="309"/>
      <c r="BY129" s="137"/>
    </row>
    <row r="130" spans="1:77" ht="15" customHeight="1" x14ac:dyDescent="0.2">
      <c r="A130" s="56" t="s">
        <v>9</v>
      </c>
      <c r="B130" s="107" t="s">
        <v>395</v>
      </c>
      <c r="C130" s="637"/>
      <c r="D130" s="544">
        <v>12851</v>
      </c>
      <c r="E130" s="161" t="s">
        <v>2561</v>
      </c>
      <c r="F130" s="602"/>
      <c r="G130" s="62"/>
      <c r="H130" s="61">
        <v>181</v>
      </c>
      <c r="I130" s="608"/>
      <c r="J130" s="62"/>
      <c r="K130" s="62">
        <v>204</v>
      </c>
      <c r="L130" s="74"/>
      <c r="M130" s="62"/>
      <c r="N130" s="355">
        <v>175</v>
      </c>
      <c r="O130" s="923"/>
      <c r="P130" s="62"/>
      <c r="Q130" s="355">
        <v>166</v>
      </c>
      <c r="R130" s="923"/>
      <c r="S130" s="62"/>
      <c r="T130" s="355"/>
      <c r="U130" s="62"/>
      <c r="V130" s="62"/>
      <c r="W130" s="23">
        <f t="shared" si="27"/>
        <v>0.15384999999999999</v>
      </c>
      <c r="X130" s="24">
        <f t="shared" si="28"/>
        <v>0.15384999999999999</v>
      </c>
      <c r="Y130" s="160">
        <v>1990</v>
      </c>
      <c r="Z130" s="21"/>
      <c r="AA130" s="19">
        <f>+H130/1000</f>
        <v>0.18099999999999999</v>
      </c>
      <c r="AB130" s="399">
        <v>-0.15</v>
      </c>
      <c r="AC130" s="618">
        <f t="shared" si="29"/>
        <v>-0.15</v>
      </c>
      <c r="AD130" s="16"/>
      <c r="AE130" s="16"/>
      <c r="AF130" s="1063"/>
      <c r="AG130" s="968"/>
      <c r="AH130" s="640"/>
      <c r="AI130" s="746"/>
      <c r="AJ130" s="158"/>
      <c r="AK130" s="399"/>
      <c r="AL130" s="747"/>
      <c r="AM130" s="421"/>
      <c r="AN130" s="422"/>
      <c r="AO130" s="615">
        <f t="shared" si="36"/>
        <v>0.11402999999999999</v>
      </c>
      <c r="AP130" s="616">
        <f t="shared" si="37"/>
        <v>0.11402999999999999</v>
      </c>
      <c r="AQ130" s="617">
        <v>1990</v>
      </c>
      <c r="AR130" s="432"/>
      <c r="AS130" s="679">
        <f>+H130/1000</f>
        <v>0.18099999999999999</v>
      </c>
      <c r="AT130" s="399">
        <v>-0.37</v>
      </c>
      <c r="AU130" s="618">
        <f>AT130</f>
        <v>-0.37</v>
      </c>
      <c r="AV130" s="16"/>
      <c r="AW130" s="16"/>
      <c r="AX130" s="170"/>
      <c r="AY130" s="86"/>
      <c r="AZ130" s="272"/>
      <c r="BA130" s="31"/>
      <c r="BB130" s="31"/>
      <c r="BC130" s="155"/>
      <c r="BD130" s="341"/>
      <c r="BE130" s="208"/>
      <c r="BF130" s="16"/>
      <c r="BG130" s="170"/>
      <c r="BH130" s="86"/>
      <c r="BI130" s="272"/>
      <c r="BJ130" s="31"/>
      <c r="BK130" s="31"/>
      <c r="BL130" s="155"/>
      <c r="BM130" s="341"/>
      <c r="BN130" s="208"/>
      <c r="BO130" s="16"/>
      <c r="BP130" s="677">
        <f>BS130*(1+BU130)</f>
        <v>3.6199999999999989E-2</v>
      </c>
      <c r="BQ130" s="678">
        <f>BS130*(1+BV130)</f>
        <v>3.6199999999999989E-2</v>
      </c>
      <c r="BR130" s="427">
        <v>1990</v>
      </c>
      <c r="BS130" s="428">
        <f>H130/1000</f>
        <v>0.18099999999999999</v>
      </c>
      <c r="BT130" s="48"/>
      <c r="BU130" s="399">
        <v>-0.8</v>
      </c>
      <c r="BV130" s="618">
        <f>BU130</f>
        <v>-0.8</v>
      </c>
      <c r="BW130" s="140"/>
      <c r="BX130" s="309"/>
      <c r="BY130" s="137"/>
    </row>
    <row r="131" spans="1:77" ht="15" customHeight="1" x14ac:dyDescent="0.2">
      <c r="A131" s="56" t="s">
        <v>9</v>
      </c>
      <c r="B131" s="107" t="s">
        <v>477</v>
      </c>
      <c r="C131" s="637" t="s">
        <v>400</v>
      </c>
      <c r="D131" s="544">
        <v>2919.971</v>
      </c>
      <c r="E131" s="161" t="s">
        <v>2232</v>
      </c>
      <c r="F131" s="602"/>
      <c r="G131" s="62"/>
      <c r="H131" s="61">
        <v>27.051617</v>
      </c>
      <c r="I131" s="608"/>
      <c r="J131" s="62"/>
      <c r="K131" s="62"/>
      <c r="L131" s="74">
        <v>2011</v>
      </c>
      <c r="M131" s="62"/>
      <c r="N131" s="355">
        <v>20.662821409999999</v>
      </c>
      <c r="O131" s="923">
        <v>2016</v>
      </c>
      <c r="P131" s="62"/>
      <c r="Q131" s="355">
        <v>18.320965999999999</v>
      </c>
      <c r="R131" s="923">
        <v>2016</v>
      </c>
      <c r="S131" s="62"/>
      <c r="T131" s="355">
        <v>18.320965999999999</v>
      </c>
      <c r="U131" s="62"/>
      <c r="V131" s="62"/>
      <c r="W131" s="1160">
        <f t="shared" si="27"/>
        <v>1.89361319E-2</v>
      </c>
      <c r="X131" s="1161">
        <f t="shared" si="28"/>
        <v>1.89361319E-2</v>
      </c>
      <c r="Y131" s="160">
        <v>1990</v>
      </c>
      <c r="Z131" s="21"/>
      <c r="AA131" s="21">
        <f>+H131/1000</f>
        <v>2.7051617E-2</v>
      </c>
      <c r="AB131" s="1162">
        <v>-0.3</v>
      </c>
      <c r="AC131" s="1163">
        <f t="shared" si="29"/>
        <v>-0.3</v>
      </c>
      <c r="AD131" s="16"/>
      <c r="AE131" s="16"/>
      <c r="AF131" s="615"/>
      <c r="AG131" s="616"/>
      <c r="AH131" s="640"/>
      <c r="AI131" s="746"/>
      <c r="AJ131" s="714"/>
      <c r="AK131" s="399"/>
      <c r="AL131" s="747"/>
      <c r="AM131" s="421"/>
      <c r="AN131" s="422"/>
      <c r="AO131" s="619">
        <f t="shared" si="36"/>
        <v>9.46806595E-3</v>
      </c>
      <c r="AP131" s="620">
        <f t="shared" si="37"/>
        <v>9.46806595E-3</v>
      </c>
      <c r="AQ131" s="617">
        <v>1990</v>
      </c>
      <c r="AR131" s="432"/>
      <c r="AS131" s="679">
        <f>+H131/1000</f>
        <v>2.7051617E-2</v>
      </c>
      <c r="AT131" s="399">
        <v>-0.65</v>
      </c>
      <c r="AU131" s="618">
        <f>AT131</f>
        <v>-0.65</v>
      </c>
      <c r="AV131" s="16"/>
      <c r="AW131" s="16"/>
      <c r="AX131" s="170"/>
      <c r="AY131" s="86"/>
      <c r="AZ131" s="272"/>
      <c r="BA131" s="31"/>
      <c r="BB131" s="31"/>
      <c r="BC131" s="155"/>
      <c r="BD131" s="341"/>
      <c r="BE131" s="208"/>
      <c r="BF131" s="16"/>
      <c r="BG131" s="170"/>
      <c r="BH131" s="86"/>
      <c r="BI131" s="272"/>
      <c r="BJ131" s="31"/>
      <c r="BK131" s="31"/>
      <c r="BL131" s="155"/>
      <c r="BM131" s="341"/>
      <c r="BN131" s="208"/>
      <c r="BO131" s="16"/>
      <c r="BP131" s="682">
        <f>BS131*(1+BU131)</f>
        <v>0</v>
      </c>
      <c r="BQ131" s="683">
        <f>BS131*(1+BV131)</f>
        <v>0</v>
      </c>
      <c r="BR131" s="427">
        <v>1990</v>
      </c>
      <c r="BS131" s="428">
        <f>H131/1000</f>
        <v>2.7051617E-2</v>
      </c>
      <c r="BT131" s="48"/>
      <c r="BU131" s="399">
        <v>-1</v>
      </c>
      <c r="BV131" s="618">
        <f t="shared" ref="BV131" si="42">BU131</f>
        <v>-1</v>
      </c>
      <c r="BW131" s="140"/>
      <c r="BX131" s="309"/>
      <c r="BY131" s="137"/>
    </row>
    <row r="132" spans="1:77" ht="15" customHeight="1" x14ac:dyDescent="0.2">
      <c r="A132" s="56" t="s">
        <v>9</v>
      </c>
      <c r="B132" s="107" t="s">
        <v>477</v>
      </c>
      <c r="C132" s="637" t="s">
        <v>2527</v>
      </c>
      <c r="D132" s="544">
        <v>991.42899999999997</v>
      </c>
      <c r="E132" s="161" t="s">
        <v>387</v>
      </c>
      <c r="F132" s="602"/>
      <c r="G132" s="62"/>
      <c r="H132" s="61"/>
      <c r="I132" s="608"/>
      <c r="J132" s="62"/>
      <c r="K132" s="62"/>
      <c r="L132" s="74">
        <v>2012</v>
      </c>
      <c r="M132" s="62"/>
      <c r="N132" s="355">
        <v>6.907</v>
      </c>
      <c r="O132" s="923"/>
      <c r="P132" s="62"/>
      <c r="Q132" s="355"/>
      <c r="R132" s="923"/>
      <c r="S132" s="62"/>
      <c r="T132" s="355"/>
      <c r="U132" s="62"/>
      <c r="V132" s="62"/>
      <c r="W132" s="89"/>
      <c r="X132" s="87"/>
      <c r="Y132" s="160"/>
      <c r="Z132" s="21"/>
      <c r="AA132" s="21"/>
      <c r="AB132" s="399"/>
      <c r="AC132" s="618"/>
      <c r="AD132" s="16"/>
      <c r="AE132" s="16"/>
      <c r="AF132" s="619">
        <f>AJ132*(1+AK132)</f>
        <v>3.9369900000000005E-3</v>
      </c>
      <c r="AG132" s="620">
        <f>AJ132*(1+AL132)</f>
        <v>3.9369900000000005E-3</v>
      </c>
      <c r="AH132" s="640">
        <v>2012</v>
      </c>
      <c r="AI132" s="746"/>
      <c r="AJ132" s="641">
        <f>N132/1000</f>
        <v>6.9069999999999999E-3</v>
      </c>
      <c r="AK132" s="399">
        <v>-0.43</v>
      </c>
      <c r="AL132" s="747">
        <f>AK132</f>
        <v>-0.43</v>
      </c>
      <c r="AM132" s="421"/>
      <c r="AN132" s="422"/>
      <c r="AO132" s="619">
        <f t="shared" si="36"/>
        <v>2.2102399999999996E-3</v>
      </c>
      <c r="AP132" s="620">
        <f t="shared" si="37"/>
        <v>2.2102399999999996E-3</v>
      </c>
      <c r="AQ132" s="617">
        <v>1990</v>
      </c>
      <c r="AR132" s="432"/>
      <c r="AS132" s="679">
        <f>+N132/1000</f>
        <v>6.9069999999999999E-3</v>
      </c>
      <c r="AT132" s="399">
        <v>-0.68</v>
      </c>
      <c r="AU132" s="618">
        <f>AT132</f>
        <v>-0.68</v>
      </c>
      <c r="AV132" s="16"/>
      <c r="AW132" s="16"/>
      <c r="AX132" s="170"/>
      <c r="AY132" s="86"/>
      <c r="AZ132" s="272"/>
      <c r="BA132" s="31"/>
      <c r="BB132" s="31"/>
      <c r="BC132" s="155"/>
      <c r="BD132" s="341"/>
      <c r="BE132" s="208"/>
      <c r="BF132" s="16"/>
      <c r="BG132" s="619">
        <f>BK132*(1+BL132)</f>
        <v>2.7628000000000022E-4</v>
      </c>
      <c r="BH132" s="620">
        <f>BK132*(1+BM132)</f>
        <v>2.7628000000000022E-4</v>
      </c>
      <c r="BI132" s="617">
        <v>2008</v>
      </c>
      <c r="BJ132" s="642"/>
      <c r="BK132" s="650">
        <f>+N132/1000</f>
        <v>6.9069999999999999E-3</v>
      </c>
      <c r="BL132" s="399">
        <v>-0.96</v>
      </c>
      <c r="BM132" s="652">
        <f>BL132</f>
        <v>-0.96</v>
      </c>
      <c r="BN132" s="208"/>
      <c r="BO132" s="16"/>
      <c r="BP132" s="677">
        <f>BS132*(1+BU132)</f>
        <v>0</v>
      </c>
      <c r="BQ132" s="678">
        <f>BS132*(1+BV132)</f>
        <v>0</v>
      </c>
      <c r="BR132" s="427">
        <v>2012</v>
      </c>
      <c r="BS132" s="428">
        <f>N132/1000</f>
        <v>6.9069999999999999E-3</v>
      </c>
      <c r="BT132" s="48"/>
      <c r="BU132" s="399">
        <v>-1</v>
      </c>
      <c r="BV132" s="618">
        <f>BU132</f>
        <v>-1</v>
      </c>
      <c r="BW132" s="140"/>
      <c r="BX132" s="309"/>
      <c r="BY132" s="137"/>
    </row>
    <row r="133" spans="1:77" ht="15" customHeight="1" x14ac:dyDescent="0.2">
      <c r="A133" s="56" t="s">
        <v>9</v>
      </c>
      <c r="B133" s="107" t="s">
        <v>477</v>
      </c>
      <c r="C133" s="637" t="s">
        <v>401</v>
      </c>
      <c r="D133" s="544">
        <v>119.7</v>
      </c>
      <c r="E133" s="161" t="s">
        <v>2794</v>
      </c>
      <c r="F133" s="602"/>
      <c r="G133" s="62"/>
      <c r="H133" s="61"/>
      <c r="I133" s="608"/>
      <c r="J133" s="62"/>
      <c r="K133" s="63">
        <v>0.52161999999999997</v>
      </c>
      <c r="L133" s="74"/>
      <c r="M133" s="62"/>
      <c r="N133" s="355"/>
      <c r="O133" s="923">
        <v>2016</v>
      </c>
      <c r="P133" s="62"/>
      <c r="Q133" s="357">
        <v>0.53883599999999998</v>
      </c>
      <c r="R133" s="923">
        <v>2016</v>
      </c>
      <c r="S133" s="62"/>
      <c r="T133" s="357">
        <v>0.53883599999999998</v>
      </c>
      <c r="U133" s="62"/>
      <c r="V133" s="62"/>
      <c r="W133" s="674">
        <f t="shared" ref="W133:W145" si="43">AA133*(1+AB133)</f>
        <v>4.9032279999999991E-4</v>
      </c>
      <c r="X133" s="675">
        <f t="shared" ref="X133:X145" si="44">AA133*(1+AC133)</f>
        <v>4.9032279999999991E-4</v>
      </c>
      <c r="Y133" s="160">
        <v>2005</v>
      </c>
      <c r="Z133" s="21"/>
      <c r="AA133" s="699">
        <f>+K133/1000</f>
        <v>5.2161999999999998E-4</v>
      </c>
      <c r="AB133" s="399">
        <v>-0.06</v>
      </c>
      <c r="AC133" s="618">
        <f t="shared" ref="AC133:AC145" si="45">AB133</f>
        <v>-0.06</v>
      </c>
      <c r="AD133" s="16"/>
      <c r="AE133" s="16"/>
      <c r="AF133" s="170"/>
      <c r="AG133" s="86"/>
      <c r="AH133" s="272"/>
      <c r="AI133" s="31"/>
      <c r="AJ133" s="74"/>
      <c r="AK133" s="294"/>
      <c r="AL133" s="284"/>
      <c r="AM133" s="421"/>
      <c r="AN133" s="422"/>
      <c r="AO133" s="615"/>
      <c r="AP133" s="616"/>
      <c r="AQ133" s="617"/>
      <c r="AR133" s="432"/>
      <c r="AS133" s="679"/>
      <c r="AT133" s="399"/>
      <c r="AU133" s="618"/>
      <c r="AV133" s="16"/>
      <c r="AW133" s="16"/>
      <c r="AX133" s="170"/>
      <c r="AY133" s="86"/>
      <c r="AZ133" s="272"/>
      <c r="BA133" s="31"/>
      <c r="BB133" s="31"/>
      <c r="BC133" s="155"/>
      <c r="BD133" s="341"/>
      <c r="BE133" s="208"/>
      <c r="BF133" s="16"/>
      <c r="BG133" s="170"/>
      <c r="BH133" s="86"/>
      <c r="BI133" s="272"/>
      <c r="BJ133" s="31"/>
      <c r="BK133" s="31"/>
      <c r="BL133" s="155"/>
      <c r="BM133" s="341"/>
      <c r="BN133" s="208"/>
      <c r="BO133" s="16"/>
      <c r="BP133" s="677"/>
      <c r="BQ133" s="678"/>
      <c r="BR133" s="427"/>
      <c r="BS133" s="428"/>
      <c r="BT133" s="48"/>
      <c r="BU133" s="399"/>
      <c r="BV133" s="618"/>
      <c r="BW133" s="140"/>
      <c r="BX133" s="309"/>
      <c r="BY133" s="137"/>
    </row>
    <row r="134" spans="1:77" ht="15" customHeight="1" x14ac:dyDescent="0.2">
      <c r="A134" s="56" t="s">
        <v>9</v>
      </c>
      <c r="B134" s="107" t="s">
        <v>477</v>
      </c>
      <c r="C134" s="637" t="s">
        <v>2229</v>
      </c>
      <c r="D134" s="544">
        <v>572.57500000000005</v>
      </c>
      <c r="E134" s="161" t="s">
        <v>387</v>
      </c>
      <c r="F134" s="602"/>
      <c r="G134" s="62"/>
      <c r="H134" s="61"/>
      <c r="I134" s="608">
        <v>2006</v>
      </c>
      <c r="J134" s="62"/>
      <c r="K134" s="63">
        <v>23.087326000000001</v>
      </c>
      <c r="L134" s="74">
        <v>2011</v>
      </c>
      <c r="M134" s="62"/>
      <c r="N134" s="355">
        <f>K134*0.8</f>
        <v>18.469860800000003</v>
      </c>
      <c r="O134" s="923">
        <v>2016</v>
      </c>
      <c r="P134" s="62"/>
      <c r="Q134" s="355">
        <v>16.469283000000001</v>
      </c>
      <c r="R134" s="923">
        <v>2016</v>
      </c>
      <c r="S134" s="62"/>
      <c r="T134" s="355">
        <v>16.469283000000001</v>
      </c>
      <c r="U134" s="62"/>
      <c r="V134" s="62"/>
      <c r="W134" s="1160">
        <f t="shared" ref="W134" si="46">AA134*(1+AB134)</f>
        <v>1.8469860800000001E-2</v>
      </c>
      <c r="X134" s="1161">
        <f t="shared" ref="X134" si="47">AA134*(1+AC134)</f>
        <v>1.8469860800000001E-2</v>
      </c>
      <c r="Y134" s="160">
        <v>2006</v>
      </c>
      <c r="Z134" s="21"/>
      <c r="AA134" s="21">
        <f>+K134/1000</f>
        <v>2.3087326000000002E-2</v>
      </c>
      <c r="AB134" s="1162">
        <v>-0.2</v>
      </c>
      <c r="AC134" s="1163">
        <f t="shared" ref="AC134" si="48">AB134</f>
        <v>-0.2</v>
      </c>
      <c r="AD134" s="16"/>
      <c r="AE134" s="16"/>
      <c r="AF134" s="170"/>
      <c r="AG134" s="86"/>
      <c r="AH134" s="272"/>
      <c r="AI134" s="31"/>
      <c r="AJ134" s="74"/>
      <c r="AK134" s="294"/>
      <c r="AL134" s="284"/>
      <c r="AM134" s="421"/>
      <c r="AN134" s="422"/>
      <c r="AO134" s="619">
        <f>AS134*(1+AT134)</f>
        <v>1.1543663000000001E-2</v>
      </c>
      <c r="AP134" s="620">
        <f>AS134*(1+AU134)</f>
        <v>1.1543663000000001E-2</v>
      </c>
      <c r="AQ134" s="617">
        <v>2006</v>
      </c>
      <c r="AR134" s="432"/>
      <c r="AS134" s="621">
        <f>+K134/1000</f>
        <v>2.3087326000000002E-2</v>
      </c>
      <c r="AT134" s="399">
        <v>-0.5</v>
      </c>
      <c r="AU134" s="618">
        <f>AT134</f>
        <v>-0.5</v>
      </c>
      <c r="AV134" s="16"/>
      <c r="AW134" s="16"/>
      <c r="AX134" s="170"/>
      <c r="AY134" s="86"/>
      <c r="AZ134" s="272"/>
      <c r="BA134" s="31"/>
      <c r="BB134" s="31"/>
      <c r="BC134" s="155"/>
      <c r="BD134" s="341"/>
      <c r="BE134" s="208"/>
      <c r="BF134" s="16"/>
      <c r="BG134" s="170"/>
      <c r="BH134" s="86"/>
      <c r="BI134" s="272"/>
      <c r="BJ134" s="31"/>
      <c r="BK134" s="31"/>
      <c r="BL134" s="155"/>
      <c r="BM134" s="341"/>
      <c r="BN134" s="208"/>
      <c r="BO134" s="16"/>
      <c r="BP134" s="677">
        <f t="shared" ref="BP134:BP139" si="49">BT134*(1+BU134)</f>
        <v>0</v>
      </c>
      <c r="BQ134" s="678">
        <f t="shared" ref="BQ134:BQ139" si="50">BT134*(1+BV134)</f>
        <v>0</v>
      </c>
      <c r="BR134" s="427">
        <v>2006</v>
      </c>
      <c r="BS134" s="428"/>
      <c r="BT134" s="714">
        <f>+K134/1000</f>
        <v>2.3087326000000002E-2</v>
      </c>
      <c r="BU134" s="399">
        <v>-1</v>
      </c>
      <c r="BV134" s="618">
        <f t="shared" ref="BV134:BV139" si="51">BU134</f>
        <v>-1</v>
      </c>
      <c r="BW134" s="140"/>
      <c r="BX134" s="309"/>
      <c r="BY134" s="137"/>
    </row>
    <row r="135" spans="1:77" ht="15" customHeight="1" x14ac:dyDescent="0.2">
      <c r="A135" s="56" t="s">
        <v>9</v>
      </c>
      <c r="B135" s="107" t="s">
        <v>477</v>
      </c>
      <c r="C135" s="637" t="s">
        <v>2796</v>
      </c>
      <c r="D135" s="544">
        <v>131.79400000000001</v>
      </c>
      <c r="E135" s="161" t="s">
        <v>387</v>
      </c>
      <c r="F135" s="602"/>
      <c r="G135" s="62"/>
      <c r="H135" s="61"/>
      <c r="I135" s="608"/>
      <c r="J135" s="62"/>
      <c r="K135" s="63"/>
      <c r="L135" s="74"/>
      <c r="M135" s="62"/>
      <c r="N135" s="355"/>
      <c r="O135" s="923">
        <v>2016</v>
      </c>
      <c r="P135" s="62"/>
      <c r="Q135" s="355">
        <v>1.156679</v>
      </c>
      <c r="R135" s="923">
        <v>2016</v>
      </c>
      <c r="S135" s="62"/>
      <c r="T135" s="355">
        <v>1.156679</v>
      </c>
      <c r="U135" s="62"/>
      <c r="V135" s="62"/>
      <c r="W135" s="633"/>
      <c r="X135" s="634"/>
      <c r="Y135" s="1235"/>
      <c r="Z135" s="1236"/>
      <c r="AA135" s="1236"/>
      <c r="AB135" s="1172"/>
      <c r="AC135" s="1173"/>
      <c r="AD135" s="16"/>
      <c r="AE135" s="16"/>
      <c r="AF135" s="170"/>
      <c r="AG135" s="86"/>
      <c r="AH135" s="272"/>
      <c r="AI135" s="31"/>
      <c r="AJ135" s="74"/>
      <c r="AK135" s="294"/>
      <c r="AL135" s="284"/>
      <c r="AM135" s="421"/>
      <c r="AN135" s="422"/>
      <c r="AO135" s="619"/>
      <c r="AP135" s="620"/>
      <c r="AQ135" s="617"/>
      <c r="AR135" s="432"/>
      <c r="AS135" s="621"/>
      <c r="AT135" s="399"/>
      <c r="AU135" s="618"/>
      <c r="AV135" s="16"/>
      <c r="AW135" s="16"/>
      <c r="AX135" s="170"/>
      <c r="AY135" s="86"/>
      <c r="AZ135" s="272"/>
      <c r="BA135" s="31"/>
      <c r="BB135" s="31"/>
      <c r="BC135" s="155"/>
      <c r="BD135" s="341"/>
      <c r="BE135" s="208"/>
      <c r="BF135" s="16"/>
      <c r="BG135" s="170"/>
      <c r="BH135" s="86"/>
      <c r="BI135" s="272"/>
      <c r="BJ135" s="31"/>
      <c r="BK135" s="31"/>
      <c r="BL135" s="155"/>
      <c r="BM135" s="341"/>
      <c r="BN135" s="208"/>
      <c r="BO135" s="16"/>
      <c r="BP135" s="677">
        <f t="shared" si="49"/>
        <v>0</v>
      </c>
      <c r="BQ135" s="678">
        <f t="shared" si="50"/>
        <v>0</v>
      </c>
      <c r="BR135" s="427">
        <v>2016</v>
      </c>
      <c r="BS135" s="428"/>
      <c r="BT135" s="641">
        <f>+Q135/1000</f>
        <v>1.1566790000000001E-3</v>
      </c>
      <c r="BU135" s="399">
        <v>-1</v>
      </c>
      <c r="BV135" s="618">
        <f t="shared" si="51"/>
        <v>-1</v>
      </c>
      <c r="BW135" s="140"/>
      <c r="BX135" s="309"/>
      <c r="BY135" s="137"/>
    </row>
    <row r="136" spans="1:77" ht="15" customHeight="1" x14ac:dyDescent="0.2">
      <c r="A136" s="56" t="s">
        <v>9</v>
      </c>
      <c r="B136" s="107" t="s">
        <v>477</v>
      </c>
      <c r="C136" s="637" t="s">
        <v>3159</v>
      </c>
      <c r="D136" s="544">
        <v>246.7</v>
      </c>
      <c r="E136" s="161" t="s">
        <v>387</v>
      </c>
      <c r="F136" s="602"/>
      <c r="G136" s="62"/>
      <c r="H136" s="61"/>
      <c r="I136" s="608"/>
      <c r="J136" s="62"/>
      <c r="K136" s="63"/>
      <c r="L136" s="74"/>
      <c r="M136" s="62"/>
      <c r="N136" s="355">
        <v>4.5999999999999996</v>
      </c>
      <c r="O136" s="923"/>
      <c r="P136" s="62"/>
      <c r="Q136" s="355"/>
      <c r="R136" s="923"/>
      <c r="S136" s="62"/>
      <c r="T136" s="355"/>
      <c r="U136" s="62"/>
      <c r="V136" s="62"/>
      <c r="W136" s="633"/>
      <c r="X136" s="634"/>
      <c r="Y136" s="1235"/>
      <c r="Z136" s="1236"/>
      <c r="AA136" s="1236"/>
      <c r="AB136" s="1172"/>
      <c r="AC136" s="1173"/>
      <c r="AD136" s="16"/>
      <c r="AE136" s="16"/>
      <c r="AF136" s="170"/>
      <c r="AG136" s="86"/>
      <c r="AH136" s="272"/>
      <c r="AI136" s="31"/>
      <c r="AJ136" s="74"/>
      <c r="AK136" s="294"/>
      <c r="AL136" s="284"/>
      <c r="AM136" s="421"/>
      <c r="AN136" s="422"/>
      <c r="AO136" s="619"/>
      <c r="AP136" s="620"/>
      <c r="AQ136" s="617"/>
      <c r="AR136" s="432"/>
      <c r="AS136" s="621"/>
      <c r="AT136" s="399"/>
      <c r="AU136" s="618"/>
      <c r="AV136" s="16"/>
      <c r="AW136" s="16"/>
      <c r="AX136" s="170"/>
      <c r="AY136" s="86"/>
      <c r="AZ136" s="272"/>
      <c r="BA136" s="31"/>
      <c r="BB136" s="31"/>
      <c r="BC136" s="155"/>
      <c r="BD136" s="341"/>
      <c r="BE136" s="208"/>
      <c r="BF136" s="16"/>
      <c r="BG136" s="170"/>
      <c r="BH136" s="86"/>
      <c r="BI136" s="272"/>
      <c r="BJ136" s="31"/>
      <c r="BK136" s="31"/>
      <c r="BL136" s="155"/>
      <c r="BM136" s="341"/>
      <c r="BN136" s="208"/>
      <c r="BO136" s="16"/>
      <c r="BP136" s="677">
        <f t="shared" si="49"/>
        <v>9.1999999999999981E-4</v>
      </c>
      <c r="BQ136" s="678">
        <f t="shared" si="50"/>
        <v>9.1999999999999981E-4</v>
      </c>
      <c r="BR136" s="427">
        <v>2010</v>
      </c>
      <c r="BS136" s="428"/>
      <c r="BT136" s="641">
        <f>+N136/1000</f>
        <v>4.5999999999999999E-3</v>
      </c>
      <c r="BU136" s="399">
        <v>-0.8</v>
      </c>
      <c r="BV136" s="618">
        <f t="shared" si="51"/>
        <v>-0.8</v>
      </c>
      <c r="BW136" s="140"/>
      <c r="BX136" s="309"/>
      <c r="BY136" s="137"/>
    </row>
    <row r="137" spans="1:77" ht="15" customHeight="1" x14ac:dyDescent="0.2">
      <c r="A137" s="56" t="s">
        <v>9</v>
      </c>
      <c r="B137" s="107" t="s">
        <v>477</v>
      </c>
      <c r="C137" s="637" t="s">
        <v>2199</v>
      </c>
      <c r="D137" s="544">
        <v>401</v>
      </c>
      <c r="E137" s="161" t="s">
        <v>387</v>
      </c>
      <c r="F137" s="602"/>
      <c r="G137" s="62"/>
      <c r="H137" s="61">
        <v>3.44</v>
      </c>
      <c r="I137" s="608"/>
      <c r="J137" s="62"/>
      <c r="K137" s="63"/>
      <c r="L137" s="74"/>
      <c r="M137" s="62"/>
      <c r="N137" s="355"/>
      <c r="O137" s="923">
        <v>2014</v>
      </c>
      <c r="P137" s="62"/>
      <c r="Q137" s="355">
        <v>3.16</v>
      </c>
      <c r="R137" s="923"/>
      <c r="S137" s="62"/>
      <c r="T137" s="355"/>
      <c r="U137" s="62"/>
      <c r="V137" s="62"/>
      <c r="W137" s="89">
        <f t="shared" ref="W137" si="52">AA137*(1+AB137)</f>
        <v>2.9239999999999999E-3</v>
      </c>
      <c r="X137" s="87">
        <f t="shared" ref="X137" si="53">AA137*(1+AC137)</f>
        <v>2.9239999999999999E-3</v>
      </c>
      <c r="Y137" s="160">
        <v>1990</v>
      </c>
      <c r="Z137" s="21"/>
      <c r="AA137" s="21">
        <f>+H137/1000</f>
        <v>3.4399999999999999E-3</v>
      </c>
      <c r="AB137" s="399">
        <v>-0.15</v>
      </c>
      <c r="AC137" s="618">
        <f t="shared" ref="AC137" si="54">AB137</f>
        <v>-0.15</v>
      </c>
      <c r="AD137" s="16"/>
      <c r="AE137" s="16"/>
      <c r="AF137" s="170"/>
      <c r="AG137" s="86"/>
      <c r="AH137" s="272"/>
      <c r="AI137" s="31"/>
      <c r="AJ137" s="74"/>
      <c r="AK137" s="294"/>
      <c r="AL137" s="284"/>
      <c r="AM137" s="421"/>
      <c r="AN137" s="422"/>
      <c r="AO137" s="619">
        <f>AS137*(1+AT137)</f>
        <v>2.1671999999999998E-3</v>
      </c>
      <c r="AP137" s="620">
        <f>AS137*(1+AU137)</f>
        <v>2.1671999999999998E-3</v>
      </c>
      <c r="AQ137" s="617">
        <v>1990</v>
      </c>
      <c r="AR137" s="432"/>
      <c r="AS137" s="621">
        <f>+H137/1000</f>
        <v>3.4399999999999999E-3</v>
      </c>
      <c r="AT137" s="399">
        <v>-0.37</v>
      </c>
      <c r="AU137" s="618">
        <f>AT137</f>
        <v>-0.37</v>
      </c>
      <c r="AV137" s="16"/>
      <c r="AW137" s="16"/>
      <c r="AX137" s="170"/>
      <c r="AY137" s="86"/>
      <c r="AZ137" s="272"/>
      <c r="BA137" s="31"/>
      <c r="BB137" s="31"/>
      <c r="BC137" s="155"/>
      <c r="BD137" s="341"/>
      <c r="BE137" s="208"/>
      <c r="BF137" s="16"/>
      <c r="BG137" s="170"/>
      <c r="BH137" s="86"/>
      <c r="BI137" s="272"/>
      <c r="BJ137" s="31"/>
      <c r="BK137" s="31"/>
      <c r="BL137" s="155"/>
      <c r="BM137" s="341"/>
      <c r="BN137" s="208"/>
      <c r="BO137" s="16"/>
      <c r="BP137" s="677">
        <f t="shared" si="49"/>
        <v>0</v>
      </c>
      <c r="BQ137" s="678">
        <f t="shared" si="50"/>
        <v>0</v>
      </c>
      <c r="BR137" s="427">
        <v>2005</v>
      </c>
      <c r="BS137" s="428"/>
      <c r="BT137" s="714">
        <f>+H137/1000</f>
        <v>3.4399999999999999E-3</v>
      </c>
      <c r="BU137" s="399">
        <v>-1</v>
      </c>
      <c r="BV137" s="618">
        <f t="shared" si="51"/>
        <v>-1</v>
      </c>
      <c r="BW137" s="140"/>
      <c r="BX137" s="309" t="s">
        <v>2200</v>
      </c>
      <c r="BY137" s="137"/>
    </row>
    <row r="138" spans="1:77" ht="15" customHeight="1" x14ac:dyDescent="0.2">
      <c r="A138" s="56" t="s">
        <v>9</v>
      </c>
      <c r="B138" s="107" t="s">
        <v>477</v>
      </c>
      <c r="C138" s="637" t="s">
        <v>2797</v>
      </c>
      <c r="D138" s="544">
        <v>721.59900000000005</v>
      </c>
      <c r="E138" s="161" t="s">
        <v>387</v>
      </c>
      <c r="F138" s="602"/>
      <c r="G138" s="62"/>
      <c r="H138" s="61">
        <v>7.5495080000000003</v>
      </c>
      <c r="I138" s="608"/>
      <c r="J138" s="62"/>
      <c r="K138" s="63"/>
      <c r="L138" s="74"/>
      <c r="M138" s="62"/>
      <c r="N138" s="355"/>
      <c r="O138" s="923"/>
      <c r="P138" s="62"/>
      <c r="Q138" s="355"/>
      <c r="R138" s="923"/>
      <c r="S138" s="62"/>
      <c r="T138" s="355"/>
      <c r="U138" s="62"/>
      <c r="V138" s="62"/>
      <c r="W138" s="89"/>
      <c r="X138" s="87"/>
      <c r="Y138" s="160"/>
      <c r="Z138" s="21"/>
      <c r="AA138" s="21"/>
      <c r="AB138" s="399"/>
      <c r="AC138" s="618"/>
      <c r="AD138" s="16"/>
      <c r="AE138" s="16"/>
      <c r="AF138" s="170"/>
      <c r="AG138" s="86"/>
      <c r="AH138" s="272"/>
      <c r="AI138" s="31"/>
      <c r="AJ138" s="74"/>
      <c r="AK138" s="294"/>
      <c r="AL138" s="284"/>
      <c r="AM138" s="421"/>
      <c r="AN138" s="422"/>
      <c r="AO138" s="619"/>
      <c r="AP138" s="620"/>
      <c r="AQ138" s="617"/>
      <c r="AR138" s="432"/>
      <c r="AS138" s="621"/>
      <c r="AT138" s="399"/>
      <c r="AU138" s="618"/>
      <c r="AV138" s="16"/>
      <c r="AW138" s="16"/>
      <c r="AX138" s="170"/>
      <c r="AY138" s="86"/>
      <c r="AZ138" s="272"/>
      <c r="BA138" s="31"/>
      <c r="BB138" s="31"/>
      <c r="BC138" s="155"/>
      <c r="BD138" s="341"/>
      <c r="BE138" s="208"/>
      <c r="BF138" s="16"/>
      <c r="BG138" s="170"/>
      <c r="BH138" s="86"/>
      <c r="BI138" s="272"/>
      <c r="BJ138" s="31"/>
      <c r="BK138" s="31"/>
      <c r="BL138" s="155"/>
      <c r="BM138" s="341"/>
      <c r="BN138" s="208"/>
      <c r="BO138" s="16"/>
      <c r="BP138" s="677">
        <f t="shared" si="49"/>
        <v>1.5099015999999997E-3</v>
      </c>
      <c r="BQ138" s="678">
        <f t="shared" si="50"/>
        <v>1.5099015999999997E-3</v>
      </c>
      <c r="BR138" s="427">
        <v>1990</v>
      </c>
      <c r="BS138" s="428"/>
      <c r="BT138" s="714">
        <f>+H138/1000</f>
        <v>7.5495079999999999E-3</v>
      </c>
      <c r="BU138" s="399">
        <v>-0.8</v>
      </c>
      <c r="BV138" s="618">
        <f t="shared" si="51"/>
        <v>-0.8</v>
      </c>
      <c r="BW138" s="140"/>
      <c r="BX138" s="309"/>
      <c r="BY138" s="137"/>
    </row>
    <row r="139" spans="1:77" ht="15" customHeight="1" x14ac:dyDescent="0.2">
      <c r="A139" s="56" t="s">
        <v>9</v>
      </c>
      <c r="B139" s="107" t="s">
        <v>477</v>
      </c>
      <c r="C139" s="637" t="s">
        <v>3160</v>
      </c>
      <c r="D139" s="544">
        <v>82.093999999999994</v>
      </c>
      <c r="E139" s="161" t="s">
        <v>387</v>
      </c>
      <c r="F139" s="602"/>
      <c r="G139" s="62"/>
      <c r="H139" s="61"/>
      <c r="I139" s="608"/>
      <c r="J139" s="62"/>
      <c r="K139" s="63"/>
      <c r="L139" s="74">
        <v>2011</v>
      </c>
      <c r="M139" s="62"/>
      <c r="N139" s="355">
        <v>0.36836799999999997</v>
      </c>
      <c r="O139" s="923"/>
      <c r="P139" s="62"/>
      <c r="Q139" s="355"/>
      <c r="R139" s="923"/>
      <c r="S139" s="62"/>
      <c r="T139" s="355"/>
      <c r="U139" s="62"/>
      <c r="V139" s="62"/>
      <c r="W139" s="89"/>
      <c r="X139" s="87"/>
      <c r="Y139" s="160"/>
      <c r="Z139" s="21"/>
      <c r="AA139" s="21"/>
      <c r="AB139" s="399"/>
      <c r="AC139" s="618"/>
      <c r="AD139" s="16"/>
      <c r="AE139" s="16"/>
      <c r="AF139" s="170"/>
      <c r="AG139" s="86"/>
      <c r="AH139" s="272"/>
      <c r="AI139" s="31"/>
      <c r="AJ139" s="74"/>
      <c r="AK139" s="294"/>
      <c r="AL139" s="284"/>
      <c r="AM139" s="421"/>
      <c r="AN139" s="422"/>
      <c r="AO139" s="619">
        <f>AS139*(1+AT139)</f>
        <v>2.0260240000000002E-4</v>
      </c>
      <c r="AP139" s="620">
        <f>AS139*(1+AU139)</f>
        <v>2.0260240000000002E-4</v>
      </c>
      <c r="AQ139" s="617">
        <v>2011</v>
      </c>
      <c r="AR139" s="432"/>
      <c r="AS139" s="621">
        <f>+N139/1000</f>
        <v>3.6836799999999999E-4</v>
      </c>
      <c r="AT139" s="399">
        <v>-0.45</v>
      </c>
      <c r="AU139" s="618">
        <f>AT139</f>
        <v>-0.45</v>
      </c>
      <c r="AV139" s="16"/>
      <c r="AW139" s="16"/>
      <c r="AX139" s="170"/>
      <c r="AY139" s="86"/>
      <c r="AZ139" s="272"/>
      <c r="BA139" s="31"/>
      <c r="BB139" s="31"/>
      <c r="BC139" s="155"/>
      <c r="BD139" s="341"/>
      <c r="BE139" s="208"/>
      <c r="BF139" s="16"/>
      <c r="BG139" s="170"/>
      <c r="BH139" s="86"/>
      <c r="BI139" s="272"/>
      <c r="BJ139" s="31"/>
      <c r="BK139" s="31"/>
      <c r="BL139" s="155"/>
      <c r="BM139" s="341"/>
      <c r="BN139" s="208"/>
      <c r="BO139" s="16"/>
      <c r="BP139" s="677">
        <f t="shared" si="49"/>
        <v>0</v>
      </c>
      <c r="BQ139" s="678">
        <f t="shared" si="50"/>
        <v>0</v>
      </c>
      <c r="BR139" s="427">
        <v>2011</v>
      </c>
      <c r="BS139" s="428"/>
      <c r="BT139" s="641">
        <f>+N139/1000</f>
        <v>3.6836799999999999E-4</v>
      </c>
      <c r="BU139" s="399">
        <v>-1</v>
      </c>
      <c r="BV139" s="618">
        <f t="shared" si="51"/>
        <v>-1</v>
      </c>
      <c r="BW139" s="140"/>
      <c r="BX139" s="309"/>
      <c r="BY139" s="137"/>
    </row>
    <row r="140" spans="1:77" ht="15" customHeight="1" x14ac:dyDescent="0.2">
      <c r="A140" s="56" t="s">
        <v>9</v>
      </c>
      <c r="B140" s="107" t="s">
        <v>477</v>
      </c>
      <c r="C140" s="637" t="s">
        <v>3212</v>
      </c>
      <c r="D140" s="544">
        <v>135.52000000000001</v>
      </c>
      <c r="E140" s="161" t="s">
        <v>387</v>
      </c>
      <c r="F140" s="602"/>
      <c r="G140" s="62"/>
      <c r="H140" s="61">
        <v>2.285663</v>
      </c>
      <c r="I140" s="608"/>
      <c r="J140" s="62"/>
      <c r="K140" s="63"/>
      <c r="L140" s="74"/>
      <c r="M140" s="62"/>
      <c r="N140" s="355"/>
      <c r="O140" s="923"/>
      <c r="P140" s="62"/>
      <c r="Q140" s="355"/>
      <c r="R140" s="923"/>
      <c r="S140" s="62"/>
      <c r="T140" s="355"/>
      <c r="U140" s="62"/>
      <c r="V140" s="62"/>
      <c r="W140" s="89">
        <f t="shared" ref="W140" si="55">AA140*(1+AB140)</f>
        <v>1.9428135499999998E-3</v>
      </c>
      <c r="X140" s="87">
        <f t="shared" ref="X140" si="56">AA140*(1+AC140)</f>
        <v>1.9428135499999998E-3</v>
      </c>
      <c r="Y140" s="160">
        <v>1990</v>
      </c>
      <c r="Z140" s="21"/>
      <c r="AA140" s="21">
        <f>+H140/1000</f>
        <v>2.2856629999999998E-3</v>
      </c>
      <c r="AB140" s="399">
        <v>-0.15</v>
      </c>
      <c r="AC140" s="618">
        <f t="shared" ref="AC140" si="57">AB140</f>
        <v>-0.15</v>
      </c>
      <c r="AD140" s="16"/>
      <c r="AE140" s="16"/>
      <c r="AF140" s="170"/>
      <c r="AG140" s="86"/>
      <c r="AH140" s="272"/>
      <c r="AI140" s="31"/>
      <c r="AJ140" s="74"/>
      <c r="AK140" s="294"/>
      <c r="AL140" s="284"/>
      <c r="AM140" s="421"/>
      <c r="AN140" s="422"/>
      <c r="AO140" s="619">
        <f>AS140*(1+AT140)</f>
        <v>1.43996769E-3</v>
      </c>
      <c r="AP140" s="620">
        <f>AS140*(1+AU140)</f>
        <v>1.43996769E-3</v>
      </c>
      <c r="AQ140" s="617">
        <v>1990</v>
      </c>
      <c r="AR140" s="432"/>
      <c r="AS140" s="621">
        <f>+H140/1000</f>
        <v>2.2856629999999998E-3</v>
      </c>
      <c r="AT140" s="399">
        <v>-0.37</v>
      </c>
      <c r="AU140" s="618">
        <f>AT140</f>
        <v>-0.37</v>
      </c>
      <c r="AV140" s="16"/>
      <c r="AW140" s="16"/>
      <c r="AX140" s="170"/>
      <c r="AY140" s="86"/>
      <c r="AZ140" s="272"/>
      <c r="BA140" s="31"/>
      <c r="BB140" s="31"/>
      <c r="BC140" s="155"/>
      <c r="BD140" s="341"/>
      <c r="BE140" s="208"/>
      <c r="BF140" s="16"/>
      <c r="BG140" s="170"/>
      <c r="BH140" s="86"/>
      <c r="BI140" s="272"/>
      <c r="BJ140" s="31"/>
      <c r="BK140" s="31"/>
      <c r="BL140" s="155"/>
      <c r="BM140" s="341"/>
      <c r="BN140" s="208"/>
      <c r="BO140" s="16"/>
      <c r="BP140" s="682">
        <f t="shared" ref="BP140" si="58">BT140*(1+BU140)</f>
        <v>4.5713259999999989E-4</v>
      </c>
      <c r="BQ140" s="683">
        <f t="shared" ref="BQ140" si="59">BT140*(1+BV140)</f>
        <v>4.5713259999999989E-4</v>
      </c>
      <c r="BR140" s="427">
        <v>1990</v>
      </c>
      <c r="BS140" s="428"/>
      <c r="BT140" s="641">
        <f>+H140/1000</f>
        <v>2.2856629999999998E-3</v>
      </c>
      <c r="BU140" s="399">
        <v>-0.8</v>
      </c>
      <c r="BV140" s="618">
        <f t="shared" ref="BV140" si="60">BU140</f>
        <v>-0.8</v>
      </c>
      <c r="BW140" s="140"/>
      <c r="BX140" s="309"/>
      <c r="BY140" s="137"/>
    </row>
    <row r="141" spans="1:77" ht="15" customHeight="1" x14ac:dyDescent="0.2">
      <c r="A141" s="56" t="s">
        <v>9</v>
      </c>
      <c r="B141" s="107" t="s">
        <v>477</v>
      </c>
      <c r="C141" s="637" t="s">
        <v>3213</v>
      </c>
      <c r="D141" s="544">
        <v>107.90900000000001</v>
      </c>
      <c r="E141" s="161" t="s">
        <v>387</v>
      </c>
      <c r="F141" s="602"/>
      <c r="G141" s="62"/>
      <c r="H141" s="61"/>
      <c r="I141" s="608"/>
      <c r="J141" s="62"/>
      <c r="K141" s="63"/>
      <c r="L141" s="74">
        <v>2009</v>
      </c>
      <c r="M141" s="62"/>
      <c r="N141" s="355">
        <v>1.096951</v>
      </c>
      <c r="O141" s="923"/>
      <c r="P141" s="62"/>
      <c r="Q141" s="355"/>
      <c r="R141" s="923"/>
      <c r="S141" s="62"/>
      <c r="T141" s="355"/>
      <c r="U141" s="62"/>
      <c r="V141" s="62"/>
      <c r="W141" s="89">
        <f t="shared" ref="W141" si="61">AA141*(1+AB141)</f>
        <v>8.7756080000000016E-4</v>
      </c>
      <c r="X141" s="87">
        <f t="shared" ref="X141" si="62">AA141*(1+AC141)</f>
        <v>8.7756080000000016E-4</v>
      </c>
      <c r="Y141" s="160">
        <v>2009</v>
      </c>
      <c r="Z141" s="21"/>
      <c r="AA141" s="21">
        <f>+N141/1000</f>
        <v>1.0969510000000001E-3</v>
      </c>
      <c r="AB141" s="399">
        <v>-0.2</v>
      </c>
      <c r="AC141" s="618">
        <f t="shared" ref="AC141" si="63">AB141</f>
        <v>-0.2</v>
      </c>
      <c r="AD141" s="16"/>
      <c r="AE141" s="16"/>
      <c r="AF141" s="170"/>
      <c r="AG141" s="86"/>
      <c r="AH141" s="272"/>
      <c r="AI141" s="31"/>
      <c r="AJ141" s="74"/>
      <c r="AK141" s="294"/>
      <c r="AL141" s="284"/>
      <c r="AM141" s="421"/>
      <c r="AN141" s="422"/>
      <c r="AO141" s="619"/>
      <c r="AP141" s="620"/>
      <c r="AQ141" s="617"/>
      <c r="AR141" s="432"/>
      <c r="AS141" s="621"/>
      <c r="AT141" s="399"/>
      <c r="AU141" s="618"/>
      <c r="AV141" s="16"/>
      <c r="AW141" s="16"/>
      <c r="AX141" s="170"/>
      <c r="AY141" s="86"/>
      <c r="AZ141" s="272"/>
      <c r="BA141" s="31"/>
      <c r="BB141" s="31"/>
      <c r="BC141" s="155"/>
      <c r="BD141" s="341"/>
      <c r="BE141" s="208"/>
      <c r="BF141" s="16"/>
      <c r="BG141" s="170"/>
      <c r="BH141" s="86"/>
      <c r="BI141" s="272"/>
      <c r="BJ141" s="31"/>
      <c r="BK141" s="31"/>
      <c r="BL141" s="155"/>
      <c r="BM141" s="341"/>
      <c r="BN141" s="208"/>
      <c r="BO141" s="16"/>
      <c r="BP141" s="682"/>
      <c r="BQ141" s="683"/>
      <c r="BR141" s="427"/>
      <c r="BS141" s="428"/>
      <c r="BT141" s="641"/>
      <c r="BU141" s="399"/>
      <c r="BV141" s="618"/>
      <c r="BW141" s="140"/>
      <c r="BX141" s="309"/>
      <c r="BY141" s="137"/>
    </row>
    <row r="142" spans="1:77" ht="15" customHeight="1" x14ac:dyDescent="0.2">
      <c r="A142" s="56" t="s">
        <v>9</v>
      </c>
      <c r="B142" s="107" t="s">
        <v>477</v>
      </c>
      <c r="C142" s="637" t="s">
        <v>3218</v>
      </c>
      <c r="D142" s="544">
        <v>136.23500000000001</v>
      </c>
      <c r="E142" s="161" t="s">
        <v>387</v>
      </c>
      <c r="F142" s="602"/>
      <c r="G142" s="62"/>
      <c r="H142" s="61"/>
      <c r="I142" s="608">
        <v>2007</v>
      </c>
      <c r="J142" s="62"/>
      <c r="K142" s="63">
        <v>4.4114069999999996</v>
      </c>
      <c r="L142" s="74"/>
      <c r="M142" s="62"/>
      <c r="N142" s="355"/>
      <c r="O142" s="923"/>
      <c r="P142" s="62"/>
      <c r="Q142" s="355"/>
      <c r="R142" s="923"/>
      <c r="S142" s="62"/>
      <c r="T142" s="355"/>
      <c r="U142" s="62"/>
      <c r="V142" s="62"/>
      <c r="W142" s="89"/>
      <c r="X142" s="87"/>
      <c r="Y142" s="160"/>
      <c r="Z142" s="21"/>
      <c r="AA142" s="21"/>
      <c r="AB142" s="399"/>
      <c r="AC142" s="618"/>
      <c r="AD142" s="16"/>
      <c r="AE142" s="16"/>
      <c r="AF142" s="170"/>
      <c r="AG142" s="86"/>
      <c r="AH142" s="272"/>
      <c r="AI142" s="31"/>
      <c r="AJ142" s="74"/>
      <c r="AK142" s="294"/>
      <c r="AL142" s="284"/>
      <c r="AM142" s="421"/>
      <c r="AN142" s="422"/>
      <c r="AO142" s="619"/>
      <c r="AP142" s="620"/>
      <c r="AQ142" s="617"/>
      <c r="AR142" s="432"/>
      <c r="AS142" s="621"/>
      <c r="AT142" s="399"/>
      <c r="AU142" s="618"/>
      <c r="AV142" s="16"/>
      <c r="AW142" s="16"/>
      <c r="AX142" s="170"/>
      <c r="AY142" s="86"/>
      <c r="AZ142" s="272"/>
      <c r="BA142" s="31"/>
      <c r="BB142" s="31"/>
      <c r="BC142" s="155"/>
      <c r="BD142" s="341"/>
      <c r="BE142" s="208"/>
      <c r="BF142" s="16"/>
      <c r="BG142" s="170"/>
      <c r="BH142" s="86"/>
      <c r="BI142" s="272"/>
      <c r="BJ142" s="31"/>
      <c r="BK142" s="31"/>
      <c r="BL142" s="155"/>
      <c r="BM142" s="341"/>
      <c r="BN142" s="208"/>
      <c r="BO142" s="16"/>
      <c r="BP142" s="682">
        <f>BT142*(1+BU142)</f>
        <v>8.8228139999999976E-4</v>
      </c>
      <c r="BQ142" s="683">
        <f t="shared" ref="BQ142" si="64">BT142*(1+BV142)</f>
        <v>8.8228139999999976E-4</v>
      </c>
      <c r="BR142" s="427">
        <v>2007</v>
      </c>
      <c r="BS142" s="428"/>
      <c r="BT142" s="641">
        <f>K142/1000</f>
        <v>4.411407E-3</v>
      </c>
      <c r="BU142" s="399">
        <v>-0.8</v>
      </c>
      <c r="BV142" s="618">
        <f t="shared" ref="BV142" si="65">BU142</f>
        <v>-0.8</v>
      </c>
      <c r="BW142" s="140"/>
      <c r="BX142" s="309"/>
      <c r="BY142" s="137"/>
    </row>
    <row r="143" spans="1:77" ht="15" customHeight="1" x14ac:dyDescent="0.2">
      <c r="A143" s="56" t="s">
        <v>9</v>
      </c>
      <c r="B143" s="107" t="s">
        <v>477</v>
      </c>
      <c r="C143" s="637" t="s">
        <v>402</v>
      </c>
      <c r="D143" s="544">
        <v>59.46</v>
      </c>
      <c r="E143" s="161" t="s">
        <v>392</v>
      </c>
      <c r="F143" s="602"/>
      <c r="G143" s="62"/>
      <c r="H143" s="61"/>
      <c r="I143" s="608">
        <v>2006</v>
      </c>
      <c r="J143" s="62"/>
      <c r="K143" s="63">
        <v>0.19600000000000001</v>
      </c>
      <c r="L143" s="74"/>
      <c r="M143" s="62"/>
      <c r="N143" s="355"/>
      <c r="O143" s="923"/>
      <c r="P143" s="62"/>
      <c r="Q143" s="355"/>
      <c r="R143" s="923"/>
      <c r="S143" s="62"/>
      <c r="T143" s="355"/>
      <c r="U143" s="62"/>
      <c r="V143" s="62"/>
      <c r="W143" s="674">
        <f t="shared" si="43"/>
        <v>3.3320000000000013E-5</v>
      </c>
      <c r="X143" s="675">
        <f t="shared" si="44"/>
        <v>3.3320000000000013E-5</v>
      </c>
      <c r="Y143" s="160">
        <v>2006</v>
      </c>
      <c r="Z143" s="21"/>
      <c r="AA143" s="699">
        <f>+K143/1000</f>
        <v>1.9600000000000002E-4</v>
      </c>
      <c r="AB143" s="399">
        <v>-0.83</v>
      </c>
      <c r="AC143" s="618">
        <f t="shared" si="45"/>
        <v>-0.83</v>
      </c>
      <c r="AD143" s="16"/>
      <c r="AE143" s="16"/>
      <c r="AF143" s="170"/>
      <c r="AG143" s="86"/>
      <c r="AH143" s="272"/>
      <c r="AI143" s="31"/>
      <c r="AJ143" s="74"/>
      <c r="AK143" s="294"/>
      <c r="AL143" s="284"/>
      <c r="AM143" s="421"/>
      <c r="AN143" s="422"/>
      <c r="AO143" s="615"/>
      <c r="AP143" s="616"/>
      <c r="AQ143" s="617"/>
      <c r="AR143" s="432"/>
      <c r="AS143" s="679"/>
      <c r="AT143" s="399"/>
      <c r="AU143" s="618"/>
      <c r="AV143" s="16"/>
      <c r="AW143" s="16"/>
      <c r="AX143" s="170"/>
      <c r="AY143" s="86"/>
      <c r="AZ143" s="272"/>
      <c r="BA143" s="31"/>
      <c r="BB143" s="31"/>
      <c r="BC143" s="155"/>
      <c r="BD143" s="341"/>
      <c r="BE143" s="208"/>
      <c r="BF143" s="16"/>
      <c r="BG143" s="170"/>
      <c r="BH143" s="86"/>
      <c r="BI143" s="272"/>
      <c r="BJ143" s="31"/>
      <c r="BK143" s="31"/>
      <c r="BL143" s="155"/>
      <c r="BM143" s="341"/>
      <c r="BN143" s="208"/>
      <c r="BO143" s="16"/>
      <c r="BP143" s="677"/>
      <c r="BQ143" s="678"/>
      <c r="BR143" s="427"/>
      <c r="BS143" s="428"/>
      <c r="BT143" s="48"/>
      <c r="BU143" s="399"/>
      <c r="BV143" s="618"/>
      <c r="BW143" s="140"/>
      <c r="BX143" s="309"/>
      <c r="BY143" s="137"/>
    </row>
    <row r="144" spans="1:77" s="135" customFormat="1" ht="27.75" customHeight="1" x14ac:dyDescent="0.2">
      <c r="A144" s="108" t="s">
        <v>9</v>
      </c>
      <c r="B144" s="117" t="s">
        <v>396</v>
      </c>
      <c r="C144" s="663"/>
      <c r="D144" s="545">
        <v>7903</v>
      </c>
      <c r="E144" s="127" t="s">
        <v>2906</v>
      </c>
      <c r="F144" s="1111"/>
      <c r="G144" s="99"/>
      <c r="H144" s="128">
        <v>86.454999999999998</v>
      </c>
      <c r="I144" s="609"/>
      <c r="J144" s="99"/>
      <c r="K144" s="99">
        <v>89</v>
      </c>
      <c r="L144" s="98"/>
      <c r="M144" s="99"/>
      <c r="N144" s="364">
        <v>82</v>
      </c>
      <c r="O144" s="365"/>
      <c r="P144" s="99"/>
      <c r="Q144" s="364">
        <v>80</v>
      </c>
      <c r="R144" s="365">
        <v>2017</v>
      </c>
      <c r="S144" s="99"/>
      <c r="T144" s="364">
        <v>78.560582999999994</v>
      </c>
      <c r="U144" s="99"/>
      <c r="V144" s="99"/>
      <c r="W144" s="129">
        <f t="shared" si="43"/>
        <v>6.9164000000000003E-2</v>
      </c>
      <c r="X144" s="130">
        <f t="shared" si="44"/>
        <v>6.9164000000000003E-2</v>
      </c>
      <c r="Y144" s="1112">
        <v>1990</v>
      </c>
      <c r="Z144" s="613"/>
      <c r="AA144" s="129">
        <f>+H144/1000</f>
        <v>8.6455000000000004E-2</v>
      </c>
      <c r="AB144" s="401">
        <v>-0.2</v>
      </c>
      <c r="AC144" s="691">
        <f t="shared" si="45"/>
        <v>-0.2</v>
      </c>
      <c r="AD144" s="201"/>
      <c r="AE144" s="201"/>
      <c r="AF144" s="202"/>
      <c r="AG144" s="203"/>
      <c r="AH144" s="279"/>
      <c r="AI144" s="1113"/>
      <c r="AJ144" s="98"/>
      <c r="AK144" s="296"/>
      <c r="AL144" s="298"/>
      <c r="AM144" s="503"/>
      <c r="AN144" s="527"/>
      <c r="AO144" s="1128">
        <f>AS144*(1+AT144)</f>
        <v>5.4034375000000003E-2</v>
      </c>
      <c r="AP144" s="1129">
        <f>AS144*(1+AU144)</f>
        <v>5.4034375000000003E-2</v>
      </c>
      <c r="AQ144" s="1116">
        <v>1990</v>
      </c>
      <c r="AR144" s="1117"/>
      <c r="AS144" s="1130">
        <f>+H144/1000</f>
        <v>8.6455000000000004E-2</v>
      </c>
      <c r="AT144" s="956">
        <v>-0.375</v>
      </c>
      <c r="AU144" s="957">
        <f>AT144</f>
        <v>-0.375</v>
      </c>
      <c r="AV144" s="201"/>
      <c r="AW144" s="201"/>
      <c r="AX144" s="202"/>
      <c r="AY144" s="203"/>
      <c r="AZ144" s="279"/>
      <c r="BA144" s="1113"/>
      <c r="BB144" s="1113"/>
      <c r="BC144" s="1119"/>
      <c r="BD144" s="1120"/>
      <c r="BE144" s="221"/>
      <c r="BF144" s="201"/>
      <c r="BG144" s="202"/>
      <c r="BH144" s="203"/>
      <c r="BI144" s="279"/>
      <c r="BJ144" s="1113"/>
      <c r="BK144" s="1113"/>
      <c r="BL144" s="1119"/>
      <c r="BM144" s="1120"/>
      <c r="BN144" s="221"/>
      <c r="BO144" s="201"/>
      <c r="BP144" s="1121">
        <f>BS144*(1+BU144)</f>
        <v>1.7290999999999997E-2</v>
      </c>
      <c r="BQ144" s="1122">
        <f>BS144*(1+BV144)</f>
        <v>1.7290999999999997E-2</v>
      </c>
      <c r="BR144" s="955">
        <v>1990</v>
      </c>
      <c r="BS144" s="645">
        <f>H144/1000</f>
        <v>8.6455000000000004E-2</v>
      </c>
      <c r="BT144" s="753"/>
      <c r="BU144" s="401">
        <v>-0.8</v>
      </c>
      <c r="BV144" s="691">
        <f>BU144</f>
        <v>-0.8</v>
      </c>
      <c r="BW144" s="140"/>
      <c r="BX144" s="309"/>
      <c r="BY144" s="139"/>
    </row>
    <row r="145" spans="1:77" ht="15" customHeight="1" x14ac:dyDescent="0.2">
      <c r="A145" s="56" t="s">
        <v>9</v>
      </c>
      <c r="B145" s="107" t="s">
        <v>477</v>
      </c>
      <c r="C145" s="637" t="s">
        <v>407</v>
      </c>
      <c r="D145" s="544">
        <v>2029.3789999999999</v>
      </c>
      <c r="E145" s="161" t="s">
        <v>408</v>
      </c>
      <c r="F145" s="602"/>
      <c r="G145" s="62"/>
      <c r="H145" s="61">
        <v>15.561999999999999</v>
      </c>
      <c r="I145" s="608"/>
      <c r="J145" s="62"/>
      <c r="K145" s="62"/>
      <c r="L145" s="74">
        <v>2009</v>
      </c>
      <c r="M145" s="62"/>
      <c r="N145" s="355">
        <v>13.236000000000001</v>
      </c>
      <c r="O145" s="923"/>
      <c r="P145" s="62"/>
      <c r="Q145" s="355">
        <v>10.729801</v>
      </c>
      <c r="R145" s="923"/>
      <c r="S145" s="62"/>
      <c r="T145" s="355"/>
      <c r="U145" s="62"/>
      <c r="V145" s="62"/>
      <c r="W145" s="23">
        <f t="shared" si="43"/>
        <v>1.0893399999999999E-2</v>
      </c>
      <c r="X145" s="24">
        <f t="shared" si="44"/>
        <v>1.0893399999999999E-2</v>
      </c>
      <c r="Y145" s="160">
        <v>1990</v>
      </c>
      <c r="Z145" s="21"/>
      <c r="AA145" s="19">
        <f>+H145/1000</f>
        <v>1.5561999999999999E-2</v>
      </c>
      <c r="AB145" s="399">
        <v>-0.3</v>
      </c>
      <c r="AC145" s="618">
        <f t="shared" si="45"/>
        <v>-0.3</v>
      </c>
      <c r="AD145" s="16"/>
      <c r="AE145" s="16"/>
      <c r="AF145" s="170"/>
      <c r="AG145" s="86"/>
      <c r="AH145" s="272"/>
      <c r="AI145" s="31"/>
      <c r="AJ145" s="74"/>
      <c r="AK145" s="294"/>
      <c r="AL145" s="284"/>
      <c r="AM145" s="421"/>
      <c r="AN145" s="422"/>
      <c r="AO145" s="23">
        <f t="shared" ref="AO145" si="66">AS145*(1+AT145)</f>
        <v>7.0028999999999994E-3</v>
      </c>
      <c r="AP145" s="24">
        <f t="shared" ref="AP145" si="67">AS145*(1+AU145)</f>
        <v>7.0028999999999994E-3</v>
      </c>
      <c r="AQ145" s="160">
        <v>1990</v>
      </c>
      <c r="AR145" s="21"/>
      <c r="AS145" s="19">
        <f>+H145/1000</f>
        <v>1.5561999999999999E-2</v>
      </c>
      <c r="AT145" s="399">
        <v>-0.55000000000000004</v>
      </c>
      <c r="AU145" s="618">
        <f t="shared" ref="AU145" si="68">AT145</f>
        <v>-0.55000000000000004</v>
      </c>
      <c r="AV145" s="16"/>
      <c r="AW145" s="16"/>
      <c r="AX145" s="170"/>
      <c r="AY145" s="86"/>
      <c r="AZ145" s="272"/>
      <c r="BA145" s="31"/>
      <c r="BB145" s="31"/>
      <c r="BC145" s="155"/>
      <c r="BD145" s="341"/>
      <c r="BE145" s="208"/>
      <c r="BF145" s="16"/>
      <c r="BG145" s="170"/>
      <c r="BH145" s="86"/>
      <c r="BI145" s="272"/>
      <c r="BJ145" s="31"/>
      <c r="BK145" s="31"/>
      <c r="BL145" s="155"/>
      <c r="BM145" s="341"/>
      <c r="BN145" s="208"/>
      <c r="BO145" s="16"/>
      <c r="BP145" s="677"/>
      <c r="BQ145" s="678"/>
      <c r="BR145" s="427"/>
      <c r="BS145" s="428"/>
      <c r="BT145" s="48"/>
      <c r="BU145" s="399"/>
      <c r="BV145" s="618"/>
      <c r="BW145" s="140"/>
      <c r="BX145" s="309"/>
      <c r="BY145" s="137"/>
    </row>
    <row r="146" spans="1:77" ht="15" customHeight="1" x14ac:dyDescent="0.2">
      <c r="A146" s="56" t="s">
        <v>9</v>
      </c>
      <c r="B146" s="107" t="s">
        <v>477</v>
      </c>
      <c r="C146" s="637" t="s">
        <v>2231</v>
      </c>
      <c r="D146" s="544">
        <v>40</v>
      </c>
      <c r="E146" s="161" t="s">
        <v>387</v>
      </c>
      <c r="F146" s="602"/>
      <c r="G146" s="62"/>
      <c r="H146" s="61"/>
      <c r="I146" s="608"/>
      <c r="J146" s="62"/>
      <c r="K146" s="62"/>
      <c r="L146" s="74">
        <v>2009</v>
      </c>
      <c r="M146" s="62"/>
      <c r="N146" s="355">
        <v>0.19840822999999999</v>
      </c>
      <c r="O146" s="923">
        <v>2016</v>
      </c>
      <c r="P146" s="62"/>
      <c r="Q146" s="355">
        <v>0.43559399999999998</v>
      </c>
      <c r="R146" s="923">
        <v>2016</v>
      </c>
      <c r="S146" s="62"/>
      <c r="T146" s="355">
        <v>0.43559399999999998</v>
      </c>
      <c r="U146" s="62"/>
      <c r="V146" s="62"/>
      <c r="W146" s="674">
        <f t="shared" ref="W146" si="69">AA146*(1+AB146)</f>
        <v>1.5872658400000001E-4</v>
      </c>
      <c r="X146" s="675">
        <f t="shared" ref="X146" si="70">AA146*(1+AC146)</f>
        <v>1.5872658400000001E-4</v>
      </c>
      <c r="Y146" s="160">
        <v>2009</v>
      </c>
      <c r="Z146" s="21"/>
      <c r="AA146" s="699">
        <f>+N146/1000</f>
        <v>1.9840822999999999E-4</v>
      </c>
      <c r="AB146" s="399">
        <v>-0.2</v>
      </c>
      <c r="AC146" s="618">
        <f t="shared" ref="AC146" si="71">AB146</f>
        <v>-0.2</v>
      </c>
      <c r="AD146" s="16"/>
      <c r="AE146" s="16"/>
      <c r="AF146" s="170"/>
      <c r="AG146" s="86"/>
      <c r="AH146" s="272"/>
      <c r="AI146" s="31"/>
      <c r="AJ146" s="74"/>
      <c r="AK146" s="294"/>
      <c r="AL146" s="284"/>
      <c r="AM146" s="421"/>
      <c r="AN146" s="422"/>
      <c r="AO146" s="615"/>
      <c r="AP146" s="616"/>
      <c r="AQ146" s="617"/>
      <c r="AR146" s="432"/>
      <c r="AS146" s="679"/>
      <c r="AT146" s="400"/>
      <c r="AU146" s="680"/>
      <c r="AV146" s="16"/>
      <c r="AW146" s="16"/>
      <c r="AX146" s="170"/>
      <c r="AY146" s="86"/>
      <c r="AZ146" s="272"/>
      <c r="BA146" s="31"/>
      <c r="BB146" s="31"/>
      <c r="BC146" s="155"/>
      <c r="BD146" s="341"/>
      <c r="BE146" s="208"/>
      <c r="BF146" s="16"/>
      <c r="BG146" s="170"/>
      <c r="BH146" s="86"/>
      <c r="BI146" s="272"/>
      <c r="BJ146" s="31"/>
      <c r="BK146" s="31"/>
      <c r="BL146" s="155"/>
      <c r="BM146" s="341"/>
      <c r="BN146" s="208"/>
      <c r="BO146" s="16"/>
      <c r="BP146" s="677"/>
      <c r="BQ146" s="678"/>
      <c r="BR146" s="427"/>
      <c r="BS146" s="428"/>
      <c r="BT146" s="48"/>
      <c r="BU146" s="399"/>
      <c r="BV146" s="618"/>
      <c r="BW146" s="140"/>
      <c r="BX146" s="309"/>
      <c r="BY146" s="137"/>
    </row>
    <row r="147" spans="1:77" ht="15" customHeight="1" x14ac:dyDescent="0.2">
      <c r="A147" s="56" t="s">
        <v>9</v>
      </c>
      <c r="B147" s="107"/>
      <c r="C147" s="637" t="s">
        <v>2795</v>
      </c>
      <c r="D147" s="544">
        <v>8.532</v>
      </c>
      <c r="E147" s="624" t="s">
        <v>387</v>
      </c>
      <c r="F147" s="602"/>
      <c r="G147" s="62"/>
      <c r="H147" s="61"/>
      <c r="I147" s="608"/>
      <c r="J147" s="62"/>
      <c r="K147" s="62"/>
      <c r="L147" s="74">
        <v>2011</v>
      </c>
      <c r="M147" s="62"/>
      <c r="N147" s="62">
        <f>0.385</f>
        <v>0.38500000000000001</v>
      </c>
      <c r="O147" s="923"/>
      <c r="P147" s="62"/>
      <c r="Q147" s="355"/>
      <c r="R147" s="923"/>
      <c r="S147" s="62"/>
      <c r="T147" s="355"/>
      <c r="U147" s="62"/>
      <c r="V147" s="62"/>
      <c r="W147" s="674"/>
      <c r="X147" s="675"/>
      <c r="Y147" s="160"/>
      <c r="Z147" s="21"/>
      <c r="AA147" s="699"/>
      <c r="AB147" s="399"/>
      <c r="AC147" s="618"/>
      <c r="AD147" s="16"/>
      <c r="AE147" s="16"/>
      <c r="AF147" s="170"/>
      <c r="AG147" s="86"/>
      <c r="AH147" s="272"/>
      <c r="AI147" s="31"/>
      <c r="AJ147" s="74"/>
      <c r="AK147" s="294"/>
      <c r="AL147" s="284"/>
      <c r="AM147" s="421"/>
      <c r="AN147" s="422"/>
      <c r="AO147" s="615"/>
      <c r="AP147" s="616"/>
      <c r="AQ147" s="617"/>
      <c r="AR147" s="432"/>
      <c r="AS147" s="679"/>
      <c r="AT147" s="400"/>
      <c r="AU147" s="680"/>
      <c r="AV147" s="16"/>
      <c r="AW147" s="16"/>
      <c r="AX147" s="170"/>
      <c r="AY147" s="86"/>
      <c r="AZ147" s="272"/>
      <c r="BA147" s="31"/>
      <c r="BB147" s="31"/>
      <c r="BC147" s="155"/>
      <c r="BD147" s="341"/>
      <c r="BE147" s="208"/>
      <c r="BF147" s="16"/>
      <c r="BG147" s="170"/>
      <c r="BH147" s="86"/>
      <c r="BI147" s="272"/>
      <c r="BJ147" s="31"/>
      <c r="BK147" s="31"/>
      <c r="BL147" s="155"/>
      <c r="BM147" s="341"/>
      <c r="BN147" s="208"/>
      <c r="BO147" s="16"/>
      <c r="BP147" s="677">
        <f>BT147*(1+BU147)</f>
        <v>7.3149999999999989E-5</v>
      </c>
      <c r="BQ147" s="683">
        <f>BT147*(1+BV147)</f>
        <v>7.3149999999999989E-5</v>
      </c>
      <c r="BR147" s="427">
        <v>2005</v>
      </c>
      <c r="BS147" s="428"/>
      <c r="BT147" s="641">
        <f>+N147/1000</f>
        <v>3.8500000000000003E-4</v>
      </c>
      <c r="BU147" s="399">
        <v>-0.81</v>
      </c>
      <c r="BV147" s="618">
        <f>BU147</f>
        <v>-0.81</v>
      </c>
      <c r="BW147" s="140"/>
      <c r="BX147" s="309"/>
      <c r="BY147" s="137"/>
    </row>
    <row r="148" spans="1:77" ht="15" customHeight="1" x14ac:dyDescent="0.2">
      <c r="A148" s="56" t="s">
        <v>9</v>
      </c>
      <c r="B148" s="107"/>
      <c r="C148" s="637" t="s">
        <v>2798</v>
      </c>
      <c r="D148" s="544">
        <v>275.24200000000002</v>
      </c>
      <c r="E148" s="624" t="s">
        <v>387</v>
      </c>
      <c r="F148" s="602"/>
      <c r="G148" s="62"/>
      <c r="H148" s="61"/>
      <c r="I148" s="608"/>
      <c r="J148" s="62"/>
      <c r="K148" s="62"/>
      <c r="L148" s="74"/>
      <c r="M148" s="62"/>
      <c r="N148" s="62"/>
      <c r="O148" s="923">
        <v>2014</v>
      </c>
      <c r="P148" s="62"/>
      <c r="Q148" s="355">
        <v>3.8521709999999998</v>
      </c>
      <c r="R148" s="923"/>
      <c r="S148" s="62"/>
      <c r="T148" s="355"/>
      <c r="U148" s="62"/>
      <c r="V148" s="62"/>
      <c r="W148" s="674"/>
      <c r="X148" s="675"/>
      <c r="Y148" s="160"/>
      <c r="Z148" s="21"/>
      <c r="AA148" s="699"/>
      <c r="AB148" s="399"/>
      <c r="AC148" s="618"/>
      <c r="AD148" s="16"/>
      <c r="AE148" s="16"/>
      <c r="AF148" s="619">
        <f>AJ148*(1+AK148)</f>
        <v>3.2743453499999996E-3</v>
      </c>
      <c r="AG148" s="620">
        <f>AJ148*(1+AL148)</f>
        <v>3.2743453499999996E-3</v>
      </c>
      <c r="AH148" s="640">
        <v>2014</v>
      </c>
      <c r="AI148" s="746"/>
      <c r="AJ148" s="641">
        <f>Q148/1000</f>
        <v>3.8521709999999997E-3</v>
      </c>
      <c r="AK148" s="399">
        <v>-0.15</v>
      </c>
      <c r="AL148" s="747">
        <f>AK148</f>
        <v>-0.15</v>
      </c>
      <c r="AM148" s="421"/>
      <c r="AN148" s="422"/>
      <c r="AO148" s="615"/>
      <c r="AP148" s="616"/>
      <c r="AQ148" s="617"/>
      <c r="AR148" s="432"/>
      <c r="AS148" s="679"/>
      <c r="AT148" s="400"/>
      <c r="AU148" s="680"/>
      <c r="AV148" s="16"/>
      <c r="AW148" s="16"/>
      <c r="AX148" s="170"/>
      <c r="AY148" s="86"/>
      <c r="AZ148" s="272"/>
      <c r="BA148" s="31"/>
      <c r="BB148" s="31"/>
      <c r="BC148" s="155"/>
      <c r="BD148" s="341"/>
      <c r="BE148" s="208"/>
      <c r="BF148" s="16"/>
      <c r="BG148" s="170"/>
      <c r="BH148" s="86"/>
      <c r="BI148" s="272"/>
      <c r="BJ148" s="31"/>
      <c r="BK148" s="31"/>
      <c r="BL148" s="155"/>
      <c r="BM148" s="341"/>
      <c r="BN148" s="208"/>
      <c r="BO148" s="16"/>
      <c r="BP148" s="682">
        <f>BT148*(1+BU148)</f>
        <v>7.7043419999999981E-4</v>
      </c>
      <c r="BQ148" s="683">
        <f>BT148*(1+BV148)</f>
        <v>7.7043419999999981E-4</v>
      </c>
      <c r="BR148" s="427">
        <v>2014</v>
      </c>
      <c r="BS148" s="428"/>
      <c r="BT148" s="641">
        <f>+Q148/1000</f>
        <v>3.8521709999999997E-3</v>
      </c>
      <c r="BU148" s="399">
        <v>-0.8</v>
      </c>
      <c r="BV148" s="618">
        <f>BU148</f>
        <v>-0.8</v>
      </c>
      <c r="BW148" s="140"/>
      <c r="BX148" s="309"/>
      <c r="BY148" s="137"/>
    </row>
    <row r="149" spans="1:77" s="244" customFormat="1" ht="15" customHeight="1" x14ac:dyDescent="0.2">
      <c r="A149" s="56" t="s">
        <v>55</v>
      </c>
      <c r="B149" s="56" t="s">
        <v>1606</v>
      </c>
      <c r="C149" s="637"/>
      <c r="D149" s="544">
        <v>17150.759999999998</v>
      </c>
      <c r="E149" s="140" t="s">
        <v>3204</v>
      </c>
      <c r="F149" s="1433"/>
      <c r="G149" s="1229">
        <v>-10.943099999999999</v>
      </c>
      <c r="H149" s="1434">
        <v>49.209000000000003</v>
      </c>
      <c r="I149" s="1435">
        <v>2000</v>
      </c>
      <c r="J149" s="1229">
        <v>0.3629</v>
      </c>
      <c r="K149" s="1434">
        <v>73.001400000000004</v>
      </c>
      <c r="L149" s="1435"/>
      <c r="M149" s="1229">
        <v>10.9765</v>
      </c>
      <c r="N149" s="1229">
        <v>87.942099999999996</v>
      </c>
      <c r="O149" s="1433">
        <v>2016</v>
      </c>
      <c r="P149" s="1229">
        <f>35.4582</f>
        <v>35.458199999999998</v>
      </c>
      <c r="Q149" s="1066">
        <v>110.15600000000001</v>
      </c>
      <c r="R149" s="1433">
        <v>2018</v>
      </c>
      <c r="S149" s="1229">
        <v>48.320700000000002</v>
      </c>
      <c r="T149" s="1066">
        <v>112.3126</v>
      </c>
      <c r="U149" s="317"/>
      <c r="V149" s="317"/>
      <c r="W149" s="187"/>
      <c r="X149" s="319"/>
      <c r="Y149" s="320">
        <v>2020</v>
      </c>
      <c r="Z149" s="321"/>
      <c r="AA149" s="74"/>
      <c r="AB149" s="404">
        <v>-0.2</v>
      </c>
      <c r="AC149" s="690">
        <v>-0.2</v>
      </c>
      <c r="AD149" s="331"/>
      <c r="AE149" s="325"/>
      <c r="AF149" s="1262">
        <f>1.175/10</f>
        <v>0.11750000000000001</v>
      </c>
      <c r="AG149" s="1263">
        <f>1.111/10</f>
        <v>0.1111</v>
      </c>
      <c r="AH149" s="328"/>
      <c r="AI149" s="321"/>
      <c r="AJ149" s="322"/>
      <c r="AK149" s="329"/>
      <c r="AL149" s="330"/>
      <c r="AM149" s="324"/>
      <c r="AN149" s="331"/>
      <c r="AO149" s="1262">
        <v>9.7000000000000003E-2</v>
      </c>
      <c r="AP149" s="1264">
        <f>AO149</f>
        <v>9.7000000000000003E-2</v>
      </c>
      <c r="AQ149" s="328"/>
      <c r="AR149" s="321"/>
      <c r="AS149" s="322"/>
      <c r="AT149" s="329"/>
      <c r="AU149" s="330"/>
      <c r="AV149" s="331"/>
      <c r="AW149" s="325"/>
      <c r="AX149" s="331"/>
      <c r="AY149" s="325"/>
      <c r="AZ149" s="328"/>
      <c r="BA149" s="321"/>
      <c r="BB149" s="322"/>
      <c r="BC149" s="329"/>
      <c r="BD149" s="323"/>
      <c r="BE149" s="324"/>
      <c r="BF149" s="331"/>
      <c r="BG149" s="415"/>
      <c r="BH149" s="325"/>
      <c r="BI149" s="328"/>
      <c r="BJ149" s="321"/>
      <c r="BK149" s="322"/>
      <c r="BL149" s="329"/>
      <c r="BM149" s="323"/>
      <c r="BN149" s="324"/>
      <c r="BO149" s="331"/>
      <c r="BP149" s="415"/>
      <c r="BQ149" s="325"/>
      <c r="BR149" s="322"/>
      <c r="BS149" s="321"/>
      <c r="BT149" s="322"/>
      <c r="BU149" s="329"/>
      <c r="BV149" s="330"/>
      <c r="BW149" s="143"/>
      <c r="BX149" s="309" t="s">
        <v>265</v>
      </c>
      <c r="BY149" s="139" t="s">
        <v>215</v>
      </c>
    </row>
    <row r="150" spans="1:77" s="244" customFormat="1" ht="15" customHeight="1" x14ac:dyDescent="0.2">
      <c r="A150" s="56" t="s">
        <v>55</v>
      </c>
      <c r="B150" s="56"/>
      <c r="C150" s="637" t="s">
        <v>2731</v>
      </c>
      <c r="D150" s="544">
        <v>65.478999999999999</v>
      </c>
      <c r="E150" s="140" t="s">
        <v>392</v>
      </c>
      <c r="F150" s="607"/>
      <c r="G150" s="317"/>
      <c r="H150" s="318"/>
      <c r="I150" s="611"/>
      <c r="J150" s="317"/>
      <c r="K150" s="318"/>
      <c r="L150" s="316"/>
      <c r="M150" s="520"/>
      <c r="N150" s="521"/>
      <c r="O150" s="1039"/>
      <c r="P150" s="520"/>
      <c r="Q150" s="1066">
        <v>9.4298999999999994E-2</v>
      </c>
      <c r="R150" s="1039"/>
      <c r="S150" s="520"/>
      <c r="T150" s="1066"/>
      <c r="U150" s="317"/>
      <c r="V150" s="317"/>
      <c r="W150" s="187"/>
      <c r="X150" s="319"/>
      <c r="Y150" s="320"/>
      <c r="Z150" s="321"/>
      <c r="AA150" s="74"/>
      <c r="AB150" s="404"/>
      <c r="AC150" s="690"/>
      <c r="AD150" s="331"/>
      <c r="AE150" s="325"/>
      <c r="AF150" s="326"/>
      <c r="AG150" s="327"/>
      <c r="AH150" s="328"/>
      <c r="AI150" s="321"/>
      <c r="AJ150" s="322"/>
      <c r="AK150" s="294"/>
      <c r="AL150" s="330"/>
      <c r="AM150" s="324"/>
      <c r="AN150" s="331"/>
      <c r="AO150" s="697">
        <f>AS150*(1+AT150)</f>
        <v>6.6009299999999992E-5</v>
      </c>
      <c r="AP150" s="698">
        <f>AS150*(1+AU150)</f>
        <v>6.6009299999999992E-5</v>
      </c>
      <c r="AQ150" s="617">
        <v>1990</v>
      </c>
      <c r="AR150" s="432"/>
      <c r="AS150" s="696">
        <f>+Q150/1000</f>
        <v>9.4299E-5</v>
      </c>
      <c r="AT150" s="399">
        <v>-0.3</v>
      </c>
      <c r="AU150" s="618">
        <f>AT150</f>
        <v>-0.3</v>
      </c>
      <c r="AV150" s="331"/>
      <c r="AW150" s="325"/>
      <c r="AX150" s="331"/>
      <c r="AY150" s="325"/>
      <c r="AZ150" s="328"/>
      <c r="BA150" s="321"/>
      <c r="BB150" s="322"/>
      <c r="BC150" s="329"/>
      <c r="BD150" s="323"/>
      <c r="BE150" s="324"/>
      <c r="BF150" s="331"/>
      <c r="BG150" s="415"/>
      <c r="BH150" s="325"/>
      <c r="BI150" s="328"/>
      <c r="BJ150" s="321"/>
      <c r="BK150" s="322"/>
      <c r="BL150" s="329"/>
      <c r="BM150" s="323"/>
      <c r="BN150" s="324"/>
      <c r="BO150" s="331"/>
      <c r="BP150" s="415"/>
      <c r="BQ150" s="325"/>
      <c r="BR150" s="322"/>
      <c r="BS150" s="321"/>
      <c r="BT150" s="322"/>
      <c r="BU150" s="329"/>
      <c r="BV150" s="330"/>
      <c r="BW150" s="143"/>
      <c r="BX150" s="309"/>
      <c r="BY150" s="139"/>
    </row>
    <row r="151" spans="1:77" s="244" customFormat="1" ht="15" customHeight="1" x14ac:dyDescent="0.2">
      <c r="A151" s="56" t="s">
        <v>55</v>
      </c>
      <c r="B151" s="56"/>
      <c r="C151" s="637" t="s">
        <v>2531</v>
      </c>
      <c r="D151" s="544">
        <v>7314.1760000000004</v>
      </c>
      <c r="E151" s="140" t="s">
        <v>387</v>
      </c>
      <c r="F151" s="607"/>
      <c r="G151" s="317"/>
      <c r="H151" s="318"/>
      <c r="I151" s="611"/>
      <c r="J151" s="317"/>
      <c r="K151" s="318"/>
      <c r="L151" s="316"/>
      <c r="M151" s="520"/>
      <c r="N151" s="521"/>
      <c r="O151" s="1039">
        <v>2016</v>
      </c>
      <c r="P151" s="520"/>
      <c r="Q151" s="1066">
        <v>23.120027799999999</v>
      </c>
      <c r="R151" s="1039">
        <v>2016</v>
      </c>
      <c r="S151" s="520"/>
      <c r="T151" s="1066">
        <v>23.120027799999999</v>
      </c>
      <c r="U151" s="317"/>
      <c r="V151" s="317"/>
      <c r="W151" s="187"/>
      <c r="X151" s="319"/>
      <c r="Y151" s="320"/>
      <c r="Z151" s="321"/>
      <c r="AA151" s="74"/>
      <c r="AB151" s="404"/>
      <c r="AC151" s="690"/>
      <c r="AD151" s="331"/>
      <c r="AE151" s="325"/>
      <c r="AF151" s="326"/>
      <c r="AG151" s="327"/>
      <c r="AH151" s="328"/>
      <c r="AI151" s="321"/>
      <c r="AJ151" s="322"/>
      <c r="AK151" s="294"/>
      <c r="AL151" s="330"/>
      <c r="AM151" s="324"/>
      <c r="AN151" s="331"/>
      <c r="AO151" s="820"/>
      <c r="AP151" s="821"/>
      <c r="AQ151" s="328"/>
      <c r="AR151" s="321"/>
      <c r="AS151" s="322"/>
      <c r="AT151" s="329"/>
      <c r="AU151" s="330"/>
      <c r="AV151" s="331"/>
      <c r="AW151" s="325"/>
      <c r="AX151" s="331"/>
      <c r="AY151" s="325"/>
      <c r="AZ151" s="328"/>
      <c r="BA151" s="321"/>
      <c r="BB151" s="322"/>
      <c r="BC151" s="329"/>
      <c r="BD151" s="323"/>
      <c r="BE151" s="324"/>
      <c r="BF151" s="331"/>
      <c r="BG151" s="415"/>
      <c r="BH151" s="325"/>
      <c r="BI151" s="328"/>
      <c r="BJ151" s="321"/>
      <c r="BK151" s="322"/>
      <c r="BL151" s="329"/>
      <c r="BM151" s="323"/>
      <c r="BN151" s="324"/>
      <c r="BO151" s="331"/>
      <c r="BP151" s="415"/>
      <c r="BQ151" s="325"/>
      <c r="BR151" s="322"/>
      <c r="BS151" s="321"/>
      <c r="BT151" s="322"/>
      <c r="BU151" s="399">
        <v>-1</v>
      </c>
      <c r="BV151" s="618">
        <f t="shared" ref="BV151" si="72">BU151</f>
        <v>-1</v>
      </c>
      <c r="BW151" s="143"/>
      <c r="BX151" s="309"/>
      <c r="BY151" s="139"/>
    </row>
    <row r="152" spans="1:77" ht="15" customHeight="1" x14ac:dyDescent="0.2">
      <c r="A152" s="56" t="s">
        <v>56</v>
      </c>
      <c r="B152" s="56" t="s">
        <v>1606</v>
      </c>
      <c r="C152" s="637"/>
      <c r="D152" s="544">
        <v>46444.798000000003</v>
      </c>
      <c r="E152" s="624" t="s">
        <v>3186</v>
      </c>
      <c r="F152" s="362"/>
      <c r="G152" s="62">
        <v>201.065</v>
      </c>
      <c r="H152" s="69">
        <v>245.43799999999999</v>
      </c>
      <c r="I152" s="74"/>
      <c r="J152" s="68">
        <v>206.71100000000001</v>
      </c>
      <c r="K152" s="69">
        <v>277.459</v>
      </c>
      <c r="L152" s="74"/>
      <c r="M152" s="93">
        <v>203.85</v>
      </c>
      <c r="N152" s="68">
        <v>281.54700000000003</v>
      </c>
      <c r="O152" s="923">
        <v>2014</v>
      </c>
      <c r="P152" s="93">
        <v>214.315</v>
      </c>
      <c r="Q152" s="356">
        <v>236.97300000000001</v>
      </c>
      <c r="R152" s="1399">
        <v>2016</v>
      </c>
      <c r="S152" s="72">
        <v>233.58</v>
      </c>
      <c r="T152" s="378"/>
      <c r="U152" s="72">
        <f>Z152*1000</f>
        <v>291.3</v>
      </c>
      <c r="V152" s="68"/>
      <c r="W152" s="454">
        <f>0.2462</f>
        <v>0.2462</v>
      </c>
      <c r="X152" s="490"/>
      <c r="Y152" s="453"/>
      <c r="Z152" s="1324">
        <v>0.2913</v>
      </c>
      <c r="AA152" s="424"/>
      <c r="AB152" s="292">
        <f>(W152-Z152)/W152</f>
        <v>-0.18318440292445168</v>
      </c>
      <c r="AC152" s="284">
        <f>AB152</f>
        <v>-0.18318440292445168</v>
      </c>
      <c r="AD152" s="207">
        <v>0.3327</v>
      </c>
      <c r="AE152" s="439"/>
      <c r="AF152" s="387">
        <f>0.2558</f>
        <v>0.25580000000000003</v>
      </c>
      <c r="AG152" s="483"/>
      <c r="AH152" s="387"/>
      <c r="AI152" s="48">
        <f>AD152</f>
        <v>0.3327</v>
      </c>
      <c r="AJ152" s="714"/>
      <c r="AK152" s="406"/>
      <c r="AL152" s="407"/>
      <c r="AM152" s="207">
        <f>AR152</f>
        <v>0.3458</v>
      </c>
      <c r="AN152" s="387"/>
      <c r="AO152" s="454">
        <f>AM152*(1+AT152)</f>
        <v>0.27664</v>
      </c>
      <c r="AP152" s="47">
        <f>AM152*(1+AU152)</f>
        <v>0.16944199999999998</v>
      </c>
      <c r="AQ152" s="262">
        <v>2030</v>
      </c>
      <c r="AR152" s="48">
        <v>0.3458</v>
      </c>
      <c r="AS152" s="714"/>
      <c r="AT152" s="292">
        <v>-0.2</v>
      </c>
      <c r="AU152" s="1326">
        <v>-0.51</v>
      </c>
      <c r="AV152" s="16"/>
      <c r="AW152" s="20"/>
      <c r="AX152" s="16"/>
      <c r="AY152" s="20"/>
      <c r="AZ152" s="77"/>
      <c r="BA152" s="38"/>
      <c r="BB152" s="32"/>
      <c r="BC152" s="80"/>
      <c r="BD152" s="75"/>
      <c r="BE152" s="208"/>
      <c r="BF152" s="16"/>
      <c r="BG152" s="19"/>
      <c r="BH152" s="20"/>
      <c r="BI152" s="77"/>
      <c r="BJ152" s="38"/>
      <c r="BK152" s="32"/>
      <c r="BL152" s="80"/>
      <c r="BM152" s="75"/>
      <c r="BN152" s="208"/>
      <c r="BO152" s="16"/>
      <c r="BP152" s="19"/>
      <c r="BQ152" s="20"/>
      <c r="BR152" s="32"/>
      <c r="BS152" s="38"/>
      <c r="BT152" s="32"/>
      <c r="BU152" s="43">
        <v>-1</v>
      </c>
      <c r="BV152" s="209">
        <f>BU152</f>
        <v>-1</v>
      </c>
      <c r="BX152" s="321"/>
      <c r="BY152" s="38"/>
    </row>
    <row r="153" spans="1:77" ht="15" customHeight="1" x14ac:dyDescent="0.2">
      <c r="A153" s="56" t="s">
        <v>56</v>
      </c>
      <c r="B153" s="56"/>
      <c r="C153" s="637" t="s">
        <v>577</v>
      </c>
      <c r="D153" s="544">
        <v>7333.415</v>
      </c>
      <c r="E153" s="161" t="s">
        <v>2576</v>
      </c>
      <c r="F153" s="603"/>
      <c r="G153" s="62"/>
      <c r="H153" s="69"/>
      <c r="I153" s="418">
        <v>2008</v>
      </c>
      <c r="J153" s="68"/>
      <c r="K153" s="68">
        <v>16.279278000000001</v>
      </c>
      <c r="L153" s="74"/>
      <c r="M153" s="437"/>
      <c r="N153" s="356"/>
      <c r="O153" s="923"/>
      <c r="P153" s="437"/>
      <c r="Q153" s="356"/>
      <c r="R153" s="923">
        <v>2017</v>
      </c>
      <c r="S153" s="437"/>
      <c r="T153" s="356">
        <v>11.421723999999999</v>
      </c>
      <c r="U153" s="167"/>
      <c r="V153" s="68"/>
      <c r="W153" s="89"/>
      <c r="X153" s="87"/>
      <c r="Y153" s="759"/>
      <c r="Z153" s="454"/>
      <c r="AA153" s="635"/>
      <c r="AB153" s="406"/>
      <c r="AC153" s="618"/>
      <c r="AD153" s="387"/>
      <c r="AE153" s="387"/>
      <c r="AF153" s="89">
        <f t="shared" ref="AF153" si="73">AJ153*(1+AK153)</f>
        <v>9.7084653999999996E-3</v>
      </c>
      <c r="AG153" s="87">
        <f t="shared" ref="AG153" si="74">AJ153*(1+AL153)</f>
        <v>9.7084653999999996E-3</v>
      </c>
      <c r="AH153" s="759">
        <v>2006</v>
      </c>
      <c r="AI153" s="454"/>
      <c r="AJ153" s="635">
        <f>+T153/1000</f>
        <v>1.1421723999999999E-2</v>
      </c>
      <c r="AK153" s="406">
        <v>-0.15</v>
      </c>
      <c r="AL153" s="618">
        <f>AK153</f>
        <v>-0.15</v>
      </c>
      <c r="AM153" s="456"/>
      <c r="AN153" s="387"/>
      <c r="AO153" s="454"/>
      <c r="AP153" s="439"/>
      <c r="AQ153" s="440"/>
      <c r="AR153" s="424"/>
      <c r="AS153" s="32"/>
      <c r="AT153" s="292"/>
      <c r="AU153" s="293"/>
      <c r="AV153" s="16"/>
      <c r="AW153" s="16"/>
      <c r="AX153" s="19"/>
      <c r="AY153" s="20"/>
      <c r="AZ153" s="77"/>
      <c r="BA153" s="38"/>
      <c r="BB153" s="32"/>
      <c r="BC153" s="80"/>
      <c r="BD153" s="75"/>
      <c r="BE153" s="208"/>
      <c r="BF153" s="16"/>
      <c r="BG153" s="619">
        <f>BK153*(1+BL153)</f>
        <v>7.1628823199999993E-3</v>
      </c>
      <c r="BH153" s="620">
        <f>BK153*(1+BM153)</f>
        <v>7.1628823199999993E-3</v>
      </c>
      <c r="BI153" s="617">
        <v>2008</v>
      </c>
      <c r="BJ153" s="642"/>
      <c r="BK153" s="650">
        <f>+K153/1000</f>
        <v>1.6279278000000001E-2</v>
      </c>
      <c r="BL153" s="399">
        <v>-0.56000000000000005</v>
      </c>
      <c r="BM153" s="652">
        <f>BL153</f>
        <v>-0.56000000000000005</v>
      </c>
      <c r="BN153" s="208"/>
      <c r="BO153" s="16"/>
      <c r="BP153" s="619">
        <f t="shared" ref="BP153" si="75">BT153*(1+BV153)</f>
        <v>6.1861256400000007E-3</v>
      </c>
      <c r="BQ153" s="620">
        <f t="shared" ref="BQ153" si="76">BT153*(1+BU153)</f>
        <v>6.1861256400000007E-3</v>
      </c>
      <c r="BR153" s="617">
        <v>2008</v>
      </c>
      <c r="BS153" s="642"/>
      <c r="BT153" s="650">
        <f>+K153/1000</f>
        <v>1.6279278000000001E-2</v>
      </c>
      <c r="BU153" s="399">
        <v>-0.62</v>
      </c>
      <c r="BV153" s="618">
        <f>BU153</f>
        <v>-0.62</v>
      </c>
      <c r="BX153" s="321"/>
      <c r="BY153" s="444" t="s">
        <v>578</v>
      </c>
    </row>
    <row r="154" spans="1:77" ht="15" customHeight="1" x14ac:dyDescent="0.2">
      <c r="A154" s="56" t="s">
        <v>56</v>
      </c>
      <c r="B154" s="56"/>
      <c r="C154" s="637" t="s">
        <v>2543</v>
      </c>
      <c r="D154" s="544">
        <v>484</v>
      </c>
      <c r="E154" s="161" t="s">
        <v>2436</v>
      </c>
      <c r="F154" s="603"/>
      <c r="G154" s="62"/>
      <c r="H154" s="69"/>
      <c r="I154" s="418"/>
      <c r="J154" s="68"/>
      <c r="K154" s="68"/>
      <c r="L154" s="74"/>
      <c r="M154" s="437"/>
      <c r="N154" s="356">
        <v>19.8</v>
      </c>
      <c r="O154" s="923"/>
      <c r="P154" s="437"/>
      <c r="Q154" s="356"/>
      <c r="R154" s="923"/>
      <c r="S154" s="437"/>
      <c r="T154" s="356"/>
      <c r="U154" s="167"/>
      <c r="V154" s="68"/>
      <c r="W154" s="89"/>
      <c r="X154" s="87"/>
      <c r="Y154" s="759"/>
      <c r="Z154" s="454"/>
      <c r="AA154" s="635"/>
      <c r="AB154" s="406"/>
      <c r="AC154" s="618"/>
      <c r="AD154" s="387"/>
      <c r="AE154" s="387"/>
      <c r="AF154" s="454"/>
      <c r="AG154" s="483"/>
      <c r="AH154" s="387"/>
      <c r="AI154" s="424"/>
      <c r="AJ154" s="32"/>
      <c r="AK154" s="80"/>
      <c r="AL154" s="215"/>
      <c r="AM154" s="456"/>
      <c r="AN154" s="387"/>
      <c r="AO154" s="454"/>
      <c r="AP154" s="439"/>
      <c r="AQ154" s="440"/>
      <c r="AR154" s="424"/>
      <c r="AS154" s="32"/>
      <c r="AT154" s="292"/>
      <c r="AU154" s="293"/>
      <c r="AV154" s="16"/>
      <c r="AW154" s="16"/>
      <c r="AX154" s="19"/>
      <c r="AY154" s="20"/>
      <c r="AZ154" s="77"/>
      <c r="BA154" s="38"/>
      <c r="BB154" s="32"/>
      <c r="BC154" s="80"/>
      <c r="BD154" s="75"/>
      <c r="BE154" s="208"/>
      <c r="BF154" s="16"/>
      <c r="BG154" s="619"/>
      <c r="BH154" s="620"/>
      <c r="BI154" s="617"/>
      <c r="BJ154" s="642"/>
      <c r="BK154" s="650"/>
      <c r="BL154" s="399"/>
      <c r="BM154" s="652"/>
      <c r="BN154" s="208"/>
      <c r="BO154" s="16"/>
      <c r="BP154" s="619"/>
      <c r="BQ154" s="620"/>
      <c r="BR154" s="617"/>
      <c r="BS154" s="642"/>
      <c r="BT154" s="650"/>
      <c r="BU154" s="399"/>
      <c r="BV154" s="618"/>
      <c r="BX154" s="321"/>
      <c r="BY154" s="444"/>
    </row>
    <row r="155" spans="1:77" ht="15" customHeight="1" x14ac:dyDescent="0.2">
      <c r="A155" s="56" t="s">
        <v>56</v>
      </c>
      <c r="B155" s="56"/>
      <c r="C155" s="637" t="s">
        <v>3302</v>
      </c>
      <c r="D155" s="544">
        <v>2533.424</v>
      </c>
      <c r="E155" s="161" t="s">
        <v>387</v>
      </c>
      <c r="F155" s="603"/>
      <c r="G155" s="62"/>
      <c r="H155" s="69"/>
      <c r="I155" s="418"/>
      <c r="J155" s="68"/>
      <c r="K155" s="68"/>
      <c r="L155" s="74"/>
      <c r="M155" s="437"/>
      <c r="N155" s="356"/>
      <c r="O155" s="923"/>
      <c r="P155" s="437"/>
      <c r="Q155" s="356">
        <v>3.5627970000000002</v>
      </c>
      <c r="R155" s="923"/>
      <c r="S155" s="437"/>
      <c r="T155" s="356"/>
      <c r="U155" s="167"/>
      <c r="V155" s="68"/>
      <c r="W155" s="89"/>
      <c r="X155" s="87"/>
      <c r="Y155" s="759"/>
      <c r="Z155" s="454"/>
      <c r="AA155" s="635"/>
      <c r="AB155" s="406"/>
      <c r="AC155" s="618"/>
      <c r="AD155" s="387"/>
      <c r="AE155" s="387"/>
      <c r="AF155" s="454"/>
      <c r="AG155" s="483"/>
      <c r="AH155" s="387"/>
      <c r="AI155" s="424"/>
      <c r="AJ155" s="32"/>
      <c r="AK155" s="80"/>
      <c r="AL155" s="215"/>
      <c r="AM155" s="456"/>
      <c r="AN155" s="387"/>
      <c r="AO155" s="454"/>
      <c r="AP155" s="439"/>
      <c r="AQ155" s="440"/>
      <c r="AR155" s="424"/>
      <c r="AS155" s="32"/>
      <c r="AT155" s="292"/>
      <c r="AU155" s="293"/>
      <c r="AV155" s="16"/>
      <c r="AW155" s="16"/>
      <c r="AX155" s="19"/>
      <c r="AY155" s="20"/>
      <c r="AZ155" s="77"/>
      <c r="BA155" s="38"/>
      <c r="BB155" s="32"/>
      <c r="BC155" s="80"/>
      <c r="BD155" s="75"/>
      <c r="BE155" s="208"/>
      <c r="BF155" s="16"/>
      <c r="BG155" s="619"/>
      <c r="BH155" s="620"/>
      <c r="BI155" s="617"/>
      <c r="BJ155" s="642"/>
      <c r="BK155" s="650"/>
      <c r="BL155" s="399"/>
      <c r="BM155" s="652"/>
      <c r="BN155" s="208"/>
      <c r="BO155" s="16"/>
      <c r="BP155" s="619">
        <v>0</v>
      </c>
      <c r="BQ155" s="620">
        <v>0</v>
      </c>
      <c r="BR155" s="617"/>
      <c r="BS155" s="642"/>
      <c r="BT155" s="650"/>
      <c r="BU155" s="399">
        <v>-1</v>
      </c>
      <c r="BV155" s="618">
        <v>-1</v>
      </c>
      <c r="BX155" s="321"/>
      <c r="BY155" s="444"/>
    </row>
    <row r="156" spans="1:77" ht="15" customHeight="1" x14ac:dyDescent="0.2">
      <c r="A156" s="56" t="s">
        <v>56</v>
      </c>
      <c r="B156" s="56"/>
      <c r="C156" s="637" t="s">
        <v>576</v>
      </c>
      <c r="D156" s="544">
        <v>422</v>
      </c>
      <c r="E156" s="161" t="s">
        <v>392</v>
      </c>
      <c r="F156" s="603"/>
      <c r="G156" s="62"/>
      <c r="H156" s="69"/>
      <c r="I156" s="418"/>
      <c r="J156" s="68"/>
      <c r="K156" s="68"/>
      <c r="L156" s="74">
        <v>2012</v>
      </c>
      <c r="M156" s="437"/>
      <c r="N156" s="356">
        <v>0.91800000000000004</v>
      </c>
      <c r="O156" s="923"/>
      <c r="P156" s="437"/>
      <c r="Q156" s="356"/>
      <c r="R156" s="923"/>
      <c r="S156" s="437"/>
      <c r="T156" s="356"/>
      <c r="U156" s="167"/>
      <c r="V156" s="68"/>
      <c r="W156" s="674">
        <f t="shared" ref="W156:W157" si="77">AA156*(1+AB156)</f>
        <v>7.3440000000000007E-4</v>
      </c>
      <c r="X156" s="675">
        <f t="shared" ref="X156:X157" si="78">AA156*(1+AC156)</f>
        <v>7.3440000000000007E-4</v>
      </c>
      <c r="Y156" s="160">
        <v>2009</v>
      </c>
      <c r="Z156" s="21"/>
      <c r="AA156" s="699">
        <f>+N156/1000</f>
        <v>9.1800000000000009E-4</v>
      </c>
      <c r="AB156" s="399">
        <v>-0.2</v>
      </c>
      <c r="AC156" s="618">
        <f t="shared" ref="AC156:AC157" si="79">AB156</f>
        <v>-0.2</v>
      </c>
      <c r="AD156" s="387"/>
      <c r="AE156" s="387"/>
      <c r="AF156" s="454"/>
      <c r="AG156" s="483"/>
      <c r="AH156" s="387"/>
      <c r="AI156" s="424"/>
      <c r="AJ156" s="32"/>
      <c r="AK156" s="80"/>
      <c r="AL156" s="215"/>
      <c r="AM156" s="456"/>
      <c r="AN156" s="387"/>
      <c r="AO156" s="454"/>
      <c r="AP156" s="439"/>
      <c r="AQ156" s="440"/>
      <c r="AR156" s="424"/>
      <c r="AS156" s="32"/>
      <c r="AT156" s="292"/>
      <c r="AU156" s="293"/>
      <c r="AV156" s="16"/>
      <c r="AW156" s="16"/>
      <c r="AX156" s="19"/>
      <c r="AY156" s="20"/>
      <c r="AZ156" s="77"/>
      <c r="BA156" s="38"/>
      <c r="BB156" s="32"/>
      <c r="BC156" s="80"/>
      <c r="BD156" s="75"/>
      <c r="BE156" s="208"/>
      <c r="BF156" s="16"/>
      <c r="BG156" s="19"/>
      <c r="BH156" s="20"/>
      <c r="BI156" s="77"/>
      <c r="BJ156" s="38"/>
      <c r="BK156" s="32"/>
      <c r="BL156" s="80"/>
      <c r="BM156" s="75"/>
      <c r="BN156" s="208"/>
      <c r="BO156" s="16"/>
      <c r="BP156" s="19"/>
      <c r="BQ156" s="20"/>
      <c r="BR156" s="32"/>
      <c r="BS156" s="38"/>
      <c r="BT156" s="32"/>
      <c r="BU156" s="80"/>
      <c r="BV156" s="215"/>
      <c r="BX156" s="321"/>
      <c r="BY156" s="38"/>
    </row>
    <row r="157" spans="1:77" ht="15" customHeight="1" x14ac:dyDescent="0.2">
      <c r="A157" s="56" t="s">
        <v>56</v>
      </c>
      <c r="B157" s="56"/>
      <c r="C157" s="637" t="s">
        <v>2714</v>
      </c>
      <c r="D157" s="544">
        <v>441.30099999999999</v>
      </c>
      <c r="E157" s="161" t="s">
        <v>392</v>
      </c>
      <c r="F157" s="603"/>
      <c r="G157" s="62"/>
      <c r="H157" s="69"/>
      <c r="I157" s="418"/>
      <c r="J157" s="68"/>
      <c r="K157" s="68"/>
      <c r="L157" s="74">
        <v>2009</v>
      </c>
      <c r="M157" s="437"/>
      <c r="N157" s="356">
        <v>1.2362789999999999</v>
      </c>
      <c r="O157" s="923">
        <v>2012</v>
      </c>
      <c r="P157" s="437"/>
      <c r="Q157" s="356">
        <v>0.917624</v>
      </c>
      <c r="R157" s="923"/>
      <c r="S157" s="437"/>
      <c r="T157" s="356"/>
      <c r="U157" s="167"/>
      <c r="V157" s="68"/>
      <c r="W157" s="1160">
        <f t="shared" si="77"/>
        <v>9.8902319999999997E-4</v>
      </c>
      <c r="X157" s="1161">
        <f t="shared" si="78"/>
        <v>9.8902319999999997E-4</v>
      </c>
      <c r="Y157" s="160">
        <v>2009</v>
      </c>
      <c r="Z157" s="21"/>
      <c r="AA157" s="21">
        <f>+N157/1000</f>
        <v>1.2362789999999999E-3</v>
      </c>
      <c r="AB157" s="1162">
        <v>-0.2</v>
      </c>
      <c r="AC157" s="1163">
        <f t="shared" si="79"/>
        <v>-0.2</v>
      </c>
      <c r="AD157" s="387"/>
      <c r="AE157" s="387"/>
      <c r="AF157" s="454"/>
      <c r="AG157" s="483"/>
      <c r="AH157" s="387"/>
      <c r="AI157" s="424"/>
      <c r="AJ157" s="32"/>
      <c r="AK157" s="80"/>
      <c r="AL157" s="215"/>
      <c r="AM157" s="456"/>
      <c r="AN157" s="387"/>
      <c r="AO157" s="454"/>
      <c r="AP157" s="439"/>
      <c r="AQ157" s="440"/>
      <c r="AR157" s="424"/>
      <c r="AS157" s="32"/>
      <c r="AT157" s="292"/>
      <c r="AU157" s="293"/>
      <c r="AV157" s="16"/>
      <c r="AW157" s="16"/>
      <c r="AX157" s="19"/>
      <c r="AY157" s="20"/>
      <c r="AZ157" s="77"/>
      <c r="BA157" s="38"/>
      <c r="BB157" s="32"/>
      <c r="BC157" s="80"/>
      <c r="BD157" s="75"/>
      <c r="BE157" s="208"/>
      <c r="BF157" s="16"/>
      <c r="BG157" s="19"/>
      <c r="BH157" s="20"/>
      <c r="BI157" s="77"/>
      <c r="BJ157" s="38"/>
      <c r="BK157" s="32"/>
      <c r="BL157" s="80"/>
      <c r="BM157" s="75"/>
      <c r="BN157" s="208"/>
      <c r="BO157" s="16"/>
      <c r="BP157" s="19"/>
      <c r="BQ157" s="20"/>
      <c r="BR157" s="32"/>
      <c r="BS157" s="38"/>
      <c r="BT157" s="32"/>
      <c r="BU157" s="80"/>
      <c r="BV157" s="215"/>
      <c r="BX157" s="321"/>
      <c r="BY157" s="38"/>
    </row>
    <row r="158" spans="1:77" ht="15" customHeight="1" x14ac:dyDescent="0.2">
      <c r="A158" s="56" t="s">
        <v>59</v>
      </c>
      <c r="B158" s="56" t="s">
        <v>1606</v>
      </c>
      <c r="C158" s="637"/>
      <c r="D158" s="544">
        <v>4669.6850000000004</v>
      </c>
      <c r="E158" s="95" t="s">
        <v>3330</v>
      </c>
      <c r="F158" s="373"/>
      <c r="G158" s="121">
        <v>36.3005</v>
      </c>
      <c r="H158" s="346">
        <v>8.1966000000000001</v>
      </c>
      <c r="I158" s="114"/>
      <c r="J158" s="91">
        <v>16.587399999999999</v>
      </c>
      <c r="K158" s="710">
        <v>11.196</v>
      </c>
      <c r="L158" s="114"/>
      <c r="M158" s="710">
        <v>16.7013</v>
      </c>
      <c r="N158" s="710">
        <v>12.896000000000001</v>
      </c>
      <c r="O158" s="1038"/>
      <c r="P158" s="710">
        <v>14.108700000000001</v>
      </c>
      <c r="Q158" s="1174">
        <v>13.6036</v>
      </c>
      <c r="R158" s="1038">
        <v>2017</v>
      </c>
      <c r="S158" s="710">
        <v>11.5092</v>
      </c>
      <c r="T158" s="1174">
        <v>14.477600000000001</v>
      </c>
      <c r="U158" s="4">
        <v>14</v>
      </c>
      <c r="V158" s="59">
        <v>18</v>
      </c>
      <c r="W158" s="536">
        <f>10.907506/1000</f>
        <v>1.0907505999999999E-2</v>
      </c>
      <c r="X158" s="537">
        <f>W158</f>
        <v>1.0907505999999999E-2</v>
      </c>
      <c r="Y158" s="53">
        <v>2020</v>
      </c>
      <c r="Z158" s="53"/>
      <c r="AA158" s="36"/>
      <c r="AB158" s="399"/>
      <c r="AC158" s="618"/>
      <c r="AD158" s="168"/>
      <c r="AE158" s="168"/>
      <c r="AF158" s="266"/>
      <c r="AG158" s="61"/>
      <c r="AH158" s="272"/>
      <c r="AI158" s="53"/>
      <c r="AJ158" s="36"/>
      <c r="AK158" s="294"/>
      <c r="AL158" s="295"/>
      <c r="AM158" s="216"/>
      <c r="AN158" s="280"/>
      <c r="AO158" s="1337">
        <f>9.11/1000</f>
        <v>9.11E-3</v>
      </c>
      <c r="AP158" s="1338">
        <f>AO158</f>
        <v>9.11E-3</v>
      </c>
      <c r="AQ158" s="617"/>
      <c r="AR158" s="427"/>
      <c r="AS158" s="428"/>
      <c r="AT158" s="965"/>
      <c r="AU158" s="747"/>
      <c r="AV158" s="168"/>
      <c r="AW158" s="168"/>
      <c r="AX158" s="266"/>
      <c r="AY158" s="61"/>
      <c r="AZ158" s="272"/>
      <c r="BA158" s="53"/>
      <c r="BB158" s="48"/>
      <c r="BC158" s="82"/>
      <c r="BD158" s="232"/>
      <c r="BE158" s="210"/>
      <c r="BF158" s="168"/>
      <c r="BG158" s="266"/>
      <c r="BH158" s="61"/>
      <c r="BI158" s="272"/>
      <c r="BJ158" s="53"/>
      <c r="BK158" s="48"/>
      <c r="BL158" s="82"/>
      <c r="BM158" s="232"/>
      <c r="BN158" s="210"/>
      <c r="BO158" s="168"/>
      <c r="BP158" s="446">
        <f>5.964988/1000</f>
        <v>5.9649880000000001E-3</v>
      </c>
      <c r="BQ158" s="447">
        <f>BP158</f>
        <v>5.9649880000000001E-3</v>
      </c>
      <c r="BR158" s="53"/>
      <c r="BS158" s="53"/>
      <c r="BT158" s="48"/>
      <c r="BU158" s="43">
        <v>-1</v>
      </c>
      <c r="BV158" s="209">
        <f>BU158</f>
        <v>-1</v>
      </c>
      <c r="BW158" s="140"/>
      <c r="BX158" s="309"/>
      <c r="BY158" s="309"/>
    </row>
    <row r="159" spans="1:77" ht="15" customHeight="1" x14ac:dyDescent="0.2">
      <c r="A159" s="56" t="s">
        <v>61</v>
      </c>
      <c r="B159" s="56" t="s">
        <v>1606</v>
      </c>
      <c r="C159" s="637"/>
      <c r="D159" s="544">
        <v>11281.768</v>
      </c>
      <c r="E159" s="624" t="s">
        <v>2953</v>
      </c>
      <c r="F159" s="373"/>
      <c r="G159" s="121">
        <v>53.554600000000001</v>
      </c>
      <c r="H159" s="346">
        <f>G159-15.1216</f>
        <v>38.433</v>
      </c>
      <c r="I159" s="114"/>
      <c r="J159" s="93">
        <v>45.2331</v>
      </c>
      <c r="K159" s="346">
        <f>J159-10.8071</f>
        <v>34.426000000000002</v>
      </c>
      <c r="L159" s="114"/>
      <c r="M159" s="93">
        <v>50.272300000000001</v>
      </c>
      <c r="N159" s="437">
        <f>M159-9.7698</f>
        <v>40.502499999999998</v>
      </c>
      <c r="O159" s="1038">
        <v>2016</v>
      </c>
      <c r="P159" s="93">
        <v>27.147200000000002</v>
      </c>
      <c r="Q159" s="471">
        <v>50.213700000000003</v>
      </c>
      <c r="R159" s="923"/>
      <c r="S159" s="68"/>
      <c r="T159" s="471"/>
      <c r="U159" s="68"/>
      <c r="V159" s="68"/>
      <c r="W159" s="489"/>
      <c r="X159" s="490"/>
      <c r="Y159" s="453"/>
      <c r="Z159" s="424">
        <v>0.27800000000000002</v>
      </c>
      <c r="AA159" s="424"/>
      <c r="AB159" s="292"/>
      <c r="AC159" s="284"/>
      <c r="AD159" s="1347"/>
      <c r="AE159" s="1348"/>
      <c r="AF159" s="1262">
        <f>1.175/10</f>
        <v>0.11750000000000001</v>
      </c>
      <c r="AG159" s="1263">
        <f>1.111/10</f>
        <v>0.1111</v>
      </c>
      <c r="AH159" s="1354"/>
      <c r="AI159" s="139"/>
      <c r="AJ159" s="1355"/>
      <c r="AK159" s="1356"/>
      <c r="AL159" s="1357"/>
      <c r="AM159" s="1358"/>
      <c r="AN159" s="1359"/>
      <c r="AO159" s="1360">
        <v>9.7000000000000003E-2</v>
      </c>
      <c r="AP159" s="1361">
        <f>AO159</f>
        <v>9.7000000000000003E-2</v>
      </c>
      <c r="AQ159" s="1349"/>
      <c r="AR159" s="1350"/>
      <c r="AS159" s="1351"/>
      <c r="AT159" s="1352"/>
      <c r="AU159" s="1353"/>
      <c r="AV159" s="16"/>
      <c r="AW159" s="20"/>
      <c r="AX159" s="16"/>
      <c r="AY159" s="20"/>
      <c r="AZ159" s="77"/>
      <c r="BA159" s="38"/>
      <c r="BB159" s="32"/>
      <c r="BC159" s="80"/>
      <c r="BD159" s="75"/>
      <c r="BE159" s="208"/>
      <c r="BF159" s="16"/>
      <c r="BG159" s="19"/>
      <c r="BH159" s="20"/>
      <c r="BI159" s="77"/>
      <c r="BJ159" s="38"/>
      <c r="BK159" s="32"/>
      <c r="BL159" s="80"/>
      <c r="BM159" s="75"/>
      <c r="BN159" s="208"/>
      <c r="BO159" s="16"/>
      <c r="BP159" s="19"/>
      <c r="BQ159" s="20"/>
      <c r="BR159" s="32"/>
      <c r="BS159" s="38"/>
      <c r="BT159" s="32"/>
      <c r="BU159" s="80"/>
      <c r="BV159" s="215"/>
      <c r="BX159" s="321"/>
      <c r="BY159" s="38"/>
    </row>
    <row r="160" spans="1:77" ht="15" customHeight="1" x14ac:dyDescent="0.2">
      <c r="A160" s="573" t="s">
        <v>196</v>
      </c>
      <c r="B160" s="56" t="s">
        <v>1606</v>
      </c>
      <c r="C160" s="637"/>
      <c r="D160" s="544">
        <v>71.167000000000002</v>
      </c>
      <c r="E160" s="107" t="s">
        <v>274</v>
      </c>
      <c r="F160" s="362">
        <v>1994</v>
      </c>
      <c r="G160" s="62">
        <v>-0.219</v>
      </c>
      <c r="H160" s="69">
        <v>0.15218999999999999</v>
      </c>
      <c r="I160" s="74"/>
      <c r="J160" s="68">
        <v>5.4199999999999998E-2</v>
      </c>
      <c r="K160" s="69">
        <f>(119+1.56*21+0.097*310)/1000</f>
        <v>0.18182999999999999</v>
      </c>
      <c r="L160" s="436">
        <v>2014</v>
      </c>
      <c r="M160" s="494">
        <f>N160-0.1</f>
        <v>6.4500000000000002E-2</v>
      </c>
      <c r="N160" s="496">
        <v>0.16450000000000001</v>
      </c>
      <c r="O160" s="1037">
        <v>2014</v>
      </c>
      <c r="P160" s="494">
        <f>Q160-0.1</f>
        <v>6.4500000000000002E-2</v>
      </c>
      <c r="Q160" s="496">
        <v>0.16450000000000001</v>
      </c>
      <c r="R160" s="1037"/>
      <c r="S160" s="494"/>
      <c r="T160" s="496"/>
      <c r="U160" s="437"/>
      <c r="V160" s="437"/>
      <c r="W160" s="530">
        <f>AA160*(1+AB160)</f>
        <v>1.3505449999999999E-4</v>
      </c>
      <c r="X160" s="510">
        <f>AA160*(1+AC160)</f>
        <v>1.3505449999999999E-4</v>
      </c>
      <c r="Y160" s="497">
        <v>2014</v>
      </c>
      <c r="AA160" s="475">
        <f>+N160/1000</f>
        <v>1.6450000000000001E-4</v>
      </c>
      <c r="AB160" s="461">
        <v>-0.17899999999999999</v>
      </c>
      <c r="AC160" s="285">
        <f>AB160</f>
        <v>-0.17899999999999999</v>
      </c>
      <c r="AD160" s="16"/>
      <c r="AE160" s="20"/>
      <c r="AF160" s="530">
        <f>AJ160*(1+AK160)</f>
        <v>1.0001600000000001E-4</v>
      </c>
      <c r="AG160" s="510">
        <f>AJ160*(1+AL160)</f>
        <v>1.0001600000000001E-4</v>
      </c>
      <c r="AH160" s="497">
        <v>2014</v>
      </c>
      <c r="AJ160" s="475">
        <f>+N160/1000</f>
        <v>1.6450000000000001E-4</v>
      </c>
      <c r="AK160" s="461">
        <v>-0.39200000000000002</v>
      </c>
      <c r="AL160" s="519">
        <f>AK160</f>
        <v>-0.39200000000000002</v>
      </c>
      <c r="AM160" s="208"/>
      <c r="AN160" s="16"/>
      <c r="AO160" s="530">
        <f>AS160*(1+AT160)</f>
        <v>9.0968499999999995E-5</v>
      </c>
      <c r="AP160" s="510">
        <f>AS160*(1+AU160)</f>
        <v>9.0968499999999995E-5</v>
      </c>
      <c r="AQ160" s="479">
        <v>2014</v>
      </c>
      <c r="AS160" s="475">
        <f>+N160/1000</f>
        <v>1.6450000000000001E-4</v>
      </c>
      <c r="AT160" s="461">
        <v>-0.44700000000000001</v>
      </c>
      <c r="AU160" s="285">
        <f>AT160</f>
        <v>-0.44700000000000001</v>
      </c>
      <c r="AV160" s="16"/>
      <c r="AW160" s="20"/>
      <c r="AX160" s="16"/>
      <c r="AY160" s="20"/>
      <c r="AZ160" s="77"/>
      <c r="BA160" s="38"/>
      <c r="BB160" s="32"/>
      <c r="BC160" s="80"/>
      <c r="BD160" s="75"/>
      <c r="BE160" s="208"/>
      <c r="BF160" s="16"/>
      <c r="BG160" s="19"/>
      <c r="BH160" s="20"/>
      <c r="BI160" s="77"/>
      <c r="BJ160" s="38"/>
      <c r="BK160" s="32"/>
      <c r="BL160" s="80"/>
      <c r="BM160" s="75"/>
      <c r="BN160" s="208"/>
      <c r="BO160" s="16"/>
      <c r="BP160" s="19"/>
      <c r="BQ160" s="20"/>
      <c r="BR160" s="32"/>
      <c r="BS160" s="38"/>
      <c r="BT160" s="32"/>
      <c r="BU160" s="80"/>
      <c r="BV160" s="215"/>
      <c r="BW160" s="1" t="s">
        <v>243</v>
      </c>
      <c r="BX160" s="321"/>
      <c r="BY160" s="38" t="s">
        <v>244</v>
      </c>
    </row>
    <row r="161" spans="1:77" ht="15" customHeight="1" x14ac:dyDescent="0.2">
      <c r="A161" s="107" t="s">
        <v>309</v>
      </c>
      <c r="B161" s="56" t="s">
        <v>1606</v>
      </c>
      <c r="C161" s="637"/>
      <c r="D161" s="544">
        <v>10016.797</v>
      </c>
      <c r="E161" s="624" t="s">
        <v>3187</v>
      </c>
      <c r="F161" s="362"/>
      <c r="G161" s="62">
        <v>7.0849299999999999</v>
      </c>
      <c r="H161" s="69">
        <v>12.64</v>
      </c>
      <c r="I161" s="74">
        <v>2000</v>
      </c>
      <c r="J161" s="68">
        <v>7.6390000000000002</v>
      </c>
      <c r="K161" s="69">
        <v>26.433240000000001</v>
      </c>
      <c r="L161" s="74"/>
      <c r="M161" s="68"/>
      <c r="N161" s="471">
        <f>3.6*10.02</f>
        <v>36.072000000000003</v>
      </c>
      <c r="O161" s="923"/>
      <c r="P161" s="716">
        <v>36</v>
      </c>
      <c r="Q161" s="471"/>
      <c r="R161" s="923"/>
      <c r="S161" s="68"/>
      <c r="T161" s="471"/>
      <c r="U161" s="68"/>
      <c r="V161" s="68"/>
      <c r="W161" s="27"/>
      <c r="X161" s="28"/>
      <c r="Y161" s="145"/>
      <c r="Z161" s="38"/>
      <c r="AA161" s="32"/>
      <c r="AB161" s="80"/>
      <c r="AC161" s="215"/>
      <c r="AD161" s="16"/>
      <c r="AE161" s="59"/>
      <c r="AF161" s="4"/>
      <c r="AG161" s="59"/>
      <c r="AH161" s="77"/>
      <c r="AI161" s="38"/>
      <c r="AJ161" s="32"/>
      <c r="AK161" s="80"/>
      <c r="AL161" s="215"/>
      <c r="AM161" s="207">
        <v>5.0999999999999997E-2</v>
      </c>
      <c r="AN161" s="387"/>
      <c r="AO161" s="46">
        <f>AR161*(1+AT161)</f>
        <v>4.7429999999999993E-2</v>
      </c>
      <c r="AP161" s="47">
        <f>AR161*(1+AU161)</f>
        <v>3.7229999999999999E-2</v>
      </c>
      <c r="AQ161" s="262">
        <v>2010</v>
      </c>
      <c r="AR161" s="1324">
        <f>+AM161</f>
        <v>5.0999999999999997E-2</v>
      </c>
      <c r="AS161" s="48"/>
      <c r="AT161" s="1325">
        <v>-7.0000000000000007E-2</v>
      </c>
      <c r="AU161" s="1326">
        <v>-0.27</v>
      </c>
      <c r="AV161" s="16"/>
      <c r="AW161" s="20"/>
      <c r="AX161" s="16"/>
      <c r="AY161" s="20"/>
      <c r="AZ161" s="77"/>
      <c r="BA161" s="38"/>
      <c r="BB161" s="32"/>
      <c r="BC161" s="80"/>
      <c r="BD161" s="75"/>
      <c r="BE161" s="208"/>
      <c r="BF161" s="16"/>
      <c r="BG161" s="19"/>
      <c r="BH161" s="20"/>
      <c r="BI161" s="77"/>
      <c r="BJ161" s="38"/>
      <c r="BK161" s="32"/>
      <c r="BL161" s="80"/>
      <c r="BM161" s="75"/>
      <c r="BN161" s="208"/>
      <c r="BO161" s="16"/>
      <c r="BP161" s="19"/>
      <c r="BQ161" s="20"/>
      <c r="BR161" s="32"/>
      <c r="BS161" s="38"/>
      <c r="BT161" s="32"/>
      <c r="BU161" s="80"/>
      <c r="BV161" s="215"/>
      <c r="BW161" s="1" t="s">
        <v>255</v>
      </c>
      <c r="BX161" s="139" t="s">
        <v>307</v>
      </c>
      <c r="BY161" s="405" t="s">
        <v>256</v>
      </c>
    </row>
    <row r="162" spans="1:77" ht="15" customHeight="1" x14ac:dyDescent="0.2">
      <c r="A162" s="56" t="s">
        <v>63</v>
      </c>
      <c r="B162" s="56" t="s">
        <v>1606</v>
      </c>
      <c r="C162" s="637"/>
      <c r="D162" s="544">
        <v>15001.072</v>
      </c>
      <c r="E162" s="624" t="s">
        <v>2459</v>
      </c>
      <c r="F162" s="362">
        <v>1994</v>
      </c>
      <c r="G162" s="62">
        <v>84.817359999999994</v>
      </c>
      <c r="H162" s="69">
        <v>33.494529999999997</v>
      </c>
      <c r="I162" s="74">
        <v>2006</v>
      </c>
      <c r="J162" s="68">
        <v>83.466489999999993</v>
      </c>
      <c r="K162" s="69">
        <v>48.201189999999997</v>
      </c>
      <c r="L162" s="74"/>
      <c r="M162" s="93">
        <v>80.504230000000007</v>
      </c>
      <c r="N162" s="356">
        <v>56.333120000000001</v>
      </c>
      <c r="O162" s="923">
        <v>2012</v>
      </c>
      <c r="P162" s="93">
        <v>80.627160000000003</v>
      </c>
      <c r="Q162" s="356">
        <v>60.191676000000001</v>
      </c>
      <c r="R162" s="923"/>
      <c r="S162" s="93"/>
      <c r="T162" s="356"/>
      <c r="U162" s="68"/>
      <c r="V162" s="68"/>
      <c r="W162" s="454">
        <v>6.2519000000000005E-2</v>
      </c>
      <c r="X162" s="439">
        <v>6.1135000000000002E-2</v>
      </c>
      <c r="Y162" s="497">
        <v>2020</v>
      </c>
      <c r="Z162" s="441"/>
      <c r="AA162" s="424">
        <v>7.1640999999999996E-2</v>
      </c>
      <c r="AB162" s="80"/>
      <c r="AC162" s="209"/>
      <c r="AD162" s="16"/>
      <c r="AE162" s="20"/>
      <c r="AF162" s="454">
        <f>AJ162*(1+AK162)</f>
        <v>6.9982639999999999E-2</v>
      </c>
      <c r="AG162" s="439">
        <f>AJ162*(1+AL162)</f>
        <v>6.0831064000000004E-2</v>
      </c>
      <c r="AH162" s="440">
        <v>2025</v>
      </c>
      <c r="AI162" s="158"/>
      <c r="AJ162" s="714">
        <v>7.6904E-2</v>
      </c>
      <c r="AK162" s="461">
        <v>-0.09</v>
      </c>
      <c r="AL162" s="462">
        <v>-0.20899999999999999</v>
      </c>
      <c r="AM162" s="208"/>
      <c r="AN162" s="16"/>
      <c r="AO162" s="1533" t="s">
        <v>311</v>
      </c>
      <c r="AP162" s="1534"/>
      <c r="AQ162" s="77"/>
      <c r="AR162" s="38"/>
      <c r="AS162" s="32"/>
      <c r="AT162" s="80"/>
      <c r="AU162" s="215"/>
      <c r="AV162" s="16"/>
      <c r="AW162" s="20"/>
      <c r="AX162" s="16"/>
      <c r="AY162" s="20"/>
      <c r="AZ162" s="77"/>
      <c r="BA162" s="38"/>
      <c r="BB162" s="32"/>
      <c r="BC162" s="80"/>
      <c r="BD162" s="75"/>
      <c r="BE162" s="208"/>
      <c r="BF162" s="16"/>
      <c r="BG162" s="19"/>
      <c r="BH162" s="20"/>
      <c r="BI162" s="77"/>
      <c r="BJ162" s="38"/>
      <c r="BK162" s="32"/>
      <c r="BL162" s="80"/>
      <c r="BM162" s="75"/>
      <c r="BN162" s="208"/>
      <c r="BO162" s="16"/>
      <c r="BP162" s="19"/>
      <c r="BQ162" s="20"/>
      <c r="BR162" s="32"/>
      <c r="BS162" s="38"/>
      <c r="BT162" s="32"/>
      <c r="BU162" s="80"/>
      <c r="BV162" s="215"/>
      <c r="BX162" s="321"/>
      <c r="BY162" s="38"/>
    </row>
    <row r="163" spans="1:77" ht="15" customHeight="1" x14ac:dyDescent="0.2">
      <c r="A163" s="56" t="s">
        <v>63</v>
      </c>
      <c r="B163" s="56"/>
      <c r="C163" s="637" t="s">
        <v>2524</v>
      </c>
      <c r="D163" s="544">
        <v>2350.915</v>
      </c>
      <c r="E163" s="624" t="s">
        <v>387</v>
      </c>
      <c r="F163" s="362"/>
      <c r="G163" s="62"/>
      <c r="H163" s="69"/>
      <c r="I163" s="74"/>
      <c r="J163" s="68"/>
      <c r="K163" s="69"/>
      <c r="L163" s="74"/>
      <c r="M163" s="93"/>
      <c r="N163" s="356"/>
      <c r="O163" s="923">
        <v>2014</v>
      </c>
      <c r="P163" s="93"/>
      <c r="Q163" s="356">
        <v>6.7873739999999998</v>
      </c>
      <c r="R163" s="923"/>
      <c r="S163" s="93"/>
      <c r="T163" s="356"/>
      <c r="U163" s="68"/>
      <c r="V163" s="68"/>
      <c r="W163" s="27"/>
      <c r="X163" s="28"/>
      <c r="Y163" s="145"/>
      <c r="Z163" s="38"/>
      <c r="AA163" s="32"/>
      <c r="AB163" s="80"/>
      <c r="AC163" s="209"/>
      <c r="AD163" s="16"/>
      <c r="AE163" s="20"/>
      <c r="AF163" s="4"/>
      <c r="AG163" s="59"/>
      <c r="AH163" s="77"/>
      <c r="AI163" s="38"/>
      <c r="AJ163" s="32"/>
      <c r="AK163" s="461"/>
      <c r="AL163" s="462"/>
      <c r="AM163" s="208"/>
      <c r="AN163" s="16"/>
      <c r="AO163" s="820"/>
      <c r="AP163" s="821"/>
      <c r="AQ163" s="77"/>
      <c r="AR163" s="38"/>
      <c r="AS163" s="32"/>
      <c r="AT163" s="80"/>
      <c r="AU163" s="215"/>
      <c r="AV163" s="16"/>
      <c r="AW163" s="20"/>
      <c r="AX163" s="16"/>
      <c r="AY163" s="20"/>
      <c r="AZ163" s="77"/>
      <c r="BA163" s="38"/>
      <c r="BB163" s="32"/>
      <c r="BC163" s="80"/>
      <c r="BD163" s="75"/>
      <c r="BE163" s="208"/>
      <c r="BF163" s="16"/>
      <c r="BG163" s="19"/>
      <c r="BH163" s="20"/>
      <c r="BI163" s="77"/>
      <c r="BJ163" s="38"/>
      <c r="BK163" s="32"/>
      <c r="BL163" s="80"/>
      <c r="BM163" s="75"/>
      <c r="BN163" s="208"/>
      <c r="BO163" s="16"/>
      <c r="BP163" s="19"/>
      <c r="BQ163" s="20"/>
      <c r="BR163" s="32"/>
      <c r="BS163" s="38"/>
      <c r="BT163" s="32"/>
      <c r="BU163" s="80"/>
      <c r="BV163" s="215"/>
      <c r="BX163" s="321"/>
      <c r="BY163" s="38"/>
    </row>
    <row r="164" spans="1:77" ht="15" customHeight="1" x14ac:dyDescent="0.2">
      <c r="A164" s="56" t="s">
        <v>63</v>
      </c>
      <c r="B164" s="56"/>
      <c r="C164" s="637" t="s">
        <v>3163</v>
      </c>
      <c r="D164" s="544">
        <v>214.85499999999999</v>
      </c>
      <c r="E164" s="624" t="s">
        <v>387</v>
      </c>
      <c r="F164" s="362"/>
      <c r="G164" s="62"/>
      <c r="H164" s="69"/>
      <c r="I164" s="74"/>
      <c r="J164" s="68"/>
      <c r="K164" s="69"/>
      <c r="L164" s="74"/>
      <c r="M164" s="93"/>
      <c r="N164" s="356"/>
      <c r="O164" s="923"/>
      <c r="P164" s="93"/>
      <c r="Q164" s="375">
        <v>4.2379999999999996E-3</v>
      </c>
      <c r="R164" s="923"/>
      <c r="S164" s="93"/>
      <c r="T164" s="356"/>
      <c r="U164" s="68"/>
      <c r="V164" s="68"/>
      <c r="W164" s="27"/>
      <c r="X164" s="28"/>
      <c r="Y164" s="145"/>
      <c r="Z164" s="38"/>
      <c r="AA164" s="32"/>
      <c r="AB164" s="80"/>
      <c r="AC164" s="209"/>
      <c r="AD164" s="16"/>
      <c r="AE164" s="20"/>
      <c r="AF164" s="4"/>
      <c r="AG164" s="59"/>
      <c r="AH164" s="77"/>
      <c r="AI164" s="38"/>
      <c r="AJ164" s="32"/>
      <c r="AK164" s="461"/>
      <c r="AL164" s="462"/>
      <c r="AM164" s="208"/>
      <c r="AN164" s="16"/>
      <c r="AO164" s="1215"/>
      <c r="AP164" s="1216"/>
      <c r="AQ164" s="77"/>
      <c r="AR164" s="38"/>
      <c r="AS164" s="32"/>
      <c r="AT164" s="80"/>
      <c r="AU164" s="215"/>
      <c r="AV164" s="16"/>
      <c r="AW164" s="20"/>
      <c r="AX164" s="16"/>
      <c r="AY164" s="20"/>
      <c r="AZ164" s="77"/>
      <c r="BA164" s="38"/>
      <c r="BB164" s="32"/>
      <c r="BC164" s="80"/>
      <c r="BD164" s="75"/>
      <c r="BE164" s="208"/>
      <c r="BF164" s="16"/>
      <c r="BG164" s="704">
        <f>BK164*(1+BL164)</f>
        <v>3.2208799999999998E-6</v>
      </c>
      <c r="BH164" s="705">
        <f>BK164*(1+BM164)</f>
        <v>3.2208799999999998E-6</v>
      </c>
      <c r="BI164" s="617">
        <v>2015</v>
      </c>
      <c r="BJ164" s="642"/>
      <c r="BK164" s="1053">
        <f>+Q164/1000</f>
        <v>4.2379999999999999E-6</v>
      </c>
      <c r="BL164" s="399">
        <v>-0.24</v>
      </c>
      <c r="BM164" s="652">
        <f>BL164</f>
        <v>-0.24</v>
      </c>
      <c r="BN164" s="208"/>
      <c r="BO164" s="16"/>
      <c r="BP164" s="19"/>
      <c r="BQ164" s="20"/>
      <c r="BR164" s="32"/>
      <c r="BS164" s="38"/>
      <c r="BT164" s="32"/>
      <c r="BU164" s="80"/>
      <c r="BV164" s="215"/>
      <c r="BX164" s="321"/>
      <c r="BY164" s="38"/>
    </row>
    <row r="165" spans="1:77" ht="15" customHeight="1" x14ac:dyDescent="0.2">
      <c r="A165" s="56" t="s">
        <v>63</v>
      </c>
      <c r="B165" s="56"/>
      <c r="C165" s="637" t="s">
        <v>553</v>
      </c>
      <c r="D165" s="544">
        <v>2239.1909999999998</v>
      </c>
      <c r="E165" s="161" t="s">
        <v>2578</v>
      </c>
      <c r="F165" s="362"/>
      <c r="G165" s="62"/>
      <c r="H165" s="69"/>
      <c r="I165" s="74"/>
      <c r="J165" s="68"/>
      <c r="K165" s="69"/>
      <c r="L165" s="74">
        <v>2011</v>
      </c>
      <c r="M165" s="437"/>
      <c r="N165" s="354">
        <v>5.218318</v>
      </c>
      <c r="O165" s="923"/>
      <c r="P165" s="437"/>
      <c r="Q165" s="354">
        <v>7.5789999999999997</v>
      </c>
      <c r="R165" s="923"/>
      <c r="S165" s="437"/>
      <c r="T165" s="354"/>
      <c r="U165" s="71"/>
      <c r="V165" s="68"/>
      <c r="W165" s="27"/>
      <c r="X165" s="28"/>
      <c r="Y165" s="145"/>
      <c r="Z165" s="38"/>
      <c r="AA165" s="32"/>
      <c r="AB165" s="80"/>
      <c r="AC165" s="209"/>
      <c r="AD165" s="16"/>
      <c r="AE165" s="20"/>
      <c r="AF165" s="697"/>
      <c r="AG165" s="698"/>
      <c r="AH165" s="640"/>
      <c r="AI165" s="746"/>
      <c r="AJ165" s="641"/>
      <c r="AK165" s="399"/>
      <c r="AL165" s="747"/>
      <c r="AM165" s="208"/>
      <c r="AN165" s="16"/>
      <c r="AO165" s="619">
        <f>AS165*(1+AT165)</f>
        <v>5.3052999999999998E-3</v>
      </c>
      <c r="AP165" s="620">
        <f>AS165*(1+AU165)</f>
        <v>5.3052999999999998E-3</v>
      </c>
      <c r="AQ165" s="617">
        <v>1990</v>
      </c>
      <c r="AR165" s="432"/>
      <c r="AS165" s="621">
        <f>+Q165/1000</f>
        <v>7.5789999999999998E-3</v>
      </c>
      <c r="AT165" s="399">
        <v>-0.3</v>
      </c>
      <c r="AU165" s="618">
        <f>AT165</f>
        <v>-0.3</v>
      </c>
      <c r="AV165" s="16"/>
      <c r="AW165" s="20"/>
      <c r="AX165" s="16"/>
      <c r="AY165" s="20"/>
      <c r="AZ165" s="77"/>
      <c r="BA165" s="38"/>
      <c r="BB165" s="32"/>
      <c r="BC165" s="80"/>
      <c r="BD165" s="75"/>
      <c r="BE165" s="208"/>
      <c r="BF165" s="16"/>
      <c r="BG165" s="19"/>
      <c r="BH165" s="20"/>
      <c r="BI165" s="77"/>
      <c r="BJ165" s="38"/>
      <c r="BK165" s="32"/>
      <c r="BL165" s="80"/>
      <c r="BM165" s="75"/>
      <c r="BN165" s="208"/>
      <c r="BO165" s="16"/>
      <c r="BP165" s="19"/>
      <c r="BQ165" s="20"/>
      <c r="BR165" s="32"/>
      <c r="BS165" s="38"/>
      <c r="BT165" s="32"/>
      <c r="BU165" s="399">
        <v>-1</v>
      </c>
      <c r="BV165" s="618">
        <f t="shared" ref="BV165" si="80">BU165</f>
        <v>-1</v>
      </c>
      <c r="BX165" s="321" t="s">
        <v>2242</v>
      </c>
      <c r="BY165" s="38"/>
    </row>
    <row r="166" spans="1:77" ht="15" customHeight="1" x14ac:dyDescent="0.2">
      <c r="A166" s="56" t="s">
        <v>65</v>
      </c>
      <c r="B166" s="56" t="s">
        <v>1606</v>
      </c>
      <c r="C166" s="637"/>
      <c r="D166" s="544">
        <v>6218.1949999999997</v>
      </c>
      <c r="E166" s="624" t="s">
        <v>2776</v>
      </c>
      <c r="F166" s="362">
        <v>1994</v>
      </c>
      <c r="G166" s="62">
        <v>15.659509999999999</v>
      </c>
      <c r="H166" s="69">
        <v>11.716710000000001</v>
      </c>
      <c r="I166" s="74"/>
      <c r="J166" s="68">
        <v>14.4534</v>
      </c>
      <c r="K166" s="69">
        <f>J166-3.38019</f>
        <v>11.07321</v>
      </c>
      <c r="L166" s="74"/>
      <c r="M166" s="68"/>
      <c r="N166" s="68"/>
      <c r="O166" s="1038">
        <v>2014</v>
      </c>
      <c r="P166" s="93">
        <v>20.3949</v>
      </c>
      <c r="Q166" s="378">
        <f>P166-11.7936</f>
        <v>8.6013000000000002</v>
      </c>
      <c r="R166" s="923"/>
      <c r="S166" s="68"/>
      <c r="T166" s="356"/>
      <c r="U166" s="68"/>
      <c r="V166" s="68"/>
      <c r="W166" s="27"/>
      <c r="X166" s="28"/>
      <c r="Y166" s="145"/>
      <c r="Z166" s="38"/>
      <c r="AA166" s="32"/>
      <c r="AB166" s="80"/>
      <c r="AC166" s="209"/>
      <c r="AD166" s="16"/>
      <c r="AE166" s="20"/>
      <c r="AF166" s="1548" t="s">
        <v>323</v>
      </c>
      <c r="AG166" s="1549"/>
      <c r="AH166" s="77"/>
      <c r="AI166" s="38"/>
      <c r="AJ166" s="32"/>
      <c r="AK166" s="80"/>
      <c r="AL166" s="215"/>
      <c r="AM166" s="208"/>
      <c r="AN166" s="16"/>
      <c r="AO166" s="136"/>
      <c r="AP166" s="59"/>
      <c r="AQ166" s="77"/>
      <c r="AR166" s="38"/>
      <c r="AS166" s="32"/>
      <c r="AT166" s="80"/>
      <c r="AU166" s="215"/>
      <c r="AV166" s="16"/>
      <c r="AW166" s="20"/>
      <c r="AX166" s="16"/>
      <c r="AY166" s="20"/>
      <c r="AZ166" s="77"/>
      <c r="BA166" s="38"/>
      <c r="BB166" s="32"/>
      <c r="BC166" s="80"/>
      <c r="BD166" s="75"/>
      <c r="BE166" s="208"/>
      <c r="BF166" s="16"/>
      <c r="BG166" s="19"/>
      <c r="BH166" s="20"/>
      <c r="BI166" s="77"/>
      <c r="BJ166" s="38"/>
      <c r="BK166" s="32"/>
      <c r="BL166" s="80"/>
      <c r="BM166" s="75"/>
      <c r="BN166" s="208"/>
      <c r="BO166" s="16"/>
      <c r="BP166" s="19"/>
      <c r="BQ166" s="20"/>
      <c r="BR166" s="32"/>
      <c r="BS166" s="38"/>
      <c r="BT166" s="32"/>
      <c r="BU166" s="27"/>
      <c r="BV166" s="220"/>
      <c r="BX166" s="321"/>
      <c r="BY166" s="38"/>
    </row>
    <row r="167" spans="1:77" ht="15" customHeight="1" x14ac:dyDescent="0.2">
      <c r="A167" s="56" t="s">
        <v>189</v>
      </c>
      <c r="B167" s="56" t="s">
        <v>1606</v>
      </c>
      <c r="C167" s="637"/>
      <c r="D167" s="544">
        <v>104.67700000000001</v>
      </c>
      <c r="E167" s="624" t="s">
        <v>2950</v>
      </c>
      <c r="F167" s="373">
        <v>1994</v>
      </c>
      <c r="G167" s="121">
        <v>1.51447</v>
      </c>
      <c r="H167" s="346">
        <v>1.6064700000000001</v>
      </c>
      <c r="I167" s="114"/>
      <c r="J167" s="93"/>
      <c r="K167" s="1292">
        <v>0.27210000000000001</v>
      </c>
      <c r="L167" s="114"/>
      <c r="M167" s="1334">
        <v>0.21690000000000001</v>
      </c>
      <c r="N167" s="1330">
        <v>0.39439999999999997</v>
      </c>
      <c r="O167" s="1038">
        <v>2014</v>
      </c>
      <c r="P167" s="494"/>
      <c r="Q167" s="784">
        <v>0.40660000000000002</v>
      </c>
      <c r="R167" s="923"/>
      <c r="S167" s="494"/>
      <c r="T167" s="354"/>
      <c r="U167" s="557">
        <v>0.27</v>
      </c>
      <c r="V167" s="437"/>
      <c r="W167" s="493">
        <v>1.93E-4</v>
      </c>
      <c r="X167" s="451">
        <f>W167</f>
        <v>1.93E-4</v>
      </c>
      <c r="Y167" s="497">
        <v>2010</v>
      </c>
      <c r="Z167" s="452">
        <f>M167/1000</f>
        <v>2.1690000000000001E-4</v>
      </c>
      <c r="AA167" s="424"/>
      <c r="AB167" s="292">
        <f>(W167-Z167)/Z167</f>
        <v>-0.11018902720147539</v>
      </c>
      <c r="AC167" s="284">
        <f>AB167</f>
        <v>-0.11018902720147539</v>
      </c>
      <c r="AD167" s="450">
        <v>2.8699999999999998E-4</v>
      </c>
      <c r="AE167" s="485"/>
      <c r="AF167" s="446">
        <f>AI167*(1+AK167)</f>
        <v>1.5182999999999999E-4</v>
      </c>
      <c r="AG167" s="447">
        <f>AI167*(1+AL167)</f>
        <v>1.5182999999999999E-4</v>
      </c>
      <c r="AH167" s="440">
        <v>2010</v>
      </c>
      <c r="AI167" s="452">
        <f>+M167/1000</f>
        <v>2.1690000000000001E-4</v>
      </c>
      <c r="AJ167" s="453"/>
      <c r="AK167" s="156">
        <v>-0.3</v>
      </c>
      <c r="AL167" s="295">
        <f>AK167</f>
        <v>-0.3</v>
      </c>
      <c r="AM167" s="1335">
        <v>3.0499999999999999E-4</v>
      </c>
      <c r="AN167" s="1336">
        <f>AM167</f>
        <v>3.0499999999999999E-4</v>
      </c>
      <c r="AO167" s="1337">
        <f>AR167*(1+AT167)</f>
        <v>1.3014E-4</v>
      </c>
      <c r="AP167" s="1338">
        <f>AR167*(1+AU167)</f>
        <v>1.3014E-4</v>
      </c>
      <c r="AQ167" s="262">
        <v>2010</v>
      </c>
      <c r="AR167" s="1339">
        <f>+M167/1000</f>
        <v>2.1690000000000001E-4</v>
      </c>
      <c r="AS167" s="1340"/>
      <c r="AT167" s="1341">
        <v>-0.4</v>
      </c>
      <c r="AU167" s="1342">
        <f>AT167</f>
        <v>-0.4</v>
      </c>
      <c r="AV167" s="16"/>
      <c r="AW167" s="20"/>
      <c r="AX167" s="16"/>
      <c r="AY167" s="20"/>
      <c r="AZ167" s="77"/>
      <c r="BA167" s="38"/>
      <c r="BB167" s="32"/>
      <c r="BC167" s="80"/>
      <c r="BD167" s="75"/>
      <c r="BE167" s="208"/>
      <c r="BF167" s="16"/>
      <c r="BG167" s="19"/>
      <c r="BH167" s="20"/>
      <c r="BI167" s="77"/>
      <c r="BJ167" s="38"/>
      <c r="BK167" s="32"/>
      <c r="BL167" s="80"/>
      <c r="BM167" s="75"/>
      <c r="BN167" s="208"/>
      <c r="BO167" s="16"/>
      <c r="BP167" s="19"/>
      <c r="BQ167" s="20"/>
      <c r="BR167" s="32"/>
      <c r="BS167" s="38"/>
      <c r="BT167" s="32"/>
      <c r="BU167" s="27"/>
      <c r="BV167" s="220"/>
      <c r="BX167" s="321"/>
      <c r="BY167" s="38"/>
    </row>
    <row r="168" spans="1:77" ht="15" customHeight="1" x14ac:dyDescent="0.2">
      <c r="A168" s="56" t="s">
        <v>71</v>
      </c>
      <c r="B168" s="56" t="s">
        <v>1606</v>
      </c>
      <c r="C168" s="637"/>
      <c r="D168" s="544">
        <v>14341.575999999999</v>
      </c>
      <c r="E168" s="161" t="s">
        <v>466</v>
      </c>
      <c r="F168" s="362"/>
      <c r="G168" s="62">
        <f>H168-42.9</f>
        <v>-24.799999999999997</v>
      </c>
      <c r="H168" s="69">
        <v>18.100000000000001</v>
      </c>
      <c r="I168" s="74"/>
      <c r="J168" s="68">
        <v>6.953875</v>
      </c>
      <c r="K168" s="438">
        <f>31.45</f>
        <v>31.45</v>
      </c>
      <c r="L168" s="74"/>
      <c r="M168" s="68"/>
      <c r="N168" s="471">
        <f>K168+0.9*5</f>
        <v>35.950000000000003</v>
      </c>
      <c r="O168" s="923"/>
      <c r="P168" s="68"/>
      <c r="Q168" s="471"/>
      <c r="R168" s="923"/>
      <c r="S168" s="68"/>
      <c r="T168" s="471"/>
      <c r="U168" s="437"/>
      <c r="V168" s="535">
        <f>(K168+0.9*10)/1000</f>
        <v>4.045E-2</v>
      </c>
      <c r="W168" s="481">
        <f>(K168+0.45*10)/1000</f>
        <v>3.5950000000000003E-2</v>
      </c>
      <c r="X168" s="535">
        <f>(K168+0.73*10)/1000</f>
        <v>3.875E-2</v>
      </c>
      <c r="Y168" s="497">
        <v>2020</v>
      </c>
      <c r="Z168" s="498">
        <f>V168</f>
        <v>4.045E-2</v>
      </c>
      <c r="AA168" s="32"/>
      <c r="AB168" s="292">
        <f>(X168-Z168)/X168</f>
        <v>-4.3870967741935489E-2</v>
      </c>
      <c r="AC168" s="284">
        <f>AB168</f>
        <v>-4.3870967741935489E-2</v>
      </c>
      <c r="AD168" s="16"/>
      <c r="AE168" s="485">
        <f>(N168+0.9*15)/1000</f>
        <v>4.9450000000000001E-2</v>
      </c>
      <c r="AF168" s="481">
        <f>(K168+0.45*15)/1000</f>
        <v>3.8200000000000005E-2</v>
      </c>
      <c r="AG168" s="535">
        <f>(K168+0.73*15)/1000</f>
        <v>4.24E-2</v>
      </c>
      <c r="AH168" s="188"/>
      <c r="AI168" s="38"/>
      <c r="AJ168" s="32"/>
      <c r="AK168" s="80"/>
      <c r="AL168" s="215"/>
      <c r="AM168" s="208"/>
      <c r="AN168" s="387">
        <f>53.85/1000</f>
        <v>5.3850000000000002E-2</v>
      </c>
      <c r="AO168" s="454">
        <f>AS168*(1+AT168)</f>
        <v>4.7818800000000002E-2</v>
      </c>
      <c r="AP168" s="439">
        <f>AS168*(1+AU168)</f>
        <v>4.1679900000000006E-2</v>
      </c>
      <c r="AQ168" s="440">
        <v>2030</v>
      </c>
      <c r="AR168" s="441"/>
      <c r="AS168" s="424">
        <f>AN168</f>
        <v>5.3850000000000002E-2</v>
      </c>
      <c r="AT168" s="461">
        <v>-0.112</v>
      </c>
      <c r="AU168" s="462">
        <v>-0.22600000000000001</v>
      </c>
      <c r="AV168" s="16"/>
      <c r="AW168" s="20"/>
      <c r="AX168" s="16"/>
      <c r="AY168" s="20"/>
      <c r="AZ168" s="77"/>
      <c r="BA168" s="38"/>
      <c r="BB168" s="32"/>
      <c r="BC168" s="80"/>
      <c r="BD168" s="75"/>
      <c r="BE168" s="208"/>
      <c r="BF168" s="16"/>
      <c r="BG168" s="19"/>
      <c r="BH168" s="20"/>
      <c r="BI168" s="77"/>
      <c r="BJ168" s="38"/>
      <c r="BK168" s="32"/>
      <c r="BL168" s="80"/>
      <c r="BM168" s="75"/>
      <c r="BN168" s="208"/>
      <c r="BO168" s="16"/>
      <c r="BP168" s="19"/>
      <c r="BQ168" s="20"/>
      <c r="BR168" s="32"/>
      <c r="BS168" s="38"/>
      <c r="BT168" s="32"/>
      <c r="BU168" s="27"/>
      <c r="BV168" s="220"/>
      <c r="BX168" s="321"/>
      <c r="BY168" s="38"/>
    </row>
    <row r="169" spans="1:77" ht="15" customHeight="1" x14ac:dyDescent="0.2">
      <c r="A169" s="56" t="s">
        <v>147</v>
      </c>
      <c r="B169" s="56" t="s">
        <v>1606</v>
      </c>
      <c r="C169" s="637"/>
      <c r="D169" s="544">
        <v>786.12599999999998</v>
      </c>
      <c r="E169" s="161" t="s">
        <v>334</v>
      </c>
      <c r="F169" s="362"/>
      <c r="G169" s="62">
        <f>H169-60.818</f>
        <v>-58.150999999999996</v>
      </c>
      <c r="H169" s="69">
        <v>2.6669999999999998</v>
      </c>
      <c r="I169" s="74">
        <v>2004</v>
      </c>
      <c r="J169" s="68">
        <f>K169-59.333</f>
        <v>-54.716000000000001</v>
      </c>
      <c r="K169" s="438">
        <v>4.617</v>
      </c>
      <c r="L169" s="74"/>
      <c r="M169" s="68"/>
      <c r="N169" s="356"/>
      <c r="O169" s="923"/>
      <c r="P169" s="68"/>
      <c r="Q169" s="356"/>
      <c r="R169" s="923"/>
      <c r="S169" s="68"/>
      <c r="T169" s="356"/>
      <c r="U169" s="68"/>
      <c r="V169" s="68"/>
      <c r="W169" s="27"/>
      <c r="X169" s="28"/>
      <c r="Y169" s="145"/>
      <c r="Z169" s="38"/>
      <c r="AA169" s="32"/>
      <c r="AB169" s="80"/>
      <c r="AC169" s="209"/>
      <c r="AD169" s="16"/>
      <c r="AE169" s="20"/>
      <c r="AF169" s="387">
        <f>+J169/1000</f>
        <v>-5.4716000000000001E-2</v>
      </c>
      <c r="AG169" s="439">
        <f>(J169-52)/1000</f>
        <v>-0.10671600000000001</v>
      </c>
      <c r="AH169" s="440">
        <v>2025</v>
      </c>
      <c r="AI169" s="38"/>
      <c r="AJ169" s="32"/>
      <c r="AK169" s="80"/>
      <c r="AL169" s="215"/>
      <c r="AM169" s="208"/>
      <c r="AN169" s="16"/>
      <c r="AO169" s="136"/>
      <c r="AP169" s="59"/>
      <c r="AQ169" s="77"/>
      <c r="AR169" s="38"/>
      <c r="AS169" s="32"/>
      <c r="AT169" s="80"/>
      <c r="AU169" s="215"/>
      <c r="AV169" s="16"/>
      <c r="AW169" s="20"/>
      <c r="AX169" s="16"/>
      <c r="AY169" s="20"/>
      <c r="AZ169" s="77"/>
      <c r="BA169" s="38"/>
      <c r="BB169" s="32"/>
      <c r="BC169" s="80"/>
      <c r="BD169" s="75"/>
      <c r="BE169" s="208"/>
      <c r="BF169" s="16"/>
      <c r="BG169" s="19"/>
      <c r="BH169" s="20"/>
      <c r="BI169" s="77"/>
      <c r="BJ169" s="38"/>
      <c r="BK169" s="32"/>
      <c r="BL169" s="80"/>
      <c r="BM169" s="75"/>
      <c r="BN169" s="208"/>
      <c r="BO169" s="16"/>
      <c r="BP169" s="19"/>
      <c r="BQ169" s="20"/>
      <c r="BR169" s="32"/>
      <c r="BS169" s="38"/>
      <c r="BT169" s="32"/>
      <c r="BU169" s="27"/>
      <c r="BV169" s="220"/>
      <c r="BX169" s="321"/>
      <c r="BY169" s="38"/>
    </row>
    <row r="170" spans="1:77" ht="15" customHeight="1" x14ac:dyDescent="0.2">
      <c r="A170" s="56" t="s">
        <v>72</v>
      </c>
      <c r="B170" s="56" t="s">
        <v>1606</v>
      </c>
      <c r="C170" s="637"/>
      <c r="D170" s="544">
        <v>9896.4</v>
      </c>
      <c r="E170" s="161" t="s">
        <v>316</v>
      </c>
      <c r="F170" s="362">
        <v>1995</v>
      </c>
      <c r="G170" s="419">
        <v>6.5</v>
      </c>
      <c r="H170" s="69">
        <v>6.0147399999999998</v>
      </c>
      <c r="I170" s="74">
        <v>2000</v>
      </c>
      <c r="J170" s="437">
        <v>7.8319999999999999</v>
      </c>
      <c r="K170" s="69">
        <v>7.3682800000000004</v>
      </c>
      <c r="L170" s="74"/>
      <c r="M170" s="437">
        <v>8</v>
      </c>
      <c r="N170" s="356"/>
      <c r="O170" s="923"/>
      <c r="P170" s="437"/>
      <c r="Q170" s="356"/>
      <c r="R170" s="923"/>
      <c r="S170" s="437"/>
      <c r="T170" s="356"/>
      <c r="U170" s="68"/>
      <c r="V170" s="68"/>
      <c r="W170" s="27"/>
      <c r="X170" s="28"/>
      <c r="Y170" s="145"/>
      <c r="Z170" s="38"/>
      <c r="AA170" s="32"/>
      <c r="AB170" s="80"/>
      <c r="AC170" s="209"/>
      <c r="AD170" s="387">
        <f>20.8/1000</f>
        <v>2.0799999999999999E-2</v>
      </c>
      <c r="AE170" s="439"/>
      <c r="AF170" s="388">
        <f>AI170*(1+AK170)</f>
        <v>1.976E-2</v>
      </c>
      <c r="AG170" s="389">
        <f>AI170*(1+AL170)</f>
        <v>1.5391999999999999E-2</v>
      </c>
      <c r="AH170" s="440">
        <v>2030</v>
      </c>
      <c r="AI170" s="424">
        <f>+AD170</f>
        <v>2.0799999999999999E-2</v>
      </c>
      <c r="AJ170" s="424"/>
      <c r="AK170" s="292">
        <v>-0.05</v>
      </c>
      <c r="AL170" s="293">
        <v>-0.26</v>
      </c>
      <c r="AM170" s="208"/>
      <c r="AN170" s="16"/>
      <c r="AO170" s="136"/>
      <c r="AP170" s="59"/>
      <c r="AQ170" s="77"/>
      <c r="AR170" s="38"/>
      <c r="AS170" s="32"/>
      <c r="AT170" s="80"/>
      <c r="AU170" s="215"/>
      <c r="AV170" s="16"/>
      <c r="AW170" s="20"/>
      <c r="AX170" s="16"/>
      <c r="AY170" s="20"/>
      <c r="AZ170" s="77"/>
      <c r="BA170" s="38"/>
      <c r="BB170" s="32"/>
      <c r="BC170" s="80"/>
      <c r="BD170" s="75"/>
      <c r="BE170" s="208"/>
      <c r="BF170" s="16"/>
      <c r="BG170" s="19"/>
      <c r="BH170" s="20"/>
      <c r="BI170" s="77"/>
      <c r="BJ170" s="38"/>
      <c r="BK170" s="32"/>
      <c r="BL170" s="80"/>
      <c r="BM170" s="75"/>
      <c r="BN170" s="208"/>
      <c r="BO170" s="16"/>
      <c r="BP170" s="19"/>
      <c r="BQ170" s="20"/>
      <c r="BR170" s="32"/>
      <c r="BS170" s="38"/>
      <c r="BT170" s="32"/>
      <c r="BU170" s="27"/>
      <c r="BV170" s="220"/>
      <c r="BX170" s="321"/>
      <c r="BY170" s="38"/>
    </row>
    <row r="171" spans="1:77" ht="15" customHeight="1" x14ac:dyDescent="0.2">
      <c r="A171" s="56" t="s">
        <v>73</v>
      </c>
      <c r="B171" s="56" t="s">
        <v>1606</v>
      </c>
      <c r="C171" s="637"/>
      <c r="D171" s="544">
        <v>7621.2039999999997</v>
      </c>
      <c r="E171" s="624" t="s">
        <v>3247</v>
      </c>
      <c r="F171" s="373">
        <v>1995</v>
      </c>
      <c r="G171" s="121">
        <v>11.852</v>
      </c>
      <c r="H171" s="346">
        <f>G171+52.76311</f>
        <v>64.615110000000001</v>
      </c>
      <c r="I171" s="114"/>
      <c r="J171" s="93">
        <f>K171-9.63014</f>
        <v>8.6101600000000005</v>
      </c>
      <c r="K171" s="346">
        <v>18.240300000000001</v>
      </c>
      <c r="L171" s="114"/>
      <c r="M171" s="93">
        <f>N171-7.29313</f>
        <v>14.718269999999999</v>
      </c>
      <c r="N171" s="93">
        <v>22.011399999999998</v>
      </c>
      <c r="O171" s="1038"/>
      <c r="P171" s="93">
        <f>Q171-7.4421</f>
        <v>15.679300000000001</v>
      </c>
      <c r="Q171" s="378">
        <v>23.121400000000001</v>
      </c>
      <c r="R171" s="923"/>
      <c r="S171" s="68"/>
      <c r="T171" s="356"/>
      <c r="U171" s="437">
        <v>22.027000000000001</v>
      </c>
      <c r="V171" s="68"/>
      <c r="W171" s="27"/>
      <c r="X171" s="28"/>
      <c r="Y171" s="145"/>
      <c r="Z171" s="38"/>
      <c r="AA171" s="32"/>
      <c r="AB171" s="80"/>
      <c r="AC171" s="209"/>
      <c r="AD171" s="16"/>
      <c r="AE171" s="20"/>
      <c r="AF171" s="4"/>
      <c r="AG171" s="59"/>
      <c r="AH171" s="77"/>
      <c r="AI171" s="38"/>
      <c r="AJ171" s="32"/>
      <c r="AK171" s="80"/>
      <c r="AL171" s="215"/>
      <c r="AM171" s="456"/>
      <c r="AN171" s="78">
        <v>2.8944999999999999E-2</v>
      </c>
      <c r="AO171" s="1360">
        <f>AN171*(1+AT171)</f>
        <v>2.4313799999999997E-2</v>
      </c>
      <c r="AP171" s="47">
        <f>AO171</f>
        <v>2.4313799999999997E-2</v>
      </c>
      <c r="AQ171" s="262">
        <v>2030</v>
      </c>
      <c r="AR171" s="48"/>
      <c r="AS171" s="48">
        <f>AN171</f>
        <v>2.8944999999999999E-2</v>
      </c>
      <c r="AT171" s="1456">
        <v>-0.16</v>
      </c>
      <c r="AU171" s="1326">
        <f>AT171</f>
        <v>-0.16</v>
      </c>
      <c r="AV171" s="16"/>
      <c r="AW171" s="20"/>
      <c r="AX171" s="16"/>
      <c r="AY171" s="20"/>
      <c r="AZ171" s="77"/>
      <c r="BA171" s="38"/>
      <c r="BB171" s="32"/>
      <c r="BC171" s="80"/>
      <c r="BD171" s="75"/>
      <c r="BE171" s="208"/>
      <c r="BF171" s="16"/>
      <c r="BG171" s="19"/>
      <c r="BH171" s="20"/>
      <c r="BI171" s="77"/>
      <c r="BJ171" s="38"/>
      <c r="BK171" s="32"/>
      <c r="BL171" s="80"/>
      <c r="BM171" s="75"/>
      <c r="BN171" s="208"/>
      <c r="BO171" s="16"/>
      <c r="BP171" s="19"/>
      <c r="BQ171" s="20"/>
      <c r="BR171" s="32"/>
      <c r="BS171" s="38"/>
      <c r="BT171" s="32"/>
      <c r="BU171" s="27"/>
      <c r="BV171" s="220"/>
      <c r="BX171" s="321"/>
      <c r="BY171" s="38"/>
    </row>
    <row r="172" spans="1:77" ht="15" customHeight="1" x14ac:dyDescent="0.2">
      <c r="A172" s="56" t="s">
        <v>79</v>
      </c>
      <c r="B172" s="56" t="s">
        <v>1606</v>
      </c>
      <c r="C172" s="637"/>
      <c r="D172" s="544">
        <v>2741.4850000000001</v>
      </c>
      <c r="E172" s="624" t="s">
        <v>2951</v>
      </c>
      <c r="F172" s="373"/>
      <c r="G172" s="121">
        <v>9.3192199999999996</v>
      </c>
      <c r="H172" s="346">
        <f>G172</f>
        <v>9.3192199999999996</v>
      </c>
      <c r="I172" s="114">
        <v>2006</v>
      </c>
      <c r="J172" s="93">
        <v>14.295999999999999</v>
      </c>
      <c r="K172" s="346">
        <v>15.917999999999999</v>
      </c>
      <c r="L172" s="114"/>
      <c r="M172" s="93">
        <v>13.25</v>
      </c>
      <c r="N172" s="93">
        <v>14.868</v>
      </c>
      <c r="O172" s="1038">
        <v>2012</v>
      </c>
      <c r="P172" s="93">
        <v>13.295999999999999</v>
      </c>
      <c r="Q172" s="378">
        <v>14.922000000000001</v>
      </c>
      <c r="R172" s="923"/>
      <c r="S172" s="68"/>
      <c r="T172" s="356"/>
      <c r="U172" s="68"/>
      <c r="V172" s="68"/>
      <c r="W172" s="27"/>
      <c r="X172" s="28"/>
      <c r="Y172" s="145"/>
      <c r="Z172" s="38"/>
      <c r="AA172" s="32"/>
      <c r="AB172" s="80"/>
      <c r="AC172" s="209"/>
      <c r="AD172" s="486">
        <f>13.443/1000</f>
        <v>1.3443E-2</v>
      </c>
      <c r="AE172" s="20"/>
      <c r="AF172" s="558">
        <v>1.2370000000000001E-2</v>
      </c>
      <c r="AG172" s="559">
        <v>1.2099E-2</v>
      </c>
      <c r="AH172" s="440">
        <v>2025</v>
      </c>
      <c r="AI172" s="498">
        <f>AD172</f>
        <v>1.3443E-2</v>
      </c>
      <c r="AJ172" s="424"/>
      <c r="AK172" s="461"/>
      <c r="AL172" s="293"/>
      <c r="AM172" s="1343">
        <v>7.1999999999999998E-3</v>
      </c>
      <c r="AN172" s="1323">
        <v>8.2000000000000007E-3</v>
      </c>
      <c r="AO172" s="1344">
        <f>AR172*(1+AT172)</f>
        <v>5.3711999999999996E-3</v>
      </c>
      <c r="AP172" s="1322">
        <f>AR172*(1+AU172)</f>
        <v>5.1480000000000007E-3</v>
      </c>
      <c r="AQ172" s="262">
        <v>2030</v>
      </c>
      <c r="AR172" s="1324">
        <f>AM172</f>
        <v>7.1999999999999998E-3</v>
      </c>
      <c r="AS172" s="48"/>
      <c r="AT172" s="1345">
        <v>-0.254</v>
      </c>
      <c r="AU172" s="1346">
        <v>-0.28499999999999998</v>
      </c>
      <c r="AV172" s="16"/>
      <c r="AW172" s="20"/>
      <c r="AX172" s="16"/>
      <c r="AY172" s="20"/>
      <c r="AZ172" s="77"/>
      <c r="BA172" s="38"/>
      <c r="BB172" s="32"/>
      <c r="BC172" s="80"/>
      <c r="BD172" s="75"/>
      <c r="BE172" s="208"/>
      <c r="BF172" s="16"/>
      <c r="BG172" s="19"/>
      <c r="BH172" s="20"/>
      <c r="BI172" s="77"/>
      <c r="BJ172" s="38"/>
      <c r="BK172" s="32"/>
      <c r="BL172" s="80"/>
      <c r="BM172" s="75"/>
      <c r="BN172" s="208"/>
      <c r="BO172" s="16"/>
      <c r="BP172" s="19"/>
      <c r="BQ172" s="20"/>
      <c r="BR172" s="32"/>
      <c r="BS172" s="38"/>
      <c r="BT172" s="32"/>
      <c r="BU172" s="27"/>
      <c r="BV172" s="220"/>
      <c r="BX172" s="321"/>
      <c r="BY172" s="38"/>
    </row>
    <row r="173" spans="1:77" s="14" customFormat="1" ht="15" customHeight="1" x14ac:dyDescent="0.2">
      <c r="A173" s="56" t="s">
        <v>89</v>
      </c>
      <c r="B173" s="56" t="s">
        <v>1606</v>
      </c>
      <c r="C173" s="637"/>
      <c r="D173" s="544">
        <v>117886.40399999999</v>
      </c>
      <c r="E173" s="95" t="s">
        <v>3188</v>
      </c>
      <c r="F173" s="362"/>
      <c r="G173" s="62">
        <v>296.48568999999998</v>
      </c>
      <c r="H173" s="61">
        <v>444.75191000000001</v>
      </c>
      <c r="I173" s="67"/>
      <c r="J173" s="62">
        <v>428.05563999999998</v>
      </c>
      <c r="K173" s="62">
        <v>578.16722000000004</v>
      </c>
      <c r="L173" s="67"/>
      <c r="M173" s="62">
        <v>520.32788000000005</v>
      </c>
      <c r="N173" s="62">
        <v>668.67394999999999</v>
      </c>
      <c r="O173" s="362"/>
      <c r="P173" s="62">
        <v>534.61302999999998</v>
      </c>
      <c r="Q173" s="355">
        <v>682.95910000000003</v>
      </c>
      <c r="R173" s="362"/>
      <c r="S173" s="62"/>
      <c r="T173" s="355"/>
      <c r="U173" s="419">
        <f>V173</f>
        <v>792</v>
      </c>
      <c r="V173" s="420">
        <v>792</v>
      </c>
      <c r="W173" s="23">
        <f>U173/1000</f>
        <v>0.79200000000000004</v>
      </c>
      <c r="X173" s="24">
        <f>Z173*(1+AC173)</f>
        <v>0.5544</v>
      </c>
      <c r="Y173" s="53">
        <v>2020</v>
      </c>
      <c r="Z173" s="36">
        <f>U173/1000</f>
        <v>0.79200000000000004</v>
      </c>
      <c r="AA173" s="36"/>
      <c r="AB173" s="399">
        <v>0</v>
      </c>
      <c r="AC173" s="618">
        <v>-0.3</v>
      </c>
      <c r="AD173" s="1400">
        <v>0.90200000000000002</v>
      </c>
      <c r="AE173" s="422"/>
      <c r="AF173" s="136"/>
      <c r="AG173" s="59"/>
      <c r="AH173" s="77"/>
      <c r="AI173" s="53"/>
      <c r="AJ173" s="48"/>
      <c r="AK173" s="156"/>
      <c r="AL173" s="284"/>
      <c r="AM173" s="1400">
        <v>0.99099999999999999</v>
      </c>
      <c r="AN173" s="422"/>
      <c r="AO173" s="1530">
        <f>AR173*(1+AT173)</f>
        <v>0.77298</v>
      </c>
      <c r="AP173" s="1531">
        <f>+AR173*(1+AU173)</f>
        <v>0.59460000000000002</v>
      </c>
      <c r="AQ173" s="1532">
        <v>2030</v>
      </c>
      <c r="AR173" s="1507">
        <f>+AM173</f>
        <v>0.99099999999999999</v>
      </c>
      <c r="AS173" s="1531"/>
      <c r="AT173" s="1341">
        <v>-0.22</v>
      </c>
      <c r="AU173" s="694">
        <v>-0.4</v>
      </c>
      <c r="AV173" s="168"/>
      <c r="AW173" s="168"/>
      <c r="AX173" s="19"/>
      <c r="AY173" s="20"/>
      <c r="AZ173" s="77"/>
      <c r="BA173" s="53"/>
      <c r="BB173" s="48"/>
      <c r="BC173" s="43"/>
      <c r="BD173" s="229"/>
      <c r="BE173" s="210"/>
      <c r="BF173" s="168"/>
      <c r="BG173" s="19"/>
      <c r="BH173" s="20"/>
      <c r="BI173" s="77"/>
      <c r="BJ173" s="53"/>
      <c r="BK173" s="48"/>
      <c r="BL173" s="43"/>
      <c r="BM173" s="229"/>
      <c r="BN173" s="210"/>
      <c r="BO173" s="168"/>
      <c r="BP173" s="425">
        <f>BS173*(1+BU173)</f>
        <v>0</v>
      </c>
      <c r="BQ173" s="426">
        <f>BS173*(1+BV173)</f>
        <v>0</v>
      </c>
      <c r="BR173" s="427">
        <v>2000</v>
      </c>
      <c r="BS173" s="428">
        <v>0.63996900000000001</v>
      </c>
      <c r="BT173" s="48"/>
      <c r="BU173" s="1251">
        <v>-1</v>
      </c>
      <c r="BV173" s="1252">
        <f>BU173</f>
        <v>-1</v>
      </c>
      <c r="BW173" s="140" t="s">
        <v>242</v>
      </c>
      <c r="BX173" s="309" t="s">
        <v>296</v>
      </c>
      <c r="BY173" s="309" t="s">
        <v>242</v>
      </c>
    </row>
    <row r="174" spans="1:77" s="14" customFormat="1" ht="15" customHeight="1" x14ac:dyDescent="0.2">
      <c r="A174" s="56" t="s">
        <v>89</v>
      </c>
      <c r="B174" s="107" t="s">
        <v>2439</v>
      </c>
      <c r="C174" s="637"/>
      <c r="D174" s="544">
        <v>1185</v>
      </c>
      <c r="E174" s="127" t="s">
        <v>371</v>
      </c>
      <c r="F174" s="362"/>
      <c r="G174" s="62"/>
      <c r="H174" s="61"/>
      <c r="I174" s="67"/>
      <c r="J174" s="62"/>
      <c r="K174" s="62"/>
      <c r="L174" s="67"/>
      <c r="M174" s="62"/>
      <c r="N174" s="355"/>
      <c r="O174" s="362"/>
      <c r="P174" s="62"/>
      <c r="Q174" s="355"/>
      <c r="R174" s="362"/>
      <c r="S174" s="62"/>
      <c r="T174" s="355"/>
      <c r="U174" s="419"/>
      <c r="V174" s="419"/>
      <c r="W174" s="23"/>
      <c r="X174" s="24"/>
      <c r="Y174" s="53"/>
      <c r="Z174" s="36"/>
      <c r="AA174" s="36"/>
      <c r="AB174" s="399"/>
      <c r="AC174" s="618"/>
      <c r="AD174" s="422"/>
      <c r="AE174" s="422"/>
      <c r="AF174" s="136"/>
      <c r="AG174" s="59"/>
      <c r="AH174" s="77"/>
      <c r="AI174" s="53"/>
      <c r="AJ174" s="48"/>
      <c r="AK174" s="156"/>
      <c r="AL174" s="284"/>
      <c r="AM174" s="421"/>
      <c r="AN174" s="422"/>
      <c r="AO174" s="425"/>
      <c r="AP174" s="426"/>
      <c r="AQ174" s="423"/>
      <c r="AR174" s="468"/>
      <c r="AS174" s="426"/>
      <c r="AT174" s="156"/>
      <c r="AU174" s="284"/>
      <c r="AV174" s="168"/>
      <c r="AW174" s="168"/>
      <c r="AX174" s="19"/>
      <c r="AY174" s="20"/>
      <c r="AZ174" s="77"/>
      <c r="BA174" s="53"/>
      <c r="BB174" s="48"/>
      <c r="BC174" s="43"/>
      <c r="BD174" s="229"/>
      <c r="BE174" s="210"/>
      <c r="BF174" s="168"/>
      <c r="BG174" s="19"/>
      <c r="BH174" s="20"/>
      <c r="BI174" s="77"/>
      <c r="BJ174" s="53"/>
      <c r="BK174" s="48"/>
      <c r="BL174" s="43"/>
      <c r="BM174" s="229"/>
      <c r="BN174" s="210"/>
      <c r="BO174" s="168"/>
      <c r="BP174" s="682">
        <f>BT174*(1+BU174)</f>
        <v>0</v>
      </c>
      <c r="BQ174" s="683">
        <f>BT174*(1+BV174)</f>
        <v>0</v>
      </c>
      <c r="BR174" s="427"/>
      <c r="BS174" s="428"/>
      <c r="BT174" s="714">
        <f>+K174/1000</f>
        <v>0</v>
      </c>
      <c r="BU174" s="399">
        <v>-0.8</v>
      </c>
      <c r="BV174" s="618">
        <v>-0.95</v>
      </c>
      <c r="BW174" s="140"/>
      <c r="BX174" s="309"/>
      <c r="BY174" s="309"/>
    </row>
    <row r="175" spans="1:77" s="14" customFormat="1" ht="15" customHeight="1" x14ac:dyDescent="0.2">
      <c r="A175" s="56" t="s">
        <v>89</v>
      </c>
      <c r="B175" s="107" t="s">
        <v>412</v>
      </c>
      <c r="C175" s="637"/>
      <c r="D175" s="544">
        <v>3155</v>
      </c>
      <c r="E175" s="127" t="s">
        <v>2938</v>
      </c>
      <c r="F175" s="362"/>
      <c r="G175" s="62"/>
      <c r="H175" s="61"/>
      <c r="I175" s="67"/>
      <c r="J175" s="62"/>
      <c r="K175" s="62">
        <v>17.684000000000001</v>
      </c>
      <c r="L175" s="67">
        <v>2011</v>
      </c>
      <c r="M175" s="62"/>
      <c r="N175" s="355">
        <f>K175</f>
        <v>17.684000000000001</v>
      </c>
      <c r="O175" s="362"/>
      <c r="P175" s="62"/>
      <c r="Q175" s="355"/>
      <c r="R175" s="362"/>
      <c r="S175" s="62"/>
      <c r="T175" s="355"/>
      <c r="U175" s="419"/>
      <c r="V175" s="419"/>
      <c r="W175" s="23"/>
      <c r="X175" s="24"/>
      <c r="Y175" s="53"/>
      <c r="Z175" s="53"/>
      <c r="AA175" s="36"/>
      <c r="AB175" s="399"/>
      <c r="AC175" s="618"/>
      <c r="AD175" s="422"/>
      <c r="AE175" s="422"/>
      <c r="AF175" s="136"/>
      <c r="AG175" s="59"/>
      <c r="AH175" s="77"/>
      <c r="AI175" s="53"/>
      <c r="AJ175" s="48"/>
      <c r="AK175" s="156"/>
      <c r="AL175" s="284"/>
      <c r="AM175" s="421"/>
      <c r="AN175" s="422"/>
      <c r="AO175" s="170">
        <f>AS175*(1+AT175)</f>
        <v>1.4147200000000002E-2</v>
      </c>
      <c r="AP175" s="86">
        <f>AS175*(1+AU175)</f>
        <v>1.2378800000000001E-2</v>
      </c>
      <c r="AQ175" s="272">
        <v>2005</v>
      </c>
      <c r="AR175" s="34"/>
      <c r="AS175" s="442">
        <f>+K175/1000</f>
        <v>1.7684000000000002E-2</v>
      </c>
      <c r="AT175" s="395">
        <v>-0.2</v>
      </c>
      <c r="AU175" s="443">
        <v>-0.3</v>
      </c>
      <c r="AV175" s="168"/>
      <c r="AW175" s="168"/>
      <c r="AX175" s="19"/>
      <c r="AY175" s="20"/>
      <c r="AZ175" s="77"/>
      <c r="BA175" s="53"/>
      <c r="BB175" s="48"/>
      <c r="BC175" s="43"/>
      <c r="BD175" s="229"/>
      <c r="BE175" s="210"/>
      <c r="BF175" s="168"/>
      <c r="BG175" s="19"/>
      <c r="BH175" s="20"/>
      <c r="BI175" s="77"/>
      <c r="BJ175" s="53"/>
      <c r="BK175" s="48"/>
      <c r="BL175" s="43"/>
      <c r="BM175" s="229"/>
      <c r="BN175" s="210"/>
      <c r="BO175" s="168"/>
      <c r="BP175" s="425"/>
      <c r="BQ175" s="426"/>
      <c r="BR175" s="427"/>
      <c r="BS175" s="428"/>
      <c r="BT175" s="48"/>
      <c r="BU175" s="156"/>
      <c r="BV175" s="284"/>
      <c r="BW175" s="140"/>
      <c r="BX175" s="309"/>
      <c r="BY175" s="711" t="s">
        <v>413</v>
      </c>
    </row>
    <row r="176" spans="1:77" s="14" customFormat="1" ht="15" customHeight="1" x14ac:dyDescent="0.2">
      <c r="A176" s="56" t="s">
        <v>89</v>
      </c>
      <c r="B176" s="107" t="s">
        <v>2440</v>
      </c>
      <c r="C176" s="637"/>
      <c r="D176" s="544">
        <v>4797</v>
      </c>
      <c r="E176" s="127" t="s">
        <v>371</v>
      </c>
      <c r="F176" s="362"/>
      <c r="G176" s="62"/>
      <c r="H176" s="61"/>
      <c r="I176" s="67"/>
      <c r="J176" s="62"/>
      <c r="K176" s="62"/>
      <c r="L176" s="67"/>
      <c r="M176" s="62"/>
      <c r="N176" s="355"/>
      <c r="O176" s="362"/>
      <c r="P176" s="62"/>
      <c r="Q176" s="355"/>
      <c r="R176" s="362"/>
      <c r="S176" s="62"/>
      <c r="T176" s="355"/>
      <c r="U176" s="419"/>
      <c r="V176" s="419"/>
      <c r="W176" s="23"/>
      <c r="X176" s="24"/>
      <c r="Y176" s="53"/>
      <c r="Z176" s="53"/>
      <c r="AA176" s="36"/>
      <c r="AB176" s="399"/>
      <c r="AC176" s="618"/>
      <c r="AD176" s="422"/>
      <c r="AE176" s="422"/>
      <c r="AF176" s="136"/>
      <c r="AG176" s="59"/>
      <c r="AH176" s="77"/>
      <c r="AI176" s="53"/>
      <c r="AJ176" s="48"/>
      <c r="AK176" s="156"/>
      <c r="AL176" s="284"/>
      <c r="AM176" s="421"/>
      <c r="AN176" s="422"/>
      <c r="AO176" s="170"/>
      <c r="AP176" s="86"/>
      <c r="AQ176" s="272"/>
      <c r="AR176" s="34"/>
      <c r="AS176" s="442"/>
      <c r="AT176" s="395"/>
      <c r="AU176" s="443"/>
      <c r="AV176" s="168"/>
      <c r="AW176" s="168"/>
      <c r="AX176" s="19"/>
      <c r="AY176" s="20"/>
      <c r="AZ176" s="77"/>
      <c r="BA176" s="53"/>
      <c r="BB176" s="48"/>
      <c r="BC176" s="43"/>
      <c r="BD176" s="229"/>
      <c r="BE176" s="210"/>
      <c r="BF176" s="168"/>
      <c r="BG176" s="19"/>
      <c r="BH176" s="20"/>
      <c r="BI176" s="77"/>
      <c r="BJ176" s="53"/>
      <c r="BK176" s="48"/>
      <c r="BL176" s="43"/>
      <c r="BM176" s="229"/>
      <c r="BN176" s="210"/>
      <c r="BO176" s="168"/>
      <c r="BP176" s="682">
        <f>BT176*(1+BU176)</f>
        <v>0</v>
      </c>
      <c r="BQ176" s="683">
        <f>BT176*(1+BV176)</f>
        <v>0</v>
      </c>
      <c r="BR176" s="427"/>
      <c r="BS176" s="428"/>
      <c r="BT176" s="714">
        <f>+K176/1000</f>
        <v>0</v>
      </c>
      <c r="BU176" s="399">
        <v>-0.8</v>
      </c>
      <c r="BV176" s="618">
        <v>-0.95</v>
      </c>
      <c r="BW176" s="140"/>
      <c r="BX176" s="309"/>
      <c r="BY176" s="711"/>
    </row>
    <row r="177" spans="1:77" s="14" customFormat="1" ht="15" customHeight="1" x14ac:dyDescent="0.2">
      <c r="A177" s="56" t="s">
        <v>89</v>
      </c>
      <c r="B177" s="107" t="s">
        <v>2544</v>
      </c>
      <c r="C177" s="637"/>
      <c r="D177" s="544">
        <v>711</v>
      </c>
      <c r="E177" s="127" t="s">
        <v>371</v>
      </c>
      <c r="F177" s="362"/>
      <c r="G177" s="62"/>
      <c r="H177" s="61"/>
      <c r="I177" s="67"/>
      <c r="J177" s="62"/>
      <c r="K177" s="62"/>
      <c r="L177" s="67"/>
      <c r="M177" s="62"/>
      <c r="N177" s="355">
        <v>57.063639999999999</v>
      </c>
      <c r="O177" s="362"/>
      <c r="P177" s="62"/>
      <c r="Q177" s="355"/>
      <c r="R177" s="362"/>
      <c r="S177" s="62"/>
      <c r="T177" s="355"/>
      <c r="U177" s="419"/>
      <c r="V177" s="419"/>
      <c r="W177" s="23"/>
      <c r="X177" s="24"/>
      <c r="Y177" s="53"/>
      <c r="Z177" s="53"/>
      <c r="AA177" s="36"/>
      <c r="AB177" s="399"/>
      <c r="AC177" s="618"/>
      <c r="AD177" s="422"/>
      <c r="AE177" s="422"/>
      <c r="AF177" s="136"/>
      <c r="AG177" s="59"/>
      <c r="AH177" s="77"/>
      <c r="AI177" s="53"/>
      <c r="AJ177" s="48"/>
      <c r="AK177" s="156"/>
      <c r="AL177" s="284"/>
      <c r="AM177" s="421"/>
      <c r="AN177" s="422"/>
      <c r="AO177" s="170">
        <f>AS177*(1+AT177)</f>
        <v>3.9944547999999996E-2</v>
      </c>
      <c r="AP177" s="86">
        <f>AS177*(1+AU177)</f>
        <v>3.9944547999999996E-2</v>
      </c>
      <c r="AQ177" s="272">
        <v>2005</v>
      </c>
      <c r="AR177" s="34"/>
      <c r="AS177" s="442">
        <f>+N177/1000</f>
        <v>5.7063639999999999E-2</v>
      </c>
      <c r="AT177" s="395">
        <v>-0.3</v>
      </c>
      <c r="AU177" s="443">
        <v>-0.3</v>
      </c>
      <c r="AV177" s="168"/>
      <c r="AW177" s="168"/>
      <c r="AX177" s="19"/>
      <c r="AY177" s="20"/>
      <c r="AZ177" s="77"/>
      <c r="BA177" s="53"/>
      <c r="BB177" s="48"/>
      <c r="BC177" s="43"/>
      <c r="BD177" s="229"/>
      <c r="BE177" s="210"/>
      <c r="BF177" s="168"/>
      <c r="BG177" s="19"/>
      <c r="BH177" s="20"/>
      <c r="BI177" s="77"/>
      <c r="BJ177" s="53"/>
      <c r="BK177" s="48"/>
      <c r="BL177" s="43"/>
      <c r="BM177" s="229"/>
      <c r="BN177" s="210"/>
      <c r="BO177" s="168"/>
      <c r="BP177" s="682">
        <f>BT177*(1+BU177)</f>
        <v>1.1412727999999997E-2</v>
      </c>
      <c r="BQ177" s="683">
        <f>BT177*(1+BV177)</f>
        <v>1.1412727999999997E-2</v>
      </c>
      <c r="BR177" s="427"/>
      <c r="BS177" s="428"/>
      <c r="BT177" s="714">
        <f>+N177/1000</f>
        <v>5.7063639999999999E-2</v>
      </c>
      <c r="BU177" s="399">
        <v>-0.8</v>
      </c>
      <c r="BV177" s="618">
        <f>BU177</f>
        <v>-0.8</v>
      </c>
      <c r="BW177" s="140"/>
      <c r="BX177" s="309"/>
      <c r="BY177" s="711"/>
    </row>
    <row r="178" spans="1:77" s="14" customFormat="1" ht="15" customHeight="1" x14ac:dyDescent="0.2">
      <c r="A178" s="56" t="s">
        <v>89</v>
      </c>
      <c r="B178" s="107" t="s">
        <v>2441</v>
      </c>
      <c r="C178" s="637"/>
      <c r="D178" s="544">
        <v>2665</v>
      </c>
      <c r="E178" s="127" t="s">
        <v>371</v>
      </c>
      <c r="F178" s="362"/>
      <c r="G178" s="62"/>
      <c r="H178" s="61"/>
      <c r="I178" s="67"/>
      <c r="J178" s="62"/>
      <c r="K178" s="62"/>
      <c r="L178" s="67"/>
      <c r="M178" s="62"/>
      <c r="N178" s="355"/>
      <c r="O178" s="362"/>
      <c r="P178" s="62"/>
      <c r="Q178" s="355"/>
      <c r="R178" s="362"/>
      <c r="S178" s="62"/>
      <c r="T178" s="355"/>
      <c r="U178" s="419"/>
      <c r="V178" s="419"/>
      <c r="W178" s="23"/>
      <c r="X178" s="24"/>
      <c r="Y178" s="53"/>
      <c r="Z178" s="53"/>
      <c r="AA178" s="36"/>
      <c r="AB178" s="399"/>
      <c r="AC178" s="618"/>
      <c r="AD178" s="422"/>
      <c r="AE178" s="422"/>
      <c r="AF178" s="136"/>
      <c r="AG178" s="59"/>
      <c r="AH178" s="77"/>
      <c r="AI178" s="53"/>
      <c r="AJ178" s="48"/>
      <c r="AK178" s="156"/>
      <c r="AL178" s="284"/>
      <c r="AM178" s="421"/>
      <c r="AN178" s="422"/>
      <c r="AO178" s="170"/>
      <c r="AP178" s="86"/>
      <c r="AQ178" s="272"/>
      <c r="AR178" s="34"/>
      <c r="AS178" s="442"/>
      <c r="AT178" s="395"/>
      <c r="AU178" s="443"/>
      <c r="AV178" s="168"/>
      <c r="AW178" s="168"/>
      <c r="AX178" s="19"/>
      <c r="AY178" s="20"/>
      <c r="AZ178" s="77"/>
      <c r="BA178" s="53"/>
      <c r="BB178" s="48"/>
      <c r="BC178" s="43"/>
      <c r="BD178" s="229"/>
      <c r="BE178" s="210"/>
      <c r="BF178" s="168"/>
      <c r="BG178" s="19"/>
      <c r="BH178" s="20"/>
      <c r="BI178" s="77"/>
      <c r="BJ178" s="53"/>
      <c r="BK178" s="48"/>
      <c r="BL178" s="43"/>
      <c r="BM178" s="229"/>
      <c r="BN178" s="210"/>
      <c r="BO178" s="168"/>
      <c r="BP178" s="682">
        <f>BT178*(1+BU178)</f>
        <v>0</v>
      </c>
      <c r="BQ178" s="683">
        <f>BT178*(1+BV178)</f>
        <v>0</v>
      </c>
      <c r="BR178" s="427"/>
      <c r="BS178" s="428"/>
      <c r="BT178" s="714">
        <f>+K178/1000</f>
        <v>0</v>
      </c>
      <c r="BU178" s="399">
        <v>-0.8</v>
      </c>
      <c r="BV178" s="618">
        <v>-0.95</v>
      </c>
      <c r="BW178" s="140"/>
      <c r="BX178" s="309"/>
      <c r="BY178" s="711"/>
    </row>
    <row r="179" spans="1:77" s="14" customFormat="1" ht="15" customHeight="1" x14ac:dyDescent="0.2">
      <c r="A179" s="56" t="s">
        <v>89</v>
      </c>
      <c r="B179" s="107" t="s">
        <v>414</v>
      </c>
      <c r="C179" s="637"/>
      <c r="D179" s="544">
        <v>7000</v>
      </c>
      <c r="E179" s="127" t="s">
        <v>371</v>
      </c>
      <c r="F179" s="362"/>
      <c r="G179" s="62"/>
      <c r="H179" s="61"/>
      <c r="I179" s="67"/>
      <c r="J179" s="62"/>
      <c r="K179" s="62"/>
      <c r="L179" s="67"/>
      <c r="M179" s="62">
        <v>42.000999999999998</v>
      </c>
      <c r="N179" s="355"/>
      <c r="O179" s="362"/>
      <c r="P179" s="62"/>
      <c r="Q179" s="355"/>
      <c r="R179" s="362"/>
      <c r="S179" s="62"/>
      <c r="T179" s="355"/>
      <c r="U179" s="419"/>
      <c r="V179" s="419"/>
      <c r="W179" s="23"/>
      <c r="X179" s="24"/>
      <c r="Y179" s="53"/>
      <c r="Z179" s="53"/>
      <c r="AA179" s="36"/>
      <c r="AB179" s="399"/>
      <c r="AC179" s="618"/>
      <c r="AD179" s="422"/>
      <c r="AE179" s="422"/>
      <c r="AF179" s="136"/>
      <c r="AG179" s="59"/>
      <c r="AH179" s="77"/>
      <c r="AI179" s="53"/>
      <c r="AJ179" s="48"/>
      <c r="AK179" s="156"/>
      <c r="AL179" s="284"/>
      <c r="AM179" s="421"/>
      <c r="AN179" s="422"/>
      <c r="AO179" s="170">
        <f>AR179*(1+AT179)</f>
        <v>2.9400699999999995E-2</v>
      </c>
      <c r="AP179" s="86">
        <f>AR179*(1+AU179)</f>
        <v>2.9400699999999995E-2</v>
      </c>
      <c r="AQ179" s="272">
        <v>2010</v>
      </c>
      <c r="AR179" s="34">
        <f>+M179/1000</f>
        <v>4.2000999999999997E-2</v>
      </c>
      <c r="AS179" s="442"/>
      <c r="AT179" s="395">
        <v>-0.3</v>
      </c>
      <c r="AU179" s="443">
        <f>AT179</f>
        <v>-0.3</v>
      </c>
      <c r="AV179" s="168"/>
      <c r="AW179" s="168"/>
      <c r="AX179" s="19"/>
      <c r="AY179" s="20"/>
      <c r="AZ179" s="77"/>
      <c r="BA179" s="53"/>
      <c r="BB179" s="48"/>
      <c r="BC179" s="43"/>
      <c r="BD179" s="229"/>
      <c r="BE179" s="210"/>
      <c r="BF179" s="168"/>
      <c r="BG179" s="19"/>
      <c r="BH179" s="20"/>
      <c r="BI179" s="77"/>
      <c r="BJ179" s="53"/>
      <c r="BK179" s="48"/>
      <c r="BL179" s="43"/>
      <c r="BM179" s="229"/>
      <c r="BN179" s="210"/>
      <c r="BO179" s="168"/>
      <c r="BP179" s="677">
        <f>BS179*(1+BU179)</f>
        <v>2.1000499999999998E-2</v>
      </c>
      <c r="BQ179" s="678">
        <f>BS179*(1+BV179)</f>
        <v>2.1000499999999998E-2</v>
      </c>
      <c r="BR179" s="427">
        <v>2010</v>
      </c>
      <c r="BS179" s="428">
        <f>+M179/1000</f>
        <v>4.2000999999999997E-2</v>
      </c>
      <c r="BT179" s="48"/>
      <c r="BU179" s="399">
        <v>-0.5</v>
      </c>
      <c r="BV179" s="618">
        <f>BU179</f>
        <v>-0.5</v>
      </c>
      <c r="BW179" s="140"/>
      <c r="BX179" s="309"/>
      <c r="BY179" s="309"/>
    </row>
    <row r="180" spans="1:77" s="14" customFormat="1" ht="15" customHeight="1" x14ac:dyDescent="0.2">
      <c r="A180" s="56" t="s">
        <v>89</v>
      </c>
      <c r="B180" s="107" t="s">
        <v>89</v>
      </c>
      <c r="C180" s="668"/>
      <c r="D180" s="544">
        <v>16000</v>
      </c>
      <c r="E180" s="127" t="s">
        <v>371</v>
      </c>
      <c r="F180" s="362"/>
      <c r="G180" s="62"/>
      <c r="H180" s="61"/>
      <c r="I180" s="67"/>
      <c r="J180" s="62"/>
      <c r="K180" s="62"/>
      <c r="L180" s="67"/>
      <c r="M180" s="62">
        <v>46.77</v>
      </c>
      <c r="N180" s="355"/>
      <c r="O180" s="362">
        <v>2014</v>
      </c>
      <c r="P180" s="62"/>
      <c r="Q180" s="355">
        <v>30.870170389999998</v>
      </c>
      <c r="R180" s="362"/>
      <c r="S180" s="62"/>
      <c r="T180" s="355"/>
      <c r="U180" s="419"/>
      <c r="V180" s="419"/>
      <c r="W180" s="23"/>
      <c r="X180" s="24"/>
      <c r="Y180" s="53"/>
      <c r="Z180" s="53"/>
      <c r="AA180" s="36"/>
      <c r="AB180" s="399"/>
      <c r="AC180" s="618"/>
      <c r="AD180" s="422"/>
      <c r="AE180" s="422"/>
      <c r="AF180" s="136"/>
      <c r="AG180" s="59"/>
      <c r="AH180" s="77"/>
      <c r="AI180" s="53"/>
      <c r="AJ180" s="48"/>
      <c r="AK180" s="156"/>
      <c r="AL180" s="284"/>
      <c r="AM180" s="421"/>
      <c r="AN180" s="422"/>
      <c r="AO180" s="170"/>
      <c r="AP180" s="86"/>
      <c r="AQ180" s="272"/>
      <c r="AR180" s="34"/>
      <c r="AS180" s="442"/>
      <c r="AT180" s="395"/>
      <c r="AU180" s="443"/>
      <c r="AV180" s="168"/>
      <c r="AW180" s="168"/>
      <c r="AX180" s="19"/>
      <c r="AY180" s="20"/>
      <c r="AZ180" s="77"/>
      <c r="BA180" s="53"/>
      <c r="BB180" s="48"/>
      <c r="BC180" s="43"/>
      <c r="BD180" s="229"/>
      <c r="BE180" s="210"/>
      <c r="BF180" s="168"/>
      <c r="BG180" s="19"/>
      <c r="BH180" s="20"/>
      <c r="BI180" s="77"/>
      <c r="BJ180" s="53"/>
      <c r="BK180" s="48"/>
      <c r="BL180" s="43"/>
      <c r="BM180" s="229"/>
      <c r="BN180" s="210"/>
      <c r="BO180" s="168"/>
      <c r="BP180" s="677">
        <f>BS180*(1+BU180)</f>
        <v>2.3385000000000003E-2</v>
      </c>
      <c r="BQ180" s="678">
        <f>BS180*(1+BV180)</f>
        <v>2.3385000000000003E-2</v>
      </c>
      <c r="BR180" s="427">
        <v>2010</v>
      </c>
      <c r="BS180" s="428">
        <f>+M180/1000</f>
        <v>4.6770000000000006E-2</v>
      </c>
      <c r="BT180" s="48"/>
      <c r="BU180" s="399">
        <v>-0.5</v>
      </c>
      <c r="BV180" s="618">
        <f>BU180</f>
        <v>-0.5</v>
      </c>
      <c r="BW180" s="140"/>
      <c r="BX180" s="309"/>
      <c r="BY180" s="309"/>
    </row>
    <row r="181" spans="1:77" s="14" customFormat="1" ht="15" customHeight="1" x14ac:dyDescent="0.2">
      <c r="A181" s="56" t="s">
        <v>89</v>
      </c>
      <c r="B181" s="107" t="s">
        <v>477</v>
      </c>
      <c r="C181" s="668" t="s">
        <v>2807</v>
      </c>
      <c r="D181" s="544">
        <v>8833.4159999999993</v>
      </c>
      <c r="E181" s="127" t="s">
        <v>387</v>
      </c>
      <c r="F181" s="362"/>
      <c r="G181" s="62"/>
      <c r="H181" s="61"/>
      <c r="I181" s="67"/>
      <c r="J181" s="62"/>
      <c r="K181" s="62"/>
      <c r="L181" s="67">
        <v>2012</v>
      </c>
      <c r="M181" s="62">
        <v>30.731000000000002</v>
      </c>
      <c r="N181" s="355"/>
      <c r="O181" s="362"/>
      <c r="P181" s="62"/>
      <c r="Q181" s="355"/>
      <c r="R181" s="362"/>
      <c r="S181" s="62"/>
      <c r="T181" s="355"/>
      <c r="U181" s="419"/>
      <c r="V181" s="419"/>
      <c r="W181" s="23">
        <f>Z181*(1+AB181)</f>
        <v>2.9409567000000001E-2</v>
      </c>
      <c r="X181" s="24">
        <f>Z181*(1+AC181)</f>
        <v>2.9409567000000001E-2</v>
      </c>
      <c r="Y181" s="51">
        <v>2013</v>
      </c>
      <c r="Z181" s="34">
        <f>+M181/1000</f>
        <v>3.0731000000000001E-2</v>
      </c>
      <c r="AB181" s="396">
        <v>-4.2999999999999997E-2</v>
      </c>
      <c r="AC181" s="693">
        <f>AB181</f>
        <v>-4.2999999999999997E-2</v>
      </c>
      <c r="AD181" s="422"/>
      <c r="AE181" s="422"/>
      <c r="AF181" s="136"/>
      <c r="AG181" s="59"/>
      <c r="AH181" s="77"/>
      <c r="AI181" s="53"/>
      <c r="AJ181" s="48"/>
      <c r="AK181" s="156"/>
      <c r="AL181" s="284"/>
      <c r="AM181" s="421"/>
      <c r="AN181" s="422"/>
      <c r="AO181" s="170"/>
      <c r="AP181" s="86"/>
      <c r="AQ181" s="272"/>
      <c r="AR181" s="34"/>
      <c r="AS181" s="442"/>
      <c r="AT181" s="395"/>
      <c r="AU181" s="443"/>
      <c r="AV181" s="168"/>
      <c r="AW181" s="168"/>
      <c r="AX181" s="19"/>
      <c r="AY181" s="20"/>
      <c r="AZ181" s="77"/>
      <c r="BA181" s="53"/>
      <c r="BB181" s="48"/>
      <c r="BC181" s="43"/>
      <c r="BD181" s="229"/>
      <c r="BE181" s="210"/>
      <c r="BF181" s="168"/>
      <c r="BG181" s="19"/>
      <c r="BH181" s="20"/>
      <c r="BI181" s="77"/>
      <c r="BJ181" s="53"/>
      <c r="BK181" s="48"/>
      <c r="BL181" s="43"/>
      <c r="BM181" s="229"/>
      <c r="BN181" s="210"/>
      <c r="BO181" s="168"/>
      <c r="BP181" s="677"/>
      <c r="BQ181" s="678"/>
      <c r="BR181" s="427"/>
      <c r="BS181" s="428"/>
      <c r="BT181" s="48"/>
      <c r="BU181" s="399">
        <v>-1</v>
      </c>
      <c r="BV181" s="618">
        <f t="shared" ref="BV181" si="81">BU181</f>
        <v>-1</v>
      </c>
      <c r="BW181" s="140"/>
      <c r="BX181" s="309"/>
      <c r="BY181" s="309"/>
    </row>
    <row r="182" spans="1:77" s="14" customFormat="1" ht="15" customHeight="1" x14ac:dyDescent="0.2">
      <c r="A182" s="56" t="s">
        <v>89</v>
      </c>
      <c r="B182" s="107" t="s">
        <v>2442</v>
      </c>
      <c r="C182" s="637"/>
      <c r="D182" s="544">
        <v>4351</v>
      </c>
      <c r="E182" s="127" t="s">
        <v>371</v>
      </c>
      <c r="F182" s="362"/>
      <c r="G182" s="62"/>
      <c r="H182" s="61"/>
      <c r="I182" s="67"/>
      <c r="J182" s="62"/>
      <c r="K182" s="62"/>
      <c r="L182" s="67"/>
      <c r="M182" s="62"/>
      <c r="N182" s="355"/>
      <c r="O182" s="362"/>
      <c r="P182" s="62"/>
      <c r="Q182" s="355"/>
      <c r="R182" s="362"/>
      <c r="S182" s="62"/>
      <c r="T182" s="355"/>
      <c r="U182" s="419"/>
      <c r="V182" s="419"/>
      <c r="W182" s="23"/>
      <c r="X182" s="24"/>
      <c r="Y182" s="53"/>
      <c r="Z182" s="53"/>
      <c r="AA182" s="36"/>
      <c r="AB182" s="399"/>
      <c r="AC182" s="618"/>
      <c r="AD182" s="422"/>
      <c r="AE182" s="422"/>
      <c r="AF182" s="136"/>
      <c r="AG182" s="59"/>
      <c r="AH182" s="77"/>
      <c r="AI182" s="53"/>
      <c r="AJ182" s="48"/>
      <c r="AK182" s="156"/>
      <c r="AL182" s="284"/>
      <c r="AM182" s="421"/>
      <c r="AN182" s="422"/>
      <c r="AO182" s="170"/>
      <c r="AP182" s="86"/>
      <c r="AQ182" s="272"/>
      <c r="AR182" s="34"/>
      <c r="AS182" s="442"/>
      <c r="AT182" s="395"/>
      <c r="AU182" s="443"/>
      <c r="AV182" s="168"/>
      <c r="AW182" s="168"/>
      <c r="AX182" s="19"/>
      <c r="AY182" s="20"/>
      <c r="AZ182" s="77"/>
      <c r="BA182" s="53"/>
      <c r="BB182" s="48"/>
      <c r="BC182" s="43"/>
      <c r="BD182" s="229"/>
      <c r="BE182" s="210"/>
      <c r="BF182" s="168"/>
      <c r="BG182" s="19"/>
      <c r="BH182" s="20"/>
      <c r="BI182" s="77"/>
      <c r="BJ182" s="53"/>
      <c r="BK182" s="48"/>
      <c r="BL182" s="43"/>
      <c r="BM182" s="229"/>
      <c r="BN182" s="210"/>
      <c r="BO182" s="168"/>
      <c r="BP182" s="682">
        <f>BT182*(1+BU182)</f>
        <v>0</v>
      </c>
      <c r="BQ182" s="683">
        <f>BT182*(1+BV182)</f>
        <v>0</v>
      </c>
      <c r="BR182" s="427"/>
      <c r="BS182" s="428"/>
      <c r="BT182" s="714">
        <f>+K182/1000</f>
        <v>0</v>
      </c>
      <c r="BU182" s="399">
        <v>-0.8</v>
      </c>
      <c r="BV182" s="618">
        <v>-0.95</v>
      </c>
      <c r="BW182" s="140"/>
      <c r="BX182" s="309"/>
      <c r="BY182" s="711"/>
    </row>
    <row r="183" spans="1:77" s="14" customFormat="1" ht="15" customHeight="1" x14ac:dyDescent="0.2">
      <c r="A183" s="56" t="s">
        <v>89</v>
      </c>
      <c r="B183" s="107" t="s">
        <v>2443</v>
      </c>
      <c r="C183" s="637"/>
      <c r="D183" s="544">
        <v>1500</v>
      </c>
      <c r="E183" s="127" t="s">
        <v>371</v>
      </c>
      <c r="F183" s="362"/>
      <c r="G183" s="62"/>
      <c r="H183" s="61"/>
      <c r="I183" s="67"/>
      <c r="J183" s="62"/>
      <c r="K183" s="62"/>
      <c r="L183" s="67"/>
      <c r="M183" s="62"/>
      <c r="N183" s="355"/>
      <c r="O183" s="362"/>
      <c r="P183" s="62"/>
      <c r="Q183" s="355"/>
      <c r="R183" s="362"/>
      <c r="S183" s="62"/>
      <c r="T183" s="355"/>
      <c r="U183" s="419"/>
      <c r="V183" s="419"/>
      <c r="W183" s="23"/>
      <c r="X183" s="24"/>
      <c r="Y183" s="53"/>
      <c r="Z183" s="53"/>
      <c r="AA183" s="36"/>
      <c r="AB183" s="399"/>
      <c r="AC183" s="618"/>
      <c r="AD183" s="422"/>
      <c r="AE183" s="422"/>
      <c r="AF183" s="136"/>
      <c r="AG183" s="59"/>
      <c r="AH183" s="77"/>
      <c r="AI183" s="53"/>
      <c r="AJ183" s="48"/>
      <c r="AK183" s="156"/>
      <c r="AL183" s="284"/>
      <c r="AM183" s="421"/>
      <c r="AN183" s="422"/>
      <c r="AO183" s="170"/>
      <c r="AP183" s="86"/>
      <c r="AQ183" s="272"/>
      <c r="AR183" s="34"/>
      <c r="AS183" s="442"/>
      <c r="AT183" s="395"/>
      <c r="AU183" s="443"/>
      <c r="AV183" s="168"/>
      <c r="AW183" s="168"/>
      <c r="AX183" s="19"/>
      <c r="AY183" s="20"/>
      <c r="AZ183" s="77"/>
      <c r="BA183" s="53"/>
      <c r="BB183" s="48"/>
      <c r="BC183" s="43"/>
      <c r="BD183" s="229"/>
      <c r="BE183" s="210"/>
      <c r="BF183" s="168"/>
      <c r="BG183" s="19"/>
      <c r="BH183" s="20"/>
      <c r="BI183" s="77"/>
      <c r="BJ183" s="53"/>
      <c r="BK183" s="48"/>
      <c r="BL183" s="43"/>
      <c r="BM183" s="229"/>
      <c r="BN183" s="210"/>
      <c r="BO183" s="168"/>
      <c r="BP183" s="682">
        <f>BT183*(1+BU183)</f>
        <v>0</v>
      </c>
      <c r="BQ183" s="683">
        <f>BT183*(1+BV183)</f>
        <v>0</v>
      </c>
      <c r="BR183" s="427"/>
      <c r="BS183" s="428"/>
      <c r="BT183" s="714">
        <f>+K183/1000</f>
        <v>0</v>
      </c>
      <c r="BU183" s="399">
        <v>-0.8</v>
      </c>
      <c r="BV183" s="618">
        <v>-0.95</v>
      </c>
      <c r="BW183" s="140"/>
      <c r="BX183" s="309"/>
      <c r="BY183" s="711"/>
    </row>
    <row r="184" spans="1:77" s="14" customFormat="1" ht="15" customHeight="1" x14ac:dyDescent="0.2">
      <c r="A184" s="56" t="s">
        <v>89</v>
      </c>
      <c r="B184" s="107" t="s">
        <v>2444</v>
      </c>
      <c r="C184" s="637"/>
      <c r="D184" s="544">
        <v>2238</v>
      </c>
      <c r="E184" s="127" t="s">
        <v>371</v>
      </c>
      <c r="F184" s="362"/>
      <c r="G184" s="62"/>
      <c r="H184" s="61"/>
      <c r="I184" s="67"/>
      <c r="J184" s="62"/>
      <c r="K184" s="62"/>
      <c r="L184" s="67"/>
      <c r="M184" s="62"/>
      <c r="N184" s="355"/>
      <c r="O184" s="362"/>
      <c r="P184" s="62"/>
      <c r="Q184" s="355"/>
      <c r="R184" s="362"/>
      <c r="S184" s="62"/>
      <c r="T184" s="355"/>
      <c r="U184" s="419"/>
      <c r="V184" s="419"/>
      <c r="W184" s="23"/>
      <c r="X184" s="24"/>
      <c r="Y184" s="53"/>
      <c r="Z184" s="53"/>
      <c r="AA184" s="36"/>
      <c r="AB184" s="399"/>
      <c r="AC184" s="618"/>
      <c r="AD184" s="422"/>
      <c r="AE184" s="422"/>
      <c r="AF184" s="136"/>
      <c r="AG184" s="59"/>
      <c r="AH184" s="77"/>
      <c r="AI184" s="53"/>
      <c r="AJ184" s="48"/>
      <c r="AK184" s="156"/>
      <c r="AL184" s="284"/>
      <c r="AM184" s="421"/>
      <c r="AN184" s="422"/>
      <c r="AO184" s="170"/>
      <c r="AP184" s="86"/>
      <c r="AQ184" s="272"/>
      <c r="AR184" s="34"/>
      <c r="AS184" s="442"/>
      <c r="AT184" s="395"/>
      <c r="AU184" s="443"/>
      <c r="AV184" s="168"/>
      <c r="AW184" s="168"/>
      <c r="AX184" s="19"/>
      <c r="AY184" s="20"/>
      <c r="AZ184" s="77"/>
      <c r="BA184" s="53"/>
      <c r="BB184" s="48"/>
      <c r="BC184" s="43"/>
      <c r="BD184" s="229"/>
      <c r="BE184" s="210"/>
      <c r="BF184" s="168"/>
      <c r="BG184" s="19"/>
      <c r="BH184" s="20"/>
      <c r="BI184" s="77"/>
      <c r="BJ184" s="53"/>
      <c r="BK184" s="48"/>
      <c r="BL184" s="43"/>
      <c r="BM184" s="229"/>
      <c r="BN184" s="210"/>
      <c r="BO184" s="168"/>
      <c r="BP184" s="682">
        <f>BT184*(1+BU184)</f>
        <v>0</v>
      </c>
      <c r="BQ184" s="683">
        <f>BT184*(1+BV184)</f>
        <v>0</v>
      </c>
      <c r="BR184" s="427"/>
      <c r="BS184" s="428"/>
      <c r="BT184" s="714">
        <f>+K184/1000</f>
        <v>0</v>
      </c>
      <c r="BU184" s="399">
        <v>-0.8</v>
      </c>
      <c r="BV184" s="618">
        <v>-0.95</v>
      </c>
      <c r="BW184" s="140"/>
      <c r="BX184" s="309"/>
      <c r="BY184" s="711"/>
    </row>
    <row r="185" spans="1:77" s="14" customFormat="1" ht="15" customHeight="1" x14ac:dyDescent="0.2">
      <c r="A185" s="56" t="s">
        <v>89</v>
      </c>
      <c r="B185" s="107" t="s">
        <v>2257</v>
      </c>
      <c r="C185" s="668"/>
      <c r="D185" s="544">
        <v>2097</v>
      </c>
      <c r="E185" s="127" t="s">
        <v>2247</v>
      </c>
      <c r="F185" s="362"/>
      <c r="G185" s="62"/>
      <c r="H185" s="61"/>
      <c r="I185" s="67"/>
      <c r="J185" s="62"/>
      <c r="K185" s="62"/>
      <c r="L185" s="67"/>
      <c r="M185" s="62"/>
      <c r="N185" s="355"/>
      <c r="O185" s="362"/>
      <c r="P185" s="62"/>
      <c r="Q185" s="355"/>
      <c r="R185" s="362"/>
      <c r="S185" s="62"/>
      <c r="T185" s="355"/>
      <c r="U185" s="419"/>
      <c r="V185" s="419"/>
      <c r="W185" s="23"/>
      <c r="X185" s="24"/>
      <c r="Y185" s="53"/>
      <c r="Z185" s="53"/>
      <c r="AA185" s="36"/>
      <c r="AB185" s="399"/>
      <c r="AC185" s="618"/>
      <c r="AD185" s="422"/>
      <c r="AE185" s="422"/>
      <c r="AF185" s="136"/>
      <c r="AG185" s="59"/>
      <c r="AH185" s="77"/>
      <c r="AI185" s="53"/>
      <c r="AJ185" s="48"/>
      <c r="AK185" s="156"/>
      <c r="AL185" s="284"/>
      <c r="AM185" s="421"/>
      <c r="AN185" s="422"/>
      <c r="AO185" s="170"/>
      <c r="AP185" s="86"/>
      <c r="AQ185" s="272"/>
      <c r="AR185" s="34"/>
      <c r="AS185" s="442"/>
      <c r="AT185" s="395"/>
      <c r="AU185" s="443"/>
      <c r="AV185" s="168"/>
      <c r="AW185" s="168"/>
      <c r="AX185" s="19"/>
      <c r="AY185" s="20"/>
      <c r="AZ185" s="77"/>
      <c r="BA185" s="53"/>
      <c r="BB185" s="48"/>
      <c r="BC185" s="43"/>
      <c r="BD185" s="229"/>
      <c r="BE185" s="210"/>
      <c r="BF185" s="168"/>
      <c r="BG185" s="19"/>
      <c r="BH185" s="20"/>
      <c r="BI185" s="77"/>
      <c r="BJ185" s="53"/>
      <c r="BK185" s="48"/>
      <c r="BL185" s="43"/>
      <c r="BM185" s="229"/>
      <c r="BN185" s="210"/>
      <c r="BO185" s="168"/>
      <c r="BP185" s="677"/>
      <c r="BQ185" s="678"/>
      <c r="BR185" s="427"/>
      <c r="BS185" s="428"/>
      <c r="BT185" s="48"/>
      <c r="BU185" s="399"/>
      <c r="BV185" s="618"/>
      <c r="BW185" s="140"/>
      <c r="BX185" s="309"/>
      <c r="BY185" s="309"/>
    </row>
    <row r="186" spans="1:77" s="14" customFormat="1" ht="15" customHeight="1" x14ac:dyDescent="0.2">
      <c r="A186" s="56" t="s">
        <v>89</v>
      </c>
      <c r="B186" s="107" t="s">
        <v>477</v>
      </c>
      <c r="C186" s="668" t="s">
        <v>2806</v>
      </c>
      <c r="D186" s="544">
        <v>830.73199999999997</v>
      </c>
      <c r="E186" s="127" t="s">
        <v>387</v>
      </c>
      <c r="F186" s="362"/>
      <c r="G186" s="62"/>
      <c r="H186" s="61"/>
      <c r="I186" s="67"/>
      <c r="J186" s="62"/>
      <c r="K186" s="62"/>
      <c r="L186" s="67"/>
      <c r="M186" s="62"/>
      <c r="N186" s="355"/>
      <c r="O186" s="362">
        <v>2017</v>
      </c>
      <c r="P186" s="62"/>
      <c r="Q186" s="355">
        <v>3.2621920000000002</v>
      </c>
      <c r="R186" s="362">
        <v>2017</v>
      </c>
      <c r="S186" s="62"/>
      <c r="T186" s="355">
        <v>3.2621920000000002</v>
      </c>
      <c r="U186" s="419"/>
      <c r="V186" s="419"/>
      <c r="W186" s="23"/>
      <c r="X186" s="24"/>
      <c r="Y186" s="53"/>
      <c r="Z186" s="53"/>
      <c r="AA186" s="36"/>
      <c r="AB186" s="399"/>
      <c r="AC186" s="618"/>
      <c r="AD186" s="422"/>
      <c r="AE186" s="422"/>
      <c r="AF186" s="136"/>
      <c r="AG186" s="59"/>
      <c r="AH186" s="77"/>
      <c r="AI186" s="53"/>
      <c r="AJ186" s="48"/>
      <c r="AK186" s="156"/>
      <c r="AL186" s="284"/>
      <c r="AM186" s="421"/>
      <c r="AN186" s="422"/>
      <c r="AO186" s="170">
        <f>AS186*(1+AT186)</f>
        <v>2.446644E-3</v>
      </c>
      <c r="AP186" s="86">
        <f>AS186*(1+AU186)</f>
        <v>2.446644E-3</v>
      </c>
      <c r="AQ186" s="272">
        <v>2017</v>
      </c>
      <c r="AR186" s="34"/>
      <c r="AS186" s="442">
        <f>+Q186/1000</f>
        <v>3.2621920000000001E-3</v>
      </c>
      <c r="AT186" s="395">
        <v>-0.25</v>
      </c>
      <c r="AU186" s="443">
        <f>AT186</f>
        <v>-0.25</v>
      </c>
      <c r="AV186" s="168"/>
      <c r="AW186" s="168"/>
      <c r="AX186" s="19"/>
      <c r="AY186" s="20"/>
      <c r="AZ186" s="77"/>
      <c r="BA186" s="53"/>
      <c r="BB186" s="48"/>
      <c r="BC186" s="43"/>
      <c r="BD186" s="229"/>
      <c r="BE186" s="210"/>
      <c r="BF186" s="168"/>
      <c r="BG186" s="19"/>
      <c r="BH186" s="20"/>
      <c r="BI186" s="77"/>
      <c r="BJ186" s="53"/>
      <c r="BK186" s="48"/>
      <c r="BL186" s="43"/>
      <c r="BM186" s="229"/>
      <c r="BN186" s="210"/>
      <c r="BO186" s="168"/>
      <c r="BP186" s="677"/>
      <c r="BQ186" s="678"/>
      <c r="BR186" s="427"/>
      <c r="BS186" s="428"/>
      <c r="BT186" s="48"/>
      <c r="BU186" s="399"/>
      <c r="BV186" s="618"/>
      <c r="BW186" s="140"/>
      <c r="BX186" s="309"/>
      <c r="BY186" s="309"/>
    </row>
    <row r="187" spans="1:77" s="14" customFormat="1" ht="15" customHeight="1" x14ac:dyDescent="0.2">
      <c r="A187" s="56" t="s">
        <v>89</v>
      </c>
      <c r="B187" s="107"/>
      <c r="C187" s="107" t="s">
        <v>2180</v>
      </c>
      <c r="D187" s="544">
        <v>350</v>
      </c>
      <c r="E187" s="127" t="s">
        <v>387</v>
      </c>
      <c r="F187" s="362"/>
      <c r="G187" s="62"/>
      <c r="H187" s="61"/>
      <c r="I187" s="67"/>
      <c r="J187" s="62"/>
      <c r="K187" s="62"/>
      <c r="L187" s="67"/>
      <c r="M187" s="62"/>
      <c r="N187" s="355">
        <v>1.1319090000000001</v>
      </c>
      <c r="O187" s="362"/>
      <c r="P187" s="62"/>
      <c r="Q187" s="355"/>
      <c r="R187" s="362"/>
      <c r="S187" s="62"/>
      <c r="T187" s="355"/>
      <c r="U187" s="419"/>
      <c r="V187" s="419"/>
      <c r="W187" s="89">
        <f t="shared" ref="W187" si="82">AA187*(1+AB187)</f>
        <v>7.9233629999999992E-4</v>
      </c>
      <c r="X187" s="87">
        <f t="shared" ref="X187" si="83">AA187*(1+AC187)</f>
        <v>7.9233629999999992E-4</v>
      </c>
      <c r="Y187" s="642">
        <v>2008</v>
      </c>
      <c r="Z187" s="650"/>
      <c r="AA187" s="650">
        <f>N187/1000</f>
        <v>1.131909E-3</v>
      </c>
      <c r="AB187" s="399">
        <v>-0.3</v>
      </c>
      <c r="AC187" s="618">
        <f t="shared" ref="AC187" si="84">AB187</f>
        <v>-0.3</v>
      </c>
      <c r="AD187" s="422"/>
      <c r="AE187" s="422"/>
      <c r="AF187" s="136"/>
      <c r="AG187" s="59"/>
      <c r="AH187" s="77"/>
      <c r="AI187" s="53"/>
      <c r="AJ187" s="48"/>
      <c r="AK187" s="156"/>
      <c r="AL187" s="284"/>
      <c r="AM187" s="421"/>
      <c r="AN187" s="422"/>
      <c r="AO187" s="170"/>
      <c r="AP187" s="86"/>
      <c r="AQ187" s="272"/>
      <c r="AR187" s="34"/>
      <c r="AS187" s="442"/>
      <c r="AT187" s="395"/>
      <c r="AU187" s="443"/>
      <c r="AV187" s="168"/>
      <c r="AW187" s="168"/>
      <c r="AX187" s="19"/>
      <c r="AY187" s="20"/>
      <c r="AZ187" s="77"/>
      <c r="BA187" s="53"/>
      <c r="BB187" s="48"/>
      <c r="BC187" s="43"/>
      <c r="BD187" s="229"/>
      <c r="BE187" s="210"/>
      <c r="BF187" s="168"/>
      <c r="BG187" s="19"/>
      <c r="BH187" s="20"/>
      <c r="BI187" s="77"/>
      <c r="BJ187" s="53"/>
      <c r="BK187" s="48"/>
      <c r="BL187" s="43"/>
      <c r="BM187" s="229"/>
      <c r="BN187" s="210"/>
      <c r="BO187" s="168"/>
      <c r="BP187" s="677"/>
      <c r="BQ187" s="678"/>
      <c r="BR187" s="427"/>
      <c r="BS187" s="428"/>
      <c r="BT187" s="48"/>
      <c r="BU187" s="399"/>
      <c r="BV187" s="618"/>
      <c r="BW187" s="140"/>
      <c r="BX187" s="309"/>
      <c r="BY187" s="309"/>
    </row>
    <row r="188" spans="1:77" s="14" customFormat="1" ht="15" customHeight="1" x14ac:dyDescent="0.2">
      <c r="A188" s="56" t="s">
        <v>89</v>
      </c>
      <c r="B188" s="107"/>
      <c r="C188" s="637" t="s">
        <v>573</v>
      </c>
      <c r="D188" s="544">
        <v>936.26300000000003</v>
      </c>
      <c r="E188" s="127" t="s">
        <v>387</v>
      </c>
      <c r="F188" s="362"/>
      <c r="G188" s="62"/>
      <c r="H188" s="61"/>
      <c r="I188" s="67"/>
      <c r="J188" s="62"/>
      <c r="K188" s="62"/>
      <c r="L188" s="67"/>
      <c r="M188" s="62"/>
      <c r="N188" s="355"/>
      <c r="O188" s="362"/>
      <c r="P188" s="62"/>
      <c r="Q188" s="355">
        <v>7.7000729999999997</v>
      </c>
      <c r="R188" s="362"/>
      <c r="S188" s="62"/>
      <c r="T188" s="355"/>
      <c r="U188" s="419"/>
      <c r="V188" s="419"/>
      <c r="W188" s="23"/>
      <c r="X188" s="24"/>
      <c r="Y188" s="53"/>
      <c r="Z188" s="53"/>
      <c r="AA188" s="36"/>
      <c r="AB188" s="399"/>
      <c r="AC188" s="618"/>
      <c r="AD188" s="422"/>
      <c r="AE188" s="422"/>
      <c r="AF188" s="136"/>
      <c r="AG188" s="59"/>
      <c r="AH188" s="77"/>
      <c r="AI188" s="53"/>
      <c r="AJ188" s="48"/>
      <c r="AK188" s="156"/>
      <c r="AL188" s="284"/>
      <c r="AM188" s="421"/>
      <c r="AN188" s="422"/>
      <c r="AO188" s="136"/>
      <c r="AP188" s="59"/>
      <c r="AQ188" s="77"/>
      <c r="AR188" s="34"/>
      <c r="AS188" s="32"/>
      <c r="AT188" s="395"/>
      <c r="AU188" s="443"/>
      <c r="AV188" s="168"/>
      <c r="AW188" s="168"/>
      <c r="AX188" s="19"/>
      <c r="AY188" s="20"/>
      <c r="AZ188" s="77"/>
      <c r="BA188" s="53"/>
      <c r="BB188" s="48"/>
      <c r="BC188" s="43"/>
      <c r="BD188" s="229"/>
      <c r="BE188" s="210"/>
      <c r="BF188" s="168"/>
      <c r="BG188" s="19"/>
      <c r="BH188" s="20"/>
      <c r="BI188" s="77"/>
      <c r="BJ188" s="53"/>
      <c r="BK188" s="48"/>
      <c r="BL188" s="43"/>
      <c r="BM188" s="229"/>
      <c r="BN188" s="210"/>
      <c r="BO188" s="168"/>
      <c r="BP188" s="677">
        <f>BT188*(1+BU188)</f>
        <v>3.8500365E-3</v>
      </c>
      <c r="BQ188" s="678">
        <f>BT188*(1+BV188)</f>
        <v>3.8500365E-3</v>
      </c>
      <c r="BR188" s="427">
        <v>2010</v>
      </c>
      <c r="BS188" s="428"/>
      <c r="BT188" s="714">
        <f>+Q188/1000</f>
        <v>7.700073E-3</v>
      </c>
      <c r="BU188" s="399">
        <v>-0.5</v>
      </c>
      <c r="BV188" s="618">
        <f>BU188</f>
        <v>-0.5</v>
      </c>
      <c r="BW188" s="140"/>
      <c r="BX188" s="309"/>
      <c r="BY188" s="309"/>
    </row>
    <row r="189" spans="1:77" s="14" customFormat="1" ht="15" customHeight="1" x14ac:dyDescent="0.2">
      <c r="A189" s="56" t="s">
        <v>89</v>
      </c>
      <c r="B189" s="107"/>
      <c r="C189" s="637" t="s">
        <v>2218</v>
      </c>
      <c r="D189" s="544">
        <v>1875</v>
      </c>
      <c r="E189" s="127" t="s">
        <v>387</v>
      </c>
      <c r="F189" s="362"/>
      <c r="G189" s="62"/>
      <c r="H189" s="61"/>
      <c r="I189" s="67"/>
      <c r="J189" s="62"/>
      <c r="K189" s="62"/>
      <c r="L189" s="67"/>
      <c r="M189" s="62"/>
      <c r="N189" s="355"/>
      <c r="O189" s="362">
        <v>2013</v>
      </c>
      <c r="P189" s="62"/>
      <c r="Q189" s="355">
        <v>5.0121330000000004</v>
      </c>
      <c r="R189" s="362">
        <v>2017</v>
      </c>
      <c r="S189" s="62"/>
      <c r="T189" s="355">
        <v>2.6730849999999999</v>
      </c>
      <c r="U189" s="419"/>
      <c r="V189" s="419"/>
      <c r="W189" s="23">
        <f>AA189*(1+AB189)</f>
        <v>4.0097064000000002E-3</v>
      </c>
      <c r="X189" s="24">
        <f>AA189*(1+AC189)</f>
        <v>4.0097064000000002E-3</v>
      </c>
      <c r="Y189" s="51">
        <v>2013</v>
      </c>
      <c r="Z189" s="434"/>
      <c r="AA189" s="34">
        <f>+Q189/1000</f>
        <v>5.0121330000000002E-3</v>
      </c>
      <c r="AB189" s="395">
        <v>-0.2</v>
      </c>
      <c r="AC189" s="443">
        <f>AB189</f>
        <v>-0.2</v>
      </c>
      <c r="AD189" s="422"/>
      <c r="AE189" s="422"/>
      <c r="AF189" s="619">
        <f>+AJ189*(1+AK189)</f>
        <v>4.5109197000000002E-3</v>
      </c>
      <c r="AG189" s="620">
        <f>+AJ189*(1+AL189)</f>
        <v>4.5109197000000002E-3</v>
      </c>
      <c r="AH189" s="617">
        <v>2013</v>
      </c>
      <c r="AI189" s="650"/>
      <c r="AJ189" s="650">
        <f>+Q189/1000</f>
        <v>5.0121330000000002E-3</v>
      </c>
      <c r="AK189" s="399">
        <v>-0.1</v>
      </c>
      <c r="AL189" s="618">
        <f>AK189</f>
        <v>-0.1</v>
      </c>
      <c r="AM189" s="421"/>
      <c r="AN189" s="422"/>
      <c r="AO189" s="170">
        <f>AS189*(1+AT189)</f>
        <v>3.1576437900000002E-3</v>
      </c>
      <c r="AP189" s="86">
        <f>AS189*(1+AU189)</f>
        <v>3.1576437900000002E-3</v>
      </c>
      <c r="AQ189" s="272">
        <v>2017</v>
      </c>
      <c r="AR189" s="34"/>
      <c r="AS189" s="442">
        <f>+Q189/1000</f>
        <v>5.0121330000000002E-3</v>
      </c>
      <c r="AT189" s="395">
        <v>-0.37</v>
      </c>
      <c r="AU189" s="443">
        <f>AT189</f>
        <v>-0.37</v>
      </c>
      <c r="AV189" s="168"/>
      <c r="AW189" s="168"/>
      <c r="AX189" s="171">
        <f>BB189*(1+BC189)</f>
        <v>4.0097064000000002E-3</v>
      </c>
      <c r="AY189" s="172">
        <f>BB189*(1+BD189)</f>
        <v>4.0097064000000002E-3</v>
      </c>
      <c r="AZ189" s="272">
        <v>2013</v>
      </c>
      <c r="BA189" s="34"/>
      <c r="BB189" s="657">
        <f>Q189/1000</f>
        <v>5.0121330000000002E-3</v>
      </c>
      <c r="BC189" s="395">
        <v>-0.2</v>
      </c>
      <c r="BD189" s="443">
        <f>BC189</f>
        <v>-0.2</v>
      </c>
      <c r="BE189" s="210"/>
      <c r="BF189" s="168"/>
      <c r="BG189" s="19"/>
      <c r="BH189" s="20"/>
      <c r="BI189" s="77"/>
      <c r="BJ189" s="53"/>
      <c r="BK189" s="48"/>
      <c r="BL189" s="43"/>
      <c r="BM189" s="229"/>
      <c r="BN189" s="210"/>
      <c r="BO189" s="168"/>
      <c r="BP189" s="677">
        <f>BT189*(1+BU189)</f>
        <v>1.6038509999999999E-3</v>
      </c>
      <c r="BQ189" s="678">
        <f>BT189*(1+BV189)</f>
        <v>1.6038509999999999E-3</v>
      </c>
      <c r="BR189" s="427">
        <v>2017</v>
      </c>
      <c r="BS189" s="428"/>
      <c r="BT189" s="714">
        <f>+T189/1000</f>
        <v>2.673085E-3</v>
      </c>
      <c r="BU189" s="399">
        <v>-0.4</v>
      </c>
      <c r="BV189" s="618">
        <f>BU189</f>
        <v>-0.4</v>
      </c>
      <c r="BW189" s="140"/>
      <c r="BX189" s="309"/>
      <c r="BY189" s="309"/>
    </row>
    <row r="190" spans="1:77" s="14" customFormat="1" ht="15" customHeight="1" x14ac:dyDescent="0.2">
      <c r="A190" s="56" t="s">
        <v>89</v>
      </c>
      <c r="B190" s="107"/>
      <c r="C190" s="637" t="s">
        <v>415</v>
      </c>
      <c r="D190" s="544">
        <v>1540</v>
      </c>
      <c r="E190" s="127" t="s">
        <v>392</v>
      </c>
      <c r="F190" s="362"/>
      <c r="G190" s="62"/>
      <c r="H190" s="61"/>
      <c r="I190" s="67"/>
      <c r="J190" s="62"/>
      <c r="K190" s="62"/>
      <c r="L190" s="67">
        <v>2012</v>
      </c>
      <c r="M190" s="62"/>
      <c r="N190" s="355">
        <v>3.2869999999999999</v>
      </c>
      <c r="O190" s="362"/>
      <c r="P190" s="62"/>
      <c r="Q190" s="355"/>
      <c r="R190" s="362"/>
      <c r="S190" s="62"/>
      <c r="T190" s="355"/>
      <c r="U190" s="419"/>
      <c r="V190" s="419"/>
      <c r="W190" s="23">
        <f>AA190*(1+AB190)</f>
        <v>3.2212600000000001E-3</v>
      </c>
      <c r="X190" s="24">
        <f>AA190*(1+AC190)</f>
        <v>3.2212600000000001E-3</v>
      </c>
      <c r="Y190" s="51">
        <v>2012</v>
      </c>
      <c r="Z190" s="434"/>
      <c r="AA190" s="34">
        <f>+N190/1000</f>
        <v>3.287E-3</v>
      </c>
      <c r="AB190" s="395">
        <v>-0.02</v>
      </c>
      <c r="AC190" s="443">
        <f>AB190</f>
        <v>-0.02</v>
      </c>
      <c r="AD190" s="422"/>
      <c r="AE190" s="422"/>
      <c r="AF190" s="136"/>
      <c r="AG190" s="59"/>
      <c r="AH190" s="77"/>
      <c r="AI190" s="53"/>
      <c r="AJ190" s="48"/>
      <c r="AK190" s="156"/>
      <c r="AL190" s="284"/>
      <c r="AM190" s="421"/>
      <c r="AN190" s="422"/>
      <c r="AO190" s="136"/>
      <c r="AP190" s="59"/>
      <c r="AQ190" s="77"/>
      <c r="AR190" s="53"/>
      <c r="AS190" s="32"/>
      <c r="AT190" s="156"/>
      <c r="AU190" s="284"/>
      <c r="AV190" s="168"/>
      <c r="AW190" s="168"/>
      <c r="AX190" s="19"/>
      <c r="AY190" s="20"/>
      <c r="AZ190" s="77"/>
      <c r="BA190" s="53"/>
      <c r="BB190" s="48"/>
      <c r="BC190" s="43"/>
      <c r="BD190" s="229"/>
      <c r="BE190" s="210"/>
      <c r="BF190" s="168"/>
      <c r="BG190" s="19"/>
      <c r="BH190" s="20"/>
      <c r="BI190" s="77"/>
      <c r="BJ190" s="53"/>
      <c r="BK190" s="48"/>
      <c r="BL190" s="43"/>
      <c r="BM190" s="229"/>
      <c r="BN190" s="210"/>
      <c r="BO190" s="168"/>
      <c r="BP190" s="425"/>
      <c r="BQ190" s="426"/>
      <c r="BR190" s="427"/>
      <c r="BS190" s="428"/>
      <c r="BT190" s="48"/>
      <c r="BU190" s="156"/>
      <c r="BV190" s="284"/>
      <c r="BW190" s="140"/>
      <c r="BX190" s="309"/>
      <c r="BY190" s="309"/>
    </row>
    <row r="191" spans="1:77" s="14" customFormat="1" ht="15" customHeight="1" x14ac:dyDescent="0.2">
      <c r="A191" s="56" t="s">
        <v>89</v>
      </c>
      <c r="B191" s="107"/>
      <c r="C191" s="637" t="s">
        <v>574</v>
      </c>
      <c r="D191" s="544">
        <v>820</v>
      </c>
      <c r="E191" s="127" t="s">
        <v>392</v>
      </c>
      <c r="F191" s="362"/>
      <c r="G191" s="62"/>
      <c r="H191" s="61"/>
      <c r="I191" s="67"/>
      <c r="J191" s="62"/>
      <c r="K191" s="62"/>
      <c r="L191" s="67"/>
      <c r="M191" s="62"/>
      <c r="N191" s="355">
        <v>4.3780000000000001</v>
      </c>
      <c r="O191" s="362"/>
      <c r="P191" s="62"/>
      <c r="Q191" s="355"/>
      <c r="R191" s="362"/>
      <c r="S191" s="62"/>
      <c r="T191" s="355"/>
      <c r="U191" s="419"/>
      <c r="V191" s="419"/>
      <c r="W191" s="23"/>
      <c r="X191" s="24"/>
      <c r="Y191" s="51"/>
      <c r="Z191" s="434"/>
      <c r="AA191" s="34"/>
      <c r="AB191" s="395"/>
      <c r="AC191" s="443"/>
      <c r="AD191" s="422"/>
      <c r="AE191" s="422"/>
      <c r="AF191" s="619">
        <f>+AJ191*(1+AK191)</f>
        <v>1.9700999999999998E-3</v>
      </c>
      <c r="AG191" s="620">
        <f>+AJ191*(1+AL191)</f>
        <v>1.9700999999999998E-3</v>
      </c>
      <c r="AH191" s="617">
        <v>2010</v>
      </c>
      <c r="AI191" s="650"/>
      <c r="AJ191" s="650">
        <f>+N191/1000</f>
        <v>4.3779999999999999E-3</v>
      </c>
      <c r="AK191" s="399">
        <v>-0.55000000000000004</v>
      </c>
      <c r="AL191" s="618">
        <f>AK191</f>
        <v>-0.55000000000000004</v>
      </c>
      <c r="AM191" s="421"/>
      <c r="AN191" s="422"/>
      <c r="AO191" s="136"/>
      <c r="AP191" s="59"/>
      <c r="AQ191" s="77"/>
      <c r="AR191" s="53"/>
      <c r="AS191" s="32"/>
      <c r="AT191" s="156"/>
      <c r="AU191" s="284"/>
      <c r="AV191" s="168"/>
      <c r="AW191" s="168"/>
      <c r="AX191" s="19"/>
      <c r="AY191" s="20"/>
      <c r="AZ191" s="77"/>
      <c r="BA191" s="53"/>
      <c r="BB191" s="48"/>
      <c r="BC191" s="43"/>
      <c r="BD191" s="229"/>
      <c r="BE191" s="210"/>
      <c r="BF191" s="168"/>
      <c r="BG191" s="19"/>
      <c r="BH191" s="20"/>
      <c r="BI191" s="77"/>
      <c r="BJ191" s="53"/>
      <c r="BK191" s="48"/>
      <c r="BL191" s="43"/>
      <c r="BM191" s="229"/>
      <c r="BN191" s="210"/>
      <c r="BO191" s="168"/>
      <c r="BP191" s="425"/>
      <c r="BQ191" s="426"/>
      <c r="BR191" s="427"/>
      <c r="BS191" s="428"/>
      <c r="BT191" s="48"/>
      <c r="BU191" s="156"/>
      <c r="BV191" s="284"/>
      <c r="BW191" s="140"/>
      <c r="BX191" s="309"/>
      <c r="BY191" s="309"/>
    </row>
    <row r="192" spans="1:77" ht="15" customHeight="1" x14ac:dyDescent="0.2">
      <c r="A192" s="56" t="s">
        <v>97</v>
      </c>
      <c r="B192" s="56" t="s">
        <v>1606</v>
      </c>
      <c r="C192" s="637"/>
      <c r="D192" s="544">
        <v>5822.2089999999998</v>
      </c>
      <c r="E192" s="624" t="s">
        <v>3189</v>
      </c>
      <c r="F192" s="373">
        <v>1994</v>
      </c>
      <c r="G192" s="121">
        <v>5.40482</v>
      </c>
      <c r="H192" s="346">
        <v>7.65184</v>
      </c>
      <c r="I192" s="114"/>
      <c r="J192" s="93">
        <v>19.193719999999999</v>
      </c>
      <c r="K192" s="346">
        <f>J192-14.46133</f>
        <v>4.7323899999999988</v>
      </c>
      <c r="L192" s="114"/>
      <c r="M192" s="93">
        <v>15.26709</v>
      </c>
      <c r="N192" s="93">
        <f>M192-10.36452</f>
        <v>4.902569999999999</v>
      </c>
      <c r="O192" s="923"/>
      <c r="P192" s="68"/>
      <c r="Q192" s="356"/>
      <c r="R192" s="923"/>
      <c r="S192" s="68"/>
      <c r="T192" s="356"/>
      <c r="U192" s="68"/>
      <c r="V192" s="68"/>
      <c r="W192" s="27"/>
      <c r="X192" s="28"/>
      <c r="Y192" s="145"/>
      <c r="Z192" s="38"/>
      <c r="AA192" s="32"/>
      <c r="AB192" s="80"/>
      <c r="AC192" s="209"/>
      <c r="AD192" s="16"/>
      <c r="AE192" s="20"/>
      <c r="AF192" s="4"/>
      <c r="AG192" s="59"/>
      <c r="AH192" s="77"/>
      <c r="AI192" s="38"/>
      <c r="AJ192" s="32"/>
      <c r="AK192" s="80"/>
      <c r="AL192" s="215"/>
      <c r="AM192" s="208"/>
      <c r="AN192" s="16"/>
      <c r="AO192" s="136"/>
      <c r="AP192" s="59"/>
      <c r="AQ192" s="77"/>
      <c r="AR192" s="38"/>
      <c r="AS192" s="32"/>
      <c r="AT192" s="80"/>
      <c r="AU192" s="215"/>
      <c r="AV192" s="16"/>
      <c r="AW192" s="16"/>
      <c r="AX192" s="19"/>
      <c r="AY192" s="20"/>
      <c r="AZ192" s="77"/>
      <c r="BA192" s="38"/>
      <c r="BB192" s="32"/>
      <c r="BC192" s="80"/>
      <c r="BD192" s="75"/>
      <c r="BE192" s="208"/>
      <c r="BF192" s="16"/>
      <c r="BG192" s="19"/>
      <c r="BH192" s="20"/>
      <c r="BI192" s="77"/>
      <c r="BJ192" s="38"/>
      <c r="BK192" s="32"/>
      <c r="BL192" s="80"/>
      <c r="BM192" s="75"/>
      <c r="BN192" s="208"/>
      <c r="BO192" s="16"/>
      <c r="BP192" s="19"/>
      <c r="BQ192" s="20"/>
      <c r="BR192" s="32"/>
      <c r="BS192" s="38"/>
      <c r="BT192" s="32"/>
      <c r="BU192" s="27"/>
      <c r="BV192" s="220"/>
      <c r="BX192" s="321"/>
      <c r="BY192" s="38"/>
    </row>
    <row r="193" spans="1:77" ht="15" customHeight="1" x14ac:dyDescent="0.2">
      <c r="A193" s="56" t="s">
        <v>101</v>
      </c>
      <c r="B193" s="56" t="s">
        <v>1606</v>
      </c>
      <c r="C193" s="637"/>
      <c r="D193" s="544">
        <v>3678.1280000000002</v>
      </c>
      <c r="E193" s="95" t="s">
        <v>3190</v>
      </c>
      <c r="F193" s="362">
        <v>1994</v>
      </c>
      <c r="G193" s="62">
        <v>34.4</v>
      </c>
      <c r="H193" s="69">
        <v>10.7</v>
      </c>
      <c r="I193" s="74">
        <v>2000</v>
      </c>
      <c r="J193" s="402">
        <v>3.9037500000000001</v>
      </c>
      <c r="K193" s="403">
        <f>J193+5.80399</f>
        <v>9.7077399999999994</v>
      </c>
      <c r="L193" s="74"/>
      <c r="M193" s="68">
        <v>9.7995999999999999</v>
      </c>
      <c r="N193" s="68">
        <f>M193+4.083</f>
        <v>13.8826</v>
      </c>
      <c r="O193" s="923">
        <v>2013</v>
      </c>
      <c r="P193" s="68"/>
      <c r="Q193" s="356">
        <v>15.87697</v>
      </c>
      <c r="R193" s="923"/>
      <c r="S193" s="68"/>
      <c r="T193" s="356"/>
      <c r="U193" s="68"/>
      <c r="V193" s="68"/>
      <c r="W193" s="27"/>
      <c r="X193" s="28"/>
      <c r="Y193" s="145"/>
      <c r="Z193" s="38"/>
      <c r="AA193" s="32"/>
      <c r="AB193" s="80"/>
      <c r="AC193" s="209"/>
      <c r="AD193" s="16"/>
      <c r="AE193" s="20"/>
      <c r="AF193" s="4"/>
      <c r="AG193" s="59"/>
      <c r="AH193" s="77"/>
      <c r="AI193" s="38"/>
      <c r="AJ193" s="32"/>
      <c r="AK193" s="80"/>
      <c r="AL193" s="215"/>
      <c r="AM193" s="208"/>
      <c r="AN193" s="16"/>
      <c r="AO193" s="1533" t="s">
        <v>311</v>
      </c>
      <c r="AP193" s="1534"/>
      <c r="AQ193" s="77"/>
      <c r="AR193" s="38"/>
      <c r="AS193" s="32"/>
      <c r="AT193" s="80"/>
      <c r="AU193" s="215"/>
      <c r="AV193" s="16"/>
      <c r="AW193" s="16"/>
      <c r="AX193" s="19"/>
      <c r="AY193" s="20"/>
      <c r="AZ193" s="77"/>
      <c r="BA193" s="38"/>
      <c r="BB193" s="32"/>
      <c r="BC193" s="80"/>
      <c r="BD193" s="75"/>
      <c r="BE193" s="208"/>
      <c r="BF193" s="16"/>
      <c r="BG193" s="19"/>
      <c r="BH193" s="20"/>
      <c r="BI193" s="77"/>
      <c r="BJ193" s="38"/>
      <c r="BK193" s="32"/>
      <c r="BL193" s="80"/>
      <c r="BM193" s="75"/>
      <c r="BN193" s="208"/>
      <c r="BO193" s="16"/>
      <c r="BP193" s="19"/>
      <c r="BQ193" s="20"/>
      <c r="BR193" s="32"/>
      <c r="BS193" s="38"/>
      <c r="BT193" s="32"/>
      <c r="BU193" s="27"/>
      <c r="BV193" s="220"/>
      <c r="BX193" s="321"/>
      <c r="BY193" s="38"/>
    </row>
    <row r="194" spans="1:77" ht="15" customHeight="1" x14ac:dyDescent="0.2">
      <c r="A194" s="56" t="s">
        <v>101</v>
      </c>
      <c r="B194" s="56"/>
      <c r="C194" s="637" t="s">
        <v>2810</v>
      </c>
      <c r="D194" s="544">
        <v>1163</v>
      </c>
      <c r="E194" s="95" t="s">
        <v>387</v>
      </c>
      <c r="F194" s="362"/>
      <c r="G194" s="62"/>
      <c r="H194" s="69"/>
      <c r="I194" s="74"/>
      <c r="J194" s="402"/>
      <c r="K194" s="403"/>
      <c r="L194" s="74"/>
      <c r="M194" s="68"/>
      <c r="N194" s="68"/>
      <c r="O194" s="923">
        <v>2013</v>
      </c>
      <c r="P194" s="68"/>
      <c r="Q194" s="356">
        <v>9.1533010000000008</v>
      </c>
      <c r="R194" s="923"/>
      <c r="S194" s="68"/>
      <c r="T194" s="356"/>
      <c r="U194" s="68"/>
      <c r="V194" s="68"/>
      <c r="W194" s="27"/>
      <c r="X194" s="28"/>
      <c r="Y194" s="145"/>
      <c r="Z194" s="38"/>
      <c r="AA194" s="32"/>
      <c r="AB194" s="80"/>
      <c r="AC194" s="209"/>
      <c r="AD194" s="16"/>
      <c r="AE194" s="20"/>
      <c r="AF194" s="4"/>
      <c r="AG194" s="59"/>
      <c r="AH194" s="77"/>
      <c r="AI194" s="38"/>
      <c r="AJ194" s="32"/>
      <c r="AK194" s="80"/>
      <c r="AL194" s="215"/>
      <c r="AM194" s="208"/>
      <c r="AN194" s="16"/>
      <c r="AO194" s="820"/>
      <c r="AP194" s="821"/>
      <c r="AQ194" s="77"/>
      <c r="AR194" s="38"/>
      <c r="AS194" s="32"/>
      <c r="AT194" s="80"/>
      <c r="AU194" s="215"/>
      <c r="AV194" s="16"/>
      <c r="AW194" s="16"/>
      <c r="AX194" s="19"/>
      <c r="AY194" s="20"/>
      <c r="AZ194" s="77"/>
      <c r="BA194" s="38"/>
      <c r="BB194" s="32"/>
      <c r="BC194" s="80"/>
      <c r="BD194" s="75"/>
      <c r="BE194" s="208"/>
      <c r="BF194" s="16"/>
      <c r="BG194" s="19"/>
      <c r="BH194" s="20"/>
      <c r="BI194" s="77"/>
      <c r="BJ194" s="38"/>
      <c r="BK194" s="32"/>
      <c r="BL194" s="80"/>
      <c r="BM194" s="75"/>
      <c r="BN194" s="208"/>
      <c r="BO194" s="16"/>
      <c r="BP194" s="677">
        <f>BT194*(1+BU194)</f>
        <v>6.4073107000000001E-3</v>
      </c>
      <c r="BQ194" s="678">
        <f>BT194*(1+BV194)</f>
        <v>6.4073107000000001E-3</v>
      </c>
      <c r="BR194" s="427">
        <v>2013</v>
      </c>
      <c r="BS194" s="428"/>
      <c r="BT194" s="714">
        <f>+Q194/1000</f>
        <v>9.1533010000000008E-3</v>
      </c>
      <c r="BU194" s="399">
        <v>-0.3</v>
      </c>
      <c r="BV194" s="618">
        <f>BU194</f>
        <v>-0.3</v>
      </c>
      <c r="BX194" s="321"/>
      <c r="BY194" s="38"/>
    </row>
    <row r="195" spans="1:77" ht="15" customHeight="1" x14ac:dyDescent="0.2">
      <c r="A195" s="56" t="s">
        <v>102</v>
      </c>
      <c r="B195" s="56" t="s">
        <v>1606</v>
      </c>
      <c r="C195" s="637"/>
      <c r="D195" s="544">
        <v>6459.7209999999995</v>
      </c>
      <c r="E195" s="624" t="s">
        <v>3275</v>
      </c>
      <c r="F195" s="373"/>
      <c r="G195" s="121">
        <v>49.967320000000001</v>
      </c>
      <c r="H195" s="346">
        <f>G195-31.70961</f>
        <v>18.257709999999999</v>
      </c>
      <c r="I195" s="114"/>
      <c r="J195" s="93">
        <v>48.493340000000003</v>
      </c>
      <c r="K195" s="346">
        <f>J195-25.45707</f>
        <v>23.036270000000002</v>
      </c>
      <c r="L195" s="436"/>
      <c r="M195" s="93">
        <v>58.814439999999998</v>
      </c>
      <c r="N195" s="378">
        <f>M195-30.21819</f>
        <v>28.596249999999998</v>
      </c>
      <c r="O195" s="1038"/>
      <c r="P195" s="93">
        <v>75.228260000000006</v>
      </c>
      <c r="Q195" s="378">
        <f>P195-41.60385</f>
        <v>33.624410000000005</v>
      </c>
      <c r="R195" s="1038">
        <v>2017</v>
      </c>
      <c r="S195" s="93">
        <v>49.855530000000002</v>
      </c>
      <c r="T195" s="378">
        <f>S195-14.51098</f>
        <v>35.344549999999998</v>
      </c>
      <c r="U195" s="488">
        <v>80.631</v>
      </c>
      <c r="V195" s="68"/>
      <c r="W195" s="27"/>
      <c r="X195" s="28"/>
      <c r="Y195" s="38"/>
      <c r="Z195" s="38"/>
      <c r="AA195" s="145"/>
      <c r="AB195" s="80"/>
      <c r="AC195" s="209"/>
      <c r="AD195" s="16"/>
      <c r="AE195" s="20"/>
      <c r="AF195" s="4"/>
      <c r="AG195" s="59"/>
      <c r="AH195" s="77"/>
      <c r="AI195" s="38"/>
      <c r="AJ195" s="145"/>
      <c r="AK195" s="80"/>
      <c r="AL195" s="215"/>
      <c r="AM195" s="207">
        <v>0.41599999999999998</v>
      </c>
      <c r="AN195" s="78"/>
      <c r="AO195" s="46">
        <f>AR195*(1+AT195)</f>
        <v>0.37440000000000001</v>
      </c>
      <c r="AP195" s="47">
        <f>AR195*(1+AU195)</f>
        <v>0.33279999999999998</v>
      </c>
      <c r="AQ195" s="262">
        <v>2030</v>
      </c>
      <c r="AR195" s="48">
        <f>AM195</f>
        <v>0.41599999999999998</v>
      </c>
      <c r="AS195" s="1340"/>
      <c r="AT195" s="1325">
        <v>-0.1</v>
      </c>
      <c r="AU195" s="1326">
        <v>-0.2</v>
      </c>
      <c r="AV195" s="16"/>
      <c r="AW195" s="16"/>
      <c r="AX195" s="19"/>
      <c r="AY195" s="20"/>
      <c r="AZ195" s="77"/>
      <c r="BA195" s="38"/>
      <c r="BB195" s="145"/>
      <c r="BC195" s="80"/>
      <c r="BD195" s="75"/>
      <c r="BE195" s="208"/>
      <c r="BF195" s="16"/>
      <c r="BG195" s="19"/>
      <c r="BH195" s="20"/>
      <c r="BI195" s="77"/>
      <c r="BJ195" s="38"/>
      <c r="BK195" s="145"/>
      <c r="BL195" s="80"/>
      <c r="BM195" s="75"/>
      <c r="BN195" s="208"/>
      <c r="BO195" s="16"/>
      <c r="BP195" s="19"/>
      <c r="BQ195" s="20"/>
      <c r="BR195" s="32"/>
      <c r="BS195" s="38"/>
      <c r="BT195" s="145"/>
      <c r="BU195" s="27"/>
      <c r="BV195" s="220"/>
      <c r="BX195" s="321"/>
      <c r="BY195" s="38"/>
    </row>
    <row r="196" spans="1:77" ht="15" customHeight="1" x14ac:dyDescent="0.2">
      <c r="A196" s="56" t="s">
        <v>103</v>
      </c>
      <c r="B196" s="56" t="s">
        <v>1606</v>
      </c>
      <c r="C196" s="637"/>
      <c r="D196" s="544">
        <v>29262.83</v>
      </c>
      <c r="E196" s="624" t="s">
        <v>3191</v>
      </c>
      <c r="F196" s="362">
        <v>1994</v>
      </c>
      <c r="G196" s="62">
        <v>98.816299999999998</v>
      </c>
      <c r="H196" s="69">
        <v>57.58287</v>
      </c>
      <c r="I196" s="74"/>
      <c r="J196" s="68">
        <v>184.91060999999999</v>
      </c>
      <c r="K196" s="69">
        <v>63.875929999999997</v>
      </c>
      <c r="L196" s="74"/>
      <c r="M196" s="93">
        <f>170.36581</f>
        <v>170.36581000000001</v>
      </c>
      <c r="N196" s="378">
        <v>80.458640000000003</v>
      </c>
      <c r="O196" s="923">
        <v>2012</v>
      </c>
      <c r="P196" s="93">
        <v>171.30957000000001</v>
      </c>
      <c r="Q196" s="378">
        <f>P196-86.742</f>
        <v>84.567570000000003</v>
      </c>
      <c r="R196" s="923"/>
      <c r="S196" s="93"/>
      <c r="T196" s="378"/>
      <c r="U196" s="68"/>
      <c r="V196" s="68"/>
      <c r="W196" s="27"/>
      <c r="X196" s="28"/>
      <c r="Y196" s="145"/>
      <c r="Z196" s="38"/>
      <c r="AA196" s="145"/>
      <c r="AB196" s="80"/>
      <c r="AC196" s="209"/>
      <c r="AD196" s="16"/>
      <c r="AE196" s="20"/>
      <c r="AF196" s="4"/>
      <c r="AG196" s="59"/>
      <c r="AH196" s="77"/>
      <c r="AI196" s="38"/>
      <c r="AJ196" s="145"/>
      <c r="AK196" s="80"/>
      <c r="AL196" s="215"/>
      <c r="AM196" s="207">
        <f>298.3/1000</f>
        <v>0.29830000000000001</v>
      </c>
      <c r="AN196" s="78">
        <f>139.3/1000</f>
        <v>0.13930000000000001</v>
      </c>
      <c r="AO196" s="46">
        <f>AR196*(1+AT196)</f>
        <v>0.20881</v>
      </c>
      <c r="AP196" s="47">
        <f>AR196*(1+AU196)</f>
        <v>0.17898</v>
      </c>
      <c r="AQ196" s="262">
        <v>2030</v>
      </c>
      <c r="AR196" s="48">
        <f>AM196</f>
        <v>0.29830000000000001</v>
      </c>
      <c r="AS196" s="1340"/>
      <c r="AT196" s="1325">
        <v>-0.3</v>
      </c>
      <c r="AU196" s="1326">
        <v>-0.4</v>
      </c>
      <c r="AV196" s="16"/>
      <c r="AW196" s="20"/>
      <c r="AX196" s="16"/>
      <c r="AY196" s="20"/>
      <c r="AZ196" s="77"/>
      <c r="BA196" s="38"/>
      <c r="BB196" s="145"/>
      <c r="BC196" s="80"/>
      <c r="BD196" s="75"/>
      <c r="BE196" s="208"/>
      <c r="BF196" s="16"/>
      <c r="BG196" s="19"/>
      <c r="BH196" s="20"/>
      <c r="BI196" s="77"/>
      <c r="BJ196" s="38"/>
      <c r="BK196" s="145"/>
      <c r="BL196" s="80"/>
      <c r="BM196" s="75"/>
      <c r="BN196" s="208"/>
      <c r="BO196" s="16"/>
      <c r="BP196" s="19"/>
      <c r="BQ196" s="20"/>
      <c r="BR196" s="32"/>
      <c r="BS196" s="38"/>
      <c r="BT196" s="145"/>
      <c r="BU196" s="27"/>
      <c r="BV196" s="220"/>
      <c r="BX196" s="139" t="s">
        <v>298</v>
      </c>
      <c r="BY196" s="38"/>
    </row>
    <row r="197" spans="1:77" ht="15" customHeight="1" x14ac:dyDescent="0.2">
      <c r="A197" s="56" t="s">
        <v>103</v>
      </c>
      <c r="B197" s="107" t="s">
        <v>2517</v>
      </c>
      <c r="C197" s="637"/>
      <c r="D197" s="544">
        <v>8574.9740000000002</v>
      </c>
      <c r="E197" s="127" t="s">
        <v>387</v>
      </c>
      <c r="F197" s="362"/>
      <c r="G197" s="62"/>
      <c r="H197" s="69"/>
      <c r="I197" s="74"/>
      <c r="J197" s="68"/>
      <c r="K197" s="69"/>
      <c r="L197" s="74"/>
      <c r="M197" s="93"/>
      <c r="N197" s="378"/>
      <c r="O197" s="923"/>
      <c r="P197" s="93"/>
      <c r="Q197" s="378">
        <v>15.789438000000001</v>
      </c>
      <c r="R197" s="923"/>
      <c r="S197" s="93"/>
      <c r="T197" s="378"/>
      <c r="U197" s="68"/>
      <c r="V197" s="68"/>
      <c r="W197" s="27"/>
      <c r="X197" s="28"/>
      <c r="Y197" s="145"/>
      <c r="Z197" s="38"/>
      <c r="AA197" s="145"/>
      <c r="AB197" s="80"/>
      <c r="AC197" s="209"/>
      <c r="AD197" s="16"/>
      <c r="AE197" s="20"/>
      <c r="AF197" s="4"/>
      <c r="AG197" s="59"/>
      <c r="AH197" s="77"/>
      <c r="AI197" s="38"/>
      <c r="AJ197" s="145"/>
      <c r="AK197" s="80"/>
      <c r="AL197" s="215"/>
      <c r="AM197" s="456"/>
      <c r="AN197" s="387"/>
      <c r="AO197" s="170">
        <f>AS197*(1+AT197)</f>
        <v>1.1052606599999999E-2</v>
      </c>
      <c r="AP197" s="86">
        <f>AS197*(1+AU197)</f>
        <v>1.1052606599999999E-2</v>
      </c>
      <c r="AQ197" s="272">
        <v>2015</v>
      </c>
      <c r="AR197" s="34"/>
      <c r="AS197" s="442">
        <f>+Q197/1000</f>
        <v>1.5789437999999999E-2</v>
      </c>
      <c r="AT197" s="395">
        <v>-0.3</v>
      </c>
      <c r="AU197" s="443">
        <f>AT197</f>
        <v>-0.3</v>
      </c>
      <c r="AV197" s="16"/>
      <c r="AW197" s="20"/>
      <c r="AX197" s="16"/>
      <c r="AY197" s="20"/>
      <c r="AZ197" s="77"/>
      <c r="BA197" s="38"/>
      <c r="BB197" s="145"/>
      <c r="BC197" s="80"/>
      <c r="BD197" s="75"/>
      <c r="BE197" s="208"/>
      <c r="BF197" s="16"/>
      <c r="BG197" s="19"/>
      <c r="BH197" s="20"/>
      <c r="BI197" s="77"/>
      <c r="BJ197" s="38"/>
      <c r="BK197" s="145"/>
      <c r="BL197" s="80"/>
      <c r="BM197" s="75"/>
      <c r="BN197" s="208"/>
      <c r="BO197" s="16"/>
      <c r="BP197" s="19"/>
      <c r="BQ197" s="20"/>
      <c r="BR197" s="32"/>
      <c r="BS197" s="38"/>
      <c r="BT197" s="145"/>
      <c r="BU197" s="27"/>
      <c r="BV197" s="220"/>
      <c r="BX197" s="139"/>
      <c r="BY197" s="38"/>
    </row>
    <row r="198" spans="1:77" ht="15" customHeight="1" x14ac:dyDescent="0.2">
      <c r="A198" s="56" t="s">
        <v>248</v>
      </c>
      <c r="B198" s="56" t="s">
        <v>1606</v>
      </c>
      <c r="C198" s="637"/>
      <c r="D198" s="544">
        <v>52.351999999999997</v>
      </c>
      <c r="E198" s="624" t="s">
        <v>3297</v>
      </c>
      <c r="F198" s="373">
        <v>1994</v>
      </c>
      <c r="G198" s="121">
        <v>7.6399999999999996E-2</v>
      </c>
      <c r="H198" s="346">
        <v>0.16441</v>
      </c>
      <c r="I198" s="114"/>
      <c r="J198" s="93">
        <f>K198-0.137</f>
        <v>0.42937829999999999</v>
      </c>
      <c r="K198" s="346">
        <f>0.5+(0.00069+0.0011423)*21+0.00009*310</f>
        <v>0.5663783</v>
      </c>
      <c r="L198" s="114"/>
      <c r="M198" s="93"/>
      <c r="N198" s="1512">
        <v>0.253</v>
      </c>
      <c r="O198" s="923"/>
      <c r="P198" s="68"/>
      <c r="Q198" s="378"/>
      <c r="R198" s="923"/>
      <c r="S198" s="68"/>
      <c r="T198" s="378"/>
      <c r="U198" s="68"/>
      <c r="V198" s="437"/>
      <c r="W198" s="530"/>
      <c r="X198" s="510"/>
      <c r="Y198" s="497"/>
      <c r="Z198" s="38"/>
      <c r="AA198" s="145"/>
      <c r="AB198" s="80"/>
      <c r="AC198" s="209"/>
      <c r="AD198" s="387"/>
      <c r="AE198" s="510"/>
      <c r="AF198" s="530"/>
      <c r="AG198" s="510"/>
      <c r="AH198" s="440"/>
      <c r="AI198" s="441"/>
      <c r="AJ198" s="475"/>
      <c r="AK198" s="292"/>
      <c r="AL198" s="293"/>
      <c r="AM198" s="456"/>
      <c r="AN198" s="508"/>
      <c r="AO198" s="1478">
        <f>AS198*(1+AT198)</f>
        <v>2.5300000000000002E-4</v>
      </c>
      <c r="AP198" s="1472">
        <f>AS198*(1+AU198)</f>
        <v>9.8670000000000016E-5</v>
      </c>
      <c r="AQ198" s="262">
        <v>2010</v>
      </c>
      <c r="AR198" s="1364"/>
      <c r="AS198" s="1473">
        <f>+N198/1000</f>
        <v>2.5300000000000002E-4</v>
      </c>
      <c r="AT198" s="1325">
        <v>0</v>
      </c>
      <c r="AU198" s="1326">
        <v>-0.61</v>
      </c>
      <c r="AV198" s="16"/>
      <c r="AW198" s="20"/>
      <c r="AX198" s="16"/>
      <c r="AY198" s="20"/>
      <c r="AZ198" s="77"/>
      <c r="BA198" s="38"/>
      <c r="BB198" s="145"/>
      <c r="BC198" s="80"/>
      <c r="BD198" s="75"/>
      <c r="BE198" s="208"/>
      <c r="BF198" s="16"/>
      <c r="BG198" s="19"/>
      <c r="BH198" s="20"/>
      <c r="BI198" s="77"/>
      <c r="BJ198" s="38"/>
      <c r="BK198" s="145"/>
      <c r="BL198" s="80"/>
      <c r="BM198" s="75"/>
      <c r="BN198" s="208"/>
      <c r="BO198" s="16"/>
      <c r="BP198" s="19"/>
      <c r="BQ198" s="20"/>
      <c r="BR198" s="32"/>
      <c r="BS198" s="38"/>
      <c r="BT198" s="145"/>
      <c r="BU198" s="27"/>
      <c r="BV198" s="220"/>
      <c r="BX198" s="321"/>
      <c r="BY198" s="38"/>
    </row>
    <row r="199" spans="1:77" ht="15" customHeight="1" x14ac:dyDescent="0.2">
      <c r="A199" s="107" t="s">
        <v>197</v>
      </c>
      <c r="B199" s="56" t="s">
        <v>1606</v>
      </c>
      <c r="C199" s="637"/>
      <c r="D199" s="544">
        <v>177.39699999999999</v>
      </c>
      <c r="E199" s="624" t="s">
        <v>3296</v>
      </c>
      <c r="F199" s="373">
        <v>1994</v>
      </c>
      <c r="G199" s="121">
        <v>0.54549999999999998</v>
      </c>
      <c r="H199" s="346">
        <f>G199-0.0846</f>
        <v>0.46089999999999998</v>
      </c>
      <c r="I199" s="114"/>
      <c r="J199" s="93">
        <v>0.34</v>
      </c>
      <c r="K199" s="93">
        <f>0.34+0.193</f>
        <v>0.53300000000000003</v>
      </c>
      <c r="L199" s="1038"/>
      <c r="M199" s="437">
        <v>0.57199999999999995</v>
      </c>
      <c r="N199" s="378">
        <f>M199+0.072</f>
        <v>0.64399999999999991</v>
      </c>
      <c r="O199" s="1038"/>
      <c r="P199" s="437">
        <v>0.42499999999999999</v>
      </c>
      <c r="Q199" s="378">
        <f>P199+0.253</f>
        <v>0.67799999999999994</v>
      </c>
      <c r="R199" s="1038">
        <v>2018</v>
      </c>
      <c r="S199" s="437">
        <v>0.50900000000000001</v>
      </c>
      <c r="T199" s="378">
        <f>S199+0.227</f>
        <v>0.73599999999999999</v>
      </c>
      <c r="U199" s="68"/>
      <c r="V199" s="68"/>
      <c r="W199" s="27"/>
      <c r="X199" s="28"/>
      <c r="Y199" s="145"/>
      <c r="Z199" s="38"/>
      <c r="AA199" s="145"/>
      <c r="AB199" s="80"/>
      <c r="AC199" s="209"/>
      <c r="AD199" s="508">
        <f>0.758/1000</f>
        <v>7.5799999999999999E-4</v>
      </c>
      <c r="AE199" s="439"/>
      <c r="AF199" s="476">
        <f>AI199*(1+AK199)</f>
        <v>6.3672000000000002E-4</v>
      </c>
      <c r="AG199" s="477">
        <f>AI199*(1+AL199)</f>
        <v>6.3672000000000002E-4</v>
      </c>
      <c r="AH199" s="440">
        <v>2025</v>
      </c>
      <c r="AI199" s="475">
        <f>AD199</f>
        <v>7.5799999999999999E-4</v>
      </c>
      <c r="AJ199" s="453"/>
      <c r="AK199" s="292">
        <v>-0.16</v>
      </c>
      <c r="AL199" s="293">
        <f>AK199</f>
        <v>-0.16</v>
      </c>
      <c r="AM199" s="449">
        <f>0.816/1000</f>
        <v>8.1599999999999999E-4</v>
      </c>
      <c r="AN199" s="450"/>
      <c r="AO199" s="1407">
        <f>+AR199-0.000037</f>
        <v>4.9600000000000002E-4</v>
      </c>
      <c r="AP199" s="1370">
        <f>AO199</f>
        <v>4.9600000000000002E-4</v>
      </c>
      <c r="AQ199" s="262">
        <v>2010</v>
      </c>
      <c r="AR199" s="1339">
        <f>+K199/1000</f>
        <v>5.3300000000000005E-4</v>
      </c>
      <c r="AS199" s="452"/>
      <c r="AT199" s="493"/>
      <c r="AU199" s="1511"/>
      <c r="AV199" s="16"/>
      <c r="AW199" s="20"/>
      <c r="AX199" s="16"/>
      <c r="AY199" s="20"/>
      <c r="AZ199" s="77"/>
      <c r="BA199" s="38"/>
      <c r="BB199" s="145"/>
      <c r="BC199" s="80"/>
      <c r="BD199" s="75"/>
      <c r="BE199" s="208"/>
      <c r="BF199" s="16"/>
      <c r="BG199" s="19"/>
      <c r="BH199" s="20"/>
      <c r="BI199" s="77"/>
      <c r="BJ199" s="38"/>
      <c r="BK199" s="145"/>
      <c r="BL199" s="80"/>
      <c r="BM199" s="75"/>
      <c r="BN199" s="208"/>
      <c r="BO199" s="16"/>
      <c r="BP199" s="19"/>
      <c r="BQ199" s="20"/>
      <c r="BR199" s="32"/>
      <c r="BS199" s="38"/>
      <c r="BT199" s="145"/>
      <c r="BU199" s="27"/>
      <c r="BV199" s="220"/>
      <c r="BX199" s="139" t="s">
        <v>327</v>
      </c>
      <c r="BY199" s="38"/>
    </row>
    <row r="200" spans="1:77" ht="15" customHeight="1" x14ac:dyDescent="0.2">
      <c r="A200" s="107" t="s">
        <v>198</v>
      </c>
      <c r="B200" s="56" t="s">
        <v>1606</v>
      </c>
      <c r="C200" s="637"/>
      <c r="D200" s="544">
        <v>109.316</v>
      </c>
      <c r="E200" s="161" t="s">
        <v>326</v>
      </c>
      <c r="F200" s="362"/>
      <c r="G200" s="62">
        <v>0.3</v>
      </c>
      <c r="H200" s="69">
        <v>0.4</v>
      </c>
      <c r="I200" s="74">
        <v>1997</v>
      </c>
      <c r="J200" s="68">
        <v>0.3</v>
      </c>
      <c r="K200" s="69">
        <v>0.4</v>
      </c>
      <c r="L200" s="74"/>
      <c r="M200" s="494">
        <v>0.40699999999999997</v>
      </c>
      <c r="N200" s="356"/>
      <c r="O200" s="923"/>
      <c r="P200" s="494"/>
      <c r="Q200" s="356"/>
      <c r="R200" s="923"/>
      <c r="S200" s="494"/>
      <c r="T200" s="356"/>
      <c r="U200" s="71">
        <v>0.53</v>
      </c>
      <c r="V200" s="68"/>
      <c r="W200" s="493">
        <f>0.43/1000</f>
        <v>4.2999999999999999E-4</v>
      </c>
      <c r="X200" s="451"/>
      <c r="Y200" s="145"/>
      <c r="Z200" s="38"/>
      <c r="AA200" s="145"/>
      <c r="AB200" s="80"/>
      <c r="AC200" s="209"/>
      <c r="AD200" s="486">
        <f>0.6/1000</f>
        <v>5.9999999999999995E-4</v>
      </c>
      <c r="AE200" s="485">
        <f>AD200</f>
        <v>5.9999999999999995E-4</v>
      </c>
      <c r="AF200" s="446">
        <f>AI200*(1+AK200)</f>
        <v>4.6799999999999999E-4</v>
      </c>
      <c r="AG200" s="447">
        <f>AI200*(1+AL200)</f>
        <v>4.6799999999999999E-4</v>
      </c>
      <c r="AH200" s="440">
        <v>2025</v>
      </c>
      <c r="AI200" s="498">
        <f>AD200</f>
        <v>5.9999999999999995E-4</v>
      </c>
      <c r="AJ200" s="453"/>
      <c r="AK200" s="292">
        <v>-0.22</v>
      </c>
      <c r="AL200" s="293">
        <f>AK200</f>
        <v>-0.22</v>
      </c>
      <c r="AM200" s="456"/>
      <c r="AN200" s="387"/>
      <c r="AO200" s="136"/>
      <c r="AP200" s="59"/>
      <c r="AQ200" s="77"/>
      <c r="AR200" s="38"/>
      <c r="AS200" s="145"/>
      <c r="AT200" s="80"/>
      <c r="AU200" s="215"/>
      <c r="AV200" s="16"/>
      <c r="AW200" s="20"/>
      <c r="AX200" s="16"/>
      <c r="AY200" s="20"/>
      <c r="AZ200" s="77"/>
      <c r="BA200" s="38"/>
      <c r="BB200" s="145"/>
      <c r="BC200" s="80"/>
      <c r="BD200" s="75"/>
      <c r="BE200" s="208"/>
      <c r="BF200" s="16"/>
      <c r="BG200" s="19"/>
      <c r="BH200" s="20"/>
      <c r="BI200" s="77"/>
      <c r="BJ200" s="38"/>
      <c r="BK200" s="145"/>
      <c r="BL200" s="80"/>
      <c r="BM200" s="75"/>
      <c r="BN200" s="208"/>
      <c r="BO200" s="16"/>
      <c r="BP200" s="19"/>
      <c r="BQ200" s="20"/>
      <c r="BR200" s="32"/>
      <c r="BS200" s="38"/>
      <c r="BT200" s="145"/>
      <c r="BU200" s="27"/>
      <c r="BV200" s="220"/>
      <c r="BX200" s="321"/>
      <c r="BY200" s="38"/>
    </row>
    <row r="201" spans="1:77" ht="15" customHeight="1" x14ac:dyDescent="0.2">
      <c r="A201" s="107" t="s">
        <v>204</v>
      </c>
      <c r="B201" s="56" t="s">
        <v>1606</v>
      </c>
      <c r="C201" s="637"/>
      <c r="D201" s="544">
        <v>524.96</v>
      </c>
      <c r="E201" s="624" t="s">
        <v>2952</v>
      </c>
      <c r="F201" s="373">
        <v>2003</v>
      </c>
      <c r="G201" s="121">
        <f>H201-3.862</f>
        <v>5.0399999999999991</v>
      </c>
      <c r="H201" s="346">
        <v>8.9019999999999992</v>
      </c>
      <c r="I201" s="114">
        <v>2008</v>
      </c>
      <c r="J201" s="93">
        <f>K201-8.2405</f>
        <v>-1.8747500000000006</v>
      </c>
      <c r="K201" s="346">
        <v>6.3657500000000002</v>
      </c>
      <c r="L201" s="114"/>
      <c r="M201" s="437">
        <f>7-8.8</f>
        <v>-1.8000000000000007</v>
      </c>
      <c r="N201" s="437">
        <v>7</v>
      </c>
      <c r="O201" s="923"/>
      <c r="P201" s="437"/>
      <c r="Q201" s="471"/>
      <c r="R201" s="923"/>
      <c r="S201" s="437"/>
      <c r="T201" s="471"/>
      <c r="U201" s="68"/>
      <c r="V201" s="68"/>
      <c r="W201" s="27"/>
      <c r="X201" s="28"/>
      <c r="Y201" s="145"/>
      <c r="Z201" s="38"/>
      <c r="AA201" s="145"/>
      <c r="AB201" s="80"/>
      <c r="AC201" s="209"/>
      <c r="AD201" s="16"/>
      <c r="AE201" s="20"/>
      <c r="AF201" s="4"/>
      <c r="AG201" s="59"/>
      <c r="AH201" s="77"/>
      <c r="AI201" s="38"/>
      <c r="AJ201" s="145"/>
      <c r="AK201" s="80"/>
      <c r="AL201" s="215"/>
      <c r="AM201" s="208"/>
      <c r="AN201" s="16"/>
      <c r="AO201" s="136"/>
      <c r="AP201" s="59"/>
      <c r="AQ201" s="77"/>
      <c r="AR201" s="38"/>
      <c r="AS201" s="145"/>
      <c r="AT201" s="80"/>
      <c r="AU201" s="215"/>
      <c r="AV201" s="16"/>
      <c r="AW201" s="20"/>
      <c r="AX201" s="16"/>
      <c r="AY201" s="20"/>
      <c r="AZ201" s="77"/>
      <c r="BA201" s="38"/>
      <c r="BB201" s="145"/>
      <c r="BC201" s="80"/>
      <c r="BD201" s="75"/>
      <c r="BE201" s="208"/>
      <c r="BF201" s="16"/>
      <c r="BG201" s="19"/>
      <c r="BH201" s="20"/>
      <c r="BI201" s="77"/>
      <c r="BJ201" s="38"/>
      <c r="BK201" s="145"/>
      <c r="BL201" s="80"/>
      <c r="BM201" s="75"/>
      <c r="BN201" s="208"/>
      <c r="BO201" s="16"/>
      <c r="BP201" s="19"/>
      <c r="BQ201" s="20"/>
      <c r="BR201" s="32"/>
      <c r="BS201" s="38"/>
      <c r="BT201" s="145"/>
      <c r="BU201" s="27"/>
      <c r="BV201" s="220"/>
      <c r="BX201" s="321"/>
      <c r="BY201" s="38"/>
    </row>
    <row r="202" spans="1:77" s="135" customFormat="1" ht="15" customHeight="1" x14ac:dyDescent="0.2">
      <c r="A202" s="108" t="s">
        <v>118</v>
      </c>
      <c r="B202" s="56" t="s">
        <v>1606</v>
      </c>
      <c r="C202" s="637"/>
      <c r="D202" s="544">
        <v>1328.095</v>
      </c>
      <c r="E202" s="140" t="s">
        <v>3338</v>
      </c>
      <c r="F202" s="374"/>
      <c r="G202" s="104"/>
      <c r="H202" s="1293"/>
      <c r="I202" s="1294">
        <v>2006</v>
      </c>
      <c r="J202" s="104">
        <v>42.180340000000001</v>
      </c>
      <c r="K202" s="1293">
        <f>J202+2.30413</f>
        <v>44.484470000000002</v>
      </c>
      <c r="L202" s="1294"/>
      <c r="M202" s="104">
        <v>48.538339999999998</v>
      </c>
      <c r="N202" s="104">
        <f>M202+1.91798</f>
        <v>50.456319999999998</v>
      </c>
      <c r="O202" s="374"/>
      <c r="P202" s="104">
        <v>45.126860000000001</v>
      </c>
      <c r="Q202" s="1295">
        <f>P202+2.16115</f>
        <v>47.28801</v>
      </c>
      <c r="R202" s="374">
        <v>2018</v>
      </c>
      <c r="S202" s="104">
        <v>41.598849999999999</v>
      </c>
      <c r="T202" s="1295">
        <f>S202+2.19242</f>
        <v>43.791269999999997</v>
      </c>
      <c r="U202" s="99"/>
      <c r="V202" s="99"/>
      <c r="W202" s="332"/>
      <c r="X202" s="333"/>
      <c r="Y202" s="334"/>
      <c r="Z202" s="335"/>
      <c r="AA202" s="334"/>
      <c r="AB202" s="134"/>
      <c r="AC202" s="222"/>
      <c r="AD202" s="201"/>
      <c r="AE202" s="130"/>
      <c r="AF202" s="336"/>
      <c r="AG202" s="270"/>
      <c r="AH202" s="278"/>
      <c r="AI202" s="335"/>
      <c r="AJ202" s="334"/>
      <c r="AK202" s="134"/>
      <c r="AL202" s="219"/>
      <c r="AM202" s="503">
        <f>AN202</f>
        <v>4.19E-2</v>
      </c>
      <c r="AN202" s="527">
        <f>41.9/1000</f>
        <v>4.19E-2</v>
      </c>
      <c r="AO202" s="528">
        <f>AN202-0.0001</f>
        <v>4.1799999999999997E-2</v>
      </c>
      <c r="AP202" s="504">
        <f>AN202-7.6/1000</f>
        <v>3.4299999999999997E-2</v>
      </c>
      <c r="AQ202" s="505">
        <v>2030</v>
      </c>
      <c r="AR202" s="506">
        <f>+AM202</f>
        <v>4.19E-2</v>
      </c>
      <c r="AS202" s="507"/>
      <c r="AT202" s="842">
        <f>-(AR202-AO202)/AR202</f>
        <v>-2.3866348448688033E-3</v>
      </c>
      <c r="AU202" s="297">
        <f>-(AR202-AP202)/AR202</f>
        <v>-0.18138424821002394</v>
      </c>
      <c r="AV202" s="201"/>
      <c r="AW202" s="130"/>
      <c r="AX202" s="201"/>
      <c r="AY202" s="130"/>
      <c r="AZ202" s="278"/>
      <c r="BA202" s="335"/>
      <c r="BB202" s="334"/>
      <c r="BC202" s="134"/>
      <c r="BD202" s="233"/>
      <c r="BE202" s="221"/>
      <c r="BF202" s="201"/>
      <c r="BG202" s="129"/>
      <c r="BH202" s="130"/>
      <c r="BI202" s="278"/>
      <c r="BJ202" s="335"/>
      <c r="BK202" s="334"/>
      <c r="BL202" s="134"/>
      <c r="BM202" s="233"/>
      <c r="BN202" s="221"/>
      <c r="BO202" s="201"/>
      <c r="BP202" s="129"/>
      <c r="BQ202" s="130"/>
      <c r="BR202" s="190"/>
      <c r="BS202" s="335"/>
      <c r="BT202" s="334"/>
      <c r="BU202" s="332"/>
      <c r="BV202" s="337"/>
      <c r="BX202" s="139" t="s">
        <v>303</v>
      </c>
      <c r="BY202" s="335"/>
    </row>
    <row r="203" spans="1:77" ht="15" customHeight="1" x14ac:dyDescent="0.2">
      <c r="A203" s="56" t="s">
        <v>38</v>
      </c>
      <c r="B203" s="56" t="s">
        <v>1606</v>
      </c>
      <c r="C203" s="637"/>
      <c r="D203" s="544">
        <v>312247.11599999998</v>
      </c>
      <c r="E203" s="140" t="s">
        <v>3328</v>
      </c>
      <c r="F203" s="1099"/>
      <c r="G203" s="1100">
        <v>5541.8546999999999</v>
      </c>
      <c r="H203" s="656">
        <v>6442.6506300000001</v>
      </c>
      <c r="I203" s="1296"/>
      <c r="J203" s="775">
        <v>6634.9781899999998</v>
      </c>
      <c r="K203" s="121">
        <v>7423.0310300000001</v>
      </c>
      <c r="L203" s="1296"/>
      <c r="M203" s="121">
        <v>6207.2218400000002</v>
      </c>
      <c r="N203" s="121">
        <v>6991.1063400000003</v>
      </c>
      <c r="O203" s="1048"/>
      <c r="P203" s="121">
        <v>5907.26307</v>
      </c>
      <c r="Q203" s="915">
        <v>6671.1120600000004</v>
      </c>
      <c r="R203" s="1048">
        <v>2017</v>
      </c>
      <c r="S203" s="121">
        <v>5717.2272999999996</v>
      </c>
      <c r="T203" s="121">
        <v>6483.29133</v>
      </c>
      <c r="U203" s="62">
        <v>6201</v>
      </c>
      <c r="V203" s="61">
        <v>6815</v>
      </c>
      <c r="W203" s="23">
        <f>Z203*(1+AB203)</f>
        <v>5.5070318977000001</v>
      </c>
      <c r="X203" s="24">
        <f>Z203*(1+AC203)</f>
        <v>5.5070318977000001</v>
      </c>
      <c r="Y203" s="51">
        <v>2005</v>
      </c>
      <c r="Z203" s="434">
        <f>J203/1000</f>
        <v>6.63497819</v>
      </c>
      <c r="AA203" s="34"/>
      <c r="AB203" s="395">
        <v>-0.17</v>
      </c>
      <c r="AC203" s="443">
        <v>-0.17</v>
      </c>
      <c r="AD203" s="168">
        <f>6394/1000</f>
        <v>6.3940000000000001</v>
      </c>
      <c r="AE203" s="168">
        <f>6967/1000</f>
        <v>6.9669999999999996</v>
      </c>
      <c r="AF203" s="1371">
        <f>+AI203*(1+AK203)</f>
        <v>4.9098838605999999</v>
      </c>
      <c r="AG203" s="1372">
        <f>+AI203*(1+AL203)</f>
        <v>4.7771842967999998</v>
      </c>
      <c r="AH203" s="1373">
        <v>2005</v>
      </c>
      <c r="AI203" s="1442">
        <f>J203/1000</f>
        <v>6.63497819</v>
      </c>
      <c r="AJ203" s="1442"/>
      <c r="AK203" s="1341">
        <v>-0.26</v>
      </c>
      <c r="AL203" s="694">
        <v>-0.28000000000000003</v>
      </c>
      <c r="AM203" s="210">
        <f>6476/1000</f>
        <v>6.476</v>
      </c>
      <c r="AN203" s="168">
        <f>7041/1000</f>
        <v>7.0410000000000004</v>
      </c>
      <c r="AO203" s="1371">
        <f>AR203*(1+AT203)</f>
        <v>3.317489095</v>
      </c>
      <c r="AP203" s="1372">
        <f>AR203*(1+AU203)</f>
        <v>3.1847895311999999</v>
      </c>
      <c r="AQ203" s="1373">
        <v>2005</v>
      </c>
      <c r="AR203" s="1442">
        <f>+AI203</f>
        <v>6.63497819</v>
      </c>
      <c r="AS203" s="1375"/>
      <c r="AT203" s="1341">
        <v>-0.5</v>
      </c>
      <c r="AU203" s="694">
        <v>-0.52</v>
      </c>
      <c r="AV203" s="168"/>
      <c r="AW203" s="168"/>
      <c r="AX203" s="170"/>
      <c r="AY203" s="86"/>
      <c r="AZ203" s="272"/>
      <c r="BA203" s="51"/>
      <c r="BB203" s="34"/>
      <c r="BC203" s="156"/>
      <c r="BD203" s="341"/>
      <c r="BE203" s="210"/>
      <c r="BF203" s="168"/>
      <c r="BG203" s="170"/>
      <c r="BH203" s="86"/>
      <c r="BI203" s="272"/>
      <c r="BJ203" s="51"/>
      <c r="BK203" s="34"/>
      <c r="BL203" s="156"/>
      <c r="BM203" s="341"/>
      <c r="BN203" s="210"/>
      <c r="BO203" s="168"/>
      <c r="BP203" s="388">
        <f>BS203*(1+BV203)</f>
        <v>1.3269956379999996</v>
      </c>
      <c r="BQ203" s="389">
        <f>BS203*(1+BU203)</f>
        <v>1.3269956379999996</v>
      </c>
      <c r="BR203" s="435">
        <v>2005</v>
      </c>
      <c r="BS203" s="433">
        <f>J203/1000</f>
        <v>6.63497819</v>
      </c>
      <c r="BT203" s="34"/>
      <c r="BU203" s="399">
        <v>-0.8</v>
      </c>
      <c r="BV203" s="618">
        <v>-0.8</v>
      </c>
      <c r="BW203" s="141" t="s">
        <v>291</v>
      </c>
      <c r="BX203" s="311" t="s">
        <v>333</v>
      </c>
      <c r="BY203" s="139" t="s">
        <v>228</v>
      </c>
    </row>
    <row r="204" spans="1:77" ht="15" customHeight="1" x14ac:dyDescent="0.2">
      <c r="A204" s="56" t="s">
        <v>38</v>
      </c>
      <c r="B204" s="56" t="s">
        <v>3223</v>
      </c>
      <c r="C204" s="56" t="s">
        <v>3222</v>
      </c>
      <c r="D204" s="544">
        <v>295.36500000000001</v>
      </c>
      <c r="E204" s="1440" t="s">
        <v>387</v>
      </c>
      <c r="F204" s="1099"/>
      <c r="G204" s="1100"/>
      <c r="H204" s="61"/>
      <c r="I204" s="571"/>
      <c r="J204" s="1441"/>
      <c r="K204" s="62"/>
      <c r="L204" s="571"/>
      <c r="M204" s="62"/>
      <c r="N204" s="355"/>
      <c r="O204" s="603"/>
      <c r="P204" s="62"/>
      <c r="Q204" s="355">
        <v>5.1785480000000002</v>
      </c>
      <c r="R204" s="603"/>
      <c r="S204" s="62"/>
      <c r="T204" s="355"/>
      <c r="U204" s="62"/>
      <c r="V204" s="61"/>
      <c r="W204" s="23"/>
      <c r="X204" s="24"/>
      <c r="Y204" s="51"/>
      <c r="Z204" s="434"/>
      <c r="AA204" s="34"/>
      <c r="AB204" s="395"/>
      <c r="AC204" s="443"/>
      <c r="AD204" s="168"/>
      <c r="AE204" s="168"/>
      <c r="AF204" s="1371"/>
      <c r="AG204" s="1372"/>
      <c r="AH204" s="1373"/>
      <c r="AI204" s="1442"/>
      <c r="AJ204" s="1442"/>
      <c r="AK204" s="1341"/>
      <c r="AL204" s="694"/>
      <c r="AM204" s="210"/>
      <c r="AN204" s="168"/>
      <c r="AO204" s="1371"/>
      <c r="AP204" s="1372"/>
      <c r="AQ204" s="1373"/>
      <c r="AR204" s="1442"/>
      <c r="AS204" s="1375"/>
      <c r="AT204" s="1341"/>
      <c r="AU204" s="694"/>
      <c r="AV204" s="168"/>
      <c r="AW204" s="168"/>
      <c r="AX204" s="170"/>
      <c r="AY204" s="86"/>
      <c r="AZ204" s="272"/>
      <c r="BA204" s="51"/>
      <c r="BB204" s="34"/>
      <c r="BC204" s="156"/>
      <c r="BD204" s="341"/>
      <c r="BE204" s="210"/>
      <c r="BF204" s="168"/>
      <c r="BG204" s="170"/>
      <c r="BH204" s="86"/>
      <c r="BI204" s="272"/>
      <c r="BJ204" s="51"/>
      <c r="BK204" s="34"/>
      <c r="BL204" s="156"/>
      <c r="BM204" s="341"/>
      <c r="BN204" s="210"/>
      <c r="BO204" s="168"/>
      <c r="BP204" s="615">
        <f>BT204*(1+BV204)</f>
        <v>1.0357095999999997E-3</v>
      </c>
      <c r="BQ204" s="616">
        <f>BT204*(1+BV204)</f>
        <v>1.0357095999999997E-3</v>
      </c>
      <c r="BR204" s="642">
        <v>2005</v>
      </c>
      <c r="BS204" s="434"/>
      <c r="BT204" s="34">
        <f>+Q204/1000</f>
        <v>5.1785479999999998E-3</v>
      </c>
      <c r="BU204" s="399">
        <v>-0.8</v>
      </c>
      <c r="BV204" s="618">
        <v>-0.8</v>
      </c>
      <c r="BW204" s="141"/>
      <c r="BX204" s="311"/>
      <c r="BY204" s="139"/>
    </row>
    <row r="205" spans="1:77" ht="15" customHeight="1" x14ac:dyDescent="0.2">
      <c r="A205" s="56" t="s">
        <v>38</v>
      </c>
      <c r="B205" s="107" t="s">
        <v>2135</v>
      </c>
      <c r="C205" s="637"/>
      <c r="D205" s="544">
        <v>6414</v>
      </c>
      <c r="E205" s="127" t="s">
        <v>2136</v>
      </c>
      <c r="F205" s="667"/>
      <c r="G205" s="64"/>
      <c r="H205" s="61">
        <v>92.3</v>
      </c>
      <c r="I205" s="266"/>
      <c r="J205" s="62"/>
      <c r="K205" s="62">
        <v>92.6</v>
      </c>
      <c r="L205" s="608"/>
      <c r="M205" s="62"/>
      <c r="N205" s="355"/>
      <c r="O205" s="603"/>
      <c r="P205" s="62"/>
      <c r="Q205" s="355"/>
      <c r="R205" s="603"/>
      <c r="S205" s="62"/>
      <c r="T205" s="355"/>
      <c r="U205" s="62"/>
      <c r="V205" s="62"/>
      <c r="W205" s="23">
        <f>Z205*(1+AB205)</f>
        <v>9.2599999999999988E-2</v>
      </c>
      <c r="X205" s="24">
        <f>Z205*(1+AC205)</f>
        <v>9.2599999999999988E-2</v>
      </c>
      <c r="Y205" s="642">
        <v>2000</v>
      </c>
      <c r="Z205" s="434">
        <f>K205/1000</f>
        <v>9.2599999999999988E-2</v>
      </c>
      <c r="AA205" s="434"/>
      <c r="AB205" s="395">
        <v>0</v>
      </c>
      <c r="AC205" s="443">
        <v>0</v>
      </c>
      <c r="AD205" s="168"/>
      <c r="AE205" s="168"/>
      <c r="AF205" s="388"/>
      <c r="AG205" s="389"/>
      <c r="AH205" s="390"/>
      <c r="AI205" s="433"/>
      <c r="AJ205" s="433"/>
      <c r="AK205" s="156"/>
      <c r="AL205" s="284"/>
      <c r="AM205" s="210"/>
      <c r="AN205" s="168"/>
      <c r="AO205" s="170"/>
      <c r="AP205" s="86"/>
      <c r="AQ205" s="272"/>
      <c r="AR205" s="34"/>
      <c r="AS205" s="442"/>
      <c r="AT205" s="395"/>
      <c r="AU205" s="443"/>
      <c r="AV205" s="168"/>
      <c r="AW205" s="168"/>
      <c r="AX205" s="170"/>
      <c r="AY205" s="86"/>
      <c r="AZ205" s="272"/>
      <c r="BA205" s="51"/>
      <c r="BB205" s="34"/>
      <c r="BC205" s="156"/>
      <c r="BD205" s="341"/>
      <c r="BE205" s="210"/>
      <c r="BF205" s="168"/>
      <c r="BG205" s="615">
        <f>BK205*(1+BL205)</f>
        <v>4.6299999999999994E-2</v>
      </c>
      <c r="BH205" s="616">
        <f>BK205*(1+BM205)</f>
        <v>4.6299999999999994E-2</v>
      </c>
      <c r="BI205" s="617">
        <v>2000</v>
      </c>
      <c r="BJ205" s="642"/>
      <c r="BK205" s="434">
        <f>+K205/1000</f>
        <v>9.2599999999999988E-2</v>
      </c>
      <c r="BL205" s="399">
        <v>-0.5</v>
      </c>
      <c r="BM205" s="652">
        <f>BL205</f>
        <v>-0.5</v>
      </c>
      <c r="BN205" s="210"/>
      <c r="BO205" s="168"/>
      <c r="BP205" s="388"/>
      <c r="BQ205" s="389"/>
      <c r="BR205" s="435"/>
      <c r="BS205" s="433"/>
      <c r="BT205" s="34"/>
      <c r="BU205" s="399"/>
      <c r="BV205" s="618"/>
      <c r="BW205" s="141"/>
      <c r="BX205" s="311"/>
      <c r="BY205" s="139"/>
    </row>
    <row r="206" spans="1:77" ht="15" customHeight="1" x14ac:dyDescent="0.2">
      <c r="A206" s="56" t="s">
        <v>38</v>
      </c>
      <c r="B206" s="107" t="s">
        <v>477</v>
      </c>
      <c r="C206" s="637" t="s">
        <v>2493</v>
      </c>
      <c r="D206" s="544">
        <v>91.4</v>
      </c>
      <c r="E206" s="127" t="s">
        <v>387</v>
      </c>
      <c r="F206" s="667"/>
      <c r="G206" s="64"/>
      <c r="H206" s="61"/>
      <c r="I206" s="266"/>
      <c r="J206" s="62"/>
      <c r="K206" s="62"/>
      <c r="L206" s="608"/>
      <c r="M206" s="62"/>
      <c r="N206" s="355">
        <v>1.4439340000000001</v>
      </c>
      <c r="O206" s="603">
        <v>2016</v>
      </c>
      <c r="P206" s="62"/>
      <c r="Q206" s="355">
        <v>1.4547810000000001</v>
      </c>
      <c r="R206" s="603">
        <v>2016</v>
      </c>
      <c r="S206" s="62"/>
      <c r="T206" s="355">
        <v>1.4547810000000001</v>
      </c>
      <c r="U206" s="62"/>
      <c r="V206" s="62"/>
      <c r="W206" s="23"/>
      <c r="X206" s="24"/>
      <c r="Y206" s="642"/>
      <c r="Z206" s="434"/>
      <c r="AA206" s="434"/>
      <c r="AB206" s="395"/>
      <c r="AC206" s="443"/>
      <c r="AD206" s="168"/>
      <c r="AE206" s="168"/>
      <c r="AF206" s="388"/>
      <c r="AG206" s="389"/>
      <c r="AH206" s="390"/>
      <c r="AI206" s="433"/>
      <c r="AJ206" s="433"/>
      <c r="AK206" s="156"/>
      <c r="AL206" s="284"/>
      <c r="AM206" s="210"/>
      <c r="AN206" s="168"/>
      <c r="AO206" s="170"/>
      <c r="AP206" s="86"/>
      <c r="AQ206" s="272"/>
      <c r="AR206" s="34"/>
      <c r="AS206" s="442"/>
      <c r="AT206" s="395"/>
      <c r="AU206" s="443"/>
      <c r="AV206" s="168"/>
      <c r="AW206" s="168"/>
      <c r="AX206" s="170"/>
      <c r="AY206" s="86"/>
      <c r="AZ206" s="272"/>
      <c r="BA206" s="51"/>
      <c r="BB206" s="34"/>
      <c r="BC206" s="156"/>
      <c r="BD206" s="341"/>
      <c r="BE206" s="210"/>
      <c r="BF206" s="168"/>
      <c r="BG206" s="615"/>
      <c r="BH206" s="616"/>
      <c r="BI206" s="617"/>
      <c r="BJ206" s="642"/>
      <c r="BK206" s="434"/>
      <c r="BL206" s="399"/>
      <c r="BM206" s="652"/>
      <c r="BN206" s="210"/>
      <c r="BO206" s="168"/>
      <c r="BP206" s="89">
        <f>BT206*(1+BU206)</f>
        <v>2.8878679999999992E-4</v>
      </c>
      <c r="BQ206" s="87">
        <f>BT206*(1+BV206)</f>
        <v>2.8878679999999992E-4</v>
      </c>
      <c r="BR206" s="642">
        <v>2005</v>
      </c>
      <c r="BS206" s="650"/>
      <c r="BT206" s="650">
        <f>N206/1000</f>
        <v>1.443934E-3</v>
      </c>
      <c r="BU206" s="399">
        <v>-0.8</v>
      </c>
      <c r="BV206" s="618">
        <f>BU206</f>
        <v>-0.8</v>
      </c>
      <c r="BW206" s="141"/>
      <c r="BX206" s="311"/>
      <c r="BY206" s="139"/>
    </row>
    <row r="207" spans="1:77" ht="15" customHeight="1" x14ac:dyDescent="0.2">
      <c r="A207" s="56" t="s">
        <v>38</v>
      </c>
      <c r="B207" s="107" t="s">
        <v>477</v>
      </c>
      <c r="C207" s="637" t="s">
        <v>2494</v>
      </c>
      <c r="D207" s="544">
        <v>75.037999999999997</v>
      </c>
      <c r="E207" s="127" t="s">
        <v>387</v>
      </c>
      <c r="F207" s="667"/>
      <c r="G207" s="64"/>
      <c r="H207" s="61"/>
      <c r="I207" s="266"/>
      <c r="J207" s="62"/>
      <c r="K207" s="62"/>
      <c r="L207" s="608"/>
      <c r="M207" s="62"/>
      <c r="N207" s="355"/>
      <c r="O207" s="603">
        <v>2016</v>
      </c>
      <c r="P207" s="62"/>
      <c r="Q207" s="355">
        <v>0.82626999999999995</v>
      </c>
      <c r="R207" s="603">
        <v>2018</v>
      </c>
      <c r="S207" s="62"/>
      <c r="T207" s="355">
        <v>0.70232899999999998</v>
      </c>
      <c r="U207" s="62"/>
      <c r="V207" s="62"/>
      <c r="W207" s="23"/>
      <c r="X207" s="24"/>
      <c r="Y207" s="642"/>
      <c r="Z207" s="434"/>
      <c r="AA207" s="434"/>
      <c r="AB207" s="395"/>
      <c r="AC207" s="443"/>
      <c r="AD207" s="168"/>
      <c r="AE207" s="168"/>
      <c r="AF207" s="619">
        <f>+AJ207*(1+AK207)</f>
        <v>7.0232949999999997E-4</v>
      </c>
      <c r="AG207" s="620">
        <f>+AJ207*(1+AL207)</f>
        <v>7.0232949999999997E-4</v>
      </c>
      <c r="AH207" s="617">
        <v>1990</v>
      </c>
      <c r="AI207" s="650"/>
      <c r="AJ207" s="650">
        <f>Q207/1000</f>
        <v>8.2626999999999993E-4</v>
      </c>
      <c r="AK207" s="399">
        <v>-0.15</v>
      </c>
      <c r="AL207" s="618">
        <f>AK207</f>
        <v>-0.15</v>
      </c>
      <c r="AM207" s="210"/>
      <c r="AN207" s="168"/>
      <c r="AO207" s="170">
        <f>AR207*(1+AT207)</f>
        <v>5.783889999999999E-4</v>
      </c>
      <c r="AP207" s="86">
        <f>AR207*(1+AU207)</f>
        <v>5.783889999999999E-4</v>
      </c>
      <c r="AQ207" s="272">
        <v>2016</v>
      </c>
      <c r="AR207" s="34">
        <f>+Q207/1000</f>
        <v>8.2626999999999993E-4</v>
      </c>
      <c r="AS207" s="442"/>
      <c r="AT207" s="395">
        <v>-0.3</v>
      </c>
      <c r="AU207" s="443">
        <f>AT207</f>
        <v>-0.3</v>
      </c>
      <c r="AV207" s="168"/>
      <c r="AW207" s="168"/>
      <c r="AX207" s="170"/>
      <c r="AY207" s="86"/>
      <c r="AZ207" s="272"/>
      <c r="BA207" s="51"/>
      <c r="BB207" s="34"/>
      <c r="BC207" s="156"/>
      <c r="BD207" s="341"/>
      <c r="BE207" s="210"/>
      <c r="BF207" s="168"/>
      <c r="BG207" s="615"/>
      <c r="BH207" s="616"/>
      <c r="BI207" s="617"/>
      <c r="BJ207" s="642"/>
      <c r="BK207" s="434"/>
      <c r="BL207" s="399"/>
      <c r="BM207" s="652"/>
      <c r="BN207" s="210"/>
      <c r="BO207" s="168"/>
      <c r="BP207" s="89">
        <f>BT207*(1+BU207)</f>
        <v>1.6525399999999996E-4</v>
      </c>
      <c r="BQ207" s="87">
        <f>BT207*(1+BV207)</f>
        <v>1.6525399999999996E-4</v>
      </c>
      <c r="BR207" s="642">
        <v>2016</v>
      </c>
      <c r="BS207" s="650"/>
      <c r="BT207" s="650">
        <f>Q207/1000</f>
        <v>8.2626999999999993E-4</v>
      </c>
      <c r="BU207" s="399">
        <v>-0.8</v>
      </c>
      <c r="BV207" s="618">
        <f>BU207</f>
        <v>-0.8</v>
      </c>
      <c r="BW207" s="141"/>
      <c r="BX207" s="311"/>
      <c r="BY207" s="139"/>
    </row>
    <row r="208" spans="1:77" ht="15" customHeight="1" x14ac:dyDescent="0.2">
      <c r="A208" s="56" t="s">
        <v>38</v>
      </c>
      <c r="B208" s="107" t="s">
        <v>477</v>
      </c>
      <c r="C208" s="637" t="s">
        <v>3236</v>
      </c>
      <c r="D208" s="544">
        <v>1660.2719999999999</v>
      </c>
      <c r="E208" s="127" t="s">
        <v>387</v>
      </c>
      <c r="F208" s="667"/>
      <c r="G208" s="64"/>
      <c r="H208" s="61"/>
      <c r="I208" s="266"/>
      <c r="J208" s="62"/>
      <c r="K208" s="62"/>
      <c r="L208" s="608">
        <v>2012</v>
      </c>
      <c r="M208" s="62"/>
      <c r="N208" s="355">
        <v>17.014987000000001</v>
      </c>
      <c r="O208" s="603"/>
      <c r="P208" s="62"/>
      <c r="Q208" s="355"/>
      <c r="R208" s="603"/>
      <c r="S208" s="62"/>
      <c r="T208" s="355"/>
      <c r="U208" s="62"/>
      <c r="V208" s="62"/>
      <c r="W208" s="23"/>
      <c r="X208" s="24"/>
      <c r="Y208" s="642"/>
      <c r="Z208" s="434"/>
      <c r="AA208" s="434"/>
      <c r="AB208" s="395"/>
      <c r="AC208" s="443"/>
      <c r="AD208" s="168"/>
      <c r="AE208" s="168"/>
      <c r="AF208" s="619"/>
      <c r="AG208" s="620"/>
      <c r="AH208" s="617"/>
      <c r="AI208" s="650"/>
      <c r="AJ208" s="650"/>
      <c r="AK208" s="399"/>
      <c r="AL208" s="618"/>
      <c r="AM208" s="210"/>
      <c r="AN208" s="168"/>
      <c r="AO208" s="170">
        <f>AR208*(1+AT208)</f>
        <v>1.2761240250000002E-2</v>
      </c>
      <c r="AP208" s="86">
        <f>AR208*(1+AU208)</f>
        <v>1.2761240250000002E-2</v>
      </c>
      <c r="AQ208" s="272">
        <v>2012</v>
      </c>
      <c r="AR208" s="34">
        <f>+N208/1000</f>
        <v>1.7014987000000002E-2</v>
      </c>
      <c r="AS208" s="442"/>
      <c r="AT208" s="395">
        <v>-0.25</v>
      </c>
      <c r="AU208" s="443">
        <f>AT208</f>
        <v>-0.25</v>
      </c>
      <c r="AV208" s="168"/>
      <c r="AW208" s="168"/>
      <c r="AX208" s="170"/>
      <c r="AY208" s="86"/>
      <c r="AZ208" s="272"/>
      <c r="BA208" s="51"/>
      <c r="BB208" s="34"/>
      <c r="BC208" s="156"/>
      <c r="BD208" s="341"/>
      <c r="BE208" s="210"/>
      <c r="BF208" s="168"/>
      <c r="BG208" s="615"/>
      <c r="BH208" s="616"/>
      <c r="BI208" s="617"/>
      <c r="BJ208" s="642"/>
      <c r="BK208" s="434"/>
      <c r="BL208" s="399"/>
      <c r="BM208" s="652"/>
      <c r="BN208" s="210"/>
      <c r="BO208" s="168"/>
      <c r="BP208" s="89"/>
      <c r="BQ208" s="87"/>
      <c r="BR208" s="642"/>
      <c r="BS208" s="650"/>
      <c r="BT208" s="650"/>
      <c r="BU208" s="399"/>
      <c r="BV208" s="618"/>
      <c r="BW208" s="141"/>
      <c r="BX208" s="311"/>
      <c r="BY208" s="139"/>
    </row>
    <row r="209" spans="1:77" ht="15" customHeight="1" x14ac:dyDescent="0.2">
      <c r="A209" s="56" t="s">
        <v>38</v>
      </c>
      <c r="B209" s="107" t="s">
        <v>477</v>
      </c>
      <c r="C209" s="637" t="s">
        <v>3237</v>
      </c>
      <c r="D209" s="544">
        <v>192.364</v>
      </c>
      <c r="E209" s="127" t="s">
        <v>387</v>
      </c>
      <c r="F209" s="667"/>
      <c r="G209" s="64"/>
      <c r="H209" s="61"/>
      <c r="I209" s="266"/>
      <c r="J209" s="62"/>
      <c r="K209" s="62"/>
      <c r="L209" s="608"/>
      <c r="M209" s="62"/>
      <c r="N209" s="355"/>
      <c r="O209" s="603"/>
      <c r="P209" s="62"/>
      <c r="Q209" s="355">
        <v>3.66756036</v>
      </c>
      <c r="R209" s="603"/>
      <c r="S209" s="62"/>
      <c r="T209" s="355"/>
      <c r="U209" s="62"/>
      <c r="V209" s="62"/>
      <c r="W209" s="23"/>
      <c r="X209" s="24"/>
      <c r="Y209" s="642"/>
      <c r="Z209" s="434"/>
      <c r="AA209" s="434"/>
      <c r="AB209" s="395"/>
      <c r="AC209" s="443"/>
      <c r="AD209" s="168"/>
      <c r="AE209" s="168"/>
      <c r="AF209" s="619"/>
      <c r="AG209" s="620"/>
      <c r="AH209" s="617"/>
      <c r="AI209" s="650"/>
      <c r="AJ209" s="650"/>
      <c r="AK209" s="399"/>
      <c r="AL209" s="618"/>
      <c r="AM209" s="210"/>
      <c r="AN209" s="168"/>
      <c r="AO209" s="170"/>
      <c r="AP209" s="86"/>
      <c r="AQ209" s="272"/>
      <c r="AR209" s="34"/>
      <c r="AS209" s="442"/>
      <c r="AT209" s="395"/>
      <c r="AU209" s="443"/>
      <c r="AV209" s="168"/>
      <c r="AW209" s="168"/>
      <c r="AX209" s="170"/>
      <c r="AY209" s="86"/>
      <c r="AZ209" s="272"/>
      <c r="BA209" s="51"/>
      <c r="BB209" s="34"/>
      <c r="BC209" s="156"/>
      <c r="BD209" s="341"/>
      <c r="BE209" s="210"/>
      <c r="BF209" s="168"/>
      <c r="BG209" s="615">
        <v>0</v>
      </c>
      <c r="BH209" s="616">
        <v>0</v>
      </c>
      <c r="BI209" s="617"/>
      <c r="BJ209" s="642"/>
      <c r="BK209" s="434"/>
      <c r="BL209" s="399">
        <v>-1</v>
      </c>
      <c r="BM209" s="652">
        <v>-1</v>
      </c>
      <c r="BN209" s="210"/>
      <c r="BO209" s="168"/>
      <c r="BP209" s="89"/>
      <c r="BQ209" s="87"/>
      <c r="BR209" s="642"/>
      <c r="BS209" s="650"/>
      <c r="BT209" s="650"/>
      <c r="BU209" s="399"/>
      <c r="BV209" s="618"/>
      <c r="BW209" s="141"/>
      <c r="BX209" s="311"/>
      <c r="BY209" s="139"/>
    </row>
    <row r="210" spans="1:77" ht="15" customHeight="1" x14ac:dyDescent="0.2">
      <c r="A210" s="56" t="s">
        <v>38</v>
      </c>
      <c r="B210" s="637" t="s">
        <v>372</v>
      </c>
      <c r="C210" s="637"/>
      <c r="D210" s="544">
        <v>37254</v>
      </c>
      <c r="E210" s="127" t="s">
        <v>2906</v>
      </c>
      <c r="F210" s="667"/>
      <c r="G210" s="64">
        <v>431</v>
      </c>
      <c r="H210" s="61"/>
      <c r="I210" s="266"/>
      <c r="J210" s="62"/>
      <c r="K210" s="121"/>
      <c r="L210" s="608">
        <v>2012</v>
      </c>
      <c r="M210" s="62">
        <v>458.685</v>
      </c>
      <c r="N210" s="355"/>
      <c r="O210" s="603"/>
      <c r="P210" s="62">
        <f>G210*0.98</f>
        <v>422.38</v>
      </c>
      <c r="Q210" s="355"/>
      <c r="R210" s="603">
        <v>2017</v>
      </c>
      <c r="S210" s="62">
        <v>424.097419</v>
      </c>
      <c r="T210" s="781"/>
      <c r="U210" s="62"/>
      <c r="V210" s="62"/>
      <c r="W210" s="1164">
        <f>Z210*(1+AB210)</f>
        <v>0.43099999999999999</v>
      </c>
      <c r="X210" s="1165">
        <f>Z210*(1+AC210)</f>
        <v>0.43099999999999999</v>
      </c>
      <c r="Y210" s="642">
        <v>1990</v>
      </c>
      <c r="Z210" s="434">
        <f>G210/1000</f>
        <v>0.43099999999999999</v>
      </c>
      <c r="AA210" s="434"/>
      <c r="AB210" s="1166">
        <v>0</v>
      </c>
      <c r="AC210" s="1167">
        <v>0</v>
      </c>
      <c r="AD210" s="168"/>
      <c r="AE210" s="168"/>
      <c r="AF210" s="388"/>
      <c r="AG210" s="389"/>
      <c r="AH210" s="390"/>
      <c r="AI210" s="433"/>
      <c r="AJ210" s="433"/>
      <c r="AK210" s="156"/>
      <c r="AL210" s="284"/>
      <c r="AM210" s="210"/>
      <c r="AN210" s="168"/>
      <c r="AO210" s="170">
        <f>AR210*(1+AT210)</f>
        <v>0.2586</v>
      </c>
      <c r="AP210" s="86">
        <f>AR210*(1+AU210)</f>
        <v>0.2586</v>
      </c>
      <c r="AQ210" s="272">
        <v>1990</v>
      </c>
      <c r="AR210" s="34">
        <f>+G210/1000</f>
        <v>0.43099999999999999</v>
      </c>
      <c r="AS210" s="442"/>
      <c r="AT210" s="395">
        <v>-0.4</v>
      </c>
      <c r="AU210" s="443">
        <f>AT210</f>
        <v>-0.4</v>
      </c>
      <c r="AV210" s="168"/>
      <c r="AW210" s="168"/>
      <c r="AX210" s="170"/>
      <c r="AY210" s="86"/>
      <c r="AZ210" s="272"/>
      <c r="BA210" s="51"/>
      <c r="BB210" s="34"/>
      <c r="BC210" s="156"/>
      <c r="BD210" s="341"/>
      <c r="BE210" s="210"/>
      <c r="BF210" s="168"/>
      <c r="BG210" s="615">
        <f>BJ210*(1+BM210)</f>
        <v>0</v>
      </c>
      <c r="BH210" s="616">
        <f>BJ210*(1+BL210)</f>
        <v>0</v>
      </c>
      <c r="BI210" s="617">
        <v>1990</v>
      </c>
      <c r="BJ210" s="434">
        <f>G210/1000</f>
        <v>0.43099999999999999</v>
      </c>
      <c r="BK210" s="650"/>
      <c r="BL210" s="399">
        <v>-1</v>
      </c>
      <c r="BM210" s="652">
        <v>-1</v>
      </c>
      <c r="BN210" s="210"/>
      <c r="BO210" s="168"/>
      <c r="BP210" s="615">
        <f>BS210*(1+BV210)</f>
        <v>0</v>
      </c>
      <c r="BQ210" s="616">
        <f>BS210*(1+BU210)</f>
        <v>0</v>
      </c>
      <c r="BR210" s="642">
        <v>1990</v>
      </c>
      <c r="BS210" s="434">
        <f>G210/1000</f>
        <v>0.43099999999999999</v>
      </c>
      <c r="BT210" s="34"/>
      <c r="BU210" s="399">
        <v>-1</v>
      </c>
      <c r="BV210" s="618">
        <v>-1</v>
      </c>
      <c r="BW210" s="141"/>
      <c r="BX210" s="311" t="s">
        <v>2744</v>
      </c>
      <c r="BY210" s="139"/>
    </row>
    <row r="211" spans="1:77" ht="15" customHeight="1" x14ac:dyDescent="0.2">
      <c r="A211" s="56" t="s">
        <v>38</v>
      </c>
      <c r="B211" s="668" t="s">
        <v>477</v>
      </c>
      <c r="C211" s="637" t="s">
        <v>2814</v>
      </c>
      <c r="D211" s="544">
        <v>75.960999999999999</v>
      </c>
      <c r="E211" s="127" t="s">
        <v>387</v>
      </c>
      <c r="F211" s="667"/>
      <c r="G211" s="64"/>
      <c r="H211" s="61"/>
      <c r="I211" s="266"/>
      <c r="J211" s="62"/>
      <c r="K211" s="121">
        <v>0.36729400000000001</v>
      </c>
      <c r="L211" s="608">
        <v>2008</v>
      </c>
      <c r="M211" s="62"/>
      <c r="N211" s="355">
        <v>0.27547050000000001</v>
      </c>
      <c r="O211" s="603"/>
      <c r="P211" s="62"/>
      <c r="Q211" s="355"/>
      <c r="R211" s="603"/>
      <c r="S211" s="62"/>
      <c r="T211" s="355"/>
      <c r="U211" s="62"/>
      <c r="V211" s="62"/>
      <c r="W211" s="89">
        <f t="shared" ref="W211:W217" si="85">AA211*(1+AB211)</f>
        <v>2.754705E-4</v>
      </c>
      <c r="X211" s="87">
        <f t="shared" ref="X211:X217" si="86">AA211*(1+AC211)</f>
        <v>2.754705E-4</v>
      </c>
      <c r="Y211" s="642">
        <v>2005</v>
      </c>
      <c r="Z211" s="650"/>
      <c r="AA211" s="650">
        <f>K211/1000</f>
        <v>3.67294E-4</v>
      </c>
      <c r="AB211" s="399">
        <v>-0.25</v>
      </c>
      <c r="AC211" s="618">
        <f t="shared" ref="AC211:AC217" si="87">AB211</f>
        <v>-0.25</v>
      </c>
      <c r="AD211" s="168"/>
      <c r="AE211" s="168"/>
      <c r="AF211" s="388"/>
      <c r="AG211" s="389"/>
      <c r="AH211" s="390"/>
      <c r="AI211" s="433"/>
      <c r="AJ211" s="433"/>
      <c r="AK211" s="156"/>
      <c r="AL211" s="284"/>
      <c r="AM211" s="210"/>
      <c r="AN211" s="168"/>
      <c r="AO211" s="170"/>
      <c r="AP211" s="86"/>
      <c r="AQ211" s="272"/>
      <c r="AR211" s="34"/>
      <c r="AS211" s="442"/>
      <c r="AT211" s="395"/>
      <c r="AU211" s="443"/>
      <c r="AV211" s="168"/>
      <c r="AW211" s="168"/>
      <c r="AX211" s="170"/>
      <c r="AY211" s="86"/>
      <c r="AZ211" s="272"/>
      <c r="BA211" s="51"/>
      <c r="BB211" s="34"/>
      <c r="BC211" s="156"/>
      <c r="BD211" s="341"/>
      <c r="BE211" s="210"/>
      <c r="BF211" s="168"/>
      <c r="BG211" s="615"/>
      <c r="BH211" s="616"/>
      <c r="BI211" s="617"/>
      <c r="BJ211" s="434"/>
      <c r="BK211" s="650"/>
      <c r="BL211" s="399"/>
      <c r="BM211" s="652"/>
      <c r="BN211" s="210"/>
      <c r="BO211" s="168"/>
      <c r="BP211" s="615"/>
      <c r="BQ211" s="616"/>
      <c r="BR211" s="671"/>
      <c r="BS211" s="434"/>
      <c r="BT211" s="34"/>
      <c r="BU211" s="399"/>
      <c r="BV211" s="618"/>
      <c r="BW211" s="141"/>
      <c r="BX211" s="311"/>
      <c r="BY211" s="139"/>
    </row>
    <row r="212" spans="1:77" ht="15" customHeight="1" x14ac:dyDescent="0.2">
      <c r="A212" s="56" t="s">
        <v>38</v>
      </c>
      <c r="B212" s="56"/>
      <c r="C212" s="637" t="s">
        <v>567</v>
      </c>
      <c r="D212" s="544">
        <v>109</v>
      </c>
      <c r="E212" s="127" t="s">
        <v>392</v>
      </c>
      <c r="F212" s="667"/>
      <c r="G212" s="64"/>
      <c r="H212" s="61"/>
      <c r="I212" s="67"/>
      <c r="J212" s="62"/>
      <c r="K212" s="62">
        <v>0.35769800000000002</v>
      </c>
      <c r="L212" s="608"/>
      <c r="M212" s="62"/>
      <c r="N212" s="355"/>
      <c r="O212" s="603"/>
      <c r="P212" s="62"/>
      <c r="Q212" s="355"/>
      <c r="R212" s="603"/>
      <c r="S212" s="62"/>
      <c r="T212" s="355"/>
      <c r="U212" s="62"/>
      <c r="V212" s="62"/>
      <c r="W212" s="89"/>
      <c r="X212" s="87"/>
      <c r="Y212" s="642"/>
      <c r="Z212" s="434"/>
      <c r="AA212" s="650"/>
      <c r="AB212" s="399"/>
      <c r="AC212" s="618"/>
      <c r="AD212" s="168"/>
      <c r="AE212" s="168"/>
      <c r="AF212" s="388"/>
      <c r="AG212" s="389"/>
      <c r="AH212" s="390"/>
      <c r="AI212" s="433"/>
      <c r="AJ212" s="433"/>
      <c r="AK212" s="156"/>
      <c r="AL212" s="284"/>
      <c r="AM212" s="210"/>
      <c r="AN212" s="168"/>
      <c r="AO212" s="171"/>
      <c r="AP212" s="172"/>
      <c r="AQ212" s="272"/>
      <c r="AR212" s="34"/>
      <c r="AS212" s="657"/>
      <c r="AT212" s="395"/>
      <c r="AU212" s="443"/>
      <c r="AV212" s="168"/>
      <c r="AW212" s="168"/>
      <c r="AX212" s="170"/>
      <c r="AY212" s="86"/>
      <c r="AZ212" s="272"/>
      <c r="BA212" s="51"/>
      <c r="BB212" s="34"/>
      <c r="BC212" s="156"/>
      <c r="BD212" s="341"/>
      <c r="BE212" s="210"/>
      <c r="BF212" s="168"/>
      <c r="BG212" s="619"/>
      <c r="BH212" s="620"/>
      <c r="BI212" s="617"/>
      <c r="BJ212" s="642"/>
      <c r="BK212" s="650"/>
      <c r="BL212" s="399"/>
      <c r="BM212" s="652"/>
      <c r="BN212" s="210"/>
      <c r="BO212" s="168"/>
      <c r="BP212" s="619">
        <f t="shared" ref="BP212" si="88">BT212*(1+BV212)</f>
        <v>7.1539599999999982E-5</v>
      </c>
      <c r="BQ212" s="620">
        <f t="shared" ref="BQ212" si="89">BT212*(1+BU212)</f>
        <v>7.1539599999999982E-5</v>
      </c>
      <c r="BR212" s="642">
        <v>2005</v>
      </c>
      <c r="BS212" s="650"/>
      <c r="BT212" s="676">
        <f>+K212/1000</f>
        <v>3.5769799999999999E-4</v>
      </c>
      <c r="BU212" s="399">
        <v>-0.8</v>
      </c>
      <c r="BV212" s="618">
        <f t="shared" ref="BV212" si="90">BU212</f>
        <v>-0.8</v>
      </c>
      <c r="BW212" s="141"/>
      <c r="BX212" s="311"/>
      <c r="BY212" s="669"/>
    </row>
    <row r="213" spans="1:77" ht="15" customHeight="1" x14ac:dyDescent="0.2">
      <c r="A213" s="56" t="s">
        <v>38</v>
      </c>
      <c r="B213" s="107" t="s">
        <v>477</v>
      </c>
      <c r="C213" s="637" t="s">
        <v>2292</v>
      </c>
      <c r="D213" s="544">
        <v>27</v>
      </c>
      <c r="E213" s="127" t="s">
        <v>2293</v>
      </c>
      <c r="F213" s="667"/>
      <c r="G213" s="64"/>
      <c r="H213" s="61"/>
      <c r="I213" s="67">
        <v>2000</v>
      </c>
      <c r="J213" s="62"/>
      <c r="K213" s="121">
        <v>0.487035</v>
      </c>
      <c r="L213" s="608"/>
      <c r="M213" s="62"/>
      <c r="N213" s="355">
        <v>0.68870600000000004</v>
      </c>
      <c r="O213" s="603"/>
      <c r="P213" s="62"/>
      <c r="Q213" s="355"/>
      <c r="R213" s="603"/>
      <c r="S213" s="62"/>
      <c r="T213" s="355"/>
      <c r="U213" s="62"/>
      <c r="V213" s="62"/>
      <c r="W213" s="89">
        <f t="shared" si="85"/>
        <v>4.3833149999999998E-4</v>
      </c>
      <c r="X213" s="87">
        <f t="shared" si="86"/>
        <v>4.3833149999999998E-4</v>
      </c>
      <c r="Y213" s="642">
        <v>2000</v>
      </c>
      <c r="Z213" s="434"/>
      <c r="AA213" s="650">
        <f>+K213/1000</f>
        <v>4.8703499999999997E-4</v>
      </c>
      <c r="AB213" s="399">
        <v>-0.1</v>
      </c>
      <c r="AC213" s="618">
        <f t="shared" si="87"/>
        <v>-0.1</v>
      </c>
      <c r="AD213" s="168"/>
      <c r="AE213" s="168"/>
      <c r="AF213" s="388"/>
      <c r="AG213" s="389"/>
      <c r="AH213" s="390"/>
      <c r="AI213" s="433"/>
      <c r="AJ213" s="433"/>
      <c r="AK213" s="156"/>
      <c r="AL213" s="284"/>
      <c r="AM213" s="210"/>
      <c r="AN213" s="168"/>
      <c r="AO213" s="170"/>
      <c r="AP213" s="86"/>
      <c r="AQ213" s="272"/>
      <c r="AR213" s="34"/>
      <c r="AS213" s="442"/>
      <c r="AT213" s="395"/>
      <c r="AU213" s="443"/>
      <c r="AV213" s="168"/>
      <c r="AW213" s="168"/>
      <c r="AX213" s="170"/>
      <c r="AY213" s="86"/>
      <c r="AZ213" s="272"/>
      <c r="BA213" s="51"/>
      <c r="BB213" s="34"/>
      <c r="BC213" s="156"/>
      <c r="BD213" s="341"/>
      <c r="BE213" s="210"/>
      <c r="BF213" s="168"/>
      <c r="BG213" s="619"/>
      <c r="BH213" s="620"/>
      <c r="BI213" s="617"/>
      <c r="BJ213" s="642"/>
      <c r="BK213" s="650"/>
      <c r="BL213" s="399"/>
      <c r="BM213" s="652"/>
      <c r="BN213" s="210"/>
      <c r="BO213" s="168"/>
      <c r="BP213" s="615"/>
      <c r="BQ213" s="616"/>
      <c r="BR213" s="671"/>
      <c r="BS213" s="434"/>
      <c r="BT213" s="34"/>
      <c r="BU213" s="399"/>
      <c r="BV213" s="618"/>
      <c r="BW213" s="141"/>
      <c r="BX213" s="311"/>
      <c r="BY213" s="139"/>
    </row>
    <row r="214" spans="1:77" ht="15" customHeight="1" x14ac:dyDescent="0.2">
      <c r="A214" s="56" t="s">
        <v>38</v>
      </c>
      <c r="B214" s="107" t="s">
        <v>477</v>
      </c>
      <c r="C214" s="637" t="s">
        <v>2145</v>
      </c>
      <c r="D214" s="544">
        <v>113</v>
      </c>
      <c r="E214" s="127" t="s">
        <v>2147</v>
      </c>
      <c r="F214" s="932">
        <v>2000</v>
      </c>
      <c r="G214" s="64"/>
      <c r="H214" s="61">
        <v>0.63186299999999995</v>
      </c>
      <c r="I214" s="266"/>
      <c r="J214" s="62"/>
      <c r="K214" s="62">
        <v>0.57588899999999998</v>
      </c>
      <c r="L214" s="608"/>
      <c r="M214" s="62"/>
      <c r="N214" s="355"/>
      <c r="O214" s="603"/>
      <c r="P214" s="62"/>
      <c r="Q214" s="355"/>
      <c r="R214" s="603"/>
      <c r="S214" s="62"/>
      <c r="T214" s="355"/>
      <c r="U214" s="62"/>
      <c r="V214" s="62"/>
      <c r="W214" s="89">
        <f t="shared" si="85"/>
        <v>4.2334820999999996E-4</v>
      </c>
      <c r="X214" s="87">
        <f t="shared" si="86"/>
        <v>4.2334820999999996E-4</v>
      </c>
      <c r="Y214" s="642">
        <v>2000</v>
      </c>
      <c r="Z214" s="434"/>
      <c r="AA214" s="650">
        <f>+H214/1000</f>
        <v>6.3186299999999998E-4</v>
      </c>
      <c r="AB214" s="399">
        <v>-0.33</v>
      </c>
      <c r="AC214" s="618">
        <f t="shared" si="87"/>
        <v>-0.33</v>
      </c>
      <c r="AD214" s="168"/>
      <c r="AE214" s="168"/>
      <c r="AF214" s="619"/>
      <c r="AG214" s="620"/>
      <c r="AH214" s="617"/>
      <c r="AI214" s="650"/>
      <c r="AJ214" s="650"/>
      <c r="AK214" s="399"/>
      <c r="AL214" s="618"/>
      <c r="AM214" s="210"/>
      <c r="AN214" s="168"/>
      <c r="AO214" s="170"/>
      <c r="AP214" s="86"/>
      <c r="AQ214" s="272"/>
      <c r="AR214" s="34"/>
      <c r="AS214" s="442"/>
      <c r="AT214" s="395"/>
      <c r="AU214" s="443"/>
      <c r="AV214" s="168"/>
      <c r="AW214" s="168"/>
      <c r="AX214" s="170"/>
      <c r="AY214" s="86"/>
      <c r="AZ214" s="272"/>
      <c r="BA214" s="51"/>
      <c r="BB214" s="34"/>
      <c r="BC214" s="156"/>
      <c r="BD214" s="341"/>
      <c r="BE214" s="210"/>
      <c r="BF214" s="168"/>
      <c r="BG214" s="615"/>
      <c r="BH214" s="616"/>
      <c r="BI214" s="617"/>
      <c r="BJ214" s="642"/>
      <c r="BK214" s="434"/>
      <c r="BL214" s="399"/>
      <c r="BM214" s="652"/>
      <c r="BN214" s="210"/>
      <c r="BO214" s="168"/>
      <c r="BP214" s="619">
        <f t="shared" ref="BP214:BP240" si="91">BT214*(1+BV214)</f>
        <v>1.2637259999999996E-4</v>
      </c>
      <c r="BQ214" s="620">
        <f t="shared" ref="BQ214:BQ240" si="92">BT214*(1+BU214)</f>
        <v>1.2637259999999996E-4</v>
      </c>
      <c r="BR214" s="617">
        <v>1990</v>
      </c>
      <c r="BS214" s="642"/>
      <c r="BT214" s="650">
        <f>+H214/1000</f>
        <v>6.3186299999999998E-4</v>
      </c>
      <c r="BU214" s="399">
        <v>-0.8</v>
      </c>
      <c r="BV214" s="618">
        <f t="shared" ref="BV214:BV238" si="93">BU214</f>
        <v>-0.8</v>
      </c>
      <c r="BW214" s="141"/>
      <c r="BX214" s="311"/>
      <c r="BY214" s="669" t="s">
        <v>2146</v>
      </c>
    </row>
    <row r="215" spans="1:77" ht="15" customHeight="1" x14ac:dyDescent="0.2">
      <c r="A215" s="56" t="s">
        <v>38</v>
      </c>
      <c r="B215" s="107" t="s">
        <v>477</v>
      </c>
      <c r="C215" s="637" t="s">
        <v>2296</v>
      </c>
      <c r="D215" s="544">
        <v>4.282</v>
      </c>
      <c r="E215" s="127" t="s">
        <v>2595</v>
      </c>
      <c r="F215" s="932"/>
      <c r="G215" s="64"/>
      <c r="H215" s="61"/>
      <c r="I215" s="266"/>
      <c r="J215" s="62"/>
      <c r="K215" s="63">
        <v>0.160944</v>
      </c>
      <c r="L215" s="608"/>
      <c r="M215" s="62"/>
      <c r="N215" s="355"/>
      <c r="O215" s="603"/>
      <c r="P215" s="62"/>
      <c r="Q215" s="357">
        <v>0.14802499999999999</v>
      </c>
      <c r="R215" s="603"/>
      <c r="S215" s="62"/>
      <c r="T215" s="357"/>
      <c r="U215" s="62"/>
      <c r="V215" s="62"/>
      <c r="W215" s="674">
        <f t="shared" si="85"/>
        <v>1.368024E-4</v>
      </c>
      <c r="X215" s="675">
        <f t="shared" si="86"/>
        <v>1.368024E-4</v>
      </c>
      <c r="Y215" s="642">
        <v>2005</v>
      </c>
      <c r="Z215" s="650"/>
      <c r="AA215" s="650">
        <f>K215/1000</f>
        <v>1.60944E-4</v>
      </c>
      <c r="AB215" s="399">
        <v>-0.15</v>
      </c>
      <c r="AC215" s="618">
        <f t="shared" si="87"/>
        <v>-0.15</v>
      </c>
      <c r="AD215" s="168"/>
      <c r="AE215" s="168"/>
      <c r="AF215" s="619"/>
      <c r="AG215" s="620"/>
      <c r="AH215" s="617"/>
      <c r="AI215" s="650"/>
      <c r="AJ215" s="650"/>
      <c r="AK215" s="399"/>
      <c r="AL215" s="618"/>
      <c r="AM215" s="210"/>
      <c r="AN215" s="168"/>
      <c r="AO215" s="170"/>
      <c r="AP215" s="86"/>
      <c r="AQ215" s="272"/>
      <c r="AR215" s="34"/>
      <c r="AS215" s="442"/>
      <c r="AT215" s="395"/>
      <c r="AU215" s="443"/>
      <c r="AV215" s="168"/>
      <c r="AW215" s="168"/>
      <c r="AX215" s="170"/>
      <c r="AY215" s="86"/>
      <c r="AZ215" s="272"/>
      <c r="BA215" s="51"/>
      <c r="BB215" s="34"/>
      <c r="BC215" s="156"/>
      <c r="BD215" s="341"/>
      <c r="BE215" s="210"/>
      <c r="BF215" s="168"/>
      <c r="BG215" s="615"/>
      <c r="BH215" s="616"/>
      <c r="BI215" s="617"/>
      <c r="BJ215" s="642"/>
      <c r="BK215" s="434"/>
      <c r="BL215" s="399"/>
      <c r="BM215" s="652"/>
      <c r="BN215" s="210"/>
      <c r="BO215" s="168"/>
      <c r="BP215" s="619"/>
      <c r="BQ215" s="620"/>
      <c r="BR215" s="617"/>
      <c r="BS215" s="642"/>
      <c r="BT215" s="650"/>
      <c r="BU215" s="399"/>
      <c r="BV215" s="618"/>
      <c r="BW215" s="141"/>
      <c r="BX215" s="311"/>
      <c r="BY215" s="669"/>
    </row>
    <row r="216" spans="1:77" ht="15" customHeight="1" x14ac:dyDescent="0.2">
      <c r="A216" s="56" t="s">
        <v>38</v>
      </c>
      <c r="B216" s="107" t="s">
        <v>477</v>
      </c>
      <c r="C216" s="637" t="s">
        <v>2723</v>
      </c>
      <c r="D216" s="544">
        <v>265.7</v>
      </c>
      <c r="E216" s="127" t="s">
        <v>387</v>
      </c>
      <c r="F216" s="932"/>
      <c r="G216" s="64"/>
      <c r="H216" s="61"/>
      <c r="I216" s="266"/>
      <c r="J216" s="62"/>
      <c r="K216" s="63">
        <v>1.339993</v>
      </c>
      <c r="L216" s="608"/>
      <c r="M216" s="62"/>
      <c r="N216" s="355"/>
      <c r="O216" s="603"/>
      <c r="P216" s="62"/>
      <c r="Q216" s="357"/>
      <c r="R216" s="603"/>
      <c r="S216" s="62"/>
      <c r="T216" s="357"/>
      <c r="U216" s="62"/>
      <c r="V216" s="62"/>
      <c r="W216" s="674">
        <f t="shared" si="85"/>
        <v>1.13899405E-3</v>
      </c>
      <c r="X216" s="675">
        <f t="shared" si="86"/>
        <v>1.13899405E-3</v>
      </c>
      <c r="Y216" s="642">
        <v>2005</v>
      </c>
      <c r="Z216" s="650"/>
      <c r="AA216" s="650">
        <f>K216/1000</f>
        <v>1.339993E-3</v>
      </c>
      <c r="AB216" s="399">
        <v>-0.15</v>
      </c>
      <c r="AC216" s="618">
        <f t="shared" si="87"/>
        <v>-0.15</v>
      </c>
      <c r="AD216" s="168"/>
      <c r="AE216" s="168"/>
      <c r="AF216" s="619"/>
      <c r="AG216" s="620"/>
      <c r="AH216" s="617"/>
      <c r="AI216" s="650"/>
      <c r="AJ216" s="650"/>
      <c r="AK216" s="399"/>
      <c r="AL216" s="618"/>
      <c r="AM216" s="210"/>
      <c r="AN216" s="168"/>
      <c r="AO216" s="170"/>
      <c r="AP216" s="86"/>
      <c r="AQ216" s="272"/>
      <c r="AR216" s="34"/>
      <c r="AS216" s="442"/>
      <c r="AT216" s="395"/>
      <c r="AU216" s="443"/>
      <c r="AV216" s="168"/>
      <c r="AW216" s="168"/>
      <c r="AX216" s="170"/>
      <c r="AY216" s="86"/>
      <c r="AZ216" s="272"/>
      <c r="BA216" s="51"/>
      <c r="BB216" s="34"/>
      <c r="BC216" s="156"/>
      <c r="BD216" s="341"/>
      <c r="BE216" s="210"/>
      <c r="BF216" s="168"/>
      <c r="BG216" s="615"/>
      <c r="BH216" s="616"/>
      <c r="BI216" s="617"/>
      <c r="BJ216" s="642"/>
      <c r="BK216" s="434"/>
      <c r="BL216" s="399"/>
      <c r="BM216" s="652"/>
      <c r="BN216" s="210"/>
      <c r="BO216" s="168"/>
      <c r="BP216" s="89">
        <f>BT216*(1+BU216)</f>
        <v>4.4219768999999998E-4</v>
      </c>
      <c r="BQ216" s="87">
        <f>BT216*(1+BV216)</f>
        <v>4.4219768999999998E-4</v>
      </c>
      <c r="BR216" s="642">
        <v>2005</v>
      </c>
      <c r="BS216" s="650"/>
      <c r="BT216" s="650">
        <f>K216/1000</f>
        <v>1.339993E-3</v>
      </c>
      <c r="BU216" s="399">
        <v>-0.67</v>
      </c>
      <c r="BV216" s="618">
        <f>BU216</f>
        <v>-0.67</v>
      </c>
      <c r="BW216" s="141"/>
      <c r="BX216" s="311"/>
      <c r="BY216" s="669"/>
    </row>
    <row r="217" spans="1:77" ht="15" customHeight="1" x14ac:dyDescent="0.2">
      <c r="A217" s="56" t="s">
        <v>38</v>
      </c>
      <c r="B217" s="107" t="s">
        <v>477</v>
      </c>
      <c r="C217" s="637" t="s">
        <v>2492</v>
      </c>
      <c r="D217" s="544">
        <v>60.17</v>
      </c>
      <c r="E217" s="127" t="s">
        <v>387</v>
      </c>
      <c r="F217" s="932"/>
      <c r="G217" s="64"/>
      <c r="H217" s="61"/>
      <c r="I217" s="266"/>
      <c r="J217" s="62"/>
      <c r="K217" s="62"/>
      <c r="L217" s="608"/>
      <c r="M217" s="62"/>
      <c r="N217" s="357">
        <v>0.338673</v>
      </c>
      <c r="O217" s="603"/>
      <c r="P217" s="62"/>
      <c r="Q217" s="355"/>
      <c r="R217" s="603"/>
      <c r="S217" s="62"/>
      <c r="T217" s="355"/>
      <c r="U217" s="62"/>
      <c r="V217" s="62"/>
      <c r="W217" s="674">
        <f t="shared" si="85"/>
        <v>2.8787205000000001E-4</v>
      </c>
      <c r="X217" s="675">
        <f t="shared" si="86"/>
        <v>2.8787205000000001E-4</v>
      </c>
      <c r="Y217" s="642">
        <v>2010</v>
      </c>
      <c r="Z217" s="650"/>
      <c r="AA217" s="650">
        <f>N217/1000</f>
        <v>3.38673E-4</v>
      </c>
      <c r="AB217" s="399">
        <v>-0.15</v>
      </c>
      <c r="AC217" s="618">
        <f t="shared" si="87"/>
        <v>-0.15</v>
      </c>
      <c r="AD217" s="168"/>
      <c r="AE217" s="168"/>
      <c r="AF217" s="619"/>
      <c r="AG217" s="620"/>
      <c r="AH217" s="617"/>
      <c r="AI217" s="650"/>
      <c r="AJ217" s="650"/>
      <c r="AK217" s="399"/>
      <c r="AL217" s="618"/>
      <c r="AM217" s="210"/>
      <c r="AN217" s="168"/>
      <c r="AO217" s="170"/>
      <c r="AP217" s="86"/>
      <c r="AQ217" s="272"/>
      <c r="AR217" s="34"/>
      <c r="AS217" s="442"/>
      <c r="AT217" s="395"/>
      <c r="AU217" s="443"/>
      <c r="AV217" s="168"/>
      <c r="AW217" s="168"/>
      <c r="AX217" s="89">
        <f>BB217*(1+BC217)</f>
        <v>1.7272323000000001E-4</v>
      </c>
      <c r="AY217" s="87">
        <f>BB217*(1+BD217)</f>
        <v>1.7272323000000001E-4</v>
      </c>
      <c r="AZ217" s="642">
        <v>2010</v>
      </c>
      <c r="BA217" s="650"/>
      <c r="BB217" s="650">
        <f>N217/1000</f>
        <v>3.38673E-4</v>
      </c>
      <c r="BC217" s="399">
        <v>-0.49</v>
      </c>
      <c r="BD217" s="618">
        <f>BC217</f>
        <v>-0.49</v>
      </c>
      <c r="BE217" s="210"/>
      <c r="BF217" s="168"/>
      <c r="BG217" s="615"/>
      <c r="BH217" s="616"/>
      <c r="BI217" s="617"/>
      <c r="BJ217" s="642"/>
      <c r="BK217" s="434"/>
      <c r="BL217" s="399"/>
      <c r="BM217" s="652"/>
      <c r="BN217" s="210"/>
      <c r="BO217" s="168"/>
      <c r="BP217" s="89">
        <f>BT217*(1+BU217)</f>
        <v>5.7574410000000016E-5</v>
      </c>
      <c r="BQ217" s="87">
        <f>BT217*(1+BV217)</f>
        <v>5.7574410000000016E-5</v>
      </c>
      <c r="BR217" s="642">
        <v>2005</v>
      </c>
      <c r="BS217" s="650"/>
      <c r="BT217" s="650">
        <f>N217/1000</f>
        <v>3.38673E-4</v>
      </c>
      <c r="BU217" s="399">
        <v>-0.83</v>
      </c>
      <c r="BV217" s="618">
        <f>BU217</f>
        <v>-0.83</v>
      </c>
      <c r="BW217" s="141"/>
      <c r="BX217" s="311"/>
      <c r="BY217" s="669"/>
    </row>
    <row r="218" spans="1:77" ht="15" customHeight="1" x14ac:dyDescent="0.2">
      <c r="A218" s="56" t="s">
        <v>38</v>
      </c>
      <c r="B218" s="107" t="s">
        <v>477</v>
      </c>
      <c r="C218" s="637" t="s">
        <v>2299</v>
      </c>
      <c r="D218" s="544">
        <v>65.622</v>
      </c>
      <c r="E218" s="127" t="s">
        <v>2300</v>
      </c>
      <c r="F218" s="932"/>
      <c r="G218" s="64"/>
      <c r="H218" s="61"/>
      <c r="I218" s="266"/>
      <c r="J218" s="62"/>
      <c r="K218" s="62"/>
      <c r="L218" s="608">
        <v>2009</v>
      </c>
      <c r="M218" s="62"/>
      <c r="N218" s="355">
        <v>0.348437</v>
      </c>
      <c r="O218" s="603"/>
      <c r="P218" s="62"/>
      <c r="Q218" s="355"/>
      <c r="R218" s="603"/>
      <c r="S218" s="62"/>
      <c r="T218" s="355"/>
      <c r="U218" s="62"/>
      <c r="V218" s="62"/>
      <c r="W218" s="89"/>
      <c r="X218" s="87"/>
      <c r="Y218" s="642"/>
      <c r="Z218" s="650"/>
      <c r="AA218" s="650"/>
      <c r="AB218" s="399"/>
      <c r="AC218" s="618"/>
      <c r="AD218" s="168"/>
      <c r="AE218" s="168"/>
      <c r="AF218" s="619"/>
      <c r="AG218" s="620"/>
      <c r="AH218" s="617"/>
      <c r="AI218" s="650"/>
      <c r="AJ218" s="650"/>
      <c r="AK218" s="399"/>
      <c r="AL218" s="618"/>
      <c r="AM218" s="210"/>
      <c r="AN218" s="168"/>
      <c r="AO218" s="170"/>
      <c r="AP218" s="86"/>
      <c r="AQ218" s="272"/>
      <c r="AR218" s="34"/>
      <c r="AS218" s="442"/>
      <c r="AT218" s="395"/>
      <c r="AU218" s="443"/>
      <c r="AV218" s="168"/>
      <c r="AW218" s="168"/>
      <c r="AX218" s="170"/>
      <c r="AY218" s="86"/>
      <c r="AZ218" s="272"/>
      <c r="BA218" s="51"/>
      <c r="BB218" s="34"/>
      <c r="BC218" s="156"/>
      <c r="BD218" s="341"/>
      <c r="BE218" s="210"/>
      <c r="BF218" s="168"/>
      <c r="BG218" s="615"/>
      <c r="BH218" s="616"/>
      <c r="BI218" s="617"/>
      <c r="BJ218" s="642"/>
      <c r="BK218" s="434"/>
      <c r="BL218" s="399"/>
      <c r="BM218" s="652"/>
      <c r="BN218" s="210"/>
      <c r="BO218" s="168"/>
      <c r="BP218" s="615">
        <f t="shared" ref="BP218" si="94">BT218*(1+BV218)</f>
        <v>0</v>
      </c>
      <c r="BQ218" s="616">
        <f t="shared" ref="BQ218" si="95">BT218*(1+BU218)</f>
        <v>0</v>
      </c>
      <c r="BR218" s="642">
        <v>2010</v>
      </c>
      <c r="BS218" s="434"/>
      <c r="BT218" s="650">
        <f>+N218/1000</f>
        <v>3.48437E-4</v>
      </c>
      <c r="BU218" s="399">
        <v>-1</v>
      </c>
      <c r="BV218" s="618">
        <f t="shared" ref="BV218" si="96">BU218</f>
        <v>-1</v>
      </c>
      <c r="BW218" s="141"/>
      <c r="BX218" s="311"/>
      <c r="BY218" s="669"/>
    </row>
    <row r="219" spans="1:77" ht="15" customHeight="1" x14ac:dyDescent="0.2">
      <c r="A219" s="56" t="s">
        <v>38</v>
      </c>
      <c r="B219" s="107" t="s">
        <v>477</v>
      </c>
      <c r="C219" s="637" t="s">
        <v>482</v>
      </c>
      <c r="D219" s="544">
        <v>63.241</v>
      </c>
      <c r="E219" s="127" t="s">
        <v>2817</v>
      </c>
      <c r="F219" s="932"/>
      <c r="G219" s="64"/>
      <c r="H219" s="61"/>
      <c r="I219" s="266"/>
      <c r="J219" s="62"/>
      <c r="K219" s="62"/>
      <c r="L219" s="608"/>
      <c r="M219" s="62"/>
      <c r="N219" s="355">
        <v>0.32815499999999997</v>
      </c>
      <c r="O219" s="603"/>
      <c r="P219" s="62"/>
      <c r="Q219" s="355"/>
      <c r="R219" s="603"/>
      <c r="S219" s="62"/>
      <c r="T219" s="355"/>
      <c r="U219" s="62"/>
      <c r="V219" s="62"/>
      <c r="W219" s="674">
        <f>AA219*(1+AB219)</f>
        <v>2.7893174999999993E-4</v>
      </c>
      <c r="X219" s="675">
        <f>AA219*(1+AC219)</f>
        <v>2.7893174999999993E-4</v>
      </c>
      <c r="Y219" s="642">
        <v>2010</v>
      </c>
      <c r="Z219" s="650"/>
      <c r="AA219" s="673">
        <f>N219/1000</f>
        <v>3.2815499999999995E-4</v>
      </c>
      <c r="AB219" s="399">
        <v>-0.15</v>
      </c>
      <c r="AC219" s="618">
        <f>AB219</f>
        <v>-0.15</v>
      </c>
      <c r="AD219" s="168"/>
      <c r="AE219" s="168"/>
      <c r="AF219" s="619"/>
      <c r="AG219" s="620"/>
      <c r="AH219" s="617"/>
      <c r="AI219" s="650"/>
      <c r="AJ219" s="650"/>
      <c r="AK219" s="399"/>
      <c r="AL219" s="618"/>
      <c r="AM219" s="210"/>
      <c r="AN219" s="168"/>
      <c r="AO219" s="170"/>
      <c r="AP219" s="86"/>
      <c r="AQ219" s="272"/>
      <c r="AR219" s="34"/>
      <c r="AS219" s="442"/>
      <c r="AT219" s="395"/>
      <c r="AU219" s="443"/>
      <c r="AV219" s="168"/>
      <c r="AW219" s="168"/>
      <c r="AX219" s="170"/>
      <c r="AY219" s="86"/>
      <c r="AZ219" s="272"/>
      <c r="BA219" s="51"/>
      <c r="BB219" s="34"/>
      <c r="BC219" s="156"/>
      <c r="BD219" s="341"/>
      <c r="BE219" s="210"/>
      <c r="BF219" s="168"/>
      <c r="BG219" s="615"/>
      <c r="BH219" s="616"/>
      <c r="BI219" s="617"/>
      <c r="BJ219" s="642"/>
      <c r="BK219" s="434"/>
      <c r="BL219" s="399"/>
      <c r="BM219" s="652"/>
      <c r="BN219" s="210"/>
      <c r="BO219" s="168"/>
      <c r="BP219" s="615"/>
      <c r="BQ219" s="616"/>
      <c r="BR219" s="642"/>
      <c r="BS219" s="434"/>
      <c r="BT219" s="650"/>
      <c r="BU219" s="399"/>
      <c r="BV219" s="618"/>
      <c r="BW219" s="141"/>
      <c r="BX219" s="311"/>
      <c r="BY219" s="669"/>
    </row>
    <row r="220" spans="1:77" ht="15" customHeight="1" x14ac:dyDescent="0.2">
      <c r="A220" s="56" t="s">
        <v>38</v>
      </c>
      <c r="B220" s="107" t="s">
        <v>477</v>
      </c>
      <c r="C220" s="637" t="s">
        <v>2303</v>
      </c>
      <c r="D220" s="544">
        <v>11.885</v>
      </c>
      <c r="E220" s="127" t="s">
        <v>387</v>
      </c>
      <c r="F220" s="932"/>
      <c r="G220" s="64"/>
      <c r="H220" s="61"/>
      <c r="I220" s="958"/>
      <c r="J220" s="62"/>
      <c r="K220" s="63">
        <v>0.215977</v>
      </c>
      <c r="L220" s="608"/>
      <c r="M220" s="62"/>
      <c r="N220" s="355"/>
      <c r="O220" s="603">
        <v>2014</v>
      </c>
      <c r="P220" s="62"/>
      <c r="Q220" s="357">
        <v>0.17141300000000001</v>
      </c>
      <c r="R220" s="603"/>
      <c r="S220" s="62"/>
      <c r="T220" s="357"/>
      <c r="U220" s="62"/>
      <c r="V220" s="62"/>
      <c r="W220" s="89"/>
      <c r="X220" s="87"/>
      <c r="Y220" s="642"/>
      <c r="Z220" s="650"/>
      <c r="AA220" s="650"/>
      <c r="AB220" s="399"/>
      <c r="AC220" s="618"/>
      <c r="AD220" s="168"/>
      <c r="AE220" s="168"/>
      <c r="AF220" s="619"/>
      <c r="AG220" s="620"/>
      <c r="AH220" s="617"/>
      <c r="AI220" s="650"/>
      <c r="AJ220" s="650"/>
      <c r="AK220" s="399"/>
      <c r="AL220" s="618"/>
      <c r="AM220" s="210"/>
      <c r="AN220" s="168"/>
      <c r="AO220" s="757">
        <f>AS220*(1+AT220)</f>
        <v>1.2958619999999999E-4</v>
      </c>
      <c r="AP220" s="758">
        <f>AS220*(1+AU220)</f>
        <v>1.2958619999999999E-4</v>
      </c>
      <c r="AQ220" s="272">
        <v>2005</v>
      </c>
      <c r="AR220" s="34"/>
      <c r="AS220" s="657">
        <f>K220/1000</f>
        <v>2.1597700000000001E-4</v>
      </c>
      <c r="AT220" s="395">
        <v>-0.4</v>
      </c>
      <c r="AU220" s="443">
        <f>AT220</f>
        <v>-0.4</v>
      </c>
      <c r="AV220" s="168"/>
      <c r="AW220" s="168"/>
      <c r="AX220" s="170"/>
      <c r="AY220" s="86"/>
      <c r="AZ220" s="272"/>
      <c r="BA220" s="51"/>
      <c r="BB220" s="34"/>
      <c r="BC220" s="156"/>
      <c r="BD220" s="341"/>
      <c r="BE220" s="210"/>
      <c r="BF220" s="168"/>
      <c r="BG220" s="615"/>
      <c r="BH220" s="616"/>
      <c r="BI220" s="617"/>
      <c r="BJ220" s="642"/>
      <c r="BK220" s="434"/>
      <c r="BL220" s="399"/>
      <c r="BM220" s="652"/>
      <c r="BN220" s="210"/>
      <c r="BO220" s="168"/>
      <c r="BP220" s="697">
        <f t="shared" ref="BP220" si="97">BT220*(1+BV220)</f>
        <v>4.319539999999999E-5</v>
      </c>
      <c r="BQ220" s="698">
        <f t="shared" ref="BQ220" si="98">BT220*(1+BU220)</f>
        <v>4.319539999999999E-5</v>
      </c>
      <c r="BR220" s="642">
        <v>2010</v>
      </c>
      <c r="BS220" s="434"/>
      <c r="BT220" s="673">
        <f>+K220/1000</f>
        <v>2.1597700000000001E-4</v>
      </c>
      <c r="BU220" s="399">
        <v>-0.8</v>
      </c>
      <c r="BV220" s="618">
        <f t="shared" ref="BV220" si="99">BU220</f>
        <v>-0.8</v>
      </c>
      <c r="BW220" s="141"/>
      <c r="BX220" s="311"/>
      <c r="BY220" s="669"/>
    </row>
    <row r="221" spans="1:77" ht="15" customHeight="1" x14ac:dyDescent="0.2">
      <c r="A221" s="56" t="s">
        <v>38</v>
      </c>
      <c r="B221" s="107" t="s">
        <v>477</v>
      </c>
      <c r="C221" s="637" t="s">
        <v>3133</v>
      </c>
      <c r="D221" s="544">
        <v>62.037999999999997</v>
      </c>
      <c r="E221" s="127" t="s">
        <v>387</v>
      </c>
      <c r="F221" s="932"/>
      <c r="G221" s="64"/>
      <c r="H221" s="61"/>
      <c r="I221" s="958"/>
      <c r="J221" s="62"/>
      <c r="K221" s="63"/>
      <c r="L221" s="608">
        <v>2012</v>
      </c>
      <c r="M221" s="62"/>
      <c r="N221" s="355">
        <v>0.48377300000000001</v>
      </c>
      <c r="O221" s="603"/>
      <c r="P221" s="62"/>
      <c r="Q221" s="357"/>
      <c r="R221" s="603"/>
      <c r="S221" s="62"/>
      <c r="T221" s="357"/>
      <c r="U221" s="62"/>
      <c r="V221" s="62"/>
      <c r="W221" s="89">
        <f>AA221*(1+AB221)</f>
        <v>4.2088250999999999E-4</v>
      </c>
      <c r="X221" s="87">
        <f>AA221*(1+AC221)</f>
        <v>4.2088250999999999E-4</v>
      </c>
      <c r="Y221" s="642">
        <v>2005</v>
      </c>
      <c r="Z221" s="650"/>
      <c r="AA221" s="650">
        <f>N221/1000</f>
        <v>4.83773E-4</v>
      </c>
      <c r="AB221" s="399">
        <v>-0.13</v>
      </c>
      <c r="AC221" s="618">
        <f>AB221</f>
        <v>-0.13</v>
      </c>
      <c r="AD221" s="168"/>
      <c r="AE221" s="168"/>
      <c r="AF221" s="619"/>
      <c r="AG221" s="620"/>
      <c r="AH221" s="617"/>
      <c r="AI221" s="650"/>
      <c r="AJ221" s="650"/>
      <c r="AK221" s="399"/>
      <c r="AL221" s="618"/>
      <c r="AM221" s="210"/>
      <c r="AN221" s="168"/>
      <c r="AO221" s="757">
        <f>AS221*(1+AT221)</f>
        <v>2.8542607000000002E-4</v>
      </c>
      <c r="AP221" s="758">
        <f>AS221*(1+AU221)</f>
        <v>2.8542607000000002E-4</v>
      </c>
      <c r="AQ221" s="272">
        <v>2012</v>
      </c>
      <c r="AR221" s="34"/>
      <c r="AS221" s="657">
        <f>N221/1000</f>
        <v>4.83773E-4</v>
      </c>
      <c r="AT221" s="395">
        <v>-0.41</v>
      </c>
      <c r="AU221" s="443">
        <f>AT221</f>
        <v>-0.41</v>
      </c>
      <c r="AV221" s="168"/>
      <c r="AW221" s="168"/>
      <c r="AX221" s="170"/>
      <c r="AY221" s="86"/>
      <c r="AZ221" s="272"/>
      <c r="BA221" s="51"/>
      <c r="BB221" s="34"/>
      <c r="BC221" s="156"/>
      <c r="BD221" s="341"/>
      <c r="BE221" s="210"/>
      <c r="BF221" s="168"/>
      <c r="BG221" s="615"/>
      <c r="BH221" s="616"/>
      <c r="BI221" s="617"/>
      <c r="BJ221" s="642"/>
      <c r="BK221" s="434"/>
      <c r="BL221" s="399"/>
      <c r="BM221" s="652"/>
      <c r="BN221" s="210"/>
      <c r="BO221" s="168"/>
      <c r="BP221" s="697"/>
      <c r="BQ221" s="698"/>
      <c r="BR221" s="671"/>
      <c r="BS221" s="434"/>
      <c r="BT221" s="673"/>
      <c r="BU221" s="399"/>
      <c r="BV221" s="618"/>
      <c r="BW221" s="141"/>
      <c r="BX221" s="311"/>
      <c r="BY221" s="669"/>
    </row>
    <row r="222" spans="1:77" ht="15" customHeight="1" x14ac:dyDescent="0.2">
      <c r="A222" s="56" t="s">
        <v>38</v>
      </c>
      <c r="B222" s="107" t="s">
        <v>477</v>
      </c>
      <c r="C222" s="637" t="s">
        <v>2725</v>
      </c>
      <c r="D222" s="544">
        <v>234.96199999999999</v>
      </c>
      <c r="E222" s="127" t="s">
        <v>392</v>
      </c>
      <c r="F222" s="932"/>
      <c r="G222" s="64"/>
      <c r="H222" s="61"/>
      <c r="I222" s="958"/>
      <c r="J222" s="62"/>
      <c r="K222" s="62">
        <v>1.66</v>
      </c>
      <c r="L222" s="608"/>
      <c r="M222" s="62"/>
      <c r="N222" s="355"/>
      <c r="O222" s="603"/>
      <c r="P222" s="62"/>
      <c r="Q222" s="357">
        <v>1.4475549999999999</v>
      </c>
      <c r="R222" s="603"/>
      <c r="S222" s="62"/>
      <c r="T222" s="357"/>
      <c r="U222" s="62"/>
      <c r="V222" s="62"/>
      <c r="W222" s="89">
        <f>AA222*(1+AB222)</f>
        <v>1.245E-3</v>
      </c>
      <c r="X222" s="87">
        <f>AA222*(1+AC222)</f>
        <v>1.245E-3</v>
      </c>
      <c r="Y222" s="642">
        <v>2005</v>
      </c>
      <c r="Z222" s="650"/>
      <c r="AA222" s="650">
        <f>K222/1000</f>
        <v>1.66E-3</v>
      </c>
      <c r="AB222" s="399">
        <v>-0.25</v>
      </c>
      <c r="AC222" s="618">
        <f>AB222</f>
        <v>-0.25</v>
      </c>
      <c r="AD222" s="168"/>
      <c r="AE222" s="168"/>
      <c r="AF222" s="619"/>
      <c r="AG222" s="620"/>
      <c r="AH222" s="617"/>
      <c r="AI222" s="650"/>
      <c r="AJ222" s="650"/>
      <c r="AK222" s="399"/>
      <c r="AL222" s="618"/>
      <c r="AM222" s="210"/>
      <c r="AN222" s="168"/>
      <c r="AO222" s="757"/>
      <c r="AP222" s="758"/>
      <c r="AQ222" s="272"/>
      <c r="AR222" s="34"/>
      <c r="AS222" s="657"/>
      <c r="AT222" s="395"/>
      <c r="AU222" s="443"/>
      <c r="AV222" s="168"/>
      <c r="AW222" s="168"/>
      <c r="AX222" s="170"/>
      <c r="AY222" s="86"/>
      <c r="AZ222" s="272"/>
      <c r="BA222" s="51"/>
      <c r="BB222" s="34"/>
      <c r="BC222" s="156"/>
      <c r="BD222" s="341"/>
      <c r="BE222" s="210"/>
      <c r="BF222" s="168"/>
      <c r="BG222" s="615"/>
      <c r="BH222" s="616"/>
      <c r="BI222" s="617"/>
      <c r="BJ222" s="642"/>
      <c r="BK222" s="434"/>
      <c r="BL222" s="399"/>
      <c r="BM222" s="652"/>
      <c r="BN222" s="210"/>
      <c r="BO222" s="168"/>
      <c r="BP222" s="697"/>
      <c r="BQ222" s="698"/>
      <c r="BR222" s="671"/>
      <c r="BS222" s="434"/>
      <c r="BT222" s="673"/>
      <c r="BU222" s="399"/>
      <c r="BV222" s="618"/>
      <c r="BW222" s="141"/>
      <c r="BX222" s="311"/>
      <c r="BY222" s="669"/>
    </row>
    <row r="223" spans="1:77" ht="15" customHeight="1" x14ac:dyDescent="0.2">
      <c r="A223" s="56" t="s">
        <v>38</v>
      </c>
      <c r="B223" s="107" t="s">
        <v>477</v>
      </c>
      <c r="C223" s="637" t="s">
        <v>564</v>
      </c>
      <c r="D223" s="544">
        <v>161.45599999999999</v>
      </c>
      <c r="E223" s="127" t="s">
        <v>2598</v>
      </c>
      <c r="F223" s="667"/>
      <c r="G223" s="64"/>
      <c r="H223" s="61"/>
      <c r="I223" s="266"/>
      <c r="J223" s="62"/>
      <c r="K223" s="121">
        <v>1.175665</v>
      </c>
      <c r="L223" s="608"/>
      <c r="M223" s="62"/>
      <c r="N223" s="355"/>
      <c r="O223" s="603"/>
      <c r="P223" s="62"/>
      <c r="Q223" s="355">
        <v>1.103977</v>
      </c>
      <c r="R223" s="603"/>
      <c r="S223" s="62"/>
      <c r="T223" s="355"/>
      <c r="U223" s="62"/>
      <c r="V223" s="62"/>
      <c r="W223" s="89">
        <f>AA223*(1+AB223)</f>
        <v>9.40532E-4</v>
      </c>
      <c r="X223" s="87">
        <f>AA223*(1+AC223)</f>
        <v>9.40532E-4</v>
      </c>
      <c r="Y223" s="642">
        <v>2005</v>
      </c>
      <c r="Z223" s="650"/>
      <c r="AA223" s="650">
        <f>K223/1000</f>
        <v>1.175665E-3</v>
      </c>
      <c r="AB223" s="399">
        <v>-0.2</v>
      </c>
      <c r="AC223" s="618">
        <f>AB223</f>
        <v>-0.2</v>
      </c>
      <c r="AD223" s="168"/>
      <c r="AE223" s="168"/>
      <c r="AF223" s="388"/>
      <c r="AG223" s="389"/>
      <c r="AH223" s="390"/>
      <c r="AI223" s="433"/>
      <c r="AJ223" s="433"/>
      <c r="AK223" s="156"/>
      <c r="AL223" s="284"/>
      <c r="AM223" s="210"/>
      <c r="AN223" s="168"/>
      <c r="AO223" s="171"/>
      <c r="AP223" s="172"/>
      <c r="AQ223" s="272"/>
      <c r="AR223" s="34"/>
      <c r="AS223" s="657"/>
      <c r="AT223" s="395"/>
      <c r="AU223" s="443"/>
      <c r="AV223" s="168"/>
      <c r="AW223" s="168"/>
      <c r="AX223" s="757"/>
      <c r="AY223" s="758"/>
      <c r="AZ223" s="272"/>
      <c r="BA223" s="34"/>
      <c r="BB223" s="756"/>
      <c r="BC223" s="395"/>
      <c r="BD223" s="670"/>
      <c r="BE223" s="210"/>
      <c r="BF223" s="168"/>
      <c r="BG223" s="619"/>
      <c r="BH223" s="620"/>
      <c r="BI223" s="617"/>
      <c r="BJ223" s="642"/>
      <c r="BK223" s="650"/>
      <c r="BL223" s="399"/>
      <c r="BM223" s="652"/>
      <c r="BN223" s="210"/>
      <c r="BO223" s="168"/>
      <c r="BP223" s="619">
        <f t="shared" ref="BP223" si="100">BT223*(1+BV223)</f>
        <v>2.1161970000000007E-4</v>
      </c>
      <c r="BQ223" s="620">
        <f t="shared" ref="BQ223" si="101">BT223*(1+BU223)</f>
        <v>2.1161970000000007E-4</v>
      </c>
      <c r="BR223" s="617">
        <v>2005</v>
      </c>
      <c r="BS223" s="642"/>
      <c r="BT223" s="650">
        <f>+K223/1000</f>
        <v>1.175665E-3</v>
      </c>
      <c r="BU223" s="399">
        <v>-0.82</v>
      </c>
      <c r="BV223" s="618">
        <f t="shared" ref="BV223" si="102">BU223</f>
        <v>-0.82</v>
      </c>
      <c r="BW223" s="141"/>
      <c r="BX223" s="311"/>
      <c r="BY223" s="139"/>
    </row>
    <row r="224" spans="1:77" ht="15" customHeight="1" x14ac:dyDescent="0.2">
      <c r="A224" s="56" t="s">
        <v>38</v>
      </c>
      <c r="B224" s="107" t="s">
        <v>477</v>
      </c>
      <c r="C224" s="637" t="s">
        <v>2304</v>
      </c>
      <c r="D224" s="544">
        <v>19.506</v>
      </c>
      <c r="E224" s="127" t="s">
        <v>2305</v>
      </c>
      <c r="F224" s="932"/>
      <c r="G224" s="64"/>
      <c r="H224" s="61"/>
      <c r="I224" s="266"/>
      <c r="J224" s="62"/>
      <c r="K224" s="63">
        <v>0.13716</v>
      </c>
      <c r="L224" s="608"/>
      <c r="M224" s="62"/>
      <c r="N224" s="355"/>
      <c r="O224" s="603">
        <v>2012</v>
      </c>
      <c r="P224" s="62"/>
      <c r="Q224" s="357">
        <v>0.126611</v>
      </c>
      <c r="R224" s="603"/>
      <c r="S224" s="62"/>
      <c r="T224" s="357"/>
      <c r="U224" s="62"/>
      <c r="V224" s="62"/>
      <c r="W224" s="89"/>
      <c r="X224" s="87"/>
      <c r="Y224" s="642"/>
      <c r="Z224" s="650"/>
      <c r="AA224" s="650"/>
      <c r="AB224" s="399"/>
      <c r="AC224" s="618"/>
      <c r="AD224" s="168"/>
      <c r="AE224" s="168"/>
      <c r="AF224" s="619"/>
      <c r="AG224" s="620"/>
      <c r="AH224" s="617"/>
      <c r="AI224" s="650"/>
      <c r="AJ224" s="650"/>
      <c r="AK224" s="399"/>
      <c r="AL224" s="618"/>
      <c r="AM224" s="210"/>
      <c r="AN224" s="168"/>
      <c r="AO224" s="171"/>
      <c r="AP224" s="172"/>
      <c r="AQ224" s="272"/>
      <c r="AR224" s="34"/>
      <c r="AS224" s="657"/>
      <c r="AT224" s="395"/>
      <c r="AU224" s="443"/>
      <c r="AV224" s="168"/>
      <c r="AW224" s="168"/>
      <c r="AX224" s="170"/>
      <c r="AY224" s="86"/>
      <c r="AZ224" s="272"/>
      <c r="BA224" s="51"/>
      <c r="BB224" s="34"/>
      <c r="BC224" s="156"/>
      <c r="BD224" s="341"/>
      <c r="BE224" s="210"/>
      <c r="BF224" s="168"/>
      <c r="BG224" s="615">
        <f>BK224*(1+BL224)</f>
        <v>0</v>
      </c>
      <c r="BH224" s="616">
        <f>BK224*(1+BM224)</f>
        <v>0</v>
      </c>
      <c r="BI224" s="617">
        <v>1990</v>
      </c>
      <c r="BJ224" s="642"/>
      <c r="BK224" s="650">
        <f>+K224/1000</f>
        <v>1.3715999999999999E-4</v>
      </c>
      <c r="BL224" s="399">
        <v>-1</v>
      </c>
      <c r="BM224" s="652">
        <f>BL224</f>
        <v>-1</v>
      </c>
      <c r="BN224" s="210"/>
      <c r="BO224" s="168"/>
      <c r="BP224" s="697"/>
      <c r="BQ224" s="698"/>
      <c r="BR224" s="671"/>
      <c r="BS224" s="434"/>
      <c r="BT224" s="673"/>
      <c r="BU224" s="399"/>
      <c r="BV224" s="618"/>
      <c r="BW224" s="141"/>
      <c r="BX224" s="311"/>
      <c r="BY224" s="669"/>
    </row>
    <row r="225" spans="1:77" ht="15" customHeight="1" x14ac:dyDescent="0.2">
      <c r="A225" s="56" t="s">
        <v>38</v>
      </c>
      <c r="B225" s="107" t="s">
        <v>477</v>
      </c>
      <c r="C225" s="637" t="s">
        <v>373</v>
      </c>
      <c r="D225" s="544">
        <v>4021.4879999999998</v>
      </c>
      <c r="E225" s="127" t="s">
        <v>387</v>
      </c>
      <c r="F225" s="932"/>
      <c r="G225" s="64"/>
      <c r="H225" s="61">
        <v>33.248711</v>
      </c>
      <c r="I225" s="266"/>
      <c r="J225" s="62"/>
      <c r="K225" s="63"/>
      <c r="L225" s="608"/>
      <c r="M225" s="62"/>
      <c r="N225" s="355"/>
      <c r="O225" s="603"/>
      <c r="P225" s="62"/>
      <c r="Q225" s="357"/>
      <c r="R225" s="603"/>
      <c r="S225" s="62"/>
      <c r="T225" s="357"/>
      <c r="U225" s="62"/>
      <c r="V225" s="62"/>
      <c r="W225" s="89"/>
      <c r="X225" s="87"/>
      <c r="Y225" s="642"/>
      <c r="Z225" s="650"/>
      <c r="AA225" s="650"/>
      <c r="AB225" s="399"/>
      <c r="AC225" s="618"/>
      <c r="AD225" s="168"/>
      <c r="AE225" s="168"/>
      <c r="AF225" s="619">
        <f>+AJ225*(1+AK225)</f>
        <v>1.66243555E-2</v>
      </c>
      <c r="AG225" s="620">
        <f>+AJ225*(1+AL225)</f>
        <v>1.66243555E-2</v>
      </c>
      <c r="AH225" s="617">
        <v>1990</v>
      </c>
      <c r="AI225" s="650"/>
      <c r="AJ225" s="650">
        <f>+H225/1000</f>
        <v>3.3248711E-2</v>
      </c>
      <c r="AK225" s="399">
        <v>-0.5</v>
      </c>
      <c r="AL225" s="618">
        <f>AK225</f>
        <v>-0.5</v>
      </c>
      <c r="AM225" s="210"/>
      <c r="AN225" s="168"/>
      <c r="AO225" s="171"/>
      <c r="AP225" s="172"/>
      <c r="AQ225" s="272"/>
      <c r="AR225" s="34"/>
      <c r="AS225" s="657"/>
      <c r="AT225" s="395"/>
      <c r="AU225" s="443"/>
      <c r="AV225" s="168"/>
      <c r="AW225" s="168"/>
      <c r="AX225" s="23">
        <f>BB225*(1+BC225)</f>
        <v>8.9771519700000014E-3</v>
      </c>
      <c r="AY225" s="24">
        <f>BB225*(1+BD225)</f>
        <v>8.9771519700000014E-3</v>
      </c>
      <c r="AZ225" s="642">
        <v>1990</v>
      </c>
      <c r="BA225" s="650"/>
      <c r="BB225" s="434">
        <f>H225/1000</f>
        <v>3.3248711E-2</v>
      </c>
      <c r="BC225" s="399">
        <v>-0.73</v>
      </c>
      <c r="BD225" s="618">
        <f>BC225</f>
        <v>-0.73</v>
      </c>
      <c r="BE225" s="210"/>
      <c r="BF225" s="168"/>
      <c r="BG225" s="615"/>
      <c r="BH225" s="616"/>
      <c r="BI225" s="617"/>
      <c r="BJ225" s="642"/>
      <c r="BK225" s="650"/>
      <c r="BL225" s="399"/>
      <c r="BM225" s="652"/>
      <c r="BN225" s="210"/>
      <c r="BO225" s="168"/>
      <c r="BP225" s="697"/>
      <c r="BQ225" s="698"/>
      <c r="BR225" s="671"/>
      <c r="BS225" s="434"/>
      <c r="BT225" s="673"/>
      <c r="BU225" s="399"/>
      <c r="BV225" s="618"/>
      <c r="BW225" s="141"/>
      <c r="BX225" s="311"/>
      <c r="BY225" s="669"/>
    </row>
    <row r="226" spans="1:77" ht="15" customHeight="1" x14ac:dyDescent="0.2">
      <c r="A226" s="56" t="s">
        <v>38</v>
      </c>
      <c r="B226" s="107" t="s">
        <v>477</v>
      </c>
      <c r="C226" s="637" t="s">
        <v>3234</v>
      </c>
      <c r="D226" s="544">
        <v>35.531999999999996</v>
      </c>
      <c r="E226" s="127" t="s">
        <v>387</v>
      </c>
      <c r="F226" s="932"/>
      <c r="G226" s="64"/>
      <c r="H226" s="61"/>
      <c r="I226" s="266"/>
      <c r="J226" s="62"/>
      <c r="K226" s="63">
        <v>0.34126200000000001</v>
      </c>
      <c r="L226" s="608"/>
      <c r="M226" s="62"/>
      <c r="N226" s="355"/>
      <c r="O226" s="603"/>
      <c r="P226" s="62"/>
      <c r="Q226" s="357"/>
      <c r="R226" s="603"/>
      <c r="S226" s="62"/>
      <c r="T226" s="357"/>
      <c r="U226" s="62"/>
      <c r="V226" s="62"/>
      <c r="W226" s="89">
        <f>AA226*(1+AB226)</f>
        <v>2.9007270000000002E-4</v>
      </c>
      <c r="X226" s="87">
        <f>AA226*(1+AC226)</f>
        <v>2.9007270000000002E-4</v>
      </c>
      <c r="Y226" s="642">
        <v>2005</v>
      </c>
      <c r="Z226" s="650"/>
      <c r="AA226" s="650">
        <f>K226/1000</f>
        <v>3.41262E-4</v>
      </c>
      <c r="AB226" s="399">
        <v>-0.15</v>
      </c>
      <c r="AC226" s="618">
        <f>AB226</f>
        <v>-0.15</v>
      </c>
      <c r="AD226" s="168"/>
      <c r="AE226" s="168"/>
      <c r="AF226" s="619"/>
      <c r="AG226" s="620"/>
      <c r="AH226" s="617"/>
      <c r="AI226" s="650"/>
      <c r="AJ226" s="650"/>
      <c r="AK226" s="399"/>
      <c r="AL226" s="618"/>
      <c r="AM226" s="210"/>
      <c r="AN226" s="168"/>
      <c r="AO226" s="171"/>
      <c r="AP226" s="172"/>
      <c r="AQ226" s="272"/>
      <c r="AR226" s="34"/>
      <c r="AS226" s="657"/>
      <c r="AT226" s="395"/>
      <c r="AU226" s="443"/>
      <c r="AV226" s="168"/>
      <c r="AW226" s="168"/>
      <c r="AX226" s="23"/>
      <c r="AY226" s="24"/>
      <c r="AZ226" s="671"/>
      <c r="BA226" s="650"/>
      <c r="BB226" s="434"/>
      <c r="BC226" s="399"/>
      <c r="BD226" s="652"/>
      <c r="BE226" s="210"/>
      <c r="BF226" s="168"/>
      <c r="BG226" s="615"/>
      <c r="BH226" s="616"/>
      <c r="BI226" s="617"/>
      <c r="BJ226" s="642"/>
      <c r="BK226" s="650"/>
      <c r="BL226" s="399"/>
      <c r="BM226" s="652"/>
      <c r="BN226" s="210"/>
      <c r="BO226" s="168"/>
      <c r="BP226" s="697"/>
      <c r="BQ226" s="698"/>
      <c r="BR226" s="671"/>
      <c r="BS226" s="434"/>
      <c r="BT226" s="673"/>
      <c r="BU226" s="399"/>
      <c r="BV226" s="618"/>
      <c r="BW226" s="141"/>
      <c r="BX226" s="311"/>
      <c r="BY226" s="669"/>
    </row>
    <row r="227" spans="1:77" ht="15" customHeight="1" x14ac:dyDescent="0.2">
      <c r="A227" s="56" t="s">
        <v>38</v>
      </c>
      <c r="B227" s="107" t="s">
        <v>477</v>
      </c>
      <c r="C227" s="637" t="s">
        <v>569</v>
      </c>
      <c r="D227" s="544">
        <v>418</v>
      </c>
      <c r="E227" s="127" t="s">
        <v>2104</v>
      </c>
      <c r="F227" s="667"/>
      <c r="G227" s="64"/>
      <c r="H227" s="61"/>
      <c r="I227" s="266"/>
      <c r="J227" s="62"/>
      <c r="K227" s="121">
        <v>4.76236427</v>
      </c>
      <c r="L227" s="608"/>
      <c r="M227" s="62"/>
      <c r="N227" s="355"/>
      <c r="O227" s="603"/>
      <c r="P227" s="62"/>
      <c r="Q227" s="355"/>
      <c r="R227" s="603"/>
      <c r="S227" s="62"/>
      <c r="T227" s="355"/>
      <c r="U227" s="62"/>
      <c r="V227" s="62"/>
      <c r="W227" s="89">
        <f>AA227*(1+AB227)</f>
        <v>3.8098914159999998E-3</v>
      </c>
      <c r="X227" s="87">
        <f>AA227*(1+AC227)</f>
        <v>3.8098914159999998E-3</v>
      </c>
      <c r="Y227" s="642">
        <v>2006</v>
      </c>
      <c r="Z227" s="650"/>
      <c r="AA227" s="650">
        <f>K227/1000</f>
        <v>4.7623642699999996E-3</v>
      </c>
      <c r="AB227" s="399">
        <v>-0.2</v>
      </c>
      <c r="AC227" s="618">
        <f>AB227</f>
        <v>-0.2</v>
      </c>
      <c r="AD227" s="168"/>
      <c r="AE227" s="168"/>
      <c r="AF227" s="388"/>
      <c r="AG227" s="389"/>
      <c r="AH227" s="390"/>
      <c r="AI227" s="433"/>
      <c r="AJ227" s="433"/>
      <c r="AK227" s="156"/>
      <c r="AL227" s="284"/>
      <c r="AM227" s="210"/>
      <c r="AN227" s="168"/>
      <c r="AO227" s="171"/>
      <c r="AP227" s="172"/>
      <c r="AQ227" s="272"/>
      <c r="AR227" s="34"/>
      <c r="AS227" s="657"/>
      <c r="AT227" s="395"/>
      <c r="AU227" s="443"/>
      <c r="AV227" s="168"/>
      <c r="AW227" s="168"/>
      <c r="AX227" s="757"/>
      <c r="AY227" s="758"/>
      <c r="AZ227" s="272"/>
      <c r="BA227" s="34"/>
      <c r="BB227" s="756"/>
      <c r="BC227" s="395"/>
      <c r="BD227" s="670"/>
      <c r="BE227" s="210"/>
      <c r="BF227" s="168"/>
      <c r="BG227" s="619"/>
      <c r="BH227" s="620"/>
      <c r="BI227" s="617"/>
      <c r="BJ227" s="642"/>
      <c r="BK227" s="650"/>
      <c r="BL227" s="399"/>
      <c r="BM227" s="652"/>
      <c r="BN227" s="210"/>
      <c r="BO227" s="168"/>
      <c r="BP227" s="619"/>
      <c r="BQ227" s="620"/>
      <c r="BR227" s="617"/>
      <c r="BS227" s="642"/>
      <c r="BT227" s="650"/>
      <c r="BU227" s="399"/>
      <c r="BV227" s="618"/>
      <c r="BW227" s="141"/>
      <c r="BX227" s="311"/>
      <c r="BY227" s="139"/>
    </row>
    <row r="228" spans="1:77" ht="15" customHeight="1" x14ac:dyDescent="0.2">
      <c r="A228" s="56" t="s">
        <v>38</v>
      </c>
      <c r="B228" s="107" t="s">
        <v>477</v>
      </c>
      <c r="C228" s="637" t="s">
        <v>3155</v>
      </c>
      <c r="D228" s="544">
        <v>142.83000000000001</v>
      </c>
      <c r="E228" s="127" t="s">
        <v>387</v>
      </c>
      <c r="F228" s="667"/>
      <c r="G228" s="64"/>
      <c r="H228" s="61"/>
      <c r="I228" s="266"/>
      <c r="J228" s="62"/>
      <c r="K228" s="121">
        <v>2.8084989999999999</v>
      </c>
      <c r="L228" s="608"/>
      <c r="M228" s="62"/>
      <c r="N228" s="355"/>
      <c r="O228" s="603"/>
      <c r="P228" s="62"/>
      <c r="Q228" s="355"/>
      <c r="R228" s="603"/>
      <c r="S228" s="62"/>
      <c r="T228" s="355"/>
      <c r="U228" s="62"/>
      <c r="V228" s="62"/>
      <c r="W228" s="89"/>
      <c r="X228" s="87"/>
      <c r="Y228" s="642"/>
      <c r="Z228" s="650"/>
      <c r="AA228" s="650"/>
      <c r="AB228" s="399"/>
      <c r="AC228" s="618"/>
      <c r="AD228" s="168"/>
      <c r="AE228" s="168"/>
      <c r="AF228" s="619">
        <f>+AJ228*(1+AK228)</f>
        <v>2.0782892599999999E-3</v>
      </c>
      <c r="AG228" s="620">
        <f>+AJ228*(1+AL228)</f>
        <v>2.0782892599999999E-3</v>
      </c>
      <c r="AH228" s="617">
        <v>2005</v>
      </c>
      <c r="AI228" s="650"/>
      <c r="AJ228" s="650">
        <f>K228/1000</f>
        <v>2.8084989999999999E-3</v>
      </c>
      <c r="AK228" s="399">
        <v>-0.26</v>
      </c>
      <c r="AL228" s="618">
        <f>AK228</f>
        <v>-0.26</v>
      </c>
      <c r="AM228" s="210"/>
      <c r="AN228" s="168"/>
      <c r="AO228" s="171"/>
      <c r="AP228" s="172"/>
      <c r="AQ228" s="272"/>
      <c r="AR228" s="34"/>
      <c r="AS228" s="657"/>
      <c r="AT228" s="395"/>
      <c r="AU228" s="443"/>
      <c r="AV228" s="168"/>
      <c r="AW228" s="168"/>
      <c r="AX228" s="757"/>
      <c r="AY228" s="758"/>
      <c r="AZ228" s="272"/>
      <c r="BA228" s="34"/>
      <c r="BB228" s="756"/>
      <c r="BC228" s="395"/>
      <c r="BD228" s="670"/>
      <c r="BE228" s="210"/>
      <c r="BF228" s="168"/>
      <c r="BG228" s="619"/>
      <c r="BH228" s="620"/>
      <c r="BI228" s="617"/>
      <c r="BJ228" s="642"/>
      <c r="BK228" s="650"/>
      <c r="BL228" s="399"/>
      <c r="BM228" s="652"/>
      <c r="BN228" s="210"/>
      <c r="BO228" s="168"/>
      <c r="BP228" s="619"/>
      <c r="BQ228" s="620"/>
      <c r="BR228" s="617"/>
      <c r="BS228" s="642"/>
      <c r="BT228" s="650"/>
      <c r="BU228" s="399"/>
      <c r="BV228" s="618"/>
      <c r="BW228" s="141"/>
      <c r="BX228" s="311"/>
      <c r="BY228" s="139"/>
    </row>
    <row r="229" spans="1:77" ht="15" customHeight="1" x14ac:dyDescent="0.2">
      <c r="A229" s="56" t="s">
        <v>38</v>
      </c>
      <c r="B229" s="107" t="s">
        <v>477</v>
      </c>
      <c r="C229" s="637" t="s">
        <v>2307</v>
      </c>
      <c r="D229" s="544">
        <v>67.819999999999993</v>
      </c>
      <c r="E229" s="127" t="s">
        <v>2192</v>
      </c>
      <c r="F229" s="932"/>
      <c r="G229" s="64"/>
      <c r="H229" s="61">
        <v>0.76592000000000005</v>
      </c>
      <c r="I229" s="266"/>
      <c r="J229" s="62"/>
      <c r="K229" s="62"/>
      <c r="L229" s="608"/>
      <c r="M229" s="62"/>
      <c r="N229" s="355"/>
      <c r="O229" s="603"/>
      <c r="P229" s="62"/>
      <c r="Q229" s="357">
        <v>0.15263099999999999</v>
      </c>
      <c r="R229" s="603"/>
      <c r="S229" s="62"/>
      <c r="T229" s="357"/>
      <c r="U229" s="62"/>
      <c r="V229" s="62"/>
      <c r="W229" s="1160">
        <f>AA229*(1+AB229)</f>
        <v>6.1273600000000001E-4</v>
      </c>
      <c r="X229" s="1161">
        <f>AA229*(1+AC229)</f>
        <v>6.1273600000000001E-4</v>
      </c>
      <c r="Y229" s="642">
        <v>1990</v>
      </c>
      <c r="Z229" s="434"/>
      <c r="AA229" s="650">
        <f>+H229/1000</f>
        <v>7.6592000000000001E-4</v>
      </c>
      <c r="AB229" s="1162">
        <v>-0.2</v>
      </c>
      <c r="AC229" s="1163">
        <f>AB229</f>
        <v>-0.2</v>
      </c>
      <c r="AD229" s="168"/>
      <c r="AE229" s="168"/>
      <c r="AF229" s="619"/>
      <c r="AG229" s="620"/>
      <c r="AH229" s="617"/>
      <c r="AI229" s="650"/>
      <c r="AJ229" s="650"/>
      <c r="AK229" s="399"/>
      <c r="AL229" s="618"/>
      <c r="AM229" s="210"/>
      <c r="AN229" s="168"/>
      <c r="AO229" s="171">
        <f>AS229*(1+AT229)</f>
        <v>1.5318399999999998E-4</v>
      </c>
      <c r="AP229" s="172">
        <f>AS229*(1+AU229)</f>
        <v>1.5318399999999998E-4</v>
      </c>
      <c r="AQ229" s="272">
        <v>1990</v>
      </c>
      <c r="AR229" s="34"/>
      <c r="AS229" s="657">
        <f>H229/1000</f>
        <v>7.6592000000000001E-4</v>
      </c>
      <c r="AT229" s="395">
        <v>-0.8</v>
      </c>
      <c r="AU229" s="443">
        <f>AT229</f>
        <v>-0.8</v>
      </c>
      <c r="AV229" s="168"/>
      <c r="AW229" s="168"/>
      <c r="AX229" s="170"/>
      <c r="AY229" s="86"/>
      <c r="AZ229" s="272"/>
      <c r="BA229" s="51"/>
      <c r="BB229" s="34"/>
      <c r="BC229" s="156"/>
      <c r="BD229" s="341"/>
      <c r="BE229" s="210"/>
      <c r="BF229" s="168"/>
      <c r="BG229" s="615"/>
      <c r="BH229" s="616"/>
      <c r="BI229" s="617"/>
      <c r="BJ229" s="642"/>
      <c r="BK229" s="650"/>
      <c r="BL229" s="399"/>
      <c r="BM229" s="652"/>
      <c r="BN229" s="210"/>
      <c r="BO229" s="168"/>
      <c r="BP229" s="697"/>
      <c r="BQ229" s="698"/>
      <c r="BR229" s="671"/>
      <c r="BS229" s="434"/>
      <c r="BT229" s="673"/>
      <c r="BU229" s="399"/>
      <c r="BV229" s="618"/>
      <c r="BW229" s="141"/>
      <c r="BX229" s="311"/>
      <c r="BY229" s="669"/>
    </row>
    <row r="230" spans="1:77" ht="15" customHeight="1" x14ac:dyDescent="0.2">
      <c r="A230" s="56" t="s">
        <v>38</v>
      </c>
      <c r="B230" s="107" t="s">
        <v>477</v>
      </c>
      <c r="C230" s="637" t="s">
        <v>2499</v>
      </c>
      <c r="D230" s="544">
        <v>11.378</v>
      </c>
      <c r="E230" s="127" t="s">
        <v>387</v>
      </c>
      <c r="F230" s="932"/>
      <c r="G230" s="64"/>
      <c r="H230" s="61"/>
      <c r="I230" s="266"/>
      <c r="J230" s="62"/>
      <c r="K230" s="92">
        <v>4.8820000000000002E-2</v>
      </c>
      <c r="L230" s="608"/>
      <c r="M230" s="62"/>
      <c r="N230" s="355"/>
      <c r="O230" s="603">
        <v>2016</v>
      </c>
      <c r="P230" s="62"/>
      <c r="Q230" s="781">
        <v>4.3442000000000001E-2</v>
      </c>
      <c r="R230" s="603">
        <v>2016</v>
      </c>
      <c r="S230" s="62"/>
      <c r="T230" s="781">
        <v>4.3442000000000001E-2</v>
      </c>
      <c r="U230" s="62"/>
      <c r="V230" s="62"/>
      <c r="W230" s="769">
        <f>AA230*(1+AB230)</f>
        <v>3.6925699999999998E-5</v>
      </c>
      <c r="X230" s="770">
        <f>AA230*(1+AC230)</f>
        <v>3.6925699999999998E-5</v>
      </c>
      <c r="Y230" s="642">
        <v>2005</v>
      </c>
      <c r="Z230" s="650"/>
      <c r="AA230" s="1053">
        <f>Q230/1000</f>
        <v>4.3442000000000002E-5</v>
      </c>
      <c r="AB230" s="399">
        <v>-0.15</v>
      </c>
      <c r="AC230" s="618">
        <f>AB230</f>
        <v>-0.15</v>
      </c>
      <c r="AD230" s="168"/>
      <c r="AE230" s="168"/>
      <c r="AF230" s="619"/>
      <c r="AG230" s="620"/>
      <c r="AH230" s="617"/>
      <c r="AI230" s="650"/>
      <c r="AJ230" s="650"/>
      <c r="AK230" s="399"/>
      <c r="AL230" s="618"/>
      <c r="AM230" s="210"/>
      <c r="AN230" s="168"/>
      <c r="AO230" s="757">
        <f>AS230*(1+AT230)</f>
        <v>2.9292E-5</v>
      </c>
      <c r="AP230" s="758">
        <f>AS230*(1+AU230)</f>
        <v>2.9292E-5</v>
      </c>
      <c r="AQ230" s="272">
        <v>2005</v>
      </c>
      <c r="AR230" s="34"/>
      <c r="AS230" s="756">
        <f>K230/1000</f>
        <v>4.8820000000000004E-5</v>
      </c>
      <c r="AT230" s="395">
        <v>-0.4</v>
      </c>
      <c r="AU230" s="443">
        <f>AT230</f>
        <v>-0.4</v>
      </c>
      <c r="AV230" s="168"/>
      <c r="AW230" s="168"/>
      <c r="AX230" s="170"/>
      <c r="AY230" s="86"/>
      <c r="AZ230" s="272"/>
      <c r="BA230" s="51"/>
      <c r="BB230" s="34"/>
      <c r="BC230" s="156"/>
      <c r="BD230" s="341"/>
      <c r="BE230" s="210"/>
      <c r="BF230" s="168"/>
      <c r="BG230" s="615"/>
      <c r="BH230" s="616"/>
      <c r="BI230" s="617"/>
      <c r="BJ230" s="642"/>
      <c r="BK230" s="650"/>
      <c r="BL230" s="399"/>
      <c r="BM230" s="652"/>
      <c r="BN230" s="210"/>
      <c r="BO230" s="168"/>
      <c r="BP230" s="697">
        <f t="shared" ref="BP230" si="103">BT230*(1+BV230)</f>
        <v>9.7639999999999983E-6</v>
      </c>
      <c r="BQ230" s="698">
        <f t="shared" ref="BQ230" si="104">BT230*(1+BU230)</f>
        <v>9.7639999999999983E-6</v>
      </c>
      <c r="BR230" s="617">
        <v>2005</v>
      </c>
      <c r="BS230" s="642"/>
      <c r="BT230" s="673">
        <f>+K230/1000</f>
        <v>4.8820000000000004E-5</v>
      </c>
      <c r="BU230" s="399">
        <v>-0.8</v>
      </c>
      <c r="BV230" s="618">
        <f t="shared" ref="BV230" si="105">BU230</f>
        <v>-0.8</v>
      </c>
      <c r="BW230" s="141"/>
      <c r="BX230" s="311"/>
      <c r="BY230" s="669"/>
    </row>
    <row r="231" spans="1:77" ht="15" customHeight="1" x14ac:dyDescent="0.2">
      <c r="A231" s="56" t="s">
        <v>38</v>
      </c>
      <c r="B231" s="107" t="s">
        <v>477</v>
      </c>
      <c r="C231" s="637" t="s">
        <v>2154</v>
      </c>
      <c r="D231" s="544">
        <v>513.62400000000002</v>
      </c>
      <c r="E231" s="127" t="s">
        <v>2501</v>
      </c>
      <c r="F231" s="932"/>
      <c r="G231" s="64"/>
      <c r="H231" s="61"/>
      <c r="I231" s="266"/>
      <c r="J231" s="62"/>
      <c r="K231" s="62">
        <v>4.2355450000000001</v>
      </c>
      <c r="L231" s="608"/>
      <c r="M231" s="62"/>
      <c r="N231" s="355"/>
      <c r="O231" s="603"/>
      <c r="P231" s="62"/>
      <c r="Q231" s="355"/>
      <c r="R231" s="603"/>
      <c r="S231" s="62"/>
      <c r="T231" s="355"/>
      <c r="U231" s="62"/>
      <c r="V231" s="62">
        <v>4.84</v>
      </c>
      <c r="W231" s="89">
        <f>AA231*(1+AB231)</f>
        <v>3.60021325E-3</v>
      </c>
      <c r="X231" s="87">
        <f>AA231*(1+AC231)</f>
        <v>3.60021325E-3</v>
      </c>
      <c r="Y231" s="642">
        <v>2005</v>
      </c>
      <c r="Z231" s="650"/>
      <c r="AA231" s="650">
        <f>K231/1000</f>
        <v>4.2355450000000003E-3</v>
      </c>
      <c r="AB231" s="399">
        <v>-0.15</v>
      </c>
      <c r="AC231" s="618">
        <f>AB231</f>
        <v>-0.15</v>
      </c>
      <c r="AD231" s="168"/>
      <c r="AE231" s="168"/>
      <c r="AF231" s="619"/>
      <c r="AG231" s="620"/>
      <c r="AH231" s="617"/>
      <c r="AI231" s="650"/>
      <c r="AJ231" s="650"/>
      <c r="AK231" s="399"/>
      <c r="AL231" s="618"/>
      <c r="AM231" s="210"/>
      <c r="AN231" s="933">
        <f>5.3/1000</f>
        <v>5.3E-3</v>
      </c>
      <c r="AO231" s="171">
        <f>AS231*(1+AT231)</f>
        <v>2.6260379000000002E-3</v>
      </c>
      <c r="AP231" s="172">
        <f>AS231*(1+AU231)</f>
        <v>2.6260379000000002E-3</v>
      </c>
      <c r="AQ231" s="272">
        <v>2005</v>
      </c>
      <c r="AR231" s="34"/>
      <c r="AS231" s="657">
        <f>K231/1000</f>
        <v>4.2355450000000003E-3</v>
      </c>
      <c r="AT231" s="395">
        <v>-0.38</v>
      </c>
      <c r="AU231" s="443">
        <f>AT231</f>
        <v>-0.38</v>
      </c>
      <c r="AV231" s="168"/>
      <c r="AW231" s="933"/>
      <c r="AX231" s="171">
        <f>BB231*(1+BC231)</f>
        <v>2.1601279500000001E-3</v>
      </c>
      <c r="AY231" s="172">
        <f>BB231*(1+BD231)</f>
        <v>2.1601279500000001E-3</v>
      </c>
      <c r="AZ231" s="272">
        <v>2005</v>
      </c>
      <c r="BA231" s="34"/>
      <c r="BB231" s="657">
        <f>K231/1000</f>
        <v>4.2355450000000003E-3</v>
      </c>
      <c r="BC231" s="395">
        <v>-0.49</v>
      </c>
      <c r="BD231" s="443">
        <f>BC231</f>
        <v>-0.49</v>
      </c>
      <c r="BE231" s="210"/>
      <c r="BF231" s="168"/>
      <c r="BG231" s="615"/>
      <c r="BH231" s="616"/>
      <c r="BI231" s="617"/>
      <c r="BJ231" s="642"/>
      <c r="BK231" s="434"/>
      <c r="BL231" s="399"/>
      <c r="BM231" s="652"/>
      <c r="BN231" s="210"/>
      <c r="BO231" s="934">
        <f>6.3/1000</f>
        <v>6.3E-3</v>
      </c>
      <c r="BP231" s="619">
        <f t="shared" si="91"/>
        <v>7.2004265000000017E-4</v>
      </c>
      <c r="BQ231" s="620">
        <f t="shared" si="92"/>
        <v>7.2004265000000017E-4</v>
      </c>
      <c r="BR231" s="617">
        <v>1990</v>
      </c>
      <c r="BS231" s="642"/>
      <c r="BT231" s="650">
        <f>+K231/1000</f>
        <v>4.2355450000000003E-3</v>
      </c>
      <c r="BU231" s="399">
        <v>-0.83</v>
      </c>
      <c r="BV231" s="618">
        <f t="shared" si="93"/>
        <v>-0.83</v>
      </c>
      <c r="BW231" s="141"/>
      <c r="BX231" s="311"/>
      <c r="BY231" s="669" t="s">
        <v>2155</v>
      </c>
    </row>
    <row r="232" spans="1:77" ht="15" customHeight="1" x14ac:dyDescent="0.2">
      <c r="A232" s="56" t="s">
        <v>38</v>
      </c>
      <c r="B232" s="107" t="s">
        <v>477</v>
      </c>
      <c r="C232" s="637" t="s">
        <v>365</v>
      </c>
      <c r="D232" s="544">
        <v>870.88699999999994</v>
      </c>
      <c r="E232" s="127" t="s">
        <v>2600</v>
      </c>
      <c r="F232" s="667"/>
      <c r="G232" s="64"/>
      <c r="H232" s="61">
        <v>7.9576912599999998</v>
      </c>
      <c r="I232" s="266"/>
      <c r="J232" s="62"/>
      <c r="K232" s="62"/>
      <c r="L232" s="608"/>
      <c r="M232" s="62"/>
      <c r="N232" s="355">
        <v>5.2950400000000002</v>
      </c>
      <c r="O232" s="603"/>
      <c r="P232" s="62"/>
      <c r="Q232" s="355">
        <v>4.9816520000000004</v>
      </c>
      <c r="R232" s="603"/>
      <c r="S232" s="62"/>
      <c r="T232" s="355"/>
      <c r="U232" s="62"/>
      <c r="V232" s="62"/>
      <c r="W232" s="23"/>
      <c r="X232" s="24"/>
      <c r="Y232" s="642"/>
      <c r="Z232" s="434"/>
      <c r="AA232" s="434"/>
      <c r="AB232" s="399"/>
      <c r="AC232" s="618"/>
      <c r="AD232" s="168"/>
      <c r="AE232" s="168"/>
      <c r="AF232" s="619">
        <f>+AJ232*(1+AK232)</f>
        <v>4.7746147559999995E-3</v>
      </c>
      <c r="AG232" s="620">
        <f>+AJ232*(1+AL232)</f>
        <v>4.7746147559999995E-3</v>
      </c>
      <c r="AH232" s="617">
        <v>1990</v>
      </c>
      <c r="AI232" s="650"/>
      <c r="AJ232" s="650">
        <f>+H232/1000</f>
        <v>7.9576912600000001E-3</v>
      </c>
      <c r="AK232" s="399">
        <v>-0.4</v>
      </c>
      <c r="AL232" s="618">
        <f>AK232</f>
        <v>-0.4</v>
      </c>
      <c r="AM232" s="210"/>
      <c r="AN232" s="168"/>
      <c r="AO232" s="170"/>
      <c r="AP232" s="86"/>
      <c r="AQ232" s="272"/>
      <c r="AR232" s="34"/>
      <c r="AS232" s="442"/>
      <c r="AT232" s="395"/>
      <c r="AU232" s="443"/>
      <c r="AV232" s="168"/>
      <c r="AW232" s="168"/>
      <c r="AX232" s="170"/>
      <c r="AY232" s="86"/>
      <c r="AZ232" s="272"/>
      <c r="BA232" s="51"/>
      <c r="BB232" s="34"/>
      <c r="BC232" s="156"/>
      <c r="BD232" s="341"/>
      <c r="BE232" s="210"/>
      <c r="BF232" s="168"/>
      <c r="BG232" s="615"/>
      <c r="BH232" s="616"/>
      <c r="BI232" s="617"/>
      <c r="BJ232" s="642"/>
      <c r="BK232" s="434"/>
      <c r="BL232" s="399"/>
      <c r="BM232" s="652"/>
      <c r="BN232" s="210"/>
      <c r="BO232" s="168"/>
      <c r="BP232" s="619">
        <f t="shared" si="91"/>
        <v>0</v>
      </c>
      <c r="BQ232" s="620">
        <f t="shared" si="92"/>
        <v>0</v>
      </c>
      <c r="BR232" s="617">
        <v>1990</v>
      </c>
      <c r="BS232" s="642"/>
      <c r="BT232" s="650">
        <f>+H232/1000</f>
        <v>7.9576912600000001E-3</v>
      </c>
      <c r="BU232" s="399">
        <v>-1</v>
      </c>
      <c r="BV232" s="618">
        <f t="shared" si="93"/>
        <v>-1</v>
      </c>
      <c r="BW232" s="141"/>
      <c r="BX232" s="311"/>
      <c r="BY232" s="139"/>
    </row>
    <row r="233" spans="1:77" ht="15" customHeight="1" x14ac:dyDescent="0.2">
      <c r="A233" s="56" t="s">
        <v>38</v>
      </c>
      <c r="B233" s="107" t="s">
        <v>477</v>
      </c>
      <c r="C233" s="637" t="s">
        <v>2831</v>
      </c>
      <c r="D233" s="544">
        <v>1046.079</v>
      </c>
      <c r="E233" s="127" t="s">
        <v>387</v>
      </c>
      <c r="F233" s="667"/>
      <c r="G233" s="64"/>
      <c r="H233" s="61"/>
      <c r="I233" s="266"/>
      <c r="J233" s="62"/>
      <c r="K233" s="62"/>
      <c r="L233" s="608"/>
      <c r="M233" s="62"/>
      <c r="N233" s="355"/>
      <c r="O233" s="603">
        <v>2014</v>
      </c>
      <c r="P233" s="62"/>
      <c r="Q233" s="355">
        <v>6.9</v>
      </c>
      <c r="R233" s="603"/>
      <c r="S233" s="62"/>
      <c r="T233" s="355"/>
      <c r="U233" s="62"/>
      <c r="V233" s="62"/>
      <c r="W233" s="23"/>
      <c r="X233" s="24"/>
      <c r="Y233" s="642"/>
      <c r="Z233" s="434"/>
      <c r="AA233" s="434"/>
      <c r="AB233" s="399"/>
      <c r="AC233" s="618"/>
      <c r="AD233" s="168"/>
      <c r="AE233" s="168"/>
      <c r="AF233" s="619"/>
      <c r="AG233" s="620"/>
      <c r="AH233" s="617"/>
      <c r="AI233" s="650"/>
      <c r="AJ233" s="650"/>
      <c r="AK233" s="399"/>
      <c r="AL233" s="618"/>
      <c r="AM233" s="210"/>
      <c r="AN233" s="168"/>
      <c r="AO233" s="170"/>
      <c r="AP233" s="86"/>
      <c r="AQ233" s="272"/>
      <c r="AR233" s="34"/>
      <c r="AS233" s="442"/>
      <c r="AT233" s="395"/>
      <c r="AU233" s="443"/>
      <c r="AV233" s="168"/>
      <c r="AW233" s="168"/>
      <c r="AX233" s="170"/>
      <c r="AY233" s="86"/>
      <c r="AZ233" s="272"/>
      <c r="BA233" s="51"/>
      <c r="BB233" s="34"/>
      <c r="BC233" s="156"/>
      <c r="BD233" s="341"/>
      <c r="BE233" s="210"/>
      <c r="BF233" s="168"/>
      <c r="BG233" s="615"/>
      <c r="BH233" s="616"/>
      <c r="BI233" s="617"/>
      <c r="BJ233" s="642"/>
      <c r="BK233" s="434"/>
      <c r="BL233" s="399"/>
      <c r="BM233" s="652"/>
      <c r="BN233" s="210"/>
      <c r="BO233" s="168"/>
      <c r="BP233" s="619">
        <f t="shared" ref="BP233" si="106">BT233*(1+BV233)</f>
        <v>1.1730000000000004E-3</v>
      </c>
      <c r="BQ233" s="620">
        <f t="shared" ref="BQ233" si="107">BT233*(1+BU233)</f>
        <v>1.1730000000000004E-3</v>
      </c>
      <c r="BR233" s="617">
        <v>2014</v>
      </c>
      <c r="BS233" s="642"/>
      <c r="BT233" s="650">
        <f>+Q233/1000</f>
        <v>6.9000000000000008E-3</v>
      </c>
      <c r="BU233" s="399">
        <v>-0.83</v>
      </c>
      <c r="BV233" s="618">
        <f t="shared" ref="BV233" si="108">BU233</f>
        <v>-0.83</v>
      </c>
      <c r="BW233" s="141"/>
      <c r="BX233" s="311"/>
      <c r="BY233" s="139"/>
    </row>
    <row r="234" spans="1:77" ht="15" customHeight="1" x14ac:dyDescent="0.2">
      <c r="A234" s="56" t="s">
        <v>38</v>
      </c>
      <c r="B234" s="107" t="s">
        <v>477</v>
      </c>
      <c r="C234" s="637" t="s">
        <v>2157</v>
      </c>
      <c r="D234" s="544">
        <v>1426</v>
      </c>
      <c r="E234" s="127" t="s">
        <v>3137</v>
      </c>
      <c r="F234" s="667"/>
      <c r="G234" s="64"/>
      <c r="H234" s="61"/>
      <c r="I234" s="67"/>
      <c r="J234" s="62"/>
      <c r="K234" s="62"/>
      <c r="L234" s="608"/>
      <c r="M234" s="62"/>
      <c r="N234" s="355">
        <v>12.984992999999999</v>
      </c>
      <c r="O234" s="603"/>
      <c r="P234" s="62"/>
      <c r="Q234" s="355"/>
      <c r="R234" s="603"/>
      <c r="S234" s="62"/>
      <c r="T234" s="355"/>
      <c r="U234" s="62"/>
      <c r="V234" s="62"/>
      <c r="W234" s="23">
        <f>AA234*(1+AB234)</f>
        <v>1.2984992999999998E-2</v>
      </c>
      <c r="X234" s="24">
        <f>AA234*(1+AC234)</f>
        <v>1.2984992999999998E-2</v>
      </c>
      <c r="Y234" s="642">
        <v>2010</v>
      </c>
      <c r="Z234" s="434"/>
      <c r="AA234" s="434">
        <f>+N234/1000</f>
        <v>1.2984992999999998E-2</v>
      </c>
      <c r="AB234" s="399">
        <v>0</v>
      </c>
      <c r="AC234" s="618">
        <f>AB234</f>
        <v>0</v>
      </c>
      <c r="AD234" s="168"/>
      <c r="AE234" s="168"/>
      <c r="AF234" s="619"/>
      <c r="AG234" s="620"/>
      <c r="AH234" s="617"/>
      <c r="AI234" s="650"/>
      <c r="AJ234" s="650"/>
      <c r="AK234" s="399"/>
      <c r="AL234" s="618"/>
      <c r="AM234" s="210"/>
      <c r="AN234" s="168"/>
      <c r="AO234" s="171"/>
      <c r="AP234" s="172"/>
      <c r="AQ234" s="272"/>
      <c r="AR234" s="34"/>
      <c r="AS234" s="657"/>
      <c r="AT234" s="395"/>
      <c r="AU234" s="443"/>
      <c r="AV234" s="168"/>
      <c r="AW234" s="168"/>
      <c r="AX234" s="170">
        <f>BB234*(1+BC234)</f>
        <v>6.4924964999999992E-3</v>
      </c>
      <c r="AY234" s="86">
        <f>BB234*(1+BD234)</f>
        <v>6.4924964999999992E-3</v>
      </c>
      <c r="AZ234" s="272">
        <v>2010</v>
      </c>
      <c r="BA234" s="34"/>
      <c r="BB234" s="442">
        <f>N234/1000</f>
        <v>1.2984992999999998E-2</v>
      </c>
      <c r="BC234" s="395">
        <v>-0.5</v>
      </c>
      <c r="BD234" s="443">
        <f>BC234</f>
        <v>-0.5</v>
      </c>
      <c r="BE234" s="210"/>
      <c r="BF234" s="168"/>
      <c r="BG234" s="615"/>
      <c r="BH234" s="616"/>
      <c r="BI234" s="617"/>
      <c r="BJ234" s="642"/>
      <c r="BK234" s="434"/>
      <c r="BL234" s="399"/>
      <c r="BM234" s="652"/>
      <c r="BN234" s="210"/>
      <c r="BO234" s="168"/>
      <c r="BP234" s="619">
        <f t="shared" si="91"/>
        <v>2.596998599999999E-3</v>
      </c>
      <c r="BQ234" s="620">
        <f t="shared" si="92"/>
        <v>2.596998599999999E-3</v>
      </c>
      <c r="BR234" s="617">
        <v>2010</v>
      </c>
      <c r="BS234" s="642"/>
      <c r="BT234" s="650">
        <f>+N234/1000</f>
        <v>1.2984992999999998E-2</v>
      </c>
      <c r="BU234" s="399">
        <v>-0.8</v>
      </c>
      <c r="BV234" s="618">
        <f t="shared" si="93"/>
        <v>-0.8</v>
      </c>
      <c r="BW234" s="141"/>
      <c r="BX234" s="311"/>
      <c r="BY234" s="669" t="s">
        <v>2712</v>
      </c>
    </row>
    <row r="235" spans="1:77" ht="15" customHeight="1" x14ac:dyDescent="0.2">
      <c r="A235" s="56" t="s">
        <v>38</v>
      </c>
      <c r="B235" s="107" t="s">
        <v>477</v>
      </c>
      <c r="C235" s="637" t="s">
        <v>2502</v>
      </c>
      <c r="D235" s="544">
        <v>90.533000000000001</v>
      </c>
      <c r="E235" s="127" t="s">
        <v>387</v>
      </c>
      <c r="F235" s="667"/>
      <c r="G235" s="64"/>
      <c r="H235" s="61"/>
      <c r="I235" s="67"/>
      <c r="J235" s="62"/>
      <c r="K235" s="63">
        <v>0.72652859999999997</v>
      </c>
      <c r="L235" s="608"/>
      <c r="M235" s="62"/>
      <c r="N235" s="355"/>
      <c r="O235" s="603"/>
      <c r="P235" s="62"/>
      <c r="Q235" s="357">
        <v>0.63390500000000005</v>
      </c>
      <c r="R235" s="603"/>
      <c r="S235" s="62"/>
      <c r="T235" s="357"/>
      <c r="U235" s="62"/>
      <c r="V235" s="62"/>
      <c r="W235" s="674">
        <f>AA235*(1+AB235)</f>
        <v>5.4489644999999995E-4</v>
      </c>
      <c r="X235" s="675">
        <f>AA235*(1+AC235)</f>
        <v>5.4489644999999995E-4</v>
      </c>
      <c r="Y235" s="642">
        <v>2005</v>
      </c>
      <c r="Z235" s="650"/>
      <c r="AA235" s="650">
        <f>K235/1000</f>
        <v>7.2652859999999993E-4</v>
      </c>
      <c r="AB235" s="399">
        <v>-0.25</v>
      </c>
      <c r="AC235" s="618">
        <f>AB235</f>
        <v>-0.25</v>
      </c>
      <c r="AD235" s="168"/>
      <c r="AE235" s="168"/>
      <c r="AF235" s="619"/>
      <c r="AG235" s="620"/>
      <c r="AH235" s="617"/>
      <c r="AI235" s="650"/>
      <c r="AJ235" s="650"/>
      <c r="AK235" s="399"/>
      <c r="AL235" s="618"/>
      <c r="AM235" s="210"/>
      <c r="AN235" s="168"/>
      <c r="AO235" s="674">
        <f>AS235*(1+AT235)</f>
        <v>4.3591715999999992E-4</v>
      </c>
      <c r="AP235" s="675">
        <f>AS235*(1+AU235)</f>
        <v>4.3591715999999992E-4</v>
      </c>
      <c r="AQ235" s="642">
        <v>2005</v>
      </c>
      <c r="AR235" s="650"/>
      <c r="AS235" s="650">
        <f>K235/1000</f>
        <v>7.2652859999999993E-4</v>
      </c>
      <c r="AT235" s="399">
        <v>-0.4</v>
      </c>
      <c r="AU235" s="618">
        <f>AT235</f>
        <v>-0.4</v>
      </c>
      <c r="AV235" s="168"/>
      <c r="AW235" s="168"/>
      <c r="AX235" s="170"/>
      <c r="AY235" s="86"/>
      <c r="AZ235" s="272"/>
      <c r="BA235" s="51"/>
      <c r="BB235" s="34"/>
      <c r="BC235" s="156"/>
      <c r="BD235" s="341"/>
      <c r="BE235" s="210"/>
      <c r="BF235" s="168"/>
      <c r="BG235" s="615"/>
      <c r="BH235" s="616"/>
      <c r="BI235" s="617"/>
      <c r="BJ235" s="642"/>
      <c r="BK235" s="434"/>
      <c r="BL235" s="399"/>
      <c r="BM235" s="652"/>
      <c r="BN235" s="210"/>
      <c r="BO235" s="168"/>
      <c r="BP235" s="619">
        <f t="shared" ref="BP235" si="109">BT235*(1+BV235)</f>
        <v>1.4530571999999995E-4</v>
      </c>
      <c r="BQ235" s="620">
        <f t="shared" ref="BQ235" si="110">BT235*(1+BU235)</f>
        <v>1.4530571999999995E-4</v>
      </c>
      <c r="BR235" s="617">
        <v>2005</v>
      </c>
      <c r="BS235" s="642"/>
      <c r="BT235" s="650">
        <f>+K235/1000</f>
        <v>7.2652859999999993E-4</v>
      </c>
      <c r="BU235" s="399">
        <v>-0.8</v>
      </c>
      <c r="BV235" s="618">
        <f t="shared" ref="BV235" si="111">BU235</f>
        <v>-0.8</v>
      </c>
      <c r="BW235" s="141"/>
      <c r="BX235" s="311"/>
      <c r="BY235" s="139"/>
    </row>
    <row r="236" spans="1:77" ht="15" customHeight="1" x14ac:dyDescent="0.2">
      <c r="A236" s="56" t="s">
        <v>38</v>
      </c>
      <c r="B236" s="107" t="s">
        <v>477</v>
      </c>
      <c r="C236" s="637" t="s">
        <v>3244</v>
      </c>
      <c r="D236" s="544">
        <v>47.116999999999997</v>
      </c>
      <c r="E236" s="127" t="s">
        <v>387</v>
      </c>
      <c r="F236" s="667"/>
      <c r="G236" s="64"/>
      <c r="H236" s="61"/>
      <c r="I236" s="67"/>
      <c r="J236" s="62"/>
      <c r="K236" s="63">
        <v>0.32863300000000001</v>
      </c>
      <c r="L236" s="608"/>
      <c r="M236" s="62"/>
      <c r="N236" s="355"/>
      <c r="O236" s="603"/>
      <c r="P236" s="62"/>
      <c r="Q236" s="357"/>
      <c r="R236" s="603"/>
      <c r="S236" s="62"/>
      <c r="T236" s="357"/>
      <c r="U236" s="62"/>
      <c r="V236" s="62"/>
      <c r="W236" s="674"/>
      <c r="X236" s="675"/>
      <c r="Y236" s="642"/>
      <c r="Z236" s="650"/>
      <c r="AA236" s="650"/>
      <c r="AB236" s="399"/>
      <c r="AC236" s="618"/>
      <c r="AD236" s="168"/>
      <c r="AE236" s="168"/>
      <c r="AF236" s="619"/>
      <c r="AG236" s="620"/>
      <c r="AH236" s="617"/>
      <c r="AI236" s="650"/>
      <c r="AJ236" s="650"/>
      <c r="AK236" s="399"/>
      <c r="AL236" s="618"/>
      <c r="AM236" s="210"/>
      <c r="AN236" s="168"/>
      <c r="AO236" s="89">
        <f>AS236*(1+AT236)</f>
        <v>1.9717979999999999E-4</v>
      </c>
      <c r="AP236" s="87">
        <f>AS236*(1+AU236)</f>
        <v>1.9717979999999999E-4</v>
      </c>
      <c r="AQ236" s="642">
        <v>2005</v>
      </c>
      <c r="AR236" s="650"/>
      <c r="AS236" s="650">
        <f>K236/1000</f>
        <v>3.28633E-4</v>
      </c>
      <c r="AT236" s="399">
        <v>-0.4</v>
      </c>
      <c r="AU236" s="618">
        <f>AT236</f>
        <v>-0.4</v>
      </c>
      <c r="AV236" s="168"/>
      <c r="AW236" s="168"/>
      <c r="AX236" s="170"/>
      <c r="AY236" s="86"/>
      <c r="AZ236" s="272"/>
      <c r="BA236" s="51"/>
      <c r="BB236" s="34"/>
      <c r="BC236" s="156"/>
      <c r="BD236" s="341"/>
      <c r="BE236" s="210"/>
      <c r="BF236" s="168"/>
      <c r="BG236" s="615"/>
      <c r="BH236" s="616"/>
      <c r="BI236" s="617"/>
      <c r="BJ236" s="642"/>
      <c r="BK236" s="434"/>
      <c r="BL236" s="399"/>
      <c r="BM236" s="652"/>
      <c r="BN236" s="210"/>
      <c r="BO236" s="168"/>
      <c r="BP236" s="619"/>
      <c r="BQ236" s="620"/>
      <c r="BR236" s="617"/>
      <c r="BS236" s="642"/>
      <c r="BT236" s="650"/>
      <c r="BU236" s="399"/>
      <c r="BV236" s="618"/>
      <c r="BW236" s="141"/>
      <c r="BX236" s="311"/>
      <c r="BY236" s="139"/>
    </row>
    <row r="237" spans="1:77" ht="15" customHeight="1" x14ac:dyDescent="0.2">
      <c r="A237" s="56" t="s">
        <v>38</v>
      </c>
      <c r="B237" s="107" t="s">
        <v>477</v>
      </c>
      <c r="C237" s="637" t="s">
        <v>2728</v>
      </c>
      <c r="D237" s="544">
        <v>64.608000000000004</v>
      </c>
      <c r="E237" s="127" t="s">
        <v>468</v>
      </c>
      <c r="F237" s="667"/>
      <c r="G237" s="64"/>
      <c r="H237" s="61">
        <v>0.42727999999999999</v>
      </c>
      <c r="I237" s="67"/>
      <c r="J237" s="62"/>
      <c r="K237" s="63"/>
      <c r="L237" s="608">
        <v>2008</v>
      </c>
      <c r="M237" s="62"/>
      <c r="N237" s="357">
        <v>0.26072200000000001</v>
      </c>
      <c r="O237" s="603"/>
      <c r="P237" s="62"/>
      <c r="Q237" s="357"/>
      <c r="R237" s="603"/>
      <c r="S237" s="62"/>
      <c r="T237" s="357"/>
      <c r="U237" s="62"/>
      <c r="V237" s="62"/>
      <c r="W237" s="1249">
        <f>AA237*(1+AB237)</f>
        <v>2.99096E-4</v>
      </c>
      <c r="X237" s="1250">
        <f>AA237*(1+AC237)</f>
        <v>2.99096E-4</v>
      </c>
      <c r="Y237" s="642">
        <v>1990</v>
      </c>
      <c r="Z237" s="650"/>
      <c r="AA237" s="673">
        <f>H237/1000</f>
        <v>4.2727999999999999E-4</v>
      </c>
      <c r="AB237" s="1162">
        <v>-0.3</v>
      </c>
      <c r="AC237" s="1163">
        <f>AB237</f>
        <v>-0.3</v>
      </c>
      <c r="AD237" s="168"/>
      <c r="AE237" s="168"/>
      <c r="AF237" s="619"/>
      <c r="AG237" s="620"/>
      <c r="AH237" s="617"/>
      <c r="AI237" s="650"/>
      <c r="AJ237" s="650"/>
      <c r="AK237" s="399"/>
      <c r="AL237" s="618"/>
      <c r="AM237" s="210"/>
      <c r="AN237" s="168"/>
      <c r="AO237" s="171"/>
      <c r="AP237" s="172"/>
      <c r="AQ237" s="272"/>
      <c r="AR237" s="34"/>
      <c r="AS237" s="657"/>
      <c r="AT237" s="395"/>
      <c r="AU237" s="443"/>
      <c r="AV237" s="168"/>
      <c r="AW237" s="168"/>
      <c r="AX237" s="170"/>
      <c r="AY237" s="86"/>
      <c r="AZ237" s="272"/>
      <c r="BA237" s="51"/>
      <c r="BB237" s="34"/>
      <c r="BC237" s="156"/>
      <c r="BD237" s="341"/>
      <c r="BE237" s="210"/>
      <c r="BF237" s="168"/>
      <c r="BG237" s="615"/>
      <c r="BH237" s="616"/>
      <c r="BI237" s="617"/>
      <c r="BJ237" s="642"/>
      <c r="BK237" s="434"/>
      <c r="BL237" s="399"/>
      <c r="BM237" s="652"/>
      <c r="BN237" s="210"/>
      <c r="BO237" s="168"/>
      <c r="BP237" s="619">
        <f t="shared" ref="BP237" si="112">BT237*(1+BV237)</f>
        <v>8.5455999999999976E-5</v>
      </c>
      <c r="BQ237" s="620">
        <f t="shared" ref="BQ237" si="113">BT237*(1+BU237)</f>
        <v>8.5455999999999976E-5</v>
      </c>
      <c r="BR237" s="617">
        <v>1990</v>
      </c>
      <c r="BS237" s="642"/>
      <c r="BT237" s="650">
        <f>+H237/1000</f>
        <v>4.2727999999999999E-4</v>
      </c>
      <c r="BU237" s="399">
        <v>-0.8</v>
      </c>
      <c r="BV237" s="618">
        <f t="shared" ref="BV237" si="114">BU237</f>
        <v>-0.8</v>
      </c>
      <c r="BW237" s="141"/>
      <c r="BX237" s="311"/>
      <c r="BY237" s="139"/>
    </row>
    <row r="238" spans="1:77" ht="15" customHeight="1" x14ac:dyDescent="0.2">
      <c r="A238" s="56" t="s">
        <v>38</v>
      </c>
      <c r="B238" s="107" t="s">
        <v>477</v>
      </c>
      <c r="C238" s="637" t="s">
        <v>2158</v>
      </c>
      <c r="D238" s="544">
        <v>91.411000000000001</v>
      </c>
      <c r="E238" s="127" t="s">
        <v>2503</v>
      </c>
      <c r="F238" s="667"/>
      <c r="G238" s="64"/>
      <c r="H238" s="61">
        <v>1.3866400000000001</v>
      </c>
      <c r="I238" s="67"/>
      <c r="J238" s="62"/>
      <c r="K238" s="61"/>
      <c r="L238" s="1054">
        <v>2011</v>
      </c>
      <c r="M238" s="62"/>
      <c r="N238" s="355">
        <v>0.70544300000000004</v>
      </c>
      <c r="O238" s="603"/>
      <c r="P238" s="62"/>
      <c r="Q238" s="355">
        <v>1.1104799999999999</v>
      </c>
      <c r="R238" s="603"/>
      <c r="S238" s="62"/>
      <c r="T238" s="355"/>
      <c r="U238" s="62"/>
      <c r="V238" s="62"/>
      <c r="W238" s="23"/>
      <c r="X238" s="24"/>
      <c r="Y238" s="642"/>
      <c r="Z238" s="434"/>
      <c r="AA238" s="434"/>
      <c r="AB238" s="399"/>
      <c r="AC238" s="618"/>
      <c r="AD238" s="168"/>
      <c r="AE238" s="168"/>
      <c r="AF238" s="619"/>
      <c r="AG238" s="620"/>
      <c r="AH238" s="617"/>
      <c r="AI238" s="650"/>
      <c r="AJ238" s="650"/>
      <c r="AK238" s="399"/>
      <c r="AL238" s="618"/>
      <c r="AM238" s="210"/>
      <c r="AN238" s="168"/>
      <c r="AO238" s="171">
        <f>AS238*(1+AT238)</f>
        <v>2.7732799999999997E-4</v>
      </c>
      <c r="AP238" s="172">
        <f>AS238*(1+AU238)</f>
        <v>2.7732799999999997E-4</v>
      </c>
      <c r="AQ238" s="272">
        <v>1990</v>
      </c>
      <c r="AR238" s="34"/>
      <c r="AS238" s="657">
        <f>H238/1000</f>
        <v>1.3866400000000002E-3</v>
      </c>
      <c r="AT238" s="395">
        <v>-0.8</v>
      </c>
      <c r="AU238" s="443">
        <f>AT238</f>
        <v>-0.8</v>
      </c>
      <c r="AV238" s="168"/>
      <c r="AW238" s="168"/>
      <c r="AX238" s="170"/>
      <c r="AY238" s="86"/>
      <c r="AZ238" s="272"/>
      <c r="BA238" s="51"/>
      <c r="BB238" s="34"/>
      <c r="BC238" s="156"/>
      <c r="BD238" s="341"/>
      <c r="BE238" s="210"/>
      <c r="BF238" s="168"/>
      <c r="BG238" s="615"/>
      <c r="BH238" s="616"/>
      <c r="BI238" s="617"/>
      <c r="BJ238" s="642"/>
      <c r="BK238" s="434"/>
      <c r="BL238" s="399"/>
      <c r="BM238" s="652"/>
      <c r="BN238" s="210"/>
      <c r="BO238" s="168"/>
      <c r="BP238" s="619">
        <f t="shared" si="91"/>
        <v>2.7732799999999997E-4</v>
      </c>
      <c r="BQ238" s="620">
        <f t="shared" si="92"/>
        <v>2.7732799999999997E-4</v>
      </c>
      <c r="BR238" s="617">
        <v>1990</v>
      </c>
      <c r="BS238" s="642"/>
      <c r="BT238" s="650">
        <f>+H238/1000</f>
        <v>1.3866400000000002E-3</v>
      </c>
      <c r="BU238" s="399">
        <v>-0.8</v>
      </c>
      <c r="BV238" s="618">
        <f t="shared" si="93"/>
        <v>-0.8</v>
      </c>
      <c r="BW238" s="141"/>
      <c r="BX238" s="311"/>
      <c r="BY238" s="669" t="s">
        <v>2159</v>
      </c>
    </row>
    <row r="239" spans="1:77" ht="15" customHeight="1" x14ac:dyDescent="0.2">
      <c r="A239" s="56" t="s">
        <v>38</v>
      </c>
      <c r="B239" s="107" t="s">
        <v>477</v>
      </c>
      <c r="C239" s="637" t="s">
        <v>2312</v>
      </c>
      <c r="D239" s="544">
        <v>34.399000000000001</v>
      </c>
      <c r="E239" s="127" t="s">
        <v>2313</v>
      </c>
      <c r="F239" s="667"/>
      <c r="G239" s="64"/>
      <c r="H239" s="61"/>
      <c r="I239" s="67"/>
      <c r="J239" s="62"/>
      <c r="K239" s="62"/>
      <c r="L239" s="608">
        <v>2008</v>
      </c>
      <c r="M239" s="62"/>
      <c r="N239" s="355">
        <v>0.58321299999999998</v>
      </c>
      <c r="O239" s="603"/>
      <c r="P239" s="62"/>
      <c r="Q239" s="355"/>
      <c r="R239" s="603"/>
      <c r="S239" s="62"/>
      <c r="T239" s="355"/>
      <c r="U239" s="62"/>
      <c r="V239" s="62"/>
      <c r="W239" s="23"/>
      <c r="X239" s="24"/>
      <c r="Y239" s="642"/>
      <c r="Z239" s="434"/>
      <c r="AA239" s="434"/>
      <c r="AB239" s="399"/>
      <c r="AC239" s="618"/>
      <c r="AD239" s="168"/>
      <c r="AE239" s="168"/>
      <c r="AF239" s="619"/>
      <c r="AG239" s="620"/>
      <c r="AH239" s="617"/>
      <c r="AI239" s="650"/>
      <c r="AJ239" s="650"/>
      <c r="AK239" s="399"/>
      <c r="AL239" s="618"/>
      <c r="AM239" s="210"/>
      <c r="AN239" s="168"/>
      <c r="AO239" s="171"/>
      <c r="AP239" s="172"/>
      <c r="AQ239" s="272"/>
      <c r="AR239" s="34"/>
      <c r="AS239" s="657"/>
      <c r="AT239" s="395"/>
      <c r="AU239" s="443"/>
      <c r="AV239" s="168"/>
      <c r="AW239" s="168"/>
      <c r="AX239" s="171">
        <f>BB239*(1+BC239)</f>
        <v>4.3740974999999997E-4</v>
      </c>
      <c r="AY239" s="172">
        <f>BB239*(1+BD239)</f>
        <v>4.3740974999999997E-4</v>
      </c>
      <c r="AZ239" s="272">
        <v>2008</v>
      </c>
      <c r="BA239" s="34"/>
      <c r="BB239" s="657">
        <f>N239/1000</f>
        <v>5.8321299999999996E-4</v>
      </c>
      <c r="BC239" s="395">
        <v>-0.25</v>
      </c>
      <c r="BD239" s="443">
        <v>-0.25</v>
      </c>
      <c r="BE239" s="210"/>
      <c r="BF239" s="168"/>
      <c r="BG239" s="615"/>
      <c r="BH239" s="616"/>
      <c r="BI239" s="617"/>
      <c r="BJ239" s="642"/>
      <c r="BK239" s="434"/>
      <c r="BL239" s="399"/>
      <c r="BM239" s="652"/>
      <c r="BN239" s="210"/>
      <c r="BO239" s="168"/>
      <c r="BP239" s="619"/>
      <c r="BQ239" s="620"/>
      <c r="BR239" s="617"/>
      <c r="BS239" s="642"/>
      <c r="BT239" s="650"/>
      <c r="BU239" s="399"/>
      <c r="BV239" s="618"/>
      <c r="BW239" s="141"/>
      <c r="BX239" s="311"/>
      <c r="BY239" s="669"/>
    </row>
    <row r="240" spans="1:77" ht="15" customHeight="1" x14ac:dyDescent="0.2">
      <c r="A240" s="56" t="s">
        <v>38</v>
      </c>
      <c r="B240" s="107" t="s">
        <v>477</v>
      </c>
      <c r="C240" s="637" t="s">
        <v>373</v>
      </c>
      <c r="D240" s="544">
        <v>3093</v>
      </c>
      <c r="E240" s="127" t="s">
        <v>2496</v>
      </c>
      <c r="F240" s="667"/>
      <c r="G240" s="64"/>
      <c r="H240" s="61">
        <v>36.200000000000003</v>
      </c>
      <c r="I240" s="67">
        <v>2004</v>
      </c>
      <c r="J240" s="62"/>
      <c r="K240" s="121">
        <v>33.935814000000001</v>
      </c>
      <c r="L240" s="608"/>
      <c r="M240" s="62"/>
      <c r="N240" s="355">
        <v>38.717973999999998</v>
      </c>
      <c r="O240" s="603">
        <v>2013</v>
      </c>
      <c r="P240" s="62"/>
      <c r="Q240" s="355">
        <v>28.922796000000002</v>
      </c>
      <c r="R240" s="603"/>
      <c r="S240" s="62"/>
      <c r="T240" s="355"/>
      <c r="U240" s="62"/>
      <c r="V240" s="62"/>
      <c r="W240" s="23"/>
      <c r="X240" s="24"/>
      <c r="Y240" s="642"/>
      <c r="Z240" s="434"/>
      <c r="AA240" s="434"/>
      <c r="AB240" s="399"/>
      <c r="AC240" s="618"/>
      <c r="AD240" s="168"/>
      <c r="AE240" s="168"/>
      <c r="AF240" s="619">
        <f>+AJ240*(1+AK240)</f>
        <v>1.9910000000000004E-2</v>
      </c>
      <c r="AG240" s="620">
        <f>+AJ240*(1+AL240)</f>
        <v>1.9910000000000004E-2</v>
      </c>
      <c r="AH240" s="617">
        <v>1990</v>
      </c>
      <c r="AI240" s="650"/>
      <c r="AJ240" s="650">
        <f>+H240/1000</f>
        <v>3.6200000000000003E-2</v>
      </c>
      <c r="AK240" s="399">
        <v>-0.45</v>
      </c>
      <c r="AL240" s="618">
        <f>AK240</f>
        <v>-0.45</v>
      </c>
      <c r="AM240" s="210"/>
      <c r="AN240" s="168"/>
      <c r="AO240" s="171"/>
      <c r="AP240" s="172"/>
      <c r="AQ240" s="272"/>
      <c r="AR240" s="34"/>
      <c r="AS240" s="657"/>
      <c r="AT240" s="395"/>
      <c r="AU240" s="443"/>
      <c r="AV240" s="168"/>
      <c r="AW240" s="168"/>
      <c r="AX240" s="171">
        <f>BB240*(1+BC240)</f>
        <v>1.4480000000000002E-2</v>
      </c>
      <c r="AY240" s="172">
        <f>BB240*(1+BD240)</f>
        <v>1.4480000000000002E-2</v>
      </c>
      <c r="AZ240" s="272">
        <v>1990</v>
      </c>
      <c r="BA240" s="34"/>
      <c r="BB240" s="657">
        <f>H240/1000</f>
        <v>3.6200000000000003E-2</v>
      </c>
      <c r="BC240" s="395">
        <v>-0.6</v>
      </c>
      <c r="BD240" s="443">
        <f>BC240</f>
        <v>-0.6</v>
      </c>
      <c r="BE240" s="210"/>
      <c r="BF240" s="168"/>
      <c r="BG240" s="619"/>
      <c r="BH240" s="620"/>
      <c r="BI240" s="617"/>
      <c r="BJ240" s="642"/>
      <c r="BK240" s="650"/>
      <c r="BL240" s="399"/>
      <c r="BM240" s="652"/>
      <c r="BN240" s="210"/>
      <c r="BO240" s="168"/>
      <c r="BP240" s="619">
        <f t="shared" si="91"/>
        <v>0</v>
      </c>
      <c r="BQ240" s="620">
        <f t="shared" si="92"/>
        <v>0</v>
      </c>
      <c r="BR240" s="617">
        <v>1990</v>
      </c>
      <c r="BS240" s="642"/>
      <c r="BT240" s="650">
        <f>+H240/1000</f>
        <v>3.6200000000000003E-2</v>
      </c>
      <c r="BU240" s="399">
        <v>-1</v>
      </c>
      <c r="BV240" s="618">
        <f t="shared" ref="BV240" si="115">BU240</f>
        <v>-1</v>
      </c>
      <c r="BW240" s="141"/>
      <c r="BX240" s="311"/>
      <c r="BY240" s="139"/>
    </row>
    <row r="241" spans="1:77" ht="15" customHeight="1" x14ac:dyDescent="0.2">
      <c r="A241" s="56" t="s">
        <v>38</v>
      </c>
      <c r="B241" s="107" t="s">
        <v>2602</v>
      </c>
      <c r="C241" s="637"/>
      <c r="D241" s="544">
        <v>5049</v>
      </c>
      <c r="E241" s="127" t="s">
        <v>2604</v>
      </c>
      <c r="F241" s="667"/>
      <c r="G241" s="64">
        <f>H241-11.64</f>
        <v>71.55</v>
      </c>
      <c r="H241" s="61">
        <v>83.19</v>
      </c>
      <c r="I241" s="67"/>
      <c r="J241" s="62">
        <f>K241-10.97</f>
        <v>112.24</v>
      </c>
      <c r="K241" s="121">
        <v>123.21</v>
      </c>
      <c r="L241" s="608"/>
      <c r="M241" s="62">
        <f>N241-8.99</f>
        <v>120.97000000000001</v>
      </c>
      <c r="N241" s="355">
        <v>129.96</v>
      </c>
      <c r="O241" s="603"/>
      <c r="P241" s="62"/>
      <c r="Q241" s="355"/>
      <c r="R241" s="603"/>
      <c r="S241" s="62"/>
      <c r="T241" s="355"/>
      <c r="U241" s="62"/>
      <c r="V241" s="62"/>
      <c r="W241" s="23"/>
      <c r="X241" s="24"/>
      <c r="Y241" s="642"/>
      <c r="Z241" s="434"/>
      <c r="AA241" s="434"/>
      <c r="AB241" s="399"/>
      <c r="AC241" s="618"/>
      <c r="AD241" s="168"/>
      <c r="AE241" s="168"/>
      <c r="AF241" s="619">
        <f>+AJ241*(1+AK241)</f>
        <v>9.1175400000000004E-2</v>
      </c>
      <c r="AG241" s="620">
        <f>+AJ241*(1+AL241)</f>
        <v>9.1175400000000004E-2</v>
      </c>
      <c r="AH241" s="617">
        <v>2005</v>
      </c>
      <c r="AI241" s="650"/>
      <c r="AJ241" s="650">
        <f>+K241/1000</f>
        <v>0.12321</v>
      </c>
      <c r="AK241" s="399">
        <v>-0.26</v>
      </c>
      <c r="AL241" s="618">
        <f>AK241</f>
        <v>-0.26</v>
      </c>
      <c r="AM241" s="210"/>
      <c r="AN241" s="168"/>
      <c r="AO241" s="171">
        <f t="shared" ref="AO241:AO253" si="116">AS241*(1+AT241)</f>
        <v>6.1605E-2</v>
      </c>
      <c r="AP241" s="172">
        <f t="shared" ref="AP241:AP253" si="117">AS241*(1+AU241)</f>
        <v>6.1605E-2</v>
      </c>
      <c r="AQ241" s="272">
        <v>2005</v>
      </c>
      <c r="AR241" s="34"/>
      <c r="AS241" s="657">
        <f>K241/1000</f>
        <v>0.12321</v>
      </c>
      <c r="AT241" s="395">
        <v>-0.5</v>
      </c>
      <c r="AU241" s="443">
        <f t="shared" ref="AU241:AU253" si="118">AT241</f>
        <v>-0.5</v>
      </c>
      <c r="AV241" s="168"/>
      <c r="AW241" s="168"/>
      <c r="AX241" s="171"/>
      <c r="AY241" s="172"/>
      <c r="AZ241" s="272"/>
      <c r="BA241" s="34"/>
      <c r="BB241" s="657"/>
      <c r="BC241" s="395"/>
      <c r="BD241" s="670"/>
      <c r="BE241" s="210"/>
      <c r="BF241" s="168"/>
      <c r="BG241" s="619"/>
      <c r="BH241" s="620"/>
      <c r="BI241" s="617"/>
      <c r="BJ241" s="642"/>
      <c r="BK241" s="650"/>
      <c r="BL241" s="399"/>
      <c r="BM241" s="652"/>
      <c r="BN241" s="210"/>
      <c r="BO241" s="168"/>
      <c r="BP241" s="619">
        <f t="shared" ref="BP241" si="119">BT241*(1+BV241)</f>
        <v>8.3189999999999983E-3</v>
      </c>
      <c r="BQ241" s="620">
        <f t="shared" ref="BQ241" si="120">BT241*(1+BU241)</f>
        <v>8.3189999999999983E-3</v>
      </c>
      <c r="BR241" s="617">
        <v>1990</v>
      </c>
      <c r="BS241" s="642"/>
      <c r="BT241" s="650">
        <f>+H241/1000</f>
        <v>8.319E-2</v>
      </c>
      <c r="BU241" s="399">
        <v>-0.9</v>
      </c>
      <c r="BV241" s="618">
        <f t="shared" ref="BV241" si="121">BU241</f>
        <v>-0.9</v>
      </c>
      <c r="BW241" s="141" t="s">
        <v>2884</v>
      </c>
      <c r="BX241" s="311"/>
      <c r="BY241" s="669" t="s">
        <v>2603</v>
      </c>
    </row>
    <row r="242" spans="1:77" ht="15" customHeight="1" x14ac:dyDescent="0.2">
      <c r="A242" s="56" t="s">
        <v>38</v>
      </c>
      <c r="B242" s="107" t="s">
        <v>477</v>
      </c>
      <c r="C242" s="637" t="s">
        <v>2969</v>
      </c>
      <c r="D242" s="544">
        <v>9.0299999999999994</v>
      </c>
      <c r="E242" s="127" t="s">
        <v>2226</v>
      </c>
      <c r="F242" s="667"/>
      <c r="G242" s="64"/>
      <c r="H242" s="61"/>
      <c r="I242" s="67">
        <v>2004</v>
      </c>
      <c r="J242" s="62"/>
      <c r="K242" s="62">
        <v>0.380471</v>
      </c>
      <c r="L242" s="608">
        <v>2007</v>
      </c>
      <c r="M242" s="62"/>
      <c r="N242" s="355">
        <v>0.26632899999999998</v>
      </c>
      <c r="O242" s="603"/>
      <c r="P242" s="62"/>
      <c r="Q242" s="355"/>
      <c r="R242" s="603"/>
      <c r="S242" s="62"/>
      <c r="T242" s="355"/>
      <c r="U242" s="62"/>
      <c r="V242" s="62"/>
      <c r="W242" s="1160">
        <f>AA242*(1+AB242)</f>
        <v>2.6632970000000001E-4</v>
      </c>
      <c r="X242" s="1161">
        <f>AA242*(1+AC242)</f>
        <v>2.6632970000000001E-4</v>
      </c>
      <c r="Y242" s="642">
        <v>2004</v>
      </c>
      <c r="Z242" s="434"/>
      <c r="AA242" s="650">
        <f>+K242/1000</f>
        <v>3.8047100000000001E-4</v>
      </c>
      <c r="AB242" s="1162">
        <v>-0.3</v>
      </c>
      <c r="AC242" s="1163">
        <f>AB242</f>
        <v>-0.3</v>
      </c>
      <c r="AD242" s="168"/>
      <c r="AE242" s="168"/>
      <c r="AF242" s="388"/>
      <c r="AG242" s="389"/>
      <c r="AH242" s="390"/>
      <c r="AI242" s="433"/>
      <c r="AJ242" s="433"/>
      <c r="AK242" s="156"/>
      <c r="AL242" s="284"/>
      <c r="AM242" s="210"/>
      <c r="AN242" s="168"/>
      <c r="AO242" s="171"/>
      <c r="AP242" s="172"/>
      <c r="AQ242" s="272"/>
      <c r="AR242" s="34"/>
      <c r="AS242" s="657"/>
      <c r="AT242" s="395"/>
      <c r="AU242" s="443"/>
      <c r="AV242" s="168"/>
      <c r="AW242" s="168"/>
      <c r="AX242" s="170"/>
      <c r="AY242" s="86"/>
      <c r="AZ242" s="272"/>
      <c r="BA242" s="51"/>
      <c r="BB242" s="34"/>
      <c r="BC242" s="156"/>
      <c r="BD242" s="341"/>
      <c r="BE242" s="210"/>
      <c r="BF242" s="168"/>
      <c r="BG242" s="619"/>
      <c r="BH242" s="620"/>
      <c r="BI242" s="617"/>
      <c r="BJ242" s="642"/>
      <c r="BK242" s="650"/>
      <c r="BL242" s="399"/>
      <c r="BM242" s="652"/>
      <c r="BN242" s="210"/>
      <c r="BO242" s="168"/>
      <c r="BP242" s="619">
        <f t="shared" ref="BP242" si="122">BT242*(1+BV242)</f>
        <v>7.609419999999998E-5</v>
      </c>
      <c r="BQ242" s="620">
        <f t="shared" ref="BQ242" si="123">BT242*(1+BU242)</f>
        <v>7.609419999999998E-5</v>
      </c>
      <c r="BR242" s="642">
        <v>2004</v>
      </c>
      <c r="BS242" s="650"/>
      <c r="BT242" s="676">
        <f>+K242/1000</f>
        <v>3.8047100000000001E-4</v>
      </c>
      <c r="BU242" s="399">
        <v>-0.8</v>
      </c>
      <c r="BV242" s="618">
        <f t="shared" ref="BV242" si="124">BU242</f>
        <v>-0.8</v>
      </c>
      <c r="BW242" s="141"/>
      <c r="BX242" s="311"/>
      <c r="BY242" s="669" t="s">
        <v>561</v>
      </c>
    </row>
    <row r="243" spans="1:77" ht="15" customHeight="1" x14ac:dyDescent="0.2">
      <c r="A243" s="56" t="s">
        <v>38</v>
      </c>
      <c r="B243" s="107" t="s">
        <v>477</v>
      </c>
      <c r="C243" s="637" t="s">
        <v>2184</v>
      </c>
      <c r="D243" s="544">
        <v>325</v>
      </c>
      <c r="E243" s="127" t="s">
        <v>387</v>
      </c>
      <c r="F243" s="667"/>
      <c r="G243" s="64"/>
      <c r="H243" s="656"/>
      <c r="I243" s="67">
        <v>2007</v>
      </c>
      <c r="J243" s="62"/>
      <c r="K243" s="62">
        <v>4.6412399999999998</v>
      </c>
      <c r="L243" s="608"/>
      <c r="M243" s="62"/>
      <c r="N243" s="355"/>
      <c r="O243" s="603"/>
      <c r="P243" s="62"/>
      <c r="Q243" s="355"/>
      <c r="R243" s="603"/>
      <c r="S243" s="62"/>
      <c r="T243" s="355"/>
      <c r="U243" s="62"/>
      <c r="V243" s="62"/>
      <c r="W243" s="89"/>
      <c r="X243" s="87"/>
      <c r="Y243" s="642"/>
      <c r="Z243" s="434"/>
      <c r="AA243" s="650"/>
      <c r="AB243" s="399"/>
      <c r="AC243" s="618"/>
      <c r="AD243" s="168"/>
      <c r="AE243" s="168"/>
      <c r="AF243" s="619">
        <f>+AJ243*(1+AK243)</f>
        <v>4.1771159999999998E-3</v>
      </c>
      <c r="AG243" s="620">
        <f>+AJ243*(1+AL243)</f>
        <v>4.1771159999999998E-3</v>
      </c>
      <c r="AH243" s="617">
        <v>2007</v>
      </c>
      <c r="AI243" s="650"/>
      <c r="AJ243" s="650">
        <f>+K243/1000</f>
        <v>4.6412399999999996E-3</v>
      </c>
      <c r="AK243" s="399">
        <v>-0.1</v>
      </c>
      <c r="AL243" s="618">
        <f>AK243</f>
        <v>-0.1</v>
      </c>
      <c r="AM243" s="210"/>
      <c r="AN243" s="168"/>
      <c r="AO243" s="170"/>
      <c r="AP243" s="86"/>
      <c r="AQ243" s="272"/>
      <c r="AR243" s="34"/>
      <c r="AS243" s="442"/>
      <c r="AT243" s="395"/>
      <c r="AU243" s="443"/>
      <c r="AV243" s="168"/>
      <c r="AW243" s="168"/>
      <c r="AX243" s="171"/>
      <c r="AY243" s="172"/>
      <c r="AZ243" s="272"/>
      <c r="BA243" s="34"/>
      <c r="BB243" s="657"/>
      <c r="BC243" s="395"/>
      <c r="BD243" s="670"/>
      <c r="BE243" s="210"/>
      <c r="BF243" s="168"/>
      <c r="BG243" s="619"/>
      <c r="BH243" s="620"/>
      <c r="BI243" s="617"/>
      <c r="BJ243" s="642"/>
      <c r="BK243" s="650"/>
      <c r="BL243" s="399"/>
      <c r="BM243" s="652"/>
      <c r="BN243" s="210"/>
      <c r="BO243" s="168"/>
      <c r="BP243" s="615"/>
      <c r="BQ243" s="616"/>
      <c r="BR243" s="642"/>
      <c r="BS243" s="434"/>
      <c r="BT243" s="650"/>
      <c r="BU243" s="399"/>
      <c r="BV243" s="618"/>
      <c r="BW243" s="141"/>
      <c r="BX243" s="311"/>
      <c r="BY243" s="669"/>
    </row>
    <row r="244" spans="1:77" ht="15" customHeight="1" x14ac:dyDescent="0.2">
      <c r="A244" s="56" t="s">
        <v>38</v>
      </c>
      <c r="B244" s="107" t="s">
        <v>477</v>
      </c>
      <c r="C244" s="637" t="s">
        <v>360</v>
      </c>
      <c r="D244" s="544">
        <v>108.50700000000001</v>
      </c>
      <c r="E244" s="127" t="s">
        <v>2594</v>
      </c>
      <c r="F244" s="667"/>
      <c r="G244" s="64"/>
      <c r="H244" s="61"/>
      <c r="I244" s="266"/>
      <c r="J244" s="62"/>
      <c r="K244" s="121">
        <v>1.846217</v>
      </c>
      <c r="L244" s="608"/>
      <c r="M244" s="272"/>
      <c r="N244" s="355"/>
      <c r="O244" s="603"/>
      <c r="P244" s="62"/>
      <c r="Q244" s="355">
        <v>1.701551</v>
      </c>
      <c r="R244" s="603"/>
      <c r="S244" s="62"/>
      <c r="T244" s="355"/>
      <c r="U244" s="62"/>
      <c r="V244" s="62"/>
      <c r="W244" s="23"/>
      <c r="X244" s="24"/>
      <c r="Y244" s="642"/>
      <c r="Z244" s="434"/>
      <c r="AA244" s="434"/>
      <c r="AB244" s="399"/>
      <c r="AC244" s="618"/>
      <c r="AD244" s="168"/>
      <c r="AE244" s="168"/>
      <c r="AF244" s="388"/>
      <c r="AG244" s="389"/>
      <c r="AH244" s="390"/>
      <c r="AI244" s="433"/>
      <c r="AJ244" s="433"/>
      <c r="AK244" s="156"/>
      <c r="AL244" s="284"/>
      <c r="AM244" s="210"/>
      <c r="AN244" s="168"/>
      <c r="AO244" s="619">
        <f t="shared" ref="AO244" si="125">AS244*(1+AU244)</f>
        <v>9.2310850000000002E-4</v>
      </c>
      <c r="AP244" s="620">
        <f>AS244*(1+AT244)</f>
        <v>9.2310850000000002E-4</v>
      </c>
      <c r="AQ244" s="272">
        <v>2005</v>
      </c>
      <c r="AR244" s="34"/>
      <c r="AS244" s="657">
        <f>+K244/1000</f>
        <v>1.846217E-3</v>
      </c>
      <c r="AT244" s="395">
        <v>-0.5</v>
      </c>
      <c r="AU244" s="443">
        <f>AT244</f>
        <v>-0.5</v>
      </c>
      <c r="AV244" s="168"/>
      <c r="AW244" s="168"/>
      <c r="AX244" s="170"/>
      <c r="AY244" s="86"/>
      <c r="AZ244" s="272"/>
      <c r="BA244" s="51"/>
      <c r="BB244" s="34"/>
      <c r="BC244" s="156"/>
      <c r="BD244" s="341"/>
      <c r="BE244" s="210"/>
      <c r="BF244" s="168"/>
      <c r="BG244" s="619"/>
      <c r="BH244" s="620"/>
      <c r="BI244" s="617"/>
      <c r="BJ244" s="642"/>
      <c r="BK244" s="650"/>
      <c r="BL244" s="399"/>
      <c r="BM244" s="652"/>
      <c r="BN244" s="210"/>
      <c r="BO244" s="168"/>
      <c r="BP244" s="619">
        <f>BT244*(1+BV244)</f>
        <v>3.6924339999999992E-4</v>
      </c>
      <c r="BQ244" s="620">
        <f>BT244*(1+BU244)</f>
        <v>3.6924339999999992E-4</v>
      </c>
      <c r="BR244" s="617">
        <v>2005</v>
      </c>
      <c r="BS244" s="642"/>
      <c r="BT244" s="650">
        <f>+K244/1000</f>
        <v>1.846217E-3</v>
      </c>
      <c r="BU244" s="399">
        <v>-0.8</v>
      </c>
      <c r="BV244" s="618">
        <f>BU244</f>
        <v>-0.8</v>
      </c>
      <c r="BW244" s="141"/>
      <c r="BX244" s="311"/>
      <c r="BY244" s="139"/>
    </row>
    <row r="245" spans="1:77" ht="15" customHeight="1" x14ac:dyDescent="0.2">
      <c r="A245" s="56" t="s">
        <v>38</v>
      </c>
      <c r="B245" s="107" t="s">
        <v>477</v>
      </c>
      <c r="C245" s="637" t="s">
        <v>2815</v>
      </c>
      <c r="D245" s="544">
        <v>322.226</v>
      </c>
      <c r="E245" s="127" t="s">
        <v>387</v>
      </c>
      <c r="F245" s="667"/>
      <c r="G245" s="64"/>
      <c r="H245" s="61"/>
      <c r="I245" s="266"/>
      <c r="J245" s="62"/>
      <c r="K245" s="121">
        <v>5.0670000000000002</v>
      </c>
      <c r="L245" s="608"/>
      <c r="M245" s="272"/>
      <c r="N245" s="355"/>
      <c r="O245" s="603"/>
      <c r="P245" s="62"/>
      <c r="Q245" s="355"/>
      <c r="R245" s="603"/>
      <c r="S245" s="62"/>
      <c r="T245" s="355"/>
      <c r="U245" s="62"/>
      <c r="V245" s="62"/>
      <c r="W245" s="23"/>
      <c r="X245" s="24"/>
      <c r="Y245" s="642"/>
      <c r="Z245" s="434"/>
      <c r="AA245" s="434"/>
      <c r="AB245" s="399"/>
      <c r="AC245" s="618"/>
      <c r="AD245" s="168"/>
      <c r="AE245" s="168"/>
      <c r="AF245" s="388"/>
      <c r="AG245" s="389"/>
      <c r="AH245" s="390"/>
      <c r="AI245" s="433"/>
      <c r="AJ245" s="433"/>
      <c r="AK245" s="156"/>
      <c r="AL245" s="284"/>
      <c r="AM245" s="210"/>
      <c r="AN245" s="168"/>
      <c r="AO245" s="619">
        <f t="shared" ref="AO245" si="126">AS245*(1+AU245)</f>
        <v>2.7868500000000004E-3</v>
      </c>
      <c r="AP245" s="620">
        <f>AS245*(1+AT245)</f>
        <v>2.7868500000000004E-3</v>
      </c>
      <c r="AQ245" s="272">
        <v>2005</v>
      </c>
      <c r="AR245" s="34"/>
      <c r="AS245" s="657">
        <f>+K245/1000</f>
        <v>5.0670000000000003E-3</v>
      </c>
      <c r="AT245" s="395">
        <v>-0.45</v>
      </c>
      <c r="AU245" s="443">
        <f>AT245</f>
        <v>-0.45</v>
      </c>
      <c r="AV245" s="168"/>
      <c r="AW245" s="168"/>
      <c r="AX245" s="170"/>
      <c r="AY245" s="86"/>
      <c r="AZ245" s="272"/>
      <c r="BA245" s="51"/>
      <c r="BB245" s="34"/>
      <c r="BC245" s="156"/>
      <c r="BD245" s="341"/>
      <c r="BE245" s="210"/>
      <c r="BF245" s="168"/>
      <c r="BG245" s="619"/>
      <c r="BH245" s="620"/>
      <c r="BI245" s="617"/>
      <c r="BJ245" s="642"/>
      <c r="BK245" s="650"/>
      <c r="BL245" s="399"/>
      <c r="BM245" s="652"/>
      <c r="BN245" s="210"/>
      <c r="BO245" s="168"/>
      <c r="BP245" s="619">
        <f t="shared" ref="BP245" si="127">BT245*(1+BV245)</f>
        <v>5.066999999999999E-4</v>
      </c>
      <c r="BQ245" s="620">
        <f t="shared" ref="BQ245" si="128">BT245*(1+BU245)</f>
        <v>5.066999999999999E-4</v>
      </c>
      <c r="BR245" s="617">
        <v>2005</v>
      </c>
      <c r="BS245" s="642"/>
      <c r="BT245" s="650">
        <f>+K245/1000</f>
        <v>5.0670000000000003E-3</v>
      </c>
      <c r="BU245" s="399">
        <v>-0.9</v>
      </c>
      <c r="BV245" s="618">
        <f>BU245</f>
        <v>-0.9</v>
      </c>
      <c r="BW245" s="141"/>
      <c r="BX245" s="311"/>
      <c r="BY245" s="139"/>
    </row>
    <row r="246" spans="1:77" ht="15" customHeight="1" x14ac:dyDescent="0.2">
      <c r="A246" s="56" t="s">
        <v>38</v>
      </c>
      <c r="B246" s="107" t="s">
        <v>477</v>
      </c>
      <c r="C246" s="637" t="s">
        <v>2970</v>
      </c>
      <c r="D246" s="544">
        <v>5.0350000000000001</v>
      </c>
      <c r="E246" s="127" t="s">
        <v>387</v>
      </c>
      <c r="F246" s="667"/>
      <c r="G246" s="64"/>
      <c r="H246" s="61"/>
      <c r="I246" s="67"/>
      <c r="J246" s="62"/>
      <c r="K246" s="121">
        <v>0.79307700000000003</v>
      </c>
      <c r="L246" s="608"/>
      <c r="M246" s="62"/>
      <c r="N246" s="355"/>
      <c r="O246" s="603"/>
      <c r="P246" s="62"/>
      <c r="Q246" s="355"/>
      <c r="R246" s="603"/>
      <c r="S246" s="62"/>
      <c r="T246" s="355"/>
      <c r="U246" s="62"/>
      <c r="V246" s="62"/>
      <c r="W246" s="23"/>
      <c r="X246" s="24"/>
      <c r="Y246" s="642"/>
      <c r="Z246" s="434"/>
      <c r="AA246" s="434"/>
      <c r="AB246" s="399"/>
      <c r="AC246" s="618"/>
      <c r="AD246" s="168"/>
      <c r="AE246" s="168"/>
      <c r="AF246" s="615"/>
      <c r="AG246" s="616"/>
      <c r="AH246" s="617"/>
      <c r="AI246" s="650"/>
      <c r="AJ246" s="434"/>
      <c r="AK246" s="399"/>
      <c r="AL246" s="618"/>
      <c r="AM246" s="210"/>
      <c r="AN246" s="168"/>
      <c r="AO246" s="171">
        <f t="shared" si="116"/>
        <v>1.5861539999999997E-4</v>
      </c>
      <c r="AP246" s="172">
        <f t="shared" si="117"/>
        <v>1.5861539999999997E-4</v>
      </c>
      <c r="AQ246" s="272">
        <v>2005</v>
      </c>
      <c r="AR246" s="34"/>
      <c r="AS246" s="657">
        <f>K246/1000</f>
        <v>7.93077E-4</v>
      </c>
      <c r="AT246" s="395">
        <v>-0.8</v>
      </c>
      <c r="AU246" s="443">
        <f t="shared" si="118"/>
        <v>-0.8</v>
      </c>
      <c r="AV246" s="168"/>
      <c r="AW246" s="168"/>
      <c r="AX246" s="171"/>
      <c r="AY246" s="172"/>
      <c r="AZ246" s="272"/>
      <c r="BA246" s="34"/>
      <c r="BB246" s="657"/>
      <c r="BC246" s="395"/>
      <c r="BD246" s="670"/>
      <c r="BE246" s="210"/>
      <c r="BF246" s="168"/>
      <c r="BG246" s="619"/>
      <c r="BH246" s="620"/>
      <c r="BI246" s="617"/>
      <c r="BJ246" s="642"/>
      <c r="BK246" s="650"/>
      <c r="BL246" s="399"/>
      <c r="BM246" s="652"/>
      <c r="BN246" s="210"/>
      <c r="BO246" s="168"/>
      <c r="BP246" s="619"/>
      <c r="BQ246" s="620"/>
      <c r="BR246" s="617"/>
      <c r="BS246" s="642"/>
      <c r="BT246" s="650"/>
      <c r="BU246" s="399"/>
      <c r="BV246" s="618"/>
      <c r="BW246" s="141"/>
      <c r="BX246" s="311"/>
      <c r="BY246" s="669"/>
    </row>
    <row r="247" spans="1:77" ht="15" customHeight="1" x14ac:dyDescent="0.2">
      <c r="A247" s="56" t="s">
        <v>38</v>
      </c>
      <c r="B247" s="107" t="s">
        <v>477</v>
      </c>
      <c r="C247" s="637" t="s">
        <v>3146</v>
      </c>
      <c r="D247" s="544">
        <v>156.5</v>
      </c>
      <c r="E247" s="127" t="s">
        <v>387</v>
      </c>
      <c r="F247" s="667"/>
      <c r="G247" s="64"/>
      <c r="H247" s="61"/>
      <c r="I247" s="958">
        <v>2007</v>
      </c>
      <c r="J247" s="62"/>
      <c r="K247" s="61">
        <v>2.447746</v>
      </c>
      <c r="L247" s="1054"/>
      <c r="M247" s="62"/>
      <c r="N247" s="1175"/>
      <c r="O247" s="603"/>
      <c r="P247" s="62"/>
      <c r="Q247" s="357"/>
      <c r="R247" s="603"/>
      <c r="S247" s="62"/>
      <c r="T247" s="357"/>
      <c r="U247" s="62"/>
      <c r="V247" s="62"/>
      <c r="W247" s="89"/>
      <c r="X247" s="87"/>
      <c r="Y247" s="642"/>
      <c r="Z247" s="650"/>
      <c r="AA247" s="650"/>
      <c r="AB247" s="400"/>
      <c r="AC247" s="680"/>
      <c r="AD247" s="168"/>
      <c r="AE247" s="168"/>
      <c r="AF247" s="619">
        <f>+AJ247*(1+AK247)</f>
        <v>1.9581968E-3</v>
      </c>
      <c r="AG247" s="620">
        <f>+AJ247*(1+AL247)</f>
        <v>1.9581968E-3</v>
      </c>
      <c r="AH247" s="617">
        <v>2007</v>
      </c>
      <c r="AI247" s="650"/>
      <c r="AJ247" s="650">
        <f>+K247/1000</f>
        <v>2.4477459999999998E-3</v>
      </c>
      <c r="AK247" s="399">
        <v>-0.2</v>
      </c>
      <c r="AL247" s="618">
        <f>AK247</f>
        <v>-0.2</v>
      </c>
      <c r="AM247" s="210"/>
      <c r="AN247" s="168"/>
      <c r="AO247" s="171"/>
      <c r="AP247" s="172"/>
      <c r="AQ247" s="272"/>
      <c r="AR247" s="34"/>
      <c r="AS247" s="657"/>
      <c r="AT247" s="395"/>
      <c r="AU247" s="443"/>
      <c r="AV247" s="168"/>
      <c r="AW247" s="168"/>
      <c r="AX247" s="757"/>
      <c r="AY247" s="758"/>
      <c r="AZ247" s="272"/>
      <c r="BA247" s="34"/>
      <c r="BB247" s="756"/>
      <c r="BC247" s="395"/>
      <c r="BD247" s="670"/>
      <c r="BE247" s="210"/>
      <c r="BF247" s="168"/>
      <c r="BG247" s="619"/>
      <c r="BH247" s="620"/>
      <c r="BI247" s="617"/>
      <c r="BJ247" s="642"/>
      <c r="BK247" s="650"/>
      <c r="BL247" s="399"/>
      <c r="BM247" s="652"/>
      <c r="BN247" s="210"/>
      <c r="BO247" s="168"/>
      <c r="BP247" s="619">
        <f t="shared" ref="BP247" si="129">BT247*(1+BV247)</f>
        <v>1.2238729999999999E-3</v>
      </c>
      <c r="BQ247" s="620">
        <f t="shared" ref="BQ247" si="130">BT247*(1+BU247)</f>
        <v>1.2238729999999999E-3</v>
      </c>
      <c r="BR247" s="617">
        <v>2007</v>
      </c>
      <c r="BS247" s="642"/>
      <c r="BT247" s="650">
        <f>+K247/1000</f>
        <v>2.4477459999999998E-3</v>
      </c>
      <c r="BU247" s="399">
        <v>-0.5</v>
      </c>
      <c r="BV247" s="618">
        <f t="shared" ref="BV247" si="131">BU247</f>
        <v>-0.5</v>
      </c>
      <c r="BW247" s="141"/>
      <c r="BX247" s="311"/>
      <c r="BY247" s="139"/>
    </row>
    <row r="248" spans="1:77" ht="15" customHeight="1" x14ac:dyDescent="0.2">
      <c r="A248" s="56" t="s">
        <v>38</v>
      </c>
      <c r="B248" s="107" t="s">
        <v>477</v>
      </c>
      <c r="C248" s="637" t="s">
        <v>3238</v>
      </c>
      <c r="D248" s="544">
        <v>5.4340000000000002</v>
      </c>
      <c r="E248" s="127" t="s">
        <v>387</v>
      </c>
      <c r="F248" s="667"/>
      <c r="G248" s="64"/>
      <c r="H248" s="61"/>
      <c r="I248" s="958"/>
      <c r="J248" s="62"/>
      <c r="K248" s="62"/>
      <c r="L248" s="1054"/>
      <c r="M248" s="62"/>
      <c r="N248" s="1175"/>
      <c r="O248" s="603"/>
      <c r="P248" s="62"/>
      <c r="Q248" s="357"/>
      <c r="R248" s="603"/>
      <c r="S248" s="62"/>
      <c r="T248" s="357">
        <v>0.24421701000000001</v>
      </c>
      <c r="U248" s="62"/>
      <c r="V248" s="62"/>
      <c r="W248" s="89"/>
      <c r="X248" s="87"/>
      <c r="Y248" s="642"/>
      <c r="Z248" s="650"/>
      <c r="AA248" s="650"/>
      <c r="AB248" s="400"/>
      <c r="AC248" s="680"/>
      <c r="AD248" s="168"/>
      <c r="AE248" s="168"/>
      <c r="AF248" s="619">
        <f>+AJ248*(1+AK248)</f>
        <v>1.8316275750000001E-4</v>
      </c>
      <c r="AG248" s="620">
        <f>+AJ248*(1+AL248)</f>
        <v>1.8316275750000001E-4</v>
      </c>
      <c r="AH248" s="617">
        <v>2018</v>
      </c>
      <c r="AI248" s="650"/>
      <c r="AJ248" s="650">
        <f>+T248/1000</f>
        <v>2.4421701000000004E-4</v>
      </c>
      <c r="AK248" s="399">
        <v>-0.25</v>
      </c>
      <c r="AL248" s="618">
        <f>AK248</f>
        <v>-0.25</v>
      </c>
      <c r="AM248" s="210"/>
      <c r="AN248" s="168"/>
      <c r="AO248" s="171"/>
      <c r="AP248" s="172"/>
      <c r="AQ248" s="272"/>
      <c r="AR248" s="34"/>
      <c r="AS248" s="657"/>
      <c r="AT248" s="395"/>
      <c r="AU248" s="443"/>
      <c r="AV248" s="168"/>
      <c r="AW248" s="168"/>
      <c r="AX248" s="757"/>
      <c r="AY248" s="758"/>
      <c r="AZ248" s="272"/>
      <c r="BA248" s="34"/>
      <c r="BB248" s="756"/>
      <c r="BC248" s="395"/>
      <c r="BD248" s="670"/>
      <c r="BE248" s="210"/>
      <c r="BF248" s="168"/>
      <c r="BG248" s="619"/>
      <c r="BH248" s="620"/>
      <c r="BI248" s="617"/>
      <c r="BJ248" s="642"/>
      <c r="BK248" s="650"/>
      <c r="BL248" s="399"/>
      <c r="BM248" s="652"/>
      <c r="BN248" s="210"/>
      <c r="BO248" s="168"/>
      <c r="BP248" s="619"/>
      <c r="BQ248" s="620"/>
      <c r="BR248" s="617"/>
      <c r="BS248" s="642"/>
      <c r="BT248" s="650"/>
      <c r="BU248" s="399"/>
      <c r="BV248" s="618"/>
      <c r="BW248" s="141"/>
      <c r="BX248" s="311"/>
      <c r="BY248" s="139"/>
    </row>
    <row r="249" spans="1:77" ht="15" customHeight="1" x14ac:dyDescent="0.2">
      <c r="A249" s="56" t="s">
        <v>38</v>
      </c>
      <c r="B249" s="56"/>
      <c r="C249" s="637" t="s">
        <v>2301</v>
      </c>
      <c r="D249" s="544">
        <v>716.49199999999996</v>
      </c>
      <c r="E249" s="127" t="s">
        <v>387</v>
      </c>
      <c r="F249" s="667"/>
      <c r="G249" s="64"/>
      <c r="H249" s="61">
        <v>11.8</v>
      </c>
      <c r="I249" s="266"/>
      <c r="J249" s="62"/>
      <c r="K249" s="121">
        <v>10.41</v>
      </c>
      <c r="L249" s="608"/>
      <c r="M249" s="62"/>
      <c r="N249" s="355"/>
      <c r="O249" s="603"/>
      <c r="P249" s="62"/>
      <c r="Q249" s="355">
        <v>8.8806639999999994</v>
      </c>
      <c r="R249" s="603"/>
      <c r="S249" s="62"/>
      <c r="T249" s="355"/>
      <c r="U249" s="62"/>
      <c r="V249" s="62"/>
      <c r="W249" s="89">
        <f>AA249*(1+AB249)</f>
        <v>1.1682000000000001E-2</v>
      </c>
      <c r="X249" s="87">
        <f>AA249*(1+AC249)</f>
        <v>1.1682000000000001E-2</v>
      </c>
      <c r="Y249" s="642">
        <v>1990</v>
      </c>
      <c r="Z249" s="434"/>
      <c r="AA249" s="650">
        <f>+H249/1000</f>
        <v>1.1800000000000001E-2</v>
      </c>
      <c r="AB249" s="399">
        <v>-0.01</v>
      </c>
      <c r="AC249" s="618">
        <f>AB249</f>
        <v>-0.01</v>
      </c>
      <c r="AD249" s="168"/>
      <c r="AE249" s="168"/>
      <c r="AF249" s="388"/>
      <c r="AG249" s="389"/>
      <c r="AH249" s="390"/>
      <c r="AI249" s="433"/>
      <c r="AJ249" s="433"/>
      <c r="AK249" s="156"/>
      <c r="AL249" s="284"/>
      <c r="AM249" s="210"/>
      <c r="AN249" s="168"/>
      <c r="AO249" s="171">
        <f t="shared" ref="AO249" si="132">AS249*(1+AT249)</f>
        <v>5.7255000000000006E-3</v>
      </c>
      <c r="AP249" s="172">
        <f t="shared" ref="AP249" si="133">AS249*(1+AU249)</f>
        <v>5.7255000000000006E-3</v>
      </c>
      <c r="AQ249" s="272">
        <v>2005</v>
      </c>
      <c r="AR249" s="34"/>
      <c r="AS249" s="657">
        <f>K249/1000</f>
        <v>1.0410000000000001E-2</v>
      </c>
      <c r="AT249" s="395">
        <v>-0.45</v>
      </c>
      <c r="AU249" s="443">
        <f t="shared" ref="AU249" si="134">AT249</f>
        <v>-0.45</v>
      </c>
      <c r="AV249" s="168"/>
      <c r="AW249" s="168"/>
      <c r="AX249" s="170"/>
      <c r="AY249" s="86"/>
      <c r="AZ249" s="272"/>
      <c r="BA249" s="51"/>
      <c r="BB249" s="34"/>
      <c r="BC249" s="156"/>
      <c r="BD249" s="341"/>
      <c r="BE249" s="210"/>
      <c r="BF249" s="168"/>
      <c r="BG249" s="619"/>
      <c r="BH249" s="620"/>
      <c r="BI249" s="617"/>
      <c r="BJ249" s="642"/>
      <c r="BK249" s="650"/>
      <c r="BL249" s="399"/>
      <c r="BM249" s="652"/>
      <c r="BN249" s="210"/>
      <c r="BO249" s="168"/>
      <c r="BP249" s="615">
        <f t="shared" ref="BP249" si="135">BT249*(1+BV249)</f>
        <v>2.0819999999999996E-3</v>
      </c>
      <c r="BQ249" s="616">
        <f t="shared" ref="BQ249" si="136">BT249*(1+BU249)</f>
        <v>2.0819999999999996E-3</v>
      </c>
      <c r="BR249" s="617">
        <v>2005</v>
      </c>
      <c r="BS249" s="642"/>
      <c r="BT249" s="434">
        <f>+K249/1000</f>
        <v>1.0410000000000001E-2</v>
      </c>
      <c r="BU249" s="399">
        <v>-0.8</v>
      </c>
      <c r="BV249" s="618">
        <f t="shared" ref="BV249" si="137">BU249</f>
        <v>-0.8</v>
      </c>
      <c r="BW249" s="141"/>
      <c r="BX249" s="311"/>
      <c r="BY249" s="669"/>
    </row>
    <row r="250" spans="1:77" ht="15" customHeight="1" x14ac:dyDescent="0.2">
      <c r="A250" s="56" t="s">
        <v>38</v>
      </c>
      <c r="B250" s="107" t="s">
        <v>477</v>
      </c>
      <c r="C250" s="637" t="s">
        <v>2724</v>
      </c>
      <c r="D250" s="544">
        <v>167.49199999999999</v>
      </c>
      <c r="E250" s="127" t="s">
        <v>392</v>
      </c>
      <c r="F250" s="667"/>
      <c r="G250" s="64"/>
      <c r="H250" s="61"/>
      <c r="I250" s="67"/>
      <c r="J250" s="62"/>
      <c r="K250" s="121">
        <v>2.472391</v>
      </c>
      <c r="L250" s="608"/>
      <c r="M250" s="62"/>
      <c r="N250" s="355"/>
      <c r="O250" s="603"/>
      <c r="P250" s="62"/>
      <c r="Q250" s="355"/>
      <c r="R250" s="603"/>
      <c r="S250" s="62"/>
      <c r="T250" s="355"/>
      <c r="U250" s="62"/>
      <c r="V250" s="62"/>
      <c r="W250" s="89">
        <f>AA250*(1+AB250)</f>
        <v>1.9779127999999999E-3</v>
      </c>
      <c r="X250" s="87">
        <f>AA250*(1+AC250)</f>
        <v>1.9779127999999999E-3</v>
      </c>
      <c r="Y250" s="642">
        <v>2005</v>
      </c>
      <c r="Z250" s="650"/>
      <c r="AA250" s="650">
        <f>K250/1000</f>
        <v>2.472391E-3</v>
      </c>
      <c r="AB250" s="399">
        <v>-0.2</v>
      </c>
      <c r="AC250" s="618">
        <f>AB250</f>
        <v>-0.2</v>
      </c>
      <c r="AD250" s="168"/>
      <c r="AE250" s="168"/>
      <c r="AF250" s="615"/>
      <c r="AG250" s="616"/>
      <c r="AH250" s="617"/>
      <c r="AI250" s="650"/>
      <c r="AJ250" s="434"/>
      <c r="AK250" s="399"/>
      <c r="AL250" s="618"/>
      <c r="AM250" s="210"/>
      <c r="AN250" s="168"/>
      <c r="AO250" s="171">
        <f t="shared" si="116"/>
        <v>4.9447819999999987E-4</v>
      </c>
      <c r="AP250" s="172">
        <f t="shared" si="117"/>
        <v>4.9447819999999987E-4</v>
      </c>
      <c r="AQ250" s="272">
        <v>2005</v>
      </c>
      <c r="AR250" s="34"/>
      <c r="AS250" s="657">
        <f>K250/1000</f>
        <v>2.472391E-3</v>
      </c>
      <c r="AT250" s="395">
        <v>-0.8</v>
      </c>
      <c r="AU250" s="443">
        <f t="shared" si="118"/>
        <v>-0.8</v>
      </c>
      <c r="AV250" s="168"/>
      <c r="AW250" s="168"/>
      <c r="AX250" s="171"/>
      <c r="AY250" s="172"/>
      <c r="AZ250" s="272"/>
      <c r="BA250" s="34"/>
      <c r="BB250" s="657"/>
      <c r="BC250" s="395"/>
      <c r="BD250" s="670"/>
      <c r="BE250" s="210"/>
      <c r="BF250" s="168"/>
      <c r="BG250" s="619"/>
      <c r="BH250" s="620"/>
      <c r="BI250" s="617"/>
      <c r="BJ250" s="642"/>
      <c r="BK250" s="650"/>
      <c r="BL250" s="399"/>
      <c r="BM250" s="652"/>
      <c r="BN250" s="210"/>
      <c r="BO250" s="168"/>
      <c r="BP250" s="619">
        <f>BT250*(1+BV250)</f>
        <v>0</v>
      </c>
      <c r="BQ250" s="620">
        <f>BT250*(1+BU250)</f>
        <v>0</v>
      </c>
      <c r="BR250" s="642">
        <v>2005</v>
      </c>
      <c r="BS250" s="650"/>
      <c r="BT250" s="650">
        <f>+K250/1000</f>
        <v>2.472391E-3</v>
      </c>
      <c r="BU250" s="399">
        <v>-1</v>
      </c>
      <c r="BV250" s="618">
        <f>BU250</f>
        <v>-1</v>
      </c>
      <c r="BW250" s="141"/>
      <c r="BX250" s="311"/>
      <c r="BY250" s="669"/>
    </row>
    <row r="251" spans="1:77" ht="15" customHeight="1" x14ac:dyDescent="0.2">
      <c r="A251" s="56" t="s">
        <v>38</v>
      </c>
      <c r="B251" s="637" t="s">
        <v>390</v>
      </c>
      <c r="C251" s="637"/>
      <c r="D251" s="544">
        <v>3577</v>
      </c>
      <c r="E251" s="127" t="s">
        <v>2915</v>
      </c>
      <c r="F251" s="667"/>
      <c r="G251" s="64"/>
      <c r="H251" s="61">
        <v>45.531547000000003</v>
      </c>
      <c r="I251" s="67">
        <v>2001</v>
      </c>
      <c r="J251" s="62"/>
      <c r="K251" s="121">
        <v>49.221075999999996</v>
      </c>
      <c r="L251" s="608">
        <v>2012</v>
      </c>
      <c r="M251" s="62"/>
      <c r="N251" s="355">
        <f>H251*0.895</f>
        <v>40.750734565000002</v>
      </c>
      <c r="O251" s="603">
        <v>2014</v>
      </c>
      <c r="P251" s="62"/>
      <c r="Q251" s="355">
        <f>H251*0.98</f>
        <v>44.620916059999999</v>
      </c>
      <c r="R251" s="603">
        <v>2016</v>
      </c>
      <c r="S251" s="62"/>
      <c r="T251" s="355">
        <v>41.131887999999996</v>
      </c>
      <c r="U251" s="62"/>
      <c r="V251" s="62"/>
      <c r="W251" s="89">
        <f>AA251*(1+AB251)</f>
        <v>4.0978392300000006E-2</v>
      </c>
      <c r="X251" s="87">
        <f>AA251*(1+AC251)</f>
        <v>4.0978392300000006E-2</v>
      </c>
      <c r="Y251" s="642">
        <v>1990</v>
      </c>
      <c r="Z251" s="434"/>
      <c r="AA251" s="650">
        <f>+H251/1000</f>
        <v>4.5531547000000006E-2</v>
      </c>
      <c r="AB251" s="399">
        <v>-0.1</v>
      </c>
      <c r="AC251" s="618">
        <f>AB251</f>
        <v>-0.1</v>
      </c>
      <c r="AD251" s="168"/>
      <c r="AE251" s="168"/>
      <c r="AF251" s="388"/>
      <c r="AG251" s="389"/>
      <c r="AH251" s="390"/>
      <c r="AI251" s="433"/>
      <c r="AJ251" s="433"/>
      <c r="AK251" s="156"/>
      <c r="AL251" s="284"/>
      <c r="AM251" s="210"/>
      <c r="AN251" s="168"/>
      <c r="AO251" s="171">
        <f t="shared" si="116"/>
        <v>2.7071591799999999E-2</v>
      </c>
      <c r="AP251" s="172">
        <f t="shared" si="117"/>
        <v>2.7071591799999999E-2</v>
      </c>
      <c r="AQ251" s="272">
        <v>2001</v>
      </c>
      <c r="AR251" s="34"/>
      <c r="AS251" s="657">
        <f>K251/1000</f>
        <v>4.9221075999999996E-2</v>
      </c>
      <c r="AT251" s="395">
        <v>-0.45</v>
      </c>
      <c r="AU251" s="443">
        <f t="shared" si="118"/>
        <v>-0.45</v>
      </c>
      <c r="AV251" s="168"/>
      <c r="AW251" s="168"/>
      <c r="AX251" s="170"/>
      <c r="AY251" s="86"/>
      <c r="AZ251" s="272"/>
      <c r="BA251" s="51"/>
      <c r="BB251" s="34"/>
      <c r="BC251" s="156"/>
      <c r="BD251" s="341"/>
      <c r="BE251" s="210"/>
      <c r="BF251" s="168"/>
      <c r="BG251" s="619"/>
      <c r="BH251" s="620"/>
      <c r="BI251" s="617"/>
      <c r="BJ251" s="642"/>
      <c r="BK251" s="650"/>
      <c r="BL251" s="399"/>
      <c r="BM251" s="652"/>
      <c r="BN251" s="210"/>
      <c r="BO251" s="168"/>
      <c r="BP251" s="619">
        <f t="shared" ref="BP251:BP254" si="138">BT251*(1+BV251)</f>
        <v>7.3831614000000002E-3</v>
      </c>
      <c r="BQ251" s="620">
        <f t="shared" ref="BQ251:BQ254" si="139">BT251*(1+BU251)</f>
        <v>1.2305268999999999E-2</v>
      </c>
      <c r="BR251" s="617">
        <v>2001</v>
      </c>
      <c r="BS251" s="642"/>
      <c r="BT251" s="650">
        <f>+K251/1000</f>
        <v>4.9221075999999996E-2</v>
      </c>
      <c r="BU251" s="399">
        <v>-0.75</v>
      </c>
      <c r="BV251" s="618">
        <v>-0.85</v>
      </c>
      <c r="BW251" s="141"/>
      <c r="BX251" s="311" t="s">
        <v>2884</v>
      </c>
      <c r="BY251" s="139"/>
    </row>
    <row r="252" spans="1:77" ht="15" customHeight="1" x14ac:dyDescent="0.2">
      <c r="A252" s="56" t="s">
        <v>38</v>
      </c>
      <c r="B252" s="637" t="s">
        <v>477</v>
      </c>
      <c r="C252" s="637" t="s">
        <v>2828</v>
      </c>
      <c r="D252" s="544">
        <v>131.01400000000001</v>
      </c>
      <c r="E252" s="127" t="s">
        <v>387</v>
      </c>
      <c r="F252" s="667"/>
      <c r="G252" s="64"/>
      <c r="H252" s="61"/>
      <c r="I252" s="67">
        <v>1999</v>
      </c>
      <c r="J252" s="62"/>
      <c r="K252" s="121">
        <v>1.625057</v>
      </c>
      <c r="L252" s="608"/>
      <c r="M252" s="62"/>
      <c r="N252" s="355"/>
      <c r="O252" s="603"/>
      <c r="P252" s="62"/>
      <c r="Q252" s="355"/>
      <c r="R252" s="603"/>
      <c r="S252" s="62"/>
      <c r="T252" s="355"/>
      <c r="U252" s="62"/>
      <c r="V252" s="62"/>
      <c r="W252" s="89"/>
      <c r="X252" s="87"/>
      <c r="Y252" s="642"/>
      <c r="Z252" s="434"/>
      <c r="AA252" s="650"/>
      <c r="AB252" s="399"/>
      <c r="AC252" s="618"/>
      <c r="AD252" s="168"/>
      <c r="AE252" s="168"/>
      <c r="AF252" s="388"/>
      <c r="AG252" s="389"/>
      <c r="AH252" s="390"/>
      <c r="AI252" s="433"/>
      <c r="AJ252" s="433"/>
      <c r="AK252" s="156"/>
      <c r="AL252" s="284"/>
      <c r="AM252" s="210"/>
      <c r="AN252" s="168"/>
      <c r="AO252" s="171">
        <f t="shared" si="116"/>
        <v>7.3127564999999999E-4</v>
      </c>
      <c r="AP252" s="172">
        <f t="shared" si="117"/>
        <v>7.3127564999999999E-4</v>
      </c>
      <c r="AQ252" s="272">
        <v>1999</v>
      </c>
      <c r="AR252" s="34"/>
      <c r="AS252" s="657">
        <f>K252/1000</f>
        <v>1.6250570000000001E-3</v>
      </c>
      <c r="AT252" s="395">
        <v>-0.55000000000000004</v>
      </c>
      <c r="AU252" s="443">
        <f t="shared" si="118"/>
        <v>-0.55000000000000004</v>
      </c>
      <c r="AV252" s="168"/>
      <c r="AW252" s="168"/>
      <c r="AX252" s="170"/>
      <c r="AY252" s="86"/>
      <c r="AZ252" s="272"/>
      <c r="BA252" s="51"/>
      <c r="BB252" s="34"/>
      <c r="BC252" s="156"/>
      <c r="BD252" s="341"/>
      <c r="BE252" s="210"/>
      <c r="BF252" s="168"/>
      <c r="BG252" s="619"/>
      <c r="BH252" s="620"/>
      <c r="BI252" s="617"/>
      <c r="BJ252" s="642"/>
      <c r="BK252" s="650"/>
      <c r="BL252" s="399"/>
      <c r="BM252" s="652"/>
      <c r="BN252" s="210"/>
      <c r="BO252" s="168"/>
      <c r="BP252" s="619"/>
      <c r="BQ252" s="620"/>
      <c r="BR252" s="617"/>
      <c r="BS252" s="642"/>
      <c r="BT252" s="650"/>
      <c r="BU252" s="399"/>
      <c r="BV252" s="618"/>
      <c r="BW252" s="141"/>
      <c r="BX252" s="311"/>
      <c r="BY252" s="139"/>
    </row>
    <row r="253" spans="1:77" ht="15" customHeight="1" x14ac:dyDescent="0.2">
      <c r="A253" s="56" t="s">
        <v>38</v>
      </c>
      <c r="B253" s="637" t="s">
        <v>2885</v>
      </c>
      <c r="C253" s="637"/>
      <c r="D253" s="544">
        <v>967</v>
      </c>
      <c r="E253" s="127" t="s">
        <v>2884</v>
      </c>
      <c r="F253" s="667"/>
      <c r="G253" s="64"/>
      <c r="H253" s="61"/>
      <c r="I253" s="67"/>
      <c r="J253" s="62"/>
      <c r="K253" s="121"/>
      <c r="L253" s="608">
        <v>2008</v>
      </c>
      <c r="M253" s="62"/>
      <c r="N253" s="355">
        <v>15.6</v>
      </c>
      <c r="O253" s="603"/>
      <c r="P253" s="62"/>
      <c r="Q253" s="355"/>
      <c r="R253" s="603"/>
      <c r="S253" s="62"/>
      <c r="T253" s="355"/>
      <c r="U253" s="62"/>
      <c r="V253" s="62"/>
      <c r="W253" s="89"/>
      <c r="X253" s="87"/>
      <c r="Y253" s="642"/>
      <c r="Z253" s="434"/>
      <c r="AA253" s="650"/>
      <c r="AB253" s="399"/>
      <c r="AC253" s="618"/>
      <c r="AD253" s="168"/>
      <c r="AE253" s="168"/>
      <c r="AF253" s="388"/>
      <c r="AG253" s="389"/>
      <c r="AH253" s="390"/>
      <c r="AI253" s="433"/>
      <c r="AJ253" s="433"/>
      <c r="AK253" s="156"/>
      <c r="AL253" s="284"/>
      <c r="AM253" s="210"/>
      <c r="AN253" s="168"/>
      <c r="AO253" s="171">
        <f t="shared" si="116"/>
        <v>1.0919999999999999E-2</v>
      </c>
      <c r="AP253" s="172">
        <f t="shared" si="117"/>
        <v>1.0919999999999999E-2</v>
      </c>
      <c r="AQ253" s="272">
        <v>2008</v>
      </c>
      <c r="AR253" s="34"/>
      <c r="AS253" s="657">
        <f>N253/1000</f>
        <v>1.5599999999999999E-2</v>
      </c>
      <c r="AT253" s="395">
        <v>-0.3</v>
      </c>
      <c r="AU253" s="443">
        <f t="shared" si="118"/>
        <v>-0.3</v>
      </c>
      <c r="AV253" s="168"/>
      <c r="AW253" s="168"/>
      <c r="AX253" s="170"/>
      <c r="AY253" s="86"/>
      <c r="AZ253" s="272"/>
      <c r="BA253" s="51"/>
      <c r="BB253" s="34"/>
      <c r="BC253" s="156"/>
      <c r="BD253" s="341"/>
      <c r="BE253" s="210"/>
      <c r="BF253" s="168"/>
      <c r="BG253" s="619"/>
      <c r="BH253" s="620"/>
      <c r="BI253" s="617"/>
      <c r="BJ253" s="642"/>
      <c r="BK253" s="650"/>
      <c r="BL253" s="399"/>
      <c r="BM253" s="652"/>
      <c r="BN253" s="210"/>
      <c r="BO253" s="168"/>
      <c r="BP253" s="619"/>
      <c r="BQ253" s="620"/>
      <c r="BR253" s="617"/>
      <c r="BS253" s="642"/>
      <c r="BT253" s="650"/>
      <c r="BU253" s="399"/>
      <c r="BV253" s="618"/>
      <c r="BW253" s="141"/>
      <c r="BX253" s="311"/>
      <c r="BY253" s="139"/>
    </row>
    <row r="254" spans="1:77" ht="15" customHeight="1" x14ac:dyDescent="0.2">
      <c r="A254" s="56" t="s">
        <v>38</v>
      </c>
      <c r="B254" s="637" t="s">
        <v>2133</v>
      </c>
      <c r="C254" s="637"/>
      <c r="D254" s="544">
        <v>18840</v>
      </c>
      <c r="E254" s="127" t="s">
        <v>2134</v>
      </c>
      <c r="F254" s="667"/>
      <c r="G254" s="64"/>
      <c r="H254" s="61">
        <v>212</v>
      </c>
      <c r="I254" s="67"/>
      <c r="J254" s="62"/>
      <c r="K254" s="121"/>
      <c r="L254" s="608"/>
      <c r="M254" s="62"/>
      <c r="N254" s="355"/>
      <c r="O254" s="603"/>
      <c r="P254" s="62"/>
      <c r="Q254" s="355"/>
      <c r="R254" s="603"/>
      <c r="S254" s="62"/>
      <c r="T254" s="355"/>
      <c r="U254" s="62"/>
      <c r="V254" s="62"/>
      <c r="W254" s="89"/>
      <c r="X254" s="87"/>
      <c r="Y254" s="642"/>
      <c r="Z254" s="434"/>
      <c r="AA254" s="650"/>
      <c r="AB254" s="399"/>
      <c r="AC254" s="618"/>
      <c r="AD254" s="168"/>
      <c r="AE254" s="168"/>
      <c r="AF254" s="615">
        <f>+AJ254*(1+AK254)</f>
        <v>0.21199999999999999</v>
      </c>
      <c r="AG254" s="616">
        <f>+AJ254*(1+AL254)</f>
        <v>0.21199999999999999</v>
      </c>
      <c r="AH254" s="617">
        <v>1990</v>
      </c>
      <c r="AI254" s="650"/>
      <c r="AJ254" s="434">
        <f>+H254/1000</f>
        <v>0.21199999999999999</v>
      </c>
      <c r="AK254" s="399">
        <v>0</v>
      </c>
      <c r="AL254" s="618">
        <f>AK254</f>
        <v>0</v>
      </c>
      <c r="AM254" s="210"/>
      <c r="AN254" s="168"/>
      <c r="AO254" s="170"/>
      <c r="AP254" s="86"/>
      <c r="AQ254" s="272"/>
      <c r="AR254" s="34"/>
      <c r="AS254" s="442"/>
      <c r="AT254" s="395"/>
      <c r="AU254" s="443"/>
      <c r="AV254" s="168"/>
      <c r="AW254" s="168"/>
      <c r="AX254" s="170"/>
      <c r="AY254" s="86"/>
      <c r="AZ254" s="272"/>
      <c r="BA254" s="51"/>
      <c r="BB254" s="34"/>
      <c r="BC254" s="156"/>
      <c r="BD254" s="341"/>
      <c r="BE254" s="210"/>
      <c r="BF254" s="168"/>
      <c r="BG254" s="619"/>
      <c r="BH254" s="620"/>
      <c r="BI254" s="617"/>
      <c r="BJ254" s="642"/>
      <c r="BK254" s="650"/>
      <c r="BL254" s="399"/>
      <c r="BM254" s="652"/>
      <c r="BN254" s="210"/>
      <c r="BO254" s="168"/>
      <c r="BP254" s="615">
        <f t="shared" si="138"/>
        <v>4.2399999999999986E-2</v>
      </c>
      <c r="BQ254" s="616">
        <f t="shared" si="139"/>
        <v>4.2399999999999986E-2</v>
      </c>
      <c r="BR254" s="642">
        <v>1990</v>
      </c>
      <c r="BS254" s="434"/>
      <c r="BT254" s="434">
        <f>+H254/1000</f>
        <v>0.21199999999999999</v>
      </c>
      <c r="BU254" s="399">
        <v>-0.8</v>
      </c>
      <c r="BV254" s="618">
        <f t="shared" ref="BV254" si="140">BU254</f>
        <v>-0.8</v>
      </c>
      <c r="BW254" s="141"/>
      <c r="BX254" s="311"/>
      <c r="BY254" s="139"/>
    </row>
    <row r="255" spans="1:77" ht="15" customHeight="1" x14ac:dyDescent="0.2">
      <c r="A255" s="56" t="s">
        <v>38</v>
      </c>
      <c r="B255" s="637" t="s">
        <v>477</v>
      </c>
      <c r="C255" s="637" t="s">
        <v>3226</v>
      </c>
      <c r="D255" s="544">
        <v>77.695999999999998</v>
      </c>
      <c r="E255" s="127" t="s">
        <v>387</v>
      </c>
      <c r="F255" s="667"/>
      <c r="G255" s="64"/>
      <c r="H255" s="61"/>
      <c r="I255" s="67"/>
      <c r="J255" s="62"/>
      <c r="K255" s="121"/>
      <c r="L255" s="608"/>
      <c r="M255" s="62"/>
      <c r="N255" s="355"/>
      <c r="O255" s="603"/>
      <c r="P255" s="62"/>
      <c r="Q255" s="355">
        <v>0.90466599999999997</v>
      </c>
      <c r="R255" s="603"/>
      <c r="S255" s="62"/>
      <c r="T255" s="355"/>
      <c r="U255" s="62"/>
      <c r="V255" s="62"/>
      <c r="W255" s="89"/>
      <c r="X255" s="87"/>
      <c r="Y255" s="642"/>
      <c r="Z255" s="434"/>
      <c r="AA255" s="650"/>
      <c r="AB255" s="399"/>
      <c r="AC255" s="618"/>
      <c r="AD255" s="168"/>
      <c r="AE255" s="168"/>
      <c r="AF255" s="615"/>
      <c r="AG255" s="616"/>
      <c r="AH255" s="617"/>
      <c r="AI255" s="650"/>
      <c r="AJ255" s="434"/>
      <c r="AK255" s="399"/>
      <c r="AL255" s="618"/>
      <c r="AM255" s="210"/>
      <c r="AN255" s="168"/>
      <c r="AO255" s="170"/>
      <c r="AP255" s="86"/>
      <c r="AQ255" s="272"/>
      <c r="AR255" s="34"/>
      <c r="AS255" s="442"/>
      <c r="AT255" s="395"/>
      <c r="AU255" s="443"/>
      <c r="AV255" s="168"/>
      <c r="AW255" s="168"/>
      <c r="AX255" s="171">
        <f>BB255*(1+BC255)</f>
        <v>4.5233299999999997E-4</v>
      </c>
      <c r="AY255" s="172">
        <f>BB255*(1+BD255)</f>
        <v>4.5233299999999997E-4</v>
      </c>
      <c r="AZ255" s="272">
        <v>2005</v>
      </c>
      <c r="BA255" s="34"/>
      <c r="BB255" s="657">
        <f>Q255/1000</f>
        <v>9.0466599999999993E-4</v>
      </c>
      <c r="BC255" s="395">
        <v>-0.5</v>
      </c>
      <c r="BD255" s="443">
        <f>BC255</f>
        <v>-0.5</v>
      </c>
      <c r="BE255" s="210"/>
      <c r="BF255" s="168"/>
      <c r="BG255" s="619"/>
      <c r="BH255" s="620"/>
      <c r="BI255" s="617"/>
      <c r="BJ255" s="642"/>
      <c r="BK255" s="650"/>
      <c r="BL255" s="399"/>
      <c r="BM255" s="652"/>
      <c r="BN255" s="210"/>
      <c r="BO255" s="168"/>
      <c r="BP255" s="615"/>
      <c r="BQ255" s="616"/>
      <c r="BR255" s="642"/>
      <c r="BS255" s="434"/>
      <c r="BT255" s="434"/>
      <c r="BU255" s="399"/>
      <c r="BV255" s="618"/>
      <c r="BW255" s="141"/>
      <c r="BX255" s="311"/>
      <c r="BY255" s="139"/>
    </row>
    <row r="256" spans="1:77" ht="15" customHeight="1" x14ac:dyDescent="0.2">
      <c r="A256" s="56" t="s">
        <v>38</v>
      </c>
      <c r="B256" s="637" t="s">
        <v>477</v>
      </c>
      <c r="C256" s="637" t="s">
        <v>2816</v>
      </c>
      <c r="D256" s="544">
        <v>1919.644</v>
      </c>
      <c r="E256" s="127" t="s">
        <v>387</v>
      </c>
      <c r="F256" s="667"/>
      <c r="G256" s="64"/>
      <c r="H256" s="61"/>
      <c r="I256" s="67"/>
      <c r="J256" s="62"/>
      <c r="K256" s="121"/>
      <c r="L256" s="608"/>
      <c r="M256" s="62"/>
      <c r="N256" s="355">
        <v>22.177409000000001</v>
      </c>
      <c r="O256" s="603"/>
      <c r="P256" s="62"/>
      <c r="Q256" s="355"/>
      <c r="R256" s="603"/>
      <c r="S256" s="62"/>
      <c r="T256" s="355"/>
      <c r="U256" s="62"/>
      <c r="V256" s="62"/>
      <c r="W256" s="23">
        <f>AA256*(1+AB256)</f>
        <v>1.9959668100000001E-2</v>
      </c>
      <c r="X256" s="24">
        <f>AA256*(1+AC256)</f>
        <v>1.9959668100000001E-2</v>
      </c>
      <c r="Y256" s="642">
        <v>2010</v>
      </c>
      <c r="Z256" s="434"/>
      <c r="AA256" s="434">
        <f>+N256/1000</f>
        <v>2.2177409000000002E-2</v>
      </c>
      <c r="AB256" s="399">
        <v>-0.1</v>
      </c>
      <c r="AC256" s="618">
        <f>AB256</f>
        <v>-0.1</v>
      </c>
      <c r="AD256" s="168"/>
      <c r="AE256" s="168"/>
      <c r="AF256" s="615"/>
      <c r="AG256" s="616"/>
      <c r="AH256" s="617"/>
      <c r="AI256" s="650"/>
      <c r="AJ256" s="434"/>
      <c r="AK256" s="399"/>
      <c r="AL256" s="618"/>
      <c r="AM256" s="210"/>
      <c r="AN256" s="168"/>
      <c r="AO256" s="170"/>
      <c r="AP256" s="86"/>
      <c r="AQ256" s="272"/>
      <c r="AR256" s="34"/>
      <c r="AS256" s="442"/>
      <c r="AT256" s="395"/>
      <c r="AU256" s="443"/>
      <c r="AV256" s="168"/>
      <c r="AW256" s="168"/>
      <c r="AX256" s="170"/>
      <c r="AY256" s="86"/>
      <c r="AZ256" s="272"/>
      <c r="BA256" s="51"/>
      <c r="BB256" s="34"/>
      <c r="BC256" s="156"/>
      <c r="BD256" s="341"/>
      <c r="BE256" s="210"/>
      <c r="BF256" s="168"/>
      <c r="BG256" s="619"/>
      <c r="BH256" s="620"/>
      <c r="BI256" s="617"/>
      <c r="BJ256" s="642"/>
      <c r="BK256" s="650"/>
      <c r="BL256" s="399"/>
      <c r="BM256" s="652"/>
      <c r="BN256" s="210"/>
      <c r="BO256" s="168"/>
      <c r="BP256" s="23">
        <f>BT256*(1+BU256)</f>
        <v>4.4354817999999992E-3</v>
      </c>
      <c r="BQ256" s="24">
        <f>BT256*(1+BV256)</f>
        <v>4.4354817999999992E-3</v>
      </c>
      <c r="BR256" s="642">
        <v>2010</v>
      </c>
      <c r="BS256" s="434"/>
      <c r="BT256" s="434">
        <f>+N256/1000</f>
        <v>2.2177409000000002E-2</v>
      </c>
      <c r="BU256" s="399">
        <v>-0.8</v>
      </c>
      <c r="BV256" s="618">
        <f>BU256</f>
        <v>-0.8</v>
      </c>
      <c r="BW256" s="141"/>
      <c r="BX256" s="311"/>
      <c r="BY256" s="139"/>
    </row>
    <row r="257" spans="1:77" ht="15" customHeight="1" x14ac:dyDescent="0.2">
      <c r="A257" s="56" t="s">
        <v>38</v>
      </c>
      <c r="B257" s="637" t="s">
        <v>477</v>
      </c>
      <c r="C257" s="637" t="s">
        <v>3229</v>
      </c>
      <c r="D257" s="544">
        <v>37.113</v>
      </c>
      <c r="E257" s="127" t="s">
        <v>387</v>
      </c>
      <c r="F257" s="667"/>
      <c r="G257" s="64"/>
      <c r="H257" s="61"/>
      <c r="I257" s="67"/>
      <c r="J257" s="62"/>
      <c r="K257" s="121"/>
      <c r="L257" s="608">
        <v>2016</v>
      </c>
      <c r="M257" s="62"/>
      <c r="N257" s="355">
        <v>0.460733</v>
      </c>
      <c r="O257" s="603"/>
      <c r="P257" s="62"/>
      <c r="Q257" s="355"/>
      <c r="R257" s="603"/>
      <c r="S257" s="62"/>
      <c r="T257" s="355"/>
      <c r="U257" s="62"/>
      <c r="V257" s="62"/>
      <c r="W257" s="23"/>
      <c r="X257" s="24"/>
      <c r="Y257" s="642"/>
      <c r="Z257" s="434"/>
      <c r="AA257" s="434"/>
      <c r="AB257" s="399"/>
      <c r="AC257" s="618"/>
      <c r="AD257" s="168"/>
      <c r="AE257" s="168"/>
      <c r="AF257" s="615"/>
      <c r="AG257" s="616"/>
      <c r="AH257" s="617"/>
      <c r="AI257" s="650"/>
      <c r="AJ257" s="434"/>
      <c r="AK257" s="399"/>
      <c r="AL257" s="618"/>
      <c r="AM257" s="210"/>
      <c r="AN257" s="168"/>
      <c r="AO257" s="89">
        <f t="shared" ref="AO257" si="141">AS257*(1+AT257)</f>
        <v>2.5340315000000002E-4</v>
      </c>
      <c r="AP257" s="87">
        <f t="shared" ref="AP257" si="142">AS257*(1+AU257)</f>
        <v>2.5340315000000002E-4</v>
      </c>
      <c r="AQ257" s="272">
        <v>2009</v>
      </c>
      <c r="AR257" s="34"/>
      <c r="AS257" s="657">
        <f>N257/1000</f>
        <v>4.6073300000000001E-4</v>
      </c>
      <c r="AT257" s="395">
        <v>-0.45</v>
      </c>
      <c r="AU257" s="443">
        <f>AT257</f>
        <v>-0.45</v>
      </c>
      <c r="AV257" s="168"/>
      <c r="AW257" s="168"/>
      <c r="AX257" s="170"/>
      <c r="AY257" s="86"/>
      <c r="AZ257" s="272"/>
      <c r="BA257" s="51"/>
      <c r="BB257" s="34"/>
      <c r="BC257" s="156"/>
      <c r="BD257" s="341"/>
      <c r="BE257" s="210"/>
      <c r="BF257" s="168"/>
      <c r="BG257" s="619"/>
      <c r="BH257" s="620"/>
      <c r="BI257" s="617"/>
      <c r="BJ257" s="642"/>
      <c r="BK257" s="650"/>
      <c r="BL257" s="399"/>
      <c r="BM257" s="652"/>
      <c r="BN257" s="210"/>
      <c r="BO257" s="168"/>
      <c r="BP257" s="23"/>
      <c r="BQ257" s="24"/>
      <c r="BR257" s="642">
        <v>2010</v>
      </c>
      <c r="BS257" s="434"/>
      <c r="BT257" s="434">
        <f>N257/1000</f>
        <v>4.6073300000000001E-4</v>
      </c>
      <c r="BU257" s="399">
        <v>-1</v>
      </c>
      <c r="BV257" s="618">
        <f>BU257</f>
        <v>-1</v>
      </c>
      <c r="BW257" s="141"/>
      <c r="BX257" s="311"/>
      <c r="BY257" s="139"/>
    </row>
    <row r="258" spans="1:77" ht="15" customHeight="1" x14ac:dyDescent="0.2">
      <c r="A258" s="56" t="s">
        <v>38</v>
      </c>
      <c r="B258" s="637" t="s">
        <v>477</v>
      </c>
      <c r="C258" s="637" t="s">
        <v>3231</v>
      </c>
      <c r="D258" s="544">
        <v>24.565000000000001</v>
      </c>
      <c r="E258" s="127" t="s">
        <v>387</v>
      </c>
      <c r="F258" s="667"/>
      <c r="G258" s="64"/>
      <c r="H258" s="61"/>
      <c r="I258" s="67"/>
      <c r="J258" s="62"/>
      <c r="K258" s="121">
        <v>0.4</v>
      </c>
      <c r="L258" s="608"/>
      <c r="M258" s="62"/>
      <c r="N258" s="355"/>
      <c r="O258" s="603"/>
      <c r="P258" s="62"/>
      <c r="Q258" s="355">
        <v>0.34</v>
      </c>
      <c r="R258" s="603"/>
      <c r="S258" s="62"/>
      <c r="T258" s="355"/>
      <c r="U258" s="62"/>
      <c r="V258" s="62"/>
      <c r="W258" s="23"/>
      <c r="X258" s="24"/>
      <c r="Y258" s="642"/>
      <c r="Z258" s="434"/>
      <c r="AA258" s="434"/>
      <c r="AB258" s="399"/>
      <c r="AC258" s="618"/>
      <c r="AD258" s="168"/>
      <c r="AE258" s="168"/>
      <c r="AF258" s="615"/>
      <c r="AG258" s="616"/>
      <c r="AH258" s="617"/>
      <c r="AI258" s="650"/>
      <c r="AJ258" s="434"/>
      <c r="AK258" s="399"/>
      <c r="AL258" s="618"/>
      <c r="AM258" s="210"/>
      <c r="AN258" s="168"/>
      <c r="AO258" s="89"/>
      <c r="AP258" s="87"/>
      <c r="AQ258" s="272"/>
      <c r="AR258" s="34"/>
      <c r="AS258" s="657"/>
      <c r="AT258" s="395"/>
      <c r="AU258" s="443"/>
      <c r="AV258" s="168"/>
      <c r="AW258" s="168"/>
      <c r="AX258" s="170"/>
      <c r="AY258" s="86"/>
      <c r="AZ258" s="272"/>
      <c r="BA258" s="51"/>
      <c r="BB258" s="34"/>
      <c r="BC258" s="156"/>
      <c r="BD258" s="341"/>
      <c r="BE258" s="210"/>
      <c r="BF258" s="168"/>
      <c r="BG258" s="619"/>
      <c r="BH258" s="620"/>
      <c r="BI258" s="617"/>
      <c r="BJ258" s="642"/>
      <c r="BK258" s="650"/>
      <c r="BL258" s="399"/>
      <c r="BM258" s="652"/>
      <c r="BN258" s="210"/>
      <c r="BO258" s="168"/>
      <c r="BP258" s="23"/>
      <c r="BQ258" s="24"/>
      <c r="BR258" s="642"/>
      <c r="BS258" s="434"/>
      <c r="BT258" s="434"/>
      <c r="BU258" s="399"/>
      <c r="BV258" s="618"/>
      <c r="BW258" s="141"/>
      <c r="BX258" s="311"/>
      <c r="BY258" s="139"/>
    </row>
    <row r="259" spans="1:77" ht="15" customHeight="1" x14ac:dyDescent="0.2">
      <c r="A259" s="56" t="s">
        <v>38</v>
      </c>
      <c r="B259" s="637" t="s">
        <v>477</v>
      </c>
      <c r="C259" s="637" t="s">
        <v>2148</v>
      </c>
      <c r="D259" s="544">
        <v>287.44200000000001</v>
      </c>
      <c r="E259" s="127" t="s">
        <v>2542</v>
      </c>
      <c r="F259" s="667"/>
      <c r="G259" s="64"/>
      <c r="H259" s="61"/>
      <c r="I259" s="67">
        <v>2007</v>
      </c>
      <c r="J259" s="62"/>
      <c r="K259" s="121">
        <v>7.4081000000000001</v>
      </c>
      <c r="L259" s="608">
        <v>2012</v>
      </c>
      <c r="M259" s="62"/>
      <c r="N259" s="355">
        <v>5.8038509999999999</v>
      </c>
      <c r="O259" s="603"/>
      <c r="P259" s="62"/>
      <c r="Q259" s="355"/>
      <c r="R259" s="603"/>
      <c r="S259" s="62"/>
      <c r="T259" s="355"/>
      <c r="U259" s="62"/>
      <c r="V259" s="62"/>
      <c r="W259" s="89">
        <f t="shared" ref="W259" si="143">AA259*(1+AB259)</f>
        <v>4.3528882499999999E-3</v>
      </c>
      <c r="X259" s="87">
        <f t="shared" ref="X259" si="144">AA259*(1+AC259)</f>
        <v>4.3528882499999999E-3</v>
      </c>
      <c r="Y259" s="642">
        <v>2007</v>
      </c>
      <c r="Z259" s="650"/>
      <c r="AA259" s="650">
        <f>N259/1000</f>
        <v>5.8038509999999996E-3</v>
      </c>
      <c r="AB259" s="399">
        <v>-0.25</v>
      </c>
      <c r="AC259" s="618">
        <f t="shared" ref="AC259" si="145">AB259</f>
        <v>-0.25</v>
      </c>
      <c r="AD259" s="168"/>
      <c r="AE259" s="168"/>
      <c r="AF259" s="615"/>
      <c r="AG259" s="616"/>
      <c r="AH259" s="617"/>
      <c r="AI259" s="650"/>
      <c r="AJ259" s="434"/>
      <c r="AK259" s="399"/>
      <c r="AL259" s="618"/>
      <c r="AM259" s="210"/>
      <c r="AN259" s="168"/>
      <c r="AO259" s="170"/>
      <c r="AP259" s="86"/>
      <c r="AQ259" s="272"/>
      <c r="AR259" s="34"/>
      <c r="AS259" s="442"/>
      <c r="AT259" s="395"/>
      <c r="AU259" s="443"/>
      <c r="AV259" s="168"/>
      <c r="AW259" s="168"/>
      <c r="AX259" s="170"/>
      <c r="AY259" s="86"/>
      <c r="AZ259" s="272"/>
      <c r="BA259" s="51"/>
      <c r="BB259" s="34"/>
      <c r="BC259" s="156"/>
      <c r="BD259" s="341"/>
      <c r="BE259" s="210"/>
      <c r="BF259" s="168"/>
      <c r="BG259" s="619">
        <f t="shared" ref="BG259" si="146">BK259*(1+BM259)</f>
        <v>5.8038509999999981E-4</v>
      </c>
      <c r="BH259" s="620">
        <f t="shared" ref="BH259" si="147">BK259*(1+BL259)</f>
        <v>5.8038509999999981E-4</v>
      </c>
      <c r="BI259" s="617">
        <v>2007</v>
      </c>
      <c r="BJ259" s="642"/>
      <c r="BK259" s="650">
        <f>+N259/1000</f>
        <v>5.8038509999999996E-3</v>
      </c>
      <c r="BL259" s="399">
        <v>-0.9</v>
      </c>
      <c r="BM259" s="652">
        <f t="shared" ref="BM259" si="148">BL259</f>
        <v>-0.9</v>
      </c>
      <c r="BN259" s="210"/>
      <c r="BO259" s="168"/>
      <c r="BP259" s="615"/>
      <c r="BQ259" s="616"/>
      <c r="BR259" s="642"/>
      <c r="BS259" s="434"/>
      <c r="BT259" s="434"/>
      <c r="BU259" s="399"/>
      <c r="BV259" s="618"/>
      <c r="BW259" s="141"/>
      <c r="BX259" s="311"/>
      <c r="BY259" s="669" t="s">
        <v>2149</v>
      </c>
    </row>
    <row r="260" spans="1:77" ht="15" customHeight="1" x14ac:dyDescent="0.2">
      <c r="A260" s="56" t="s">
        <v>38</v>
      </c>
      <c r="B260" s="637" t="s">
        <v>477</v>
      </c>
      <c r="C260" s="637" t="s">
        <v>3152</v>
      </c>
      <c r="D260" s="544">
        <v>56</v>
      </c>
      <c r="E260" s="127" t="s">
        <v>387</v>
      </c>
      <c r="F260" s="667"/>
      <c r="G260" s="64"/>
      <c r="H260" s="61"/>
      <c r="I260" s="67">
        <v>2003</v>
      </c>
      <c r="J260" s="62"/>
      <c r="K260" s="121">
        <v>0.86597500000000005</v>
      </c>
      <c r="L260" s="608"/>
      <c r="M260" s="62"/>
      <c r="N260" s="355"/>
      <c r="O260" s="603"/>
      <c r="P260" s="62"/>
      <c r="Q260" s="355"/>
      <c r="R260" s="603"/>
      <c r="S260" s="62"/>
      <c r="T260" s="355"/>
      <c r="U260" s="62"/>
      <c r="V260" s="62"/>
      <c r="W260" s="89"/>
      <c r="X260" s="87"/>
      <c r="Y260" s="642"/>
      <c r="Z260" s="650"/>
      <c r="AA260" s="650"/>
      <c r="AB260" s="399"/>
      <c r="AC260" s="618"/>
      <c r="AD260" s="168"/>
      <c r="AE260" s="168"/>
      <c r="AF260" s="615"/>
      <c r="AG260" s="616"/>
      <c r="AH260" s="617"/>
      <c r="AI260" s="650"/>
      <c r="AJ260" s="434"/>
      <c r="AK260" s="399"/>
      <c r="AL260" s="618"/>
      <c r="AM260" s="210"/>
      <c r="AN260" s="168"/>
      <c r="AO260" s="170"/>
      <c r="AP260" s="86"/>
      <c r="AQ260" s="272"/>
      <c r="AR260" s="34"/>
      <c r="AS260" s="442"/>
      <c r="AT260" s="395"/>
      <c r="AU260" s="443"/>
      <c r="AV260" s="168"/>
      <c r="AW260" s="168"/>
      <c r="AX260" s="171">
        <f>BB260*(1+BC260)</f>
        <v>0</v>
      </c>
      <c r="AY260" s="172">
        <f>BB260*(1+BD260)</f>
        <v>0</v>
      </c>
      <c r="AZ260" s="272">
        <v>2005</v>
      </c>
      <c r="BA260" s="34"/>
      <c r="BB260" s="657">
        <f>K260/1000</f>
        <v>8.6597500000000006E-4</v>
      </c>
      <c r="BC260" s="395">
        <v>-1</v>
      </c>
      <c r="BD260" s="443">
        <f>BC260</f>
        <v>-1</v>
      </c>
      <c r="BE260" s="210"/>
      <c r="BF260" s="168"/>
      <c r="BG260" s="619"/>
      <c r="BH260" s="620"/>
      <c r="BI260" s="617"/>
      <c r="BJ260" s="642"/>
      <c r="BK260" s="650"/>
      <c r="BL260" s="399"/>
      <c r="BM260" s="652"/>
      <c r="BN260" s="210"/>
      <c r="BO260" s="168"/>
      <c r="BP260" s="615"/>
      <c r="BQ260" s="616"/>
      <c r="BR260" s="642"/>
      <c r="BS260" s="434"/>
      <c r="BT260" s="434"/>
      <c r="BU260" s="399"/>
      <c r="BV260" s="618"/>
      <c r="BW260" s="141"/>
      <c r="BX260" s="311"/>
      <c r="BY260" s="669"/>
    </row>
    <row r="261" spans="1:77" ht="15" customHeight="1" x14ac:dyDescent="0.2">
      <c r="A261" s="56" t="s">
        <v>38</v>
      </c>
      <c r="B261" s="637" t="s">
        <v>477</v>
      </c>
      <c r="C261" s="637" t="s">
        <v>2832</v>
      </c>
      <c r="D261" s="544">
        <v>115.176</v>
      </c>
      <c r="E261" s="127" t="s">
        <v>387</v>
      </c>
      <c r="F261" s="667"/>
      <c r="G261" s="64"/>
      <c r="H261" s="61"/>
      <c r="I261" s="67"/>
      <c r="J261" s="62"/>
      <c r="K261" s="121">
        <v>5.51389</v>
      </c>
      <c r="L261" s="608"/>
      <c r="M261" s="62"/>
      <c r="N261" s="355"/>
      <c r="O261" s="603"/>
      <c r="P261" s="62"/>
      <c r="Q261" s="355"/>
      <c r="R261" s="603"/>
      <c r="S261" s="62"/>
      <c r="T261" s="355"/>
      <c r="U261" s="62"/>
      <c r="V261" s="62"/>
      <c r="W261" s="89"/>
      <c r="X261" s="87"/>
      <c r="Y261" s="642"/>
      <c r="Z261" s="650"/>
      <c r="AA261" s="650"/>
      <c r="AB261" s="399"/>
      <c r="AC261" s="618"/>
      <c r="AD261" s="168"/>
      <c r="AE261" s="168"/>
      <c r="AF261" s="619">
        <f>+AJ261*(1+AK261)</f>
        <v>4.1354174999999995E-3</v>
      </c>
      <c r="AG261" s="620">
        <f>+AJ261*(1+AL261)</f>
        <v>4.1354174999999995E-3</v>
      </c>
      <c r="AH261" s="617">
        <v>2008</v>
      </c>
      <c r="AI261" s="650"/>
      <c r="AJ261" s="650">
        <f>+K261/1000</f>
        <v>5.5138899999999996E-3</v>
      </c>
      <c r="AK261" s="399">
        <v>-0.25</v>
      </c>
      <c r="AL261" s="618">
        <f>AK261</f>
        <v>-0.25</v>
      </c>
      <c r="AM261" s="210"/>
      <c r="AN261" s="168"/>
      <c r="AO261" s="170"/>
      <c r="AP261" s="86"/>
      <c r="AQ261" s="272"/>
      <c r="AR261" s="34"/>
      <c r="AS261" s="442"/>
      <c r="AT261" s="395"/>
      <c r="AU261" s="443"/>
      <c r="AV261" s="168"/>
      <c r="AW261" s="168"/>
      <c r="AX261" s="170"/>
      <c r="AY261" s="86"/>
      <c r="AZ261" s="272"/>
      <c r="BA261" s="51"/>
      <c r="BB261" s="34"/>
      <c r="BC261" s="156"/>
      <c r="BD261" s="341"/>
      <c r="BE261" s="210"/>
      <c r="BF261" s="168"/>
      <c r="BG261" s="619"/>
      <c r="BH261" s="620"/>
      <c r="BI261" s="617"/>
      <c r="BJ261" s="642"/>
      <c r="BK261" s="650"/>
      <c r="BL261" s="399"/>
      <c r="BM261" s="652"/>
      <c r="BN261" s="210"/>
      <c r="BO261" s="168"/>
      <c r="BP261" s="23">
        <f>BT261*(1+BU261)</f>
        <v>0</v>
      </c>
      <c r="BQ261" s="24">
        <f>BT261*(1+BV261)</f>
        <v>0</v>
      </c>
      <c r="BR261" s="642">
        <v>2008</v>
      </c>
      <c r="BS261" s="434"/>
      <c r="BT261" s="434">
        <f>+N261/1000</f>
        <v>0</v>
      </c>
      <c r="BU261" s="399">
        <v>-1</v>
      </c>
      <c r="BV261" s="618">
        <f>BU261</f>
        <v>-1</v>
      </c>
      <c r="BW261" s="141"/>
      <c r="BX261" s="311"/>
      <c r="BY261" s="669"/>
    </row>
    <row r="262" spans="1:77" ht="15" customHeight="1" x14ac:dyDescent="0.2">
      <c r="A262" s="56" t="s">
        <v>38</v>
      </c>
      <c r="B262" s="668" t="s">
        <v>69</v>
      </c>
      <c r="C262" s="637" t="s">
        <v>391</v>
      </c>
      <c r="D262" s="544">
        <v>448</v>
      </c>
      <c r="E262" s="127" t="s">
        <v>2591</v>
      </c>
      <c r="F262" s="667"/>
      <c r="G262" s="64"/>
      <c r="H262" s="656"/>
      <c r="I262" s="67"/>
      <c r="J262" s="62"/>
      <c r="K262" s="62"/>
      <c r="L262" s="608">
        <v>2009</v>
      </c>
      <c r="M262" s="62"/>
      <c r="N262" s="355">
        <v>10.3</v>
      </c>
      <c r="O262" s="603"/>
      <c r="P262" s="62"/>
      <c r="Q262" s="355">
        <v>9.1392860000000002</v>
      </c>
      <c r="R262" s="603"/>
      <c r="S262" s="62"/>
      <c r="T262" s="355"/>
      <c r="U262" s="62"/>
      <c r="V262" s="62"/>
      <c r="W262" s="89">
        <f>AA262*(1+AB262)</f>
        <v>8.2400000000000008E-3</v>
      </c>
      <c r="X262" s="87">
        <f>AA262*(1+AC262)</f>
        <v>8.2400000000000008E-3</v>
      </c>
      <c r="Y262" s="642">
        <v>2009</v>
      </c>
      <c r="Z262" s="434"/>
      <c r="AA262" s="650">
        <f>+N262/1000</f>
        <v>1.03E-2</v>
      </c>
      <c r="AB262" s="399">
        <v>-0.2</v>
      </c>
      <c r="AC262" s="618">
        <f>AB262</f>
        <v>-0.2</v>
      </c>
      <c r="AD262" s="168"/>
      <c r="AE262" s="168"/>
      <c r="AF262" s="619"/>
      <c r="AG262" s="620"/>
      <c r="AH262" s="617"/>
      <c r="AI262" s="650"/>
      <c r="AJ262" s="650"/>
      <c r="AK262" s="399"/>
      <c r="AL262" s="618"/>
      <c r="AM262" s="210"/>
      <c r="AN262" s="168"/>
      <c r="AO262" s="89">
        <f t="shared" ref="AO262" si="149">AS262*(1+AT262)</f>
        <v>6.1799999999999997E-3</v>
      </c>
      <c r="AP262" s="87">
        <f t="shared" ref="AP262" si="150">AS262*(1+AU262)</f>
        <v>6.1799999999999997E-3</v>
      </c>
      <c r="AQ262" s="272">
        <v>2009</v>
      </c>
      <c r="AR262" s="34"/>
      <c r="AS262" s="657">
        <f>N262/1000</f>
        <v>1.03E-2</v>
      </c>
      <c r="AT262" s="395">
        <v>-0.4</v>
      </c>
      <c r="AU262" s="443">
        <f>AT262</f>
        <v>-0.4</v>
      </c>
      <c r="AV262" s="168"/>
      <c r="AW262" s="168"/>
      <c r="AX262" s="171"/>
      <c r="AY262" s="172"/>
      <c r="AZ262" s="272"/>
      <c r="BA262" s="34"/>
      <c r="BB262" s="657"/>
      <c r="BC262" s="395"/>
      <c r="BD262" s="670"/>
      <c r="BE262" s="210"/>
      <c r="BF262" s="168"/>
      <c r="BG262" s="619">
        <f>BK262*(1+BL262)</f>
        <v>0</v>
      </c>
      <c r="BH262" s="620">
        <f>BK262*(1+BM262)</f>
        <v>0</v>
      </c>
      <c r="BI262" s="617">
        <v>2009</v>
      </c>
      <c r="BJ262" s="642"/>
      <c r="BK262" s="650">
        <f>+N262/1000</f>
        <v>1.03E-2</v>
      </c>
      <c r="BL262" s="399">
        <v>-1</v>
      </c>
      <c r="BM262" s="652">
        <f>BL262</f>
        <v>-1</v>
      </c>
      <c r="BN262" s="210"/>
      <c r="BO262" s="168"/>
      <c r="BP262" s="615"/>
      <c r="BQ262" s="616"/>
      <c r="BR262" s="642"/>
      <c r="BS262" s="434"/>
      <c r="BT262" s="650"/>
      <c r="BU262" s="399"/>
      <c r="BV262" s="618"/>
      <c r="BW262" s="141"/>
      <c r="BX262" s="311"/>
      <c r="BY262" s="669" t="s">
        <v>393</v>
      </c>
    </row>
    <row r="263" spans="1:77" ht="15" customHeight="1" x14ac:dyDescent="0.2">
      <c r="A263" s="56" t="s">
        <v>38</v>
      </c>
      <c r="B263" s="637" t="s">
        <v>451</v>
      </c>
      <c r="C263" s="637"/>
      <c r="D263" s="544">
        <v>1360</v>
      </c>
      <c r="E263" s="127" t="s">
        <v>2917</v>
      </c>
      <c r="F263" s="667"/>
      <c r="G263" s="64"/>
      <c r="H263" s="61">
        <v>19.079999999999998</v>
      </c>
      <c r="I263" s="67"/>
      <c r="J263" s="62"/>
      <c r="K263" s="121"/>
      <c r="L263" s="608"/>
      <c r="M263" s="62"/>
      <c r="N263" s="355"/>
      <c r="O263" s="603"/>
      <c r="P263" s="62">
        <v>17.75</v>
      </c>
      <c r="Q263" s="355">
        <v>21.28</v>
      </c>
      <c r="R263" s="603"/>
      <c r="S263" s="62"/>
      <c r="T263" s="355"/>
      <c r="U263" s="62"/>
      <c r="V263" s="62"/>
      <c r="W263" s="89">
        <f>AA263*(1+AB263)</f>
        <v>1.908E-2</v>
      </c>
      <c r="X263" s="87">
        <f>AA263*(1+AC263)</f>
        <v>1.908E-2</v>
      </c>
      <c r="Y263" s="642">
        <v>1990</v>
      </c>
      <c r="Z263" s="434"/>
      <c r="AA263" s="650">
        <f>+H263/1000</f>
        <v>1.908E-2</v>
      </c>
      <c r="AB263" s="399">
        <v>0</v>
      </c>
      <c r="AC263" s="618">
        <f t="shared" ref="AC263:AC286" si="151">AB263</f>
        <v>0</v>
      </c>
      <c r="AD263" s="168"/>
      <c r="AE263" s="168"/>
      <c r="AF263" s="388"/>
      <c r="AG263" s="389"/>
      <c r="AH263" s="390"/>
      <c r="AI263" s="433"/>
      <c r="AJ263" s="433"/>
      <c r="AK263" s="156"/>
      <c r="AL263" s="284"/>
      <c r="AM263" s="210"/>
      <c r="AN263" s="168"/>
      <c r="AO263" s="170"/>
      <c r="AP263" s="86"/>
      <c r="AQ263" s="272"/>
      <c r="AR263" s="34"/>
      <c r="AS263" s="442"/>
      <c r="AT263" s="395"/>
      <c r="AU263" s="443"/>
      <c r="AV263" s="168"/>
      <c r="AW263" s="168"/>
      <c r="AX263" s="170"/>
      <c r="AY263" s="86"/>
      <c r="AZ263" s="272"/>
      <c r="BA263" s="51"/>
      <c r="BB263" s="34"/>
      <c r="BC263" s="156"/>
      <c r="BD263" s="341"/>
      <c r="BE263" s="210"/>
      <c r="BF263" s="168"/>
      <c r="BG263" s="619"/>
      <c r="BH263" s="620"/>
      <c r="BI263" s="617"/>
      <c r="BJ263" s="642"/>
      <c r="BK263" s="650"/>
      <c r="BL263" s="399"/>
      <c r="BM263" s="652"/>
      <c r="BN263" s="210"/>
      <c r="BO263" s="168"/>
      <c r="BP263" s="619"/>
      <c r="BQ263" s="620"/>
      <c r="BR263" s="617"/>
      <c r="BS263" s="642"/>
      <c r="BT263" s="650"/>
      <c r="BU263" s="399"/>
      <c r="BV263" s="618"/>
      <c r="BW263" s="141"/>
      <c r="BX263" s="311"/>
      <c r="BY263" s="139"/>
    </row>
    <row r="264" spans="1:77" ht="15" customHeight="1" x14ac:dyDescent="0.2">
      <c r="A264" s="56" t="s">
        <v>38</v>
      </c>
      <c r="B264" s="637" t="s">
        <v>2481</v>
      </c>
      <c r="C264" s="637"/>
      <c r="D264" s="544">
        <v>12840</v>
      </c>
      <c r="E264" s="127" t="s">
        <v>2480</v>
      </c>
      <c r="F264" s="667"/>
      <c r="G264" s="64"/>
      <c r="H264" s="61">
        <v>231</v>
      </c>
      <c r="I264" s="67"/>
      <c r="J264" s="62"/>
      <c r="K264" s="121"/>
      <c r="L264" s="608"/>
      <c r="M264" s="62"/>
      <c r="N264" s="355"/>
      <c r="O264" s="603"/>
      <c r="P264" s="62"/>
      <c r="Q264" s="355"/>
      <c r="R264" s="603"/>
      <c r="S264" s="62"/>
      <c r="T264" s="355"/>
      <c r="U264" s="62"/>
      <c r="V264" s="62"/>
      <c r="W264" s="89">
        <f>AA264*(1+AB264)</f>
        <v>0.23100000000000001</v>
      </c>
      <c r="X264" s="87">
        <f>AA264*(1+AC264)</f>
        <v>0.23100000000000001</v>
      </c>
      <c r="Y264" s="642">
        <v>1990</v>
      </c>
      <c r="Z264" s="434"/>
      <c r="AA264" s="650">
        <f>+H264/1000</f>
        <v>0.23100000000000001</v>
      </c>
      <c r="AB264" s="399">
        <v>0</v>
      </c>
      <c r="AC264" s="618">
        <f t="shared" si="151"/>
        <v>0</v>
      </c>
      <c r="AD264" s="168"/>
      <c r="AE264" s="168"/>
      <c r="AF264" s="388"/>
      <c r="AG264" s="389"/>
      <c r="AH264" s="390"/>
      <c r="AI264" s="433"/>
      <c r="AJ264" s="433"/>
      <c r="AK264" s="156"/>
      <c r="AL264" s="284"/>
      <c r="AM264" s="210"/>
      <c r="AN264" s="168"/>
      <c r="AO264" s="170"/>
      <c r="AP264" s="86"/>
      <c r="AQ264" s="272"/>
      <c r="AR264" s="34"/>
      <c r="AS264" s="442"/>
      <c r="AT264" s="395"/>
      <c r="AU264" s="443"/>
      <c r="AV264" s="168"/>
      <c r="AW264" s="168"/>
      <c r="AX264" s="170"/>
      <c r="AY264" s="86"/>
      <c r="AZ264" s="272"/>
      <c r="BA264" s="51"/>
      <c r="BB264" s="34"/>
      <c r="BC264" s="156"/>
      <c r="BD264" s="341"/>
      <c r="BE264" s="210"/>
      <c r="BF264" s="168"/>
      <c r="BG264" s="619"/>
      <c r="BH264" s="620"/>
      <c r="BI264" s="617"/>
      <c r="BJ264" s="642"/>
      <c r="BK264" s="650"/>
      <c r="BL264" s="399"/>
      <c r="BM264" s="652"/>
      <c r="BN264" s="210"/>
      <c r="BO264" s="168"/>
      <c r="BP264" s="619">
        <f t="shared" ref="BP264:BP266" si="152">BT264*(1+BV264)</f>
        <v>9.240000000000001E-2</v>
      </c>
      <c r="BQ264" s="620">
        <f t="shared" ref="BQ264:BQ266" si="153">BT264*(1+BU264)</f>
        <v>9.240000000000001E-2</v>
      </c>
      <c r="BR264" s="617">
        <v>1990</v>
      </c>
      <c r="BS264" s="642"/>
      <c r="BT264" s="650">
        <f>+H264/1000</f>
        <v>0.23100000000000001</v>
      </c>
      <c r="BU264" s="399">
        <v>-0.6</v>
      </c>
      <c r="BV264" s="618">
        <f t="shared" ref="BV264:BV266" si="154">BU264</f>
        <v>-0.6</v>
      </c>
      <c r="BW264" s="141"/>
      <c r="BX264" s="311"/>
      <c r="BY264" s="669" t="s">
        <v>2482</v>
      </c>
    </row>
    <row r="265" spans="1:77" s="14" customFormat="1" ht="15" customHeight="1" x14ac:dyDescent="0.2">
      <c r="A265" s="56" t="s">
        <v>38</v>
      </c>
      <c r="B265" s="637" t="s">
        <v>477</v>
      </c>
      <c r="C265" s="924" t="s">
        <v>384</v>
      </c>
      <c r="D265" s="925">
        <v>2705.9940000000001</v>
      </c>
      <c r="E265" s="161" t="s">
        <v>2102</v>
      </c>
      <c r="F265" s="667"/>
      <c r="G265" s="64"/>
      <c r="H265" s="61">
        <v>32.299999999999997</v>
      </c>
      <c r="I265" s="266"/>
      <c r="J265" s="62"/>
      <c r="K265" s="121">
        <f>36.700027</f>
        <v>36.700026999999999</v>
      </c>
      <c r="L265" s="608"/>
      <c r="M265" s="62"/>
      <c r="N265" s="355">
        <v>33.545577000000002</v>
      </c>
      <c r="O265" s="603"/>
      <c r="P265" s="62"/>
      <c r="Q265" s="355">
        <v>30.955862</v>
      </c>
      <c r="R265" s="603"/>
      <c r="S265" s="62"/>
      <c r="T265" s="355"/>
      <c r="U265" s="62"/>
      <c r="V265" s="62"/>
      <c r="W265" s="89"/>
      <c r="X265" s="87"/>
      <c r="Y265" s="642"/>
      <c r="Z265" s="434"/>
      <c r="AA265" s="650"/>
      <c r="AB265" s="399"/>
      <c r="AC265" s="618"/>
      <c r="AD265" s="168"/>
      <c r="AE265" s="168"/>
      <c r="AF265" s="89">
        <f>AJ265*(1+AK265)</f>
        <v>2.7158019979999996E-2</v>
      </c>
      <c r="AG265" s="87">
        <f>AJ265*(1+AL265)</f>
        <v>2.7158019979999996E-2</v>
      </c>
      <c r="AH265" s="642">
        <v>2005</v>
      </c>
      <c r="AI265" s="434"/>
      <c r="AJ265" s="650">
        <f>+K265/1000</f>
        <v>3.6700026999999996E-2</v>
      </c>
      <c r="AK265" s="399">
        <v>-0.26</v>
      </c>
      <c r="AL265" s="618">
        <f>AK265</f>
        <v>-0.26</v>
      </c>
      <c r="AM265" s="210"/>
      <c r="AN265" s="168"/>
      <c r="AO265" s="170"/>
      <c r="AP265" s="86"/>
      <c r="AQ265" s="272"/>
      <c r="AR265" s="34"/>
      <c r="AS265" s="442"/>
      <c r="AT265" s="395"/>
      <c r="AU265" s="443"/>
      <c r="AV265" s="168"/>
      <c r="AW265" s="168"/>
      <c r="AX265" s="170"/>
      <c r="AY265" s="86"/>
      <c r="AZ265" s="272"/>
      <c r="BA265" s="51"/>
      <c r="BB265" s="34"/>
      <c r="BC265" s="156"/>
      <c r="BD265" s="341"/>
      <c r="BE265" s="210"/>
      <c r="BF265" s="168"/>
      <c r="BG265" s="619"/>
      <c r="BH265" s="620"/>
      <c r="BI265" s="617"/>
      <c r="BJ265" s="642"/>
      <c r="BK265" s="650"/>
      <c r="BL265" s="399"/>
      <c r="BM265" s="652"/>
      <c r="BN265" s="210"/>
      <c r="BO265" s="168"/>
      <c r="BP265" s="619">
        <f t="shared" ref="BP265" si="155">BT265*(1+BV265)</f>
        <v>6.4599999999999979E-3</v>
      </c>
      <c r="BQ265" s="620">
        <f t="shared" ref="BQ265" si="156">BT265*(1+BU265)</f>
        <v>6.4599999999999979E-3</v>
      </c>
      <c r="BR265" s="617">
        <v>1990</v>
      </c>
      <c r="BS265" s="642"/>
      <c r="BT265" s="650">
        <f>+H265/1000</f>
        <v>3.2299999999999995E-2</v>
      </c>
      <c r="BU265" s="399">
        <v>-0.8</v>
      </c>
      <c r="BV265" s="618">
        <f t="shared" ref="BV265" si="157">BU265</f>
        <v>-0.8</v>
      </c>
      <c r="BW265" s="429"/>
      <c r="BX265" s="926"/>
      <c r="BY265" s="430"/>
    </row>
    <row r="266" spans="1:77" ht="15" customHeight="1" x14ac:dyDescent="0.2">
      <c r="A266" s="56" t="s">
        <v>38</v>
      </c>
      <c r="B266" s="637" t="s">
        <v>477</v>
      </c>
      <c r="C266" s="637" t="s">
        <v>2820</v>
      </c>
      <c r="D266" s="544">
        <v>75.602999999999994</v>
      </c>
      <c r="E266" s="127" t="s">
        <v>387</v>
      </c>
      <c r="F266" s="667"/>
      <c r="G266" s="64"/>
      <c r="H266" s="61"/>
      <c r="I266" s="67"/>
      <c r="J266" s="62"/>
      <c r="K266" s="121">
        <v>1.0186679999999999</v>
      </c>
      <c r="L266" s="608"/>
      <c r="M266" s="62"/>
      <c r="N266" s="355"/>
      <c r="O266" s="603"/>
      <c r="P266" s="62"/>
      <c r="Q266" s="355"/>
      <c r="R266" s="603"/>
      <c r="S266" s="62"/>
      <c r="T266" s="355"/>
      <c r="U266" s="62"/>
      <c r="V266" s="62"/>
      <c r="W266" s="89"/>
      <c r="X266" s="87"/>
      <c r="Y266" s="642"/>
      <c r="Z266" s="434"/>
      <c r="AA266" s="650"/>
      <c r="AB266" s="399"/>
      <c r="AC266" s="618"/>
      <c r="AD266" s="168"/>
      <c r="AE266" s="168"/>
      <c r="AF266" s="619">
        <f>+AJ266*(1+AK266)</f>
        <v>7.3344095999999988E-4</v>
      </c>
      <c r="AG266" s="620">
        <f>+AJ266*(1+AL266)</f>
        <v>7.3344095999999988E-4</v>
      </c>
      <c r="AH266" s="617">
        <v>2005</v>
      </c>
      <c r="AI266" s="650"/>
      <c r="AJ266" s="650">
        <f>+K266/1000</f>
        <v>1.0186679999999999E-3</v>
      </c>
      <c r="AK266" s="399">
        <v>-0.28000000000000003</v>
      </c>
      <c r="AL266" s="618">
        <f>AK266</f>
        <v>-0.28000000000000003</v>
      </c>
      <c r="AM266" s="210"/>
      <c r="AN266" s="168"/>
      <c r="AO266" s="170"/>
      <c r="AP266" s="86"/>
      <c r="AQ266" s="272"/>
      <c r="AR266" s="34"/>
      <c r="AS266" s="442"/>
      <c r="AT266" s="395"/>
      <c r="AU266" s="443"/>
      <c r="AV266" s="168"/>
      <c r="AW266" s="168"/>
      <c r="AX266" s="170"/>
      <c r="AY266" s="86"/>
      <c r="AZ266" s="272"/>
      <c r="BA266" s="51"/>
      <c r="BB266" s="34"/>
      <c r="BC266" s="156"/>
      <c r="BD266" s="341"/>
      <c r="BE266" s="210"/>
      <c r="BF266" s="168"/>
      <c r="BG266" s="619"/>
      <c r="BH266" s="620"/>
      <c r="BI266" s="617"/>
      <c r="BJ266" s="642"/>
      <c r="BK266" s="650"/>
      <c r="BL266" s="399"/>
      <c r="BM266" s="652"/>
      <c r="BN266" s="210"/>
      <c r="BO266" s="168"/>
      <c r="BP266" s="619">
        <f t="shared" si="152"/>
        <v>0</v>
      </c>
      <c r="BQ266" s="620">
        <f t="shared" si="153"/>
        <v>0</v>
      </c>
      <c r="BR266" s="617">
        <v>2005</v>
      </c>
      <c r="BS266" s="642"/>
      <c r="BT266" s="650">
        <f>+K266/1000</f>
        <v>1.0186679999999999E-3</v>
      </c>
      <c r="BU266" s="399">
        <v>-1</v>
      </c>
      <c r="BV266" s="618">
        <f t="shared" si="154"/>
        <v>-1</v>
      </c>
      <c r="BW266" s="141"/>
      <c r="BX266" s="311"/>
      <c r="BY266" s="669"/>
    </row>
    <row r="267" spans="1:77" ht="15" customHeight="1" x14ac:dyDescent="0.2">
      <c r="A267" s="56" t="s">
        <v>38</v>
      </c>
      <c r="B267" s="637" t="s">
        <v>477</v>
      </c>
      <c r="C267" s="637" t="s">
        <v>2194</v>
      </c>
      <c r="D267" s="544">
        <v>19.446000000000002</v>
      </c>
      <c r="E267" s="127" t="s">
        <v>2195</v>
      </c>
      <c r="F267" s="667"/>
      <c r="G267" s="64"/>
      <c r="H267" s="61"/>
      <c r="I267" s="958">
        <v>2007</v>
      </c>
      <c r="J267" s="62"/>
      <c r="K267" s="672">
        <v>0.402364</v>
      </c>
      <c r="L267" s="608"/>
      <c r="M267" s="62"/>
      <c r="N267" s="355"/>
      <c r="O267" s="603"/>
      <c r="P267" s="62"/>
      <c r="Q267" s="357">
        <f>0.3218918</f>
        <v>0.32189180000000001</v>
      </c>
      <c r="R267" s="603"/>
      <c r="S267" s="62"/>
      <c r="T267" s="357"/>
      <c r="U267" s="62"/>
      <c r="V267" s="62"/>
      <c r="W267" s="674"/>
      <c r="X267" s="675"/>
      <c r="Y267" s="642"/>
      <c r="Z267" s="650"/>
      <c r="AA267" s="650"/>
      <c r="AB267" s="400"/>
      <c r="AC267" s="680"/>
      <c r="AD267" s="168"/>
      <c r="AE267" s="168"/>
      <c r="AF267" s="388"/>
      <c r="AG267" s="389"/>
      <c r="AH267" s="390"/>
      <c r="AI267" s="433"/>
      <c r="AJ267" s="433"/>
      <c r="AK267" s="156"/>
      <c r="AL267" s="284"/>
      <c r="AM267" s="210"/>
      <c r="AN267" s="168"/>
      <c r="AO267" s="89">
        <f>AS267*(1+AT267)</f>
        <v>3.218912E-4</v>
      </c>
      <c r="AP267" s="87">
        <f>AS267*(1+AU267)</f>
        <v>3.218912E-4</v>
      </c>
      <c r="AQ267" s="272">
        <v>2007</v>
      </c>
      <c r="AR267" s="34"/>
      <c r="AS267" s="657">
        <f>+K267/1000</f>
        <v>4.02364E-4</v>
      </c>
      <c r="AT267" s="395">
        <v>-0.2</v>
      </c>
      <c r="AU267" s="443">
        <f>AT267</f>
        <v>-0.2</v>
      </c>
      <c r="AV267" s="168"/>
      <c r="AW267" s="168"/>
      <c r="AX267" s="757"/>
      <c r="AY267" s="758"/>
      <c r="AZ267" s="272"/>
      <c r="BA267" s="34"/>
      <c r="BB267" s="756"/>
      <c r="BC267" s="395"/>
      <c r="BD267" s="670"/>
      <c r="BE267" s="210"/>
      <c r="BF267" s="168"/>
      <c r="BG267" s="619"/>
      <c r="BH267" s="620"/>
      <c r="BI267" s="617"/>
      <c r="BJ267" s="642"/>
      <c r="BK267" s="650"/>
      <c r="BL267" s="399"/>
      <c r="BM267" s="652"/>
      <c r="BN267" s="210"/>
      <c r="BO267" s="168"/>
      <c r="BP267" s="619"/>
      <c r="BQ267" s="620"/>
      <c r="BR267" s="617"/>
      <c r="BS267" s="642"/>
      <c r="BT267" s="650"/>
      <c r="BU267" s="399"/>
      <c r="BV267" s="618"/>
      <c r="BW267" s="141"/>
      <c r="BX267" s="311"/>
      <c r="BY267" s="139"/>
    </row>
    <row r="268" spans="1:77" ht="15" customHeight="1" x14ac:dyDescent="0.2">
      <c r="A268" s="56" t="s">
        <v>38</v>
      </c>
      <c r="B268" s="637" t="s">
        <v>477</v>
      </c>
      <c r="C268" s="637" t="s">
        <v>566</v>
      </c>
      <c r="D268" s="544">
        <v>41</v>
      </c>
      <c r="E268" s="127" t="s">
        <v>392</v>
      </c>
      <c r="F268" s="667"/>
      <c r="G268" s="64"/>
      <c r="H268" s="61"/>
      <c r="I268" s="958">
        <v>2007</v>
      </c>
      <c r="J268" s="62"/>
      <c r="K268" s="62">
        <v>0.53985499999999997</v>
      </c>
      <c r="L268" s="608"/>
      <c r="M268" s="62"/>
      <c r="N268" s="355"/>
      <c r="O268" s="603"/>
      <c r="P268" s="62"/>
      <c r="Q268" s="355"/>
      <c r="R268" s="603"/>
      <c r="S268" s="62"/>
      <c r="T268" s="355"/>
      <c r="U268" s="62"/>
      <c r="V268" s="62"/>
      <c r="W268" s="89"/>
      <c r="X268" s="87"/>
      <c r="Y268" s="642"/>
      <c r="Z268" s="650"/>
      <c r="AA268" s="650"/>
      <c r="AB268" s="399"/>
      <c r="AC268" s="618"/>
      <c r="AD268" s="168"/>
      <c r="AE268" s="168"/>
      <c r="AF268" s="388"/>
      <c r="AG268" s="389"/>
      <c r="AH268" s="390"/>
      <c r="AI268" s="433"/>
      <c r="AJ268" s="433"/>
      <c r="AK268" s="156"/>
      <c r="AL268" s="284"/>
      <c r="AM268" s="210"/>
      <c r="AN268" s="168"/>
      <c r="AO268" s="171"/>
      <c r="AP268" s="172"/>
      <c r="AQ268" s="272"/>
      <c r="AR268" s="34"/>
      <c r="AS268" s="657"/>
      <c r="AT268" s="395"/>
      <c r="AU268" s="443"/>
      <c r="AV268" s="168"/>
      <c r="AW268" s="168"/>
      <c r="AX268" s="170"/>
      <c r="AY268" s="86"/>
      <c r="AZ268" s="272"/>
      <c r="BA268" s="51"/>
      <c r="BB268" s="34"/>
      <c r="BC268" s="156"/>
      <c r="BD268" s="341"/>
      <c r="BE268" s="210"/>
      <c r="BF268" s="168"/>
      <c r="BG268" s="619">
        <f>BK268*(1+BL268)</f>
        <v>0</v>
      </c>
      <c r="BH268" s="620">
        <f>BK268*(1+BM268)</f>
        <v>0</v>
      </c>
      <c r="BI268" s="617">
        <v>2007</v>
      </c>
      <c r="BJ268" s="642"/>
      <c r="BK268" s="650">
        <f>+K268/1000</f>
        <v>5.39855E-4</v>
      </c>
      <c r="BL268" s="399">
        <v>-1</v>
      </c>
      <c r="BM268" s="652">
        <f>BL268</f>
        <v>-1</v>
      </c>
      <c r="BN268" s="210"/>
      <c r="BO268" s="168"/>
      <c r="BP268" s="619"/>
      <c r="BQ268" s="620"/>
      <c r="BR268" s="617"/>
      <c r="BS268" s="642"/>
      <c r="BT268" s="650"/>
      <c r="BU268" s="399"/>
      <c r="BV268" s="618"/>
      <c r="BW268" s="141"/>
      <c r="BX268" s="311"/>
      <c r="BY268" s="669" t="s">
        <v>565</v>
      </c>
    </row>
    <row r="269" spans="1:77" ht="15" customHeight="1" x14ac:dyDescent="0.2">
      <c r="A269" s="56" t="s">
        <v>38</v>
      </c>
      <c r="B269" s="637" t="s">
        <v>477</v>
      </c>
      <c r="C269" s="637" t="s">
        <v>3239</v>
      </c>
      <c r="D269" s="544">
        <v>21.21</v>
      </c>
      <c r="E269" s="127" t="s">
        <v>387</v>
      </c>
      <c r="F269" s="667"/>
      <c r="G269" s="64"/>
      <c r="H269" s="61"/>
      <c r="I269" s="958"/>
      <c r="J269" s="62"/>
      <c r="K269" s="62">
        <v>0.19867499999999999</v>
      </c>
      <c r="L269" s="608"/>
      <c r="M269" s="62"/>
      <c r="N269" s="355"/>
      <c r="O269" s="603"/>
      <c r="P269" s="62"/>
      <c r="Q269" s="355"/>
      <c r="R269" s="603"/>
      <c r="S269" s="62"/>
      <c r="T269" s="355"/>
      <c r="U269" s="62"/>
      <c r="V269" s="62"/>
      <c r="W269" s="89"/>
      <c r="X269" s="87"/>
      <c r="Y269" s="642"/>
      <c r="Z269" s="650"/>
      <c r="AA269" s="650"/>
      <c r="AB269" s="399"/>
      <c r="AC269" s="618"/>
      <c r="AD269" s="168"/>
      <c r="AE269" s="168"/>
      <c r="AF269" s="89">
        <f t="shared" ref="AF269" si="158">AJ269*(1+AK269)</f>
        <v>1.470195E-4</v>
      </c>
      <c r="AG269" s="87">
        <f t="shared" ref="AG269" si="159">AJ269*(1+AL269)</f>
        <v>1.470195E-4</v>
      </c>
      <c r="AH269" s="642">
        <v>2005</v>
      </c>
      <c r="AI269" s="650"/>
      <c r="AJ269" s="650">
        <f>K269/1000</f>
        <v>1.9867499999999999E-4</v>
      </c>
      <c r="AK269" s="399">
        <v>-0.26</v>
      </c>
      <c r="AL269" s="618">
        <f t="shared" ref="AL269" si="160">AK269</f>
        <v>-0.26</v>
      </c>
      <c r="AM269" s="210"/>
      <c r="AN269" s="168"/>
      <c r="AO269" s="171"/>
      <c r="AP269" s="172"/>
      <c r="AQ269" s="272"/>
      <c r="AR269" s="34"/>
      <c r="AS269" s="657"/>
      <c r="AT269" s="395"/>
      <c r="AU269" s="443"/>
      <c r="AV269" s="168"/>
      <c r="AW269" s="168"/>
      <c r="AX269" s="170"/>
      <c r="AY269" s="86"/>
      <c r="AZ269" s="272"/>
      <c r="BA269" s="51"/>
      <c r="BB269" s="34"/>
      <c r="BC269" s="156"/>
      <c r="BD269" s="341"/>
      <c r="BE269" s="210"/>
      <c r="BF269" s="168"/>
      <c r="BG269" s="619"/>
      <c r="BH269" s="620"/>
      <c r="BI269" s="617"/>
      <c r="BJ269" s="642"/>
      <c r="BK269" s="650"/>
      <c r="BL269" s="399"/>
      <c r="BM269" s="652"/>
      <c r="BN269" s="210"/>
      <c r="BO269" s="168"/>
      <c r="BP269" s="619"/>
      <c r="BQ269" s="620"/>
      <c r="BR269" s="617"/>
      <c r="BS269" s="642"/>
      <c r="BT269" s="650"/>
      <c r="BU269" s="399"/>
      <c r="BV269" s="618"/>
      <c r="BW269" s="141"/>
      <c r="BX269" s="311"/>
      <c r="BY269" s="669"/>
    </row>
    <row r="270" spans="1:77" ht="15" customHeight="1" x14ac:dyDescent="0.2">
      <c r="A270" s="56" t="s">
        <v>38</v>
      </c>
      <c r="B270" s="56" t="s">
        <v>3142</v>
      </c>
      <c r="C270" s="637" t="s">
        <v>2818</v>
      </c>
      <c r="D270" s="544">
        <v>57.881999999999998</v>
      </c>
      <c r="E270" s="127" t="s">
        <v>387</v>
      </c>
      <c r="F270" s="667"/>
      <c r="G270" s="64"/>
      <c r="H270" s="61"/>
      <c r="I270" s="958">
        <v>2003</v>
      </c>
      <c r="J270" s="62"/>
      <c r="K270" s="121">
        <v>1.2662340000000001</v>
      </c>
      <c r="L270" s="608"/>
      <c r="M270" s="62"/>
      <c r="N270" s="355"/>
      <c r="O270" s="603"/>
      <c r="P270" s="62"/>
      <c r="Q270" s="355"/>
      <c r="R270" s="603"/>
      <c r="S270" s="62"/>
      <c r="T270" s="355"/>
      <c r="U270" s="62"/>
      <c r="V270" s="62"/>
      <c r="W270" s="89"/>
      <c r="X270" s="87"/>
      <c r="Y270" s="642"/>
      <c r="Z270" s="434"/>
      <c r="AA270" s="650"/>
      <c r="AB270" s="399"/>
      <c r="AC270" s="618"/>
      <c r="AD270" s="168"/>
      <c r="AE270" s="168"/>
      <c r="AF270" s="388"/>
      <c r="AG270" s="389"/>
      <c r="AH270" s="390"/>
      <c r="AI270" s="433"/>
      <c r="AJ270" s="433"/>
      <c r="AK270" s="156"/>
      <c r="AL270" s="284"/>
      <c r="AM270" s="210"/>
      <c r="AN270" s="168"/>
      <c r="AO270" s="171">
        <f>AS270*(1+AT270)</f>
        <v>6.3311699999999999E-4</v>
      </c>
      <c r="AP270" s="172">
        <f>AS270*(1+AU270)</f>
        <v>6.3311699999999999E-4</v>
      </c>
      <c r="AQ270" s="272">
        <v>2003</v>
      </c>
      <c r="AR270" s="34"/>
      <c r="AS270" s="657">
        <f>+K270/1000</f>
        <v>1.266234E-3</v>
      </c>
      <c r="AT270" s="395">
        <v>-0.5</v>
      </c>
      <c r="AU270" s="443">
        <f>AT270</f>
        <v>-0.5</v>
      </c>
      <c r="AV270" s="168"/>
      <c r="AW270" s="168"/>
      <c r="AX270" s="170"/>
      <c r="AY270" s="86"/>
      <c r="AZ270" s="272"/>
      <c r="BA270" s="51"/>
      <c r="BB270" s="34"/>
      <c r="BC270" s="156"/>
      <c r="BD270" s="341"/>
      <c r="BE270" s="210"/>
      <c r="BF270" s="168"/>
      <c r="BG270" s="619"/>
      <c r="BH270" s="620"/>
      <c r="BI270" s="617"/>
      <c r="BJ270" s="642"/>
      <c r="BK270" s="650"/>
      <c r="BL270" s="399"/>
      <c r="BM270" s="652"/>
      <c r="BN270" s="210"/>
      <c r="BO270" s="168"/>
      <c r="BP270" s="615"/>
      <c r="BQ270" s="616"/>
      <c r="BR270" s="617"/>
      <c r="BS270" s="642"/>
      <c r="BT270" s="434"/>
      <c r="BU270" s="399"/>
      <c r="BV270" s="618"/>
      <c r="BW270" s="141"/>
      <c r="BX270" s="311"/>
      <c r="BY270" s="669"/>
    </row>
    <row r="271" spans="1:77" ht="15" customHeight="1" x14ac:dyDescent="0.2">
      <c r="A271" s="56" t="s">
        <v>38</v>
      </c>
      <c r="B271" s="637" t="s">
        <v>477</v>
      </c>
      <c r="C271" s="637" t="s">
        <v>2495</v>
      </c>
      <c r="D271" s="544">
        <v>76.290000000000006</v>
      </c>
      <c r="E271" s="127" t="s">
        <v>387</v>
      </c>
      <c r="F271" s="667"/>
      <c r="G271" s="64"/>
      <c r="H271" s="61"/>
      <c r="I271" s="266"/>
      <c r="J271" s="62"/>
      <c r="K271" s="1227">
        <v>1.2851680000000001</v>
      </c>
      <c r="L271" s="608">
        <v>2013</v>
      </c>
      <c r="M271" s="62"/>
      <c r="N271" s="357">
        <v>1.2986200000000001</v>
      </c>
      <c r="O271" s="603"/>
      <c r="P271" s="62"/>
      <c r="Q271" s="357">
        <v>0.98773500000000003</v>
      </c>
      <c r="R271" s="603"/>
      <c r="S271" s="62"/>
      <c r="T271" s="357"/>
      <c r="U271" s="62"/>
      <c r="V271" s="62"/>
      <c r="W271" s="89"/>
      <c r="X271" s="87"/>
      <c r="Y271" s="642"/>
      <c r="Z271" s="650"/>
      <c r="AA271" s="650"/>
      <c r="AB271" s="399"/>
      <c r="AC271" s="618"/>
      <c r="AD271" s="168"/>
      <c r="AE271" s="168"/>
      <c r="AF271" s="89">
        <f t="shared" ref="AF271" si="161">AJ271*(1+AK271)</f>
        <v>9.2532096000000005E-4</v>
      </c>
      <c r="AG271" s="87">
        <f t="shared" ref="AG271" si="162">AJ271*(1+AL271)</f>
        <v>9.2532096000000005E-4</v>
      </c>
      <c r="AH271" s="642">
        <v>2005</v>
      </c>
      <c r="AI271" s="650"/>
      <c r="AJ271" s="650">
        <f>K271/1000</f>
        <v>1.2851680000000002E-3</v>
      </c>
      <c r="AK271" s="399">
        <v>-0.28000000000000003</v>
      </c>
      <c r="AL271" s="618">
        <f t="shared" ref="AL271" si="163">AK271</f>
        <v>-0.28000000000000003</v>
      </c>
      <c r="AM271" s="210"/>
      <c r="AN271" s="168"/>
      <c r="AO271" s="171"/>
      <c r="AP271" s="172"/>
      <c r="AQ271" s="272"/>
      <c r="AR271" s="34"/>
      <c r="AS271" s="657"/>
      <c r="AT271" s="395"/>
      <c r="AU271" s="443"/>
      <c r="AV271" s="168"/>
      <c r="AW271" s="168"/>
      <c r="AX271" s="757"/>
      <c r="AY271" s="758"/>
      <c r="AZ271" s="272"/>
      <c r="BA271" s="34"/>
      <c r="BB271" s="756"/>
      <c r="BC271" s="395"/>
      <c r="BD271" s="670"/>
      <c r="BE271" s="210"/>
      <c r="BF271" s="168"/>
      <c r="BG271" s="619"/>
      <c r="BH271" s="620"/>
      <c r="BI271" s="617"/>
      <c r="BJ271" s="642"/>
      <c r="BK271" s="650"/>
      <c r="BL271" s="399"/>
      <c r="BM271" s="652"/>
      <c r="BN271" s="210"/>
      <c r="BO271" s="168"/>
      <c r="BP271" s="615">
        <f t="shared" ref="BP271" si="164">BT271*(1+BV271)</f>
        <v>2.5703359999999998E-4</v>
      </c>
      <c r="BQ271" s="616">
        <f t="shared" ref="BQ271" si="165">BT271*(1+BU271)</f>
        <v>2.5703359999999998E-4</v>
      </c>
      <c r="BR271" s="617">
        <v>2005</v>
      </c>
      <c r="BS271" s="642"/>
      <c r="BT271" s="434">
        <f>+K271/1000</f>
        <v>1.2851680000000002E-3</v>
      </c>
      <c r="BU271" s="399">
        <v>-0.8</v>
      </c>
      <c r="BV271" s="618">
        <f t="shared" ref="BV271" si="166">BU271</f>
        <v>-0.8</v>
      </c>
      <c r="BW271" s="141"/>
      <c r="BX271" s="311"/>
      <c r="BY271" s="669" t="s">
        <v>2741</v>
      </c>
    </row>
    <row r="272" spans="1:77" ht="15" customHeight="1" x14ac:dyDescent="0.2">
      <c r="A272" s="56" t="s">
        <v>38</v>
      </c>
      <c r="B272" s="56" t="s">
        <v>3144</v>
      </c>
      <c r="C272" s="637" t="s">
        <v>2821</v>
      </c>
      <c r="D272" s="544">
        <v>863</v>
      </c>
      <c r="E272" s="127" t="s">
        <v>387</v>
      </c>
      <c r="F272" s="667"/>
      <c r="G272" s="64"/>
      <c r="H272" s="61"/>
      <c r="I272" s="266"/>
      <c r="J272" s="62"/>
      <c r="K272" s="121"/>
      <c r="L272" s="608"/>
      <c r="M272" s="62"/>
      <c r="N272" s="355">
        <v>16.408065000000001</v>
      </c>
      <c r="O272" s="603"/>
      <c r="P272" s="62"/>
      <c r="Q272" s="355"/>
      <c r="R272" s="603"/>
      <c r="S272" s="62"/>
      <c r="T272" s="355"/>
      <c r="U272" s="62"/>
      <c r="V272" s="62"/>
      <c r="W272" s="89"/>
      <c r="X272" s="87"/>
      <c r="Y272" s="642"/>
      <c r="Z272" s="650"/>
      <c r="AA272" s="650"/>
      <c r="AB272" s="399"/>
      <c r="AC272" s="618"/>
      <c r="AD272" s="168"/>
      <c r="AE272" s="168"/>
      <c r="AF272" s="388"/>
      <c r="AG272" s="389"/>
      <c r="AH272" s="390"/>
      <c r="AI272" s="433"/>
      <c r="AJ272" s="433"/>
      <c r="AK272" s="156"/>
      <c r="AL272" s="284"/>
      <c r="AM272" s="210"/>
      <c r="AN272" s="168"/>
      <c r="AO272" s="171"/>
      <c r="AP272" s="172"/>
      <c r="AQ272" s="272"/>
      <c r="AR272" s="34"/>
      <c r="AS272" s="657"/>
      <c r="AT272" s="395"/>
      <c r="AU272" s="443"/>
      <c r="AV272" s="168"/>
      <c r="AW272" s="168"/>
      <c r="AX272" s="757"/>
      <c r="AY272" s="758"/>
      <c r="AZ272" s="272"/>
      <c r="BA272" s="34"/>
      <c r="BB272" s="756"/>
      <c r="BC272" s="395"/>
      <c r="BD272" s="670"/>
      <c r="BE272" s="210"/>
      <c r="BF272" s="168"/>
      <c r="BG272" s="619"/>
      <c r="BH272" s="620"/>
      <c r="BI272" s="617"/>
      <c r="BJ272" s="642"/>
      <c r="BK272" s="650"/>
      <c r="BL272" s="399"/>
      <c r="BM272" s="652"/>
      <c r="BN272" s="210"/>
      <c r="BO272" s="168"/>
      <c r="BP272" s="615">
        <f t="shared" ref="BP272" si="167">BT272*(1+BV272)</f>
        <v>0</v>
      </c>
      <c r="BQ272" s="616">
        <f t="shared" ref="BQ272" si="168">BT272*(1+BU272)</f>
        <v>0</v>
      </c>
      <c r="BR272" s="617">
        <v>2010</v>
      </c>
      <c r="BS272" s="642"/>
      <c r="BT272" s="434">
        <f>+N272/1000</f>
        <v>1.6408064999999999E-2</v>
      </c>
      <c r="BU272" s="399">
        <v>-1</v>
      </c>
      <c r="BV272" s="618">
        <f t="shared" ref="BV272" si="169">BU272</f>
        <v>-1</v>
      </c>
      <c r="BW272" s="141"/>
      <c r="BX272" s="311"/>
      <c r="BY272" s="139"/>
    </row>
    <row r="273" spans="1:77" ht="15" customHeight="1" x14ac:dyDescent="0.2">
      <c r="A273" s="56" t="s">
        <v>38</v>
      </c>
      <c r="B273" s="107" t="s">
        <v>477</v>
      </c>
      <c r="C273" s="637" t="s">
        <v>3225</v>
      </c>
      <c r="D273" s="544">
        <v>85.754999999999995</v>
      </c>
      <c r="E273" s="127" t="s">
        <v>387</v>
      </c>
      <c r="F273" s="667"/>
      <c r="G273" s="64"/>
      <c r="H273" s="61"/>
      <c r="I273" s="266"/>
      <c r="J273" s="62"/>
      <c r="K273" s="121"/>
      <c r="L273" s="608"/>
      <c r="M273" s="62"/>
      <c r="N273" s="355"/>
      <c r="O273" s="603">
        <v>2016</v>
      </c>
      <c r="P273" s="62"/>
      <c r="Q273" s="355">
        <v>1.3286100000000001</v>
      </c>
      <c r="R273" s="603"/>
      <c r="S273" s="62"/>
      <c r="T273" s="355"/>
      <c r="U273" s="62"/>
      <c r="V273" s="62"/>
      <c r="W273" s="89"/>
      <c r="X273" s="87"/>
      <c r="Y273" s="642"/>
      <c r="Z273" s="650"/>
      <c r="AA273" s="650"/>
      <c r="AB273" s="399"/>
      <c r="AC273" s="618"/>
      <c r="AD273" s="168"/>
      <c r="AE273" s="168"/>
      <c r="AF273" s="89">
        <f t="shared" ref="AF273" si="170">AJ273*(1+AK273)</f>
        <v>1.1824629000000001E-3</v>
      </c>
      <c r="AG273" s="87">
        <f t="shared" ref="AG273" si="171">AJ273*(1+AL273)</f>
        <v>1.1824629000000001E-3</v>
      </c>
      <c r="AH273" s="642">
        <v>2016</v>
      </c>
      <c r="AI273" s="650"/>
      <c r="AJ273" s="650">
        <f>Q273/1000</f>
        <v>1.32861E-3</v>
      </c>
      <c r="AK273" s="399">
        <v>-0.11</v>
      </c>
      <c r="AL273" s="618">
        <f t="shared" ref="AL273" si="172">AK273</f>
        <v>-0.11</v>
      </c>
      <c r="AM273" s="210"/>
      <c r="AN273" s="168"/>
      <c r="AO273" s="171"/>
      <c r="AP273" s="172"/>
      <c r="AQ273" s="272"/>
      <c r="AR273" s="34"/>
      <c r="AS273" s="657"/>
      <c r="AT273" s="395"/>
      <c r="AU273" s="443"/>
      <c r="AV273" s="168"/>
      <c r="AW273" s="168"/>
      <c r="AX273" s="757"/>
      <c r="AY273" s="758"/>
      <c r="AZ273" s="272"/>
      <c r="BA273" s="34"/>
      <c r="BB273" s="756"/>
      <c r="BC273" s="395"/>
      <c r="BD273" s="670"/>
      <c r="BE273" s="210"/>
      <c r="BF273" s="168"/>
      <c r="BG273" s="619"/>
      <c r="BH273" s="620"/>
      <c r="BI273" s="617"/>
      <c r="BJ273" s="642"/>
      <c r="BK273" s="650"/>
      <c r="BL273" s="399"/>
      <c r="BM273" s="652"/>
      <c r="BN273" s="210"/>
      <c r="BO273" s="168"/>
      <c r="BP273" s="615"/>
      <c r="BQ273" s="616"/>
      <c r="BR273" s="617"/>
      <c r="BS273" s="642"/>
      <c r="BT273" s="434"/>
      <c r="BU273" s="399"/>
      <c r="BV273" s="618"/>
      <c r="BW273" s="141"/>
      <c r="BX273" s="311"/>
      <c r="BY273" s="139"/>
    </row>
    <row r="274" spans="1:77" ht="15" customHeight="1" x14ac:dyDescent="0.2">
      <c r="A274" s="56" t="s">
        <v>38</v>
      </c>
      <c r="B274" s="56" t="s">
        <v>3145</v>
      </c>
      <c r="C274" s="637" t="s">
        <v>2150</v>
      </c>
      <c r="D274" s="544">
        <v>505.19799999999998</v>
      </c>
      <c r="E274" s="127" t="s">
        <v>2822</v>
      </c>
      <c r="F274" s="932">
        <v>2000</v>
      </c>
      <c r="G274" s="64"/>
      <c r="H274" s="61">
        <v>11.3</v>
      </c>
      <c r="I274" s="266"/>
      <c r="J274" s="62"/>
      <c r="K274" s="121">
        <v>9.9</v>
      </c>
      <c r="L274" s="608"/>
      <c r="M274" s="62"/>
      <c r="N274" s="355"/>
      <c r="O274" s="603"/>
      <c r="P274" s="62"/>
      <c r="Q274" s="355"/>
      <c r="R274" s="603"/>
      <c r="S274" s="62"/>
      <c r="T274" s="355"/>
      <c r="U274" s="62"/>
      <c r="V274" s="62"/>
      <c r="W274" s="89">
        <f t="shared" ref="W274" si="173">AA274*(1+AB274)</f>
        <v>7.9100000000000004E-3</v>
      </c>
      <c r="X274" s="87">
        <f t="shared" ref="X274" si="174">AA274*(1+AC274)</f>
        <v>7.9100000000000004E-3</v>
      </c>
      <c r="Y274" s="642">
        <v>2000</v>
      </c>
      <c r="Z274" s="650"/>
      <c r="AA274" s="650">
        <f>H274/1000</f>
        <v>1.1300000000000001E-2</v>
      </c>
      <c r="AB274" s="399">
        <v>-0.3</v>
      </c>
      <c r="AC274" s="618">
        <f t="shared" ref="AC274" si="175">AB274</f>
        <v>-0.3</v>
      </c>
      <c r="AD274" s="168"/>
      <c r="AE274" s="168"/>
      <c r="AF274" s="388"/>
      <c r="AG274" s="389"/>
      <c r="AH274" s="390"/>
      <c r="AI274" s="433"/>
      <c r="AJ274" s="433"/>
      <c r="AK274" s="156"/>
      <c r="AL274" s="284"/>
      <c r="AM274" s="210"/>
      <c r="AN274" s="168"/>
      <c r="AO274" s="171"/>
      <c r="AP274" s="172"/>
      <c r="AQ274" s="272"/>
      <c r="AR274" s="34"/>
      <c r="AS274" s="657"/>
      <c r="AT274" s="395"/>
      <c r="AU274" s="443"/>
      <c r="AV274" s="168"/>
      <c r="AW274" s="168"/>
      <c r="AX274" s="757"/>
      <c r="AY274" s="758"/>
      <c r="AZ274" s="272"/>
      <c r="BA274" s="34"/>
      <c r="BB274" s="756"/>
      <c r="BC274" s="395"/>
      <c r="BD274" s="670"/>
      <c r="BE274" s="210"/>
      <c r="BF274" s="168"/>
      <c r="BG274" s="619"/>
      <c r="BH274" s="620"/>
      <c r="BI274" s="617"/>
      <c r="BJ274" s="642"/>
      <c r="BK274" s="650"/>
      <c r="BL274" s="399"/>
      <c r="BM274" s="652"/>
      <c r="BN274" s="210"/>
      <c r="BO274" s="168"/>
      <c r="BP274" s="615">
        <f t="shared" ref="BP274" si="176">BT274*(1+BV274)</f>
        <v>2.2599999999999999E-3</v>
      </c>
      <c r="BQ274" s="616">
        <f t="shared" ref="BQ274" si="177">BT274*(1+BU274)</f>
        <v>2.2599999999999999E-3</v>
      </c>
      <c r="BR274" s="617">
        <v>2000</v>
      </c>
      <c r="BS274" s="642"/>
      <c r="BT274" s="434">
        <f>+H274/1000</f>
        <v>1.1300000000000001E-2</v>
      </c>
      <c r="BU274" s="399">
        <v>-0.8</v>
      </c>
      <c r="BV274" s="618">
        <f t="shared" ref="BV274" si="178">BU274</f>
        <v>-0.8</v>
      </c>
      <c r="BW274" s="141"/>
      <c r="BX274" s="311"/>
      <c r="BY274" s="669" t="s">
        <v>2151</v>
      </c>
    </row>
    <row r="275" spans="1:77" ht="15" customHeight="1" x14ac:dyDescent="0.2">
      <c r="A275" s="56" t="s">
        <v>38</v>
      </c>
      <c r="B275" s="637" t="s">
        <v>2889</v>
      </c>
      <c r="C275" s="637"/>
      <c r="D275" s="544">
        <v>4.4000000000000004</v>
      </c>
      <c r="E275" s="1265" t="s">
        <v>2888</v>
      </c>
      <c r="F275" s="667"/>
      <c r="G275" s="64"/>
      <c r="H275" s="61">
        <v>35.5</v>
      </c>
      <c r="I275" s="958"/>
      <c r="J275" s="62"/>
      <c r="K275" s="62"/>
      <c r="L275" s="608"/>
      <c r="M275" s="62"/>
      <c r="N275" s="355"/>
      <c r="O275" s="603"/>
      <c r="P275" s="62"/>
      <c r="Q275" s="355"/>
      <c r="R275" s="603"/>
      <c r="S275" s="62"/>
      <c r="T275" s="355"/>
      <c r="U275" s="62"/>
      <c r="V275" s="62"/>
      <c r="W275" s="89">
        <f>AA275*(1+AB275)</f>
        <v>2.8399999999999998E-2</v>
      </c>
      <c r="X275" s="87">
        <f>AA275*(1+AC275)</f>
        <v>2.8399999999999998E-2</v>
      </c>
      <c r="Y275" s="642">
        <v>1990</v>
      </c>
      <c r="Z275" s="434"/>
      <c r="AA275" s="650">
        <f>+H275/1000</f>
        <v>3.5499999999999997E-2</v>
      </c>
      <c r="AB275" s="399">
        <v>-0.2</v>
      </c>
      <c r="AC275" s="618">
        <f>AB275</f>
        <v>-0.2</v>
      </c>
      <c r="AD275" s="168"/>
      <c r="AE275" s="168"/>
      <c r="AF275" s="388"/>
      <c r="AG275" s="389"/>
      <c r="AH275" s="390"/>
      <c r="AI275" s="433"/>
      <c r="AJ275" s="433"/>
      <c r="AK275" s="156"/>
      <c r="AL275" s="284"/>
      <c r="AM275" s="210"/>
      <c r="AN275" s="168"/>
      <c r="AO275" s="171"/>
      <c r="AP275" s="172"/>
      <c r="AQ275" s="272"/>
      <c r="AR275" s="34"/>
      <c r="AS275" s="657"/>
      <c r="AT275" s="395"/>
      <c r="AU275" s="443"/>
      <c r="AV275" s="168"/>
      <c r="AW275" s="168"/>
      <c r="AX275" s="170"/>
      <c r="AY275" s="86"/>
      <c r="AZ275" s="272"/>
      <c r="BA275" s="51"/>
      <c r="BB275" s="34"/>
      <c r="BC275" s="156"/>
      <c r="BD275" s="341"/>
      <c r="BE275" s="210"/>
      <c r="BF275" s="168"/>
      <c r="BG275" s="619"/>
      <c r="BH275" s="620"/>
      <c r="BI275" s="617"/>
      <c r="BJ275" s="642"/>
      <c r="BK275" s="650"/>
      <c r="BL275" s="399"/>
      <c r="BM275" s="652"/>
      <c r="BN275" s="210"/>
      <c r="BO275" s="168"/>
      <c r="BP275" s="619"/>
      <c r="BQ275" s="620"/>
      <c r="BR275" s="617"/>
      <c r="BS275" s="642"/>
      <c r="BT275" s="650"/>
      <c r="BU275" s="399"/>
      <c r="BV275" s="618"/>
      <c r="BW275" s="141"/>
      <c r="BX275" s="311"/>
      <c r="BY275" s="669" t="s">
        <v>2888</v>
      </c>
    </row>
    <row r="276" spans="1:77" ht="15" customHeight="1" x14ac:dyDescent="0.2">
      <c r="A276" s="56" t="s">
        <v>38</v>
      </c>
      <c r="B276" s="56" t="s">
        <v>477</v>
      </c>
      <c r="C276" s="637" t="s">
        <v>2825</v>
      </c>
      <c r="D276" s="544">
        <v>765.35199999999998</v>
      </c>
      <c r="E276" s="127" t="s">
        <v>2826</v>
      </c>
      <c r="F276" s="667"/>
      <c r="G276" s="64"/>
      <c r="H276" s="61"/>
      <c r="I276" s="958"/>
      <c r="J276" s="62"/>
      <c r="K276" s="63"/>
      <c r="L276" s="608"/>
      <c r="M276" s="62"/>
      <c r="N276" s="355"/>
      <c r="O276" s="603">
        <v>2016</v>
      </c>
      <c r="P276" s="62"/>
      <c r="Q276" s="355">
        <v>16.000537000000001</v>
      </c>
      <c r="R276" s="603">
        <v>2016</v>
      </c>
      <c r="S276" s="62"/>
      <c r="T276" s="355">
        <v>16.000537000000001</v>
      </c>
      <c r="U276" s="62"/>
      <c r="V276" s="62"/>
      <c r="W276" s="89"/>
      <c r="X276" s="87"/>
      <c r="Y276" s="642"/>
      <c r="Z276" s="650"/>
      <c r="AA276" s="650"/>
      <c r="AB276" s="400"/>
      <c r="AC276" s="680"/>
      <c r="AD276" s="168"/>
      <c r="AE276" s="168"/>
      <c r="AF276" s="619"/>
      <c r="AG276" s="620"/>
      <c r="AH276" s="617"/>
      <c r="AI276" s="650"/>
      <c r="AJ276" s="650"/>
      <c r="AK276" s="399"/>
      <c r="AL276" s="618"/>
      <c r="AM276" s="210"/>
      <c r="AN276" s="168"/>
      <c r="AO276" s="171"/>
      <c r="AP276" s="172"/>
      <c r="AQ276" s="272"/>
      <c r="AR276" s="34"/>
      <c r="AS276" s="657"/>
      <c r="AT276" s="395"/>
      <c r="AU276" s="443"/>
      <c r="AV276" s="168"/>
      <c r="AW276" s="168"/>
      <c r="AX276" s="757"/>
      <c r="AY276" s="758"/>
      <c r="AZ276" s="272"/>
      <c r="BA276" s="34"/>
      <c r="BB276" s="756"/>
      <c r="BC276" s="395"/>
      <c r="BD276" s="670"/>
      <c r="BE276" s="210"/>
      <c r="BF276" s="168"/>
      <c r="BG276" s="615"/>
      <c r="BH276" s="616"/>
      <c r="BI276" s="617"/>
      <c r="BJ276" s="642"/>
      <c r="BK276" s="434"/>
      <c r="BL276" s="399"/>
      <c r="BM276" s="652"/>
      <c r="BN276" s="210"/>
      <c r="BO276" s="168"/>
      <c r="BP276" s="615">
        <f t="shared" ref="BP276" si="179">BT276*(1+BV276)</f>
        <v>3.2001073999999999E-3</v>
      </c>
      <c r="BQ276" s="616">
        <f t="shared" ref="BQ276" si="180">BT276*(1+BU276)</f>
        <v>3.2001073999999999E-3</v>
      </c>
      <c r="BR276" s="617">
        <v>2006</v>
      </c>
      <c r="BS276" s="642"/>
      <c r="BT276" s="434">
        <f>+Q276/1000</f>
        <v>1.6000537000000002E-2</v>
      </c>
      <c r="BU276" s="399">
        <v>-0.8</v>
      </c>
      <c r="BV276" s="618">
        <f t="shared" ref="BV276" si="181">BU276</f>
        <v>-0.8</v>
      </c>
      <c r="BW276" s="141"/>
      <c r="BX276" s="311"/>
      <c r="BY276" s="139"/>
    </row>
    <row r="277" spans="1:77" ht="15" customHeight="1" x14ac:dyDescent="0.2">
      <c r="A277" s="56" t="s">
        <v>38</v>
      </c>
      <c r="B277" s="56" t="s">
        <v>477</v>
      </c>
      <c r="C277" s="637" t="s">
        <v>2729</v>
      </c>
      <c r="D277" s="544">
        <v>310.79700000000003</v>
      </c>
      <c r="E277" s="127" t="s">
        <v>392</v>
      </c>
      <c r="F277" s="667"/>
      <c r="G277" s="64"/>
      <c r="H277" s="61"/>
      <c r="I277" s="958"/>
      <c r="J277" s="62"/>
      <c r="K277" s="63"/>
      <c r="L277" s="608"/>
      <c r="M277" s="62"/>
      <c r="N277" s="355">
        <v>6.5</v>
      </c>
      <c r="O277" s="603"/>
      <c r="P277" s="62"/>
      <c r="Q277" s="357"/>
      <c r="R277" s="603"/>
      <c r="S277" s="62"/>
      <c r="T277" s="357"/>
      <c r="U277" s="62"/>
      <c r="V277" s="62"/>
      <c r="W277" s="89"/>
      <c r="X277" s="87"/>
      <c r="Y277" s="642"/>
      <c r="Z277" s="650"/>
      <c r="AA277" s="650"/>
      <c r="AB277" s="400"/>
      <c r="AC277" s="680"/>
      <c r="AD277" s="168"/>
      <c r="AE277" s="168"/>
      <c r="AF277" s="619"/>
      <c r="AG277" s="620"/>
      <c r="AH277" s="617"/>
      <c r="AI277" s="650"/>
      <c r="AJ277" s="650"/>
      <c r="AK277" s="399"/>
      <c r="AL277" s="618"/>
      <c r="AM277" s="210"/>
      <c r="AN277" s="168"/>
      <c r="AO277" s="171"/>
      <c r="AP277" s="172"/>
      <c r="AQ277" s="272"/>
      <c r="AR277" s="34"/>
      <c r="AS277" s="657"/>
      <c r="AT277" s="395"/>
      <c r="AU277" s="443"/>
      <c r="AV277" s="168"/>
      <c r="AW277" s="168"/>
      <c r="AX277" s="757"/>
      <c r="AY277" s="758"/>
      <c r="AZ277" s="272"/>
      <c r="BA277" s="34"/>
      <c r="BB277" s="756"/>
      <c r="BC277" s="395"/>
      <c r="BD277" s="670"/>
      <c r="BE277" s="210"/>
      <c r="BF277" s="168"/>
      <c r="BG277" s="615">
        <f>BK277*(1+BL277)</f>
        <v>5.1999999999999998E-3</v>
      </c>
      <c r="BH277" s="616">
        <f>BK277*(1+BM277)</f>
        <v>5.1999999999999998E-3</v>
      </c>
      <c r="BI277" s="617">
        <v>2005</v>
      </c>
      <c r="BJ277" s="642"/>
      <c r="BK277" s="434">
        <f>N277/1000</f>
        <v>6.4999999999999997E-3</v>
      </c>
      <c r="BL277" s="399">
        <v>-0.2</v>
      </c>
      <c r="BM277" s="652">
        <f>BL277</f>
        <v>-0.2</v>
      </c>
      <c r="BN277" s="210"/>
      <c r="BO277" s="168"/>
      <c r="BP277" s="619"/>
      <c r="BQ277" s="620"/>
      <c r="BR277" s="617"/>
      <c r="BS277" s="642"/>
      <c r="BT277" s="650"/>
      <c r="BU277" s="399"/>
      <c r="BV277" s="618"/>
      <c r="BW277" s="141"/>
      <c r="BX277" s="311"/>
      <c r="BY277" s="139"/>
    </row>
    <row r="278" spans="1:77" ht="15" customHeight="1" x14ac:dyDescent="0.2">
      <c r="A278" s="56" t="s">
        <v>38</v>
      </c>
      <c r="B278" s="56" t="s">
        <v>3148</v>
      </c>
      <c r="C278" s="637"/>
      <c r="D278" s="544">
        <v>4658</v>
      </c>
      <c r="E278" s="127" t="s">
        <v>3271</v>
      </c>
      <c r="F278" s="667"/>
      <c r="G278" s="64"/>
      <c r="H278" s="61"/>
      <c r="I278" s="958"/>
      <c r="J278" s="62"/>
      <c r="K278" s="62">
        <v>228</v>
      </c>
      <c r="L278" s="608"/>
      <c r="M278" s="62"/>
      <c r="N278" s="355"/>
      <c r="O278" s="603"/>
      <c r="P278" s="62"/>
      <c r="Q278" s="357"/>
      <c r="R278" s="603"/>
      <c r="S278" s="62"/>
      <c r="T278" s="357"/>
      <c r="U278" s="62"/>
      <c r="V278" s="62"/>
      <c r="W278" s="89"/>
      <c r="X278" s="87"/>
      <c r="Y278" s="642"/>
      <c r="Z278" s="650"/>
      <c r="AA278" s="650"/>
      <c r="AB278" s="400"/>
      <c r="AC278" s="680"/>
      <c r="AD278" s="168"/>
      <c r="AE278" s="168"/>
      <c r="AF278" s="23">
        <f t="shared" ref="AF278" si="182">AJ278*(1+AK278)</f>
        <v>0.16872000000000001</v>
      </c>
      <c r="AG278" s="24">
        <f t="shared" ref="AG278" si="183">AJ278*(1+AL278)</f>
        <v>0.16416</v>
      </c>
      <c r="AH278" s="642">
        <v>2005</v>
      </c>
      <c r="AI278" s="650"/>
      <c r="AJ278" s="434">
        <f>K278/1000</f>
        <v>0.22800000000000001</v>
      </c>
      <c r="AK278" s="399">
        <v>-0.26</v>
      </c>
      <c r="AL278" s="618">
        <v>-0.28000000000000003</v>
      </c>
      <c r="AM278" s="210"/>
      <c r="AN278" s="168"/>
      <c r="AO278" s="23">
        <f>AS278*(1+AT278)</f>
        <v>0.1368</v>
      </c>
      <c r="AP278" s="24">
        <f>AS278*(1+AU278)</f>
        <v>0.114</v>
      </c>
      <c r="AQ278" s="642">
        <v>2005</v>
      </c>
      <c r="AR278" s="650"/>
      <c r="AS278" s="434">
        <f>K278/1000</f>
        <v>0.22800000000000001</v>
      </c>
      <c r="AT278" s="399">
        <v>-0.4</v>
      </c>
      <c r="AU278" s="618">
        <v>-0.5</v>
      </c>
      <c r="AV278" s="168"/>
      <c r="AW278" s="168"/>
      <c r="AX278" s="757"/>
      <c r="AY278" s="758"/>
      <c r="AZ278" s="272"/>
      <c r="BA278" s="34"/>
      <c r="BB278" s="756"/>
      <c r="BC278" s="395"/>
      <c r="BD278" s="670"/>
      <c r="BE278" s="210"/>
      <c r="BF278" s="168"/>
      <c r="BG278" s="615"/>
      <c r="BH278" s="616"/>
      <c r="BI278" s="617"/>
      <c r="BJ278" s="642"/>
      <c r="BK278" s="434"/>
      <c r="BL278" s="399"/>
      <c r="BM278" s="652"/>
      <c r="BN278" s="210"/>
      <c r="BO278" s="168"/>
      <c r="BP278" s="619"/>
      <c r="BQ278" s="620"/>
      <c r="BR278" s="617"/>
      <c r="BS278" s="642"/>
      <c r="BT278" s="650"/>
      <c r="BU278" s="399"/>
      <c r="BV278" s="618"/>
      <c r="BW278" s="141"/>
      <c r="BX278" s="311"/>
      <c r="BY278" s="139"/>
    </row>
    <row r="279" spans="1:77" ht="15" customHeight="1" x14ac:dyDescent="0.2">
      <c r="A279" s="56" t="s">
        <v>38</v>
      </c>
      <c r="B279" s="56" t="s">
        <v>477</v>
      </c>
      <c r="C279" s="637" t="s">
        <v>2498</v>
      </c>
      <c r="D279" s="544">
        <v>391</v>
      </c>
      <c r="E279" s="127" t="s">
        <v>387</v>
      </c>
      <c r="F279" s="667"/>
      <c r="G279" s="64"/>
      <c r="H279" s="61"/>
      <c r="I279" s="266"/>
      <c r="J279" s="62"/>
      <c r="K279" s="121"/>
      <c r="L279" s="608"/>
      <c r="M279" s="62"/>
      <c r="N279" s="355"/>
      <c r="O279" s="603">
        <v>2014</v>
      </c>
      <c r="P279" s="62"/>
      <c r="Q279" s="357">
        <v>3.6061990000000002</v>
      </c>
      <c r="R279" s="603"/>
      <c r="S279" s="62"/>
      <c r="T279" s="357"/>
      <c r="U279" s="62"/>
      <c r="V279" s="62"/>
      <c r="W279" s="89"/>
      <c r="X279" s="87"/>
      <c r="Y279" s="642"/>
      <c r="Z279" s="650"/>
      <c r="AA279" s="650"/>
      <c r="AB279" s="399"/>
      <c r="AC279" s="618"/>
      <c r="AD279" s="168"/>
      <c r="AE279" s="168"/>
      <c r="AF279" s="388"/>
      <c r="AG279" s="389"/>
      <c r="AH279" s="390"/>
      <c r="AI279" s="433"/>
      <c r="AJ279" s="433"/>
      <c r="AK279" s="156"/>
      <c r="AL279" s="284"/>
      <c r="AM279" s="210"/>
      <c r="AN279" s="168"/>
      <c r="AO279" s="171">
        <f>AS279*(1+AT279)</f>
        <v>1.8030995E-3</v>
      </c>
      <c r="AP279" s="172">
        <f>AS279*(1+AU279)</f>
        <v>1.8030995E-3</v>
      </c>
      <c r="AQ279" s="272">
        <v>2014</v>
      </c>
      <c r="AR279" s="34"/>
      <c r="AS279" s="657">
        <f>Q279/1000</f>
        <v>3.606199E-3</v>
      </c>
      <c r="AT279" s="395">
        <v>-0.5</v>
      </c>
      <c r="AU279" s="443">
        <f>AT279</f>
        <v>-0.5</v>
      </c>
      <c r="AV279" s="168"/>
      <c r="AW279" s="168"/>
      <c r="AX279" s="757"/>
      <c r="AY279" s="758"/>
      <c r="AZ279" s="272"/>
      <c r="BA279" s="34"/>
      <c r="BB279" s="756"/>
      <c r="BC279" s="395"/>
      <c r="BD279" s="670"/>
      <c r="BE279" s="210"/>
      <c r="BF279" s="168"/>
      <c r="BG279" s="619"/>
      <c r="BH279" s="620"/>
      <c r="BI279" s="617"/>
      <c r="BJ279" s="642"/>
      <c r="BK279" s="650"/>
      <c r="BL279" s="399"/>
      <c r="BM279" s="652"/>
      <c r="BN279" s="210"/>
      <c r="BO279" s="168"/>
      <c r="BP279" s="619"/>
      <c r="BQ279" s="620"/>
      <c r="BR279" s="617"/>
      <c r="BS279" s="642"/>
      <c r="BT279" s="650"/>
      <c r="BU279" s="399"/>
      <c r="BV279" s="618"/>
      <c r="BW279" s="141"/>
      <c r="BX279" s="311"/>
      <c r="BY279" s="139"/>
    </row>
    <row r="280" spans="1:77" ht="15" customHeight="1" x14ac:dyDescent="0.2">
      <c r="A280" s="56" t="s">
        <v>38</v>
      </c>
      <c r="B280" s="637" t="s">
        <v>2137</v>
      </c>
      <c r="C280" s="637"/>
      <c r="D280" s="544">
        <v>1328</v>
      </c>
      <c r="E280" s="127" t="s">
        <v>2138</v>
      </c>
      <c r="F280" s="667"/>
      <c r="G280" s="64"/>
      <c r="H280" s="61">
        <v>25.68</v>
      </c>
      <c r="I280" s="67"/>
      <c r="J280" s="62"/>
      <c r="K280" s="121"/>
      <c r="L280" s="608"/>
      <c r="M280" s="62"/>
      <c r="N280" s="355"/>
      <c r="O280" s="603"/>
      <c r="P280" s="62"/>
      <c r="Q280" s="355"/>
      <c r="R280" s="603"/>
      <c r="S280" s="62"/>
      <c r="T280" s="355"/>
      <c r="U280" s="62"/>
      <c r="V280" s="62"/>
      <c r="W280" s="89">
        <f>AA280*(1+AB280)</f>
        <v>2.3112000000000001E-2</v>
      </c>
      <c r="X280" s="87">
        <f>AA280*(1+AC280)</f>
        <v>2.3112000000000001E-2</v>
      </c>
      <c r="Y280" s="642">
        <v>1990</v>
      </c>
      <c r="Z280" s="434"/>
      <c r="AA280" s="650">
        <f>+H280/1000</f>
        <v>2.5680000000000001E-2</v>
      </c>
      <c r="AB280" s="399">
        <v>-0.1</v>
      </c>
      <c r="AC280" s="618">
        <f t="shared" si="151"/>
        <v>-0.1</v>
      </c>
      <c r="AD280" s="168"/>
      <c r="AE280" s="168"/>
      <c r="AF280" s="388"/>
      <c r="AG280" s="389"/>
      <c r="AH280" s="390"/>
      <c r="AI280" s="433"/>
      <c r="AJ280" s="433"/>
      <c r="AK280" s="156"/>
      <c r="AL280" s="284"/>
      <c r="AM280" s="210"/>
      <c r="AN280" s="168"/>
      <c r="AO280" s="23">
        <f>AS280*(1+AT280)</f>
        <v>1.4124000000000001E-2</v>
      </c>
      <c r="AP280" s="24">
        <f>AS280*(1+AU280)</f>
        <v>1.4124000000000001E-2</v>
      </c>
      <c r="AQ280" s="272">
        <v>1990</v>
      </c>
      <c r="AR280" s="34"/>
      <c r="AS280" s="442">
        <f>+H280/1000</f>
        <v>2.5680000000000001E-2</v>
      </c>
      <c r="AT280" s="395">
        <v>-0.45</v>
      </c>
      <c r="AU280" s="443">
        <f>AT280</f>
        <v>-0.45</v>
      </c>
      <c r="AV280" s="168"/>
      <c r="AW280" s="168"/>
      <c r="AX280" s="170"/>
      <c r="AY280" s="86"/>
      <c r="AZ280" s="272"/>
      <c r="BA280" s="51"/>
      <c r="BB280" s="34"/>
      <c r="BC280" s="156"/>
      <c r="BD280" s="341"/>
      <c r="BE280" s="210"/>
      <c r="BF280" s="168"/>
      <c r="BG280" s="619"/>
      <c r="BH280" s="620"/>
      <c r="BI280" s="617"/>
      <c r="BJ280" s="642"/>
      <c r="BK280" s="650"/>
      <c r="BL280" s="399"/>
      <c r="BM280" s="652"/>
      <c r="BN280" s="210"/>
      <c r="BO280" s="168"/>
      <c r="BP280" s="619">
        <f t="shared" ref="BP280" si="184">BT280*(1+BV280)</f>
        <v>0</v>
      </c>
      <c r="BQ280" s="620">
        <f t="shared" ref="BQ280" si="185">BT280*(1+BU280)</f>
        <v>0</v>
      </c>
      <c r="BR280" s="617">
        <v>1990</v>
      </c>
      <c r="BS280" s="642"/>
      <c r="BT280" s="650">
        <f>+H280/1000</f>
        <v>2.5680000000000001E-2</v>
      </c>
      <c r="BU280" s="399">
        <v>-1</v>
      </c>
      <c r="BV280" s="618">
        <v>-1</v>
      </c>
      <c r="BW280" s="141" t="s">
        <v>2835</v>
      </c>
      <c r="BX280" s="311"/>
      <c r="BY280" s="139"/>
    </row>
    <row r="281" spans="1:77" ht="15" customHeight="1" x14ac:dyDescent="0.2">
      <c r="A281" s="56" t="s">
        <v>38</v>
      </c>
      <c r="B281" s="637" t="s">
        <v>2137</v>
      </c>
      <c r="C281" s="637" t="s">
        <v>3246</v>
      </c>
      <c r="D281" s="544">
        <v>13.151</v>
      </c>
      <c r="E281" s="127" t="s">
        <v>387</v>
      </c>
      <c r="F281" s="667"/>
      <c r="G281" s="64"/>
      <c r="H281" s="61"/>
      <c r="I281" s="67"/>
      <c r="J281" s="62"/>
      <c r="K281" s="121"/>
      <c r="L281" s="608"/>
      <c r="M281" s="62"/>
      <c r="N281" s="355"/>
      <c r="O281" s="603"/>
      <c r="P281" s="62"/>
      <c r="Q281" s="355"/>
      <c r="R281" s="603">
        <v>2018</v>
      </c>
      <c r="S281" s="62"/>
      <c r="T281" s="355">
        <v>0.21687400000000001</v>
      </c>
      <c r="U281" s="62"/>
      <c r="V281" s="62"/>
      <c r="W281" s="89"/>
      <c r="X281" s="87"/>
      <c r="Y281" s="642"/>
      <c r="Z281" s="434"/>
      <c r="AA281" s="650"/>
      <c r="AB281" s="399"/>
      <c r="AC281" s="618"/>
      <c r="AD281" s="168"/>
      <c r="AE281" s="168"/>
      <c r="AF281" s="388"/>
      <c r="AG281" s="389"/>
      <c r="AH281" s="390"/>
      <c r="AI281" s="433"/>
      <c r="AJ281" s="433"/>
      <c r="AK281" s="156"/>
      <c r="AL281" s="284"/>
      <c r="AM281" s="210"/>
      <c r="AN281" s="168"/>
      <c r="AO281" s="89">
        <f>AS281*(1+AT281)</f>
        <v>1.0843700000000001E-4</v>
      </c>
      <c r="AP281" s="87">
        <f>AS281*(1+AU281)</f>
        <v>1.0843700000000001E-4</v>
      </c>
      <c r="AQ281" s="272">
        <v>2018</v>
      </c>
      <c r="AR281" s="34"/>
      <c r="AS281" s="657">
        <f>+T281/1000</f>
        <v>2.1687400000000001E-4</v>
      </c>
      <c r="AT281" s="395">
        <v>-0.5</v>
      </c>
      <c r="AU281" s="443">
        <f>AT281</f>
        <v>-0.5</v>
      </c>
      <c r="AV281" s="168"/>
      <c r="AW281" s="168"/>
      <c r="AX281" s="170"/>
      <c r="AY281" s="86"/>
      <c r="AZ281" s="272"/>
      <c r="BA281" s="51"/>
      <c r="BB281" s="34"/>
      <c r="BC281" s="156"/>
      <c r="BD281" s="341"/>
      <c r="BE281" s="210"/>
      <c r="BF281" s="168"/>
      <c r="BG281" s="619"/>
      <c r="BH281" s="620"/>
      <c r="BI281" s="617"/>
      <c r="BJ281" s="642"/>
      <c r="BK281" s="650"/>
      <c r="BL281" s="399"/>
      <c r="BM281" s="652"/>
      <c r="BN281" s="210"/>
      <c r="BO281" s="168"/>
      <c r="BP281" s="619"/>
      <c r="BQ281" s="620"/>
      <c r="BR281" s="617"/>
      <c r="BS281" s="642"/>
      <c r="BT281" s="650"/>
      <c r="BU281" s="399"/>
      <c r="BV281" s="618"/>
      <c r="BW281" s="141"/>
      <c r="BX281" s="311"/>
      <c r="BY281" s="139"/>
    </row>
    <row r="282" spans="1:77" ht="15" customHeight="1" x14ac:dyDescent="0.2">
      <c r="A282" s="56" t="s">
        <v>38</v>
      </c>
      <c r="B282" s="637" t="s">
        <v>2488</v>
      </c>
      <c r="C282" s="637"/>
      <c r="D282" s="544">
        <v>8025</v>
      </c>
      <c r="E282" s="127" t="s">
        <v>2489</v>
      </c>
      <c r="F282" s="667"/>
      <c r="G282" s="64"/>
      <c r="H282" s="61"/>
      <c r="I282" s="67">
        <v>2006</v>
      </c>
      <c r="J282" s="62">
        <v>95.44</v>
      </c>
      <c r="K282" s="121">
        <v>107.23</v>
      </c>
      <c r="L282" s="608"/>
      <c r="M282" s="62">
        <v>104</v>
      </c>
      <c r="N282" s="355">
        <v>115.75</v>
      </c>
      <c r="O282" s="603"/>
      <c r="P282" s="62">
        <v>113.51</v>
      </c>
      <c r="Q282" s="355">
        <v>125.26</v>
      </c>
      <c r="R282" s="603"/>
      <c r="S282" s="62"/>
      <c r="T282" s="355"/>
      <c r="U282" s="62"/>
      <c r="V282" s="62">
        <v>135.69999999999999</v>
      </c>
      <c r="W282" s="124">
        <f>Z282*(1+AB282)</f>
        <v>8.0422500000000008E-2</v>
      </c>
      <c r="X282" s="125">
        <f>Z282*(1+AC282)</f>
        <v>8.0422500000000008E-2</v>
      </c>
      <c r="Y282" s="1225">
        <v>2006</v>
      </c>
      <c r="Z282" s="1055">
        <f>+K282/1000</f>
        <v>0.10723000000000001</v>
      </c>
      <c r="AA282" s="1226"/>
      <c r="AB282" s="1172">
        <v>-0.25</v>
      </c>
      <c r="AC282" s="1173">
        <f>AB282</f>
        <v>-0.25</v>
      </c>
      <c r="AD282" s="168"/>
      <c r="AE282" s="168"/>
      <c r="AF282" s="388"/>
      <c r="AG282" s="389"/>
      <c r="AH282" s="390"/>
      <c r="AI282" s="433"/>
      <c r="AJ282" s="433"/>
      <c r="AK282" s="156"/>
      <c r="AL282" s="284"/>
      <c r="AM282" s="210"/>
      <c r="AN282" s="168"/>
      <c r="AO282" s="89">
        <f>AS282*(1+AT282)</f>
        <v>6.4338000000000006E-2</v>
      </c>
      <c r="AP282" s="87">
        <f>AS282*(1+AU282)</f>
        <v>6.4338000000000006E-2</v>
      </c>
      <c r="AQ282" s="272">
        <v>2006</v>
      </c>
      <c r="AR282" s="34"/>
      <c r="AS282" s="657">
        <f>+K282/1000</f>
        <v>0.10723000000000001</v>
      </c>
      <c r="AT282" s="395">
        <v>-0.4</v>
      </c>
      <c r="AU282" s="443">
        <f>AT282</f>
        <v>-0.4</v>
      </c>
      <c r="AV282" s="168"/>
      <c r="AW282" s="168"/>
      <c r="AX282" s="170"/>
      <c r="AY282" s="86"/>
      <c r="AZ282" s="272"/>
      <c r="BA282" s="51"/>
      <c r="BB282" s="34"/>
      <c r="BC282" s="156"/>
      <c r="BD282" s="341"/>
      <c r="BE282" s="210"/>
      <c r="BF282" s="168"/>
      <c r="BG282" s="619"/>
      <c r="BH282" s="620"/>
      <c r="BI282" s="617"/>
      <c r="BJ282" s="642"/>
      <c r="BK282" s="650"/>
      <c r="BL282" s="399"/>
      <c r="BM282" s="652"/>
      <c r="BN282" s="210"/>
      <c r="BO282" s="168"/>
      <c r="BP282" s="619">
        <f>BT282*(1+BV282)</f>
        <v>2.1445999999999996E-2</v>
      </c>
      <c r="BQ282" s="620">
        <f>BT282*(1+BU282)</f>
        <v>2.1445999999999996E-2</v>
      </c>
      <c r="BR282" s="642">
        <v>2006</v>
      </c>
      <c r="BS282" s="650"/>
      <c r="BT282" s="650">
        <f>+K282/1000</f>
        <v>0.10723000000000001</v>
      </c>
      <c r="BU282" s="399">
        <v>-0.8</v>
      </c>
      <c r="BV282" s="618">
        <f>BU282</f>
        <v>-0.8</v>
      </c>
      <c r="BW282" s="141"/>
      <c r="BX282" s="311"/>
      <c r="BY282" s="139"/>
    </row>
    <row r="283" spans="1:77" ht="15" customHeight="1" x14ac:dyDescent="0.2">
      <c r="A283" s="56" t="s">
        <v>38</v>
      </c>
      <c r="B283" s="637" t="s">
        <v>477</v>
      </c>
      <c r="C283" s="637" t="s">
        <v>419</v>
      </c>
      <c r="D283" s="544">
        <v>602.495</v>
      </c>
      <c r="E283" s="127" t="s">
        <v>387</v>
      </c>
      <c r="F283" s="667"/>
      <c r="G283" s="64"/>
      <c r="H283" s="656"/>
      <c r="I283" s="67">
        <v>2007</v>
      </c>
      <c r="J283" s="62"/>
      <c r="K283" s="62">
        <v>8.6867020000000004</v>
      </c>
      <c r="L283" s="608"/>
      <c r="M283" s="62"/>
      <c r="N283" s="355">
        <v>9.2260749999999998</v>
      </c>
      <c r="O283" s="603"/>
      <c r="P283" s="62"/>
      <c r="Q283" s="355"/>
      <c r="R283" s="603"/>
      <c r="S283" s="62"/>
      <c r="T283" s="355"/>
      <c r="U283" s="62"/>
      <c r="V283" s="62"/>
      <c r="W283" s="89">
        <f>AA283*(1+AB283)</f>
        <v>6.5150265000000008E-3</v>
      </c>
      <c r="X283" s="87">
        <f>AA283*(1+AC283)</f>
        <v>6.5150265000000008E-3</v>
      </c>
      <c r="Y283" s="642">
        <v>2007</v>
      </c>
      <c r="Z283" s="434"/>
      <c r="AA283" s="650">
        <f>+K283/1000</f>
        <v>8.686702000000001E-3</v>
      </c>
      <c r="AB283" s="399">
        <v>-0.25</v>
      </c>
      <c r="AC283" s="618">
        <f>AB283</f>
        <v>-0.25</v>
      </c>
      <c r="AD283" s="168"/>
      <c r="AE283" s="168"/>
      <c r="AF283" s="619"/>
      <c r="AG283" s="620"/>
      <c r="AH283" s="617"/>
      <c r="AI283" s="650"/>
      <c r="AJ283" s="650"/>
      <c r="AK283" s="399"/>
      <c r="AL283" s="618"/>
      <c r="AM283" s="210"/>
      <c r="AN283" s="168"/>
      <c r="AO283" s="170"/>
      <c r="AP283" s="86"/>
      <c r="AQ283" s="272"/>
      <c r="AR283" s="34"/>
      <c r="AS283" s="442"/>
      <c r="AT283" s="395"/>
      <c r="AU283" s="443"/>
      <c r="AV283" s="168"/>
      <c r="AW283" s="168"/>
      <c r="AX283" s="171"/>
      <c r="AY283" s="172"/>
      <c r="AZ283" s="272"/>
      <c r="BA283" s="34"/>
      <c r="BB283" s="657"/>
      <c r="BC283" s="395"/>
      <c r="BD283" s="670"/>
      <c r="BE283" s="210"/>
      <c r="BF283" s="168"/>
      <c r="BG283" s="615"/>
      <c r="BH283" s="616"/>
      <c r="BI283" s="617"/>
      <c r="BJ283" s="642"/>
      <c r="BK283" s="434"/>
      <c r="BL283" s="399"/>
      <c r="BM283" s="652"/>
      <c r="BN283" s="210"/>
      <c r="BO283" s="168"/>
      <c r="BP283" s="615"/>
      <c r="BQ283" s="616"/>
      <c r="BR283" s="642"/>
      <c r="BS283" s="434"/>
      <c r="BT283" s="650"/>
      <c r="BU283" s="399"/>
      <c r="BV283" s="618"/>
      <c r="BW283" s="141"/>
      <c r="BX283" s="311"/>
      <c r="BY283" s="669"/>
    </row>
    <row r="284" spans="1:77" ht="15" customHeight="1" x14ac:dyDescent="0.2">
      <c r="A284" s="56" t="s">
        <v>38</v>
      </c>
      <c r="B284" s="637" t="s">
        <v>477</v>
      </c>
      <c r="C284" s="637" t="s">
        <v>2541</v>
      </c>
      <c r="D284" s="544">
        <v>1044</v>
      </c>
      <c r="E284" s="127" t="s">
        <v>2436</v>
      </c>
      <c r="F284" s="667"/>
      <c r="G284" s="64"/>
      <c r="H284" s="61"/>
      <c r="I284" s="67"/>
      <c r="J284" s="62"/>
      <c r="K284" s="1106">
        <v>13</v>
      </c>
      <c r="L284" s="608"/>
      <c r="M284" s="62"/>
      <c r="N284" s="355"/>
      <c r="O284" s="603"/>
      <c r="P284" s="62"/>
      <c r="Q284" s="355"/>
      <c r="R284" s="603"/>
      <c r="S284" s="62"/>
      <c r="T284" s="355"/>
      <c r="U284" s="62"/>
      <c r="V284" s="62"/>
      <c r="W284" s="23"/>
      <c r="X284" s="24"/>
      <c r="Y284" s="642"/>
      <c r="Z284" s="1052"/>
      <c r="AA284" s="650"/>
      <c r="AB284" s="399"/>
      <c r="AC284" s="618"/>
      <c r="AD284" s="168"/>
      <c r="AE284" s="168"/>
      <c r="AF284" s="388"/>
      <c r="AG284" s="389"/>
      <c r="AH284" s="390"/>
      <c r="AI284" s="433"/>
      <c r="AJ284" s="433"/>
      <c r="AK284" s="156"/>
      <c r="AL284" s="284"/>
      <c r="AM284" s="210"/>
      <c r="AN284" s="168"/>
      <c r="AO284" s="170"/>
      <c r="AP284" s="86"/>
      <c r="AQ284" s="272"/>
      <c r="AR284" s="34"/>
      <c r="AS284" s="442"/>
      <c r="AT284" s="395"/>
      <c r="AU284" s="443"/>
      <c r="AV284" s="168"/>
      <c r="AW284" s="168"/>
      <c r="AX284" s="170"/>
      <c r="AY284" s="86"/>
      <c r="AZ284" s="272"/>
      <c r="BA284" s="51"/>
      <c r="BB284" s="34"/>
      <c r="BC284" s="156"/>
      <c r="BD284" s="341"/>
      <c r="BE284" s="210"/>
      <c r="BF284" s="168"/>
      <c r="BG284" s="619"/>
      <c r="BH284" s="620"/>
      <c r="BI284" s="617"/>
      <c r="BJ284" s="642"/>
      <c r="BK284" s="650"/>
      <c r="BL284" s="399"/>
      <c r="BM284" s="652"/>
      <c r="BN284" s="210"/>
      <c r="BO284" s="168"/>
      <c r="BP284" s="619">
        <f>BT284*(1+BV284)</f>
        <v>2.5999999999999994E-3</v>
      </c>
      <c r="BQ284" s="620">
        <f>BT284*(1+BU284)</f>
        <v>2.5999999999999994E-3</v>
      </c>
      <c r="BR284" s="642">
        <v>2005</v>
      </c>
      <c r="BS284" s="650"/>
      <c r="BT284" s="650">
        <f>+K284/1000</f>
        <v>1.2999999999999999E-2</v>
      </c>
      <c r="BU284" s="399">
        <v>-0.8</v>
      </c>
      <c r="BV284" s="618">
        <f>BU284</f>
        <v>-0.8</v>
      </c>
      <c r="BW284" s="141"/>
      <c r="BX284" s="311"/>
      <c r="BY284" s="139"/>
    </row>
    <row r="285" spans="1:77" ht="15" customHeight="1" x14ac:dyDescent="0.2">
      <c r="A285" s="56" t="s">
        <v>38</v>
      </c>
      <c r="B285" s="637" t="s">
        <v>1622</v>
      </c>
      <c r="C285" s="637"/>
      <c r="D285" s="544">
        <v>1271</v>
      </c>
      <c r="E285" s="127" t="s">
        <v>2483</v>
      </c>
      <c r="F285" s="667"/>
      <c r="G285" s="64"/>
      <c r="H285" s="61">
        <v>94</v>
      </c>
      <c r="I285" s="67"/>
      <c r="J285" s="62"/>
      <c r="K285" s="121"/>
      <c r="L285" s="608">
        <v>2012</v>
      </c>
      <c r="M285" s="62"/>
      <c r="N285" s="355">
        <v>72</v>
      </c>
      <c r="O285" s="603"/>
      <c r="P285" s="62"/>
      <c r="Q285" s="355"/>
      <c r="R285" s="603"/>
      <c r="S285" s="62"/>
      <c r="T285" s="355"/>
      <c r="U285" s="62"/>
      <c r="V285" s="62"/>
      <c r="W285" s="89">
        <f>AA285*(1+AB285)</f>
        <v>7.0500000000000007E-2</v>
      </c>
      <c r="X285" s="87">
        <f>AA285*(1+AC285)</f>
        <v>7.0500000000000007E-2</v>
      </c>
      <c r="Y285" s="642">
        <v>1990</v>
      </c>
      <c r="Z285" s="434"/>
      <c r="AA285" s="650">
        <f>+H285/1000</f>
        <v>9.4E-2</v>
      </c>
      <c r="AB285" s="399">
        <v>-0.25</v>
      </c>
      <c r="AC285" s="618">
        <f t="shared" si="151"/>
        <v>-0.25</v>
      </c>
      <c r="AD285" s="168"/>
      <c r="AE285" s="168"/>
      <c r="AF285" s="388"/>
      <c r="AG285" s="389"/>
      <c r="AH285" s="390"/>
      <c r="AI285" s="433"/>
      <c r="AJ285" s="433"/>
      <c r="AK285" s="156"/>
      <c r="AL285" s="284"/>
      <c r="AM285" s="210"/>
      <c r="AN285" s="168"/>
      <c r="AO285" s="170"/>
      <c r="AP285" s="86"/>
      <c r="AQ285" s="272"/>
      <c r="AR285" s="34"/>
      <c r="AS285" s="442"/>
      <c r="AT285" s="395"/>
      <c r="AU285" s="443"/>
      <c r="AV285" s="168"/>
      <c r="AW285" s="168"/>
      <c r="AX285" s="170"/>
      <c r="AY285" s="86"/>
      <c r="AZ285" s="272"/>
      <c r="BA285" s="51"/>
      <c r="BB285" s="34"/>
      <c r="BC285" s="156"/>
      <c r="BD285" s="341"/>
      <c r="BE285" s="210"/>
      <c r="BF285" s="168"/>
      <c r="BG285" s="619"/>
      <c r="BH285" s="620"/>
      <c r="BI285" s="617"/>
      <c r="BJ285" s="642"/>
      <c r="BK285" s="650"/>
      <c r="BL285" s="399"/>
      <c r="BM285" s="652"/>
      <c r="BN285" s="210"/>
      <c r="BO285" s="168"/>
      <c r="BP285" s="619">
        <f t="shared" ref="BP285" si="186">BT285*(1+BV285)</f>
        <v>1.8799999999999997E-2</v>
      </c>
      <c r="BQ285" s="620">
        <f t="shared" ref="BQ285" si="187">BT285*(1+BU285)</f>
        <v>1.8799999999999997E-2</v>
      </c>
      <c r="BR285" s="617">
        <v>1990</v>
      </c>
      <c r="BS285" s="642"/>
      <c r="BT285" s="650">
        <f>+H285/1000</f>
        <v>9.4E-2</v>
      </c>
      <c r="BU285" s="399">
        <v>-0.8</v>
      </c>
      <c r="BV285" s="618">
        <v>-0.8</v>
      </c>
      <c r="BW285" s="141" t="s">
        <v>2884</v>
      </c>
      <c r="BX285" s="311"/>
      <c r="BY285" s="139"/>
    </row>
    <row r="286" spans="1:77" ht="15" customHeight="1" x14ac:dyDescent="0.2">
      <c r="A286" s="56" t="s">
        <v>38</v>
      </c>
      <c r="B286" s="107" t="s">
        <v>477</v>
      </c>
      <c r="C286" s="637" t="s">
        <v>359</v>
      </c>
      <c r="D286" s="544">
        <v>695.92600000000004</v>
      </c>
      <c r="E286" s="127" t="s">
        <v>2593</v>
      </c>
      <c r="F286" s="667"/>
      <c r="G286" s="64"/>
      <c r="H286" s="61"/>
      <c r="I286" s="266"/>
      <c r="J286" s="62"/>
      <c r="K286" s="62">
        <v>7.8201790000000004</v>
      </c>
      <c r="L286" s="608">
        <v>2012</v>
      </c>
      <c r="M286" s="62"/>
      <c r="N286" s="355">
        <v>6</v>
      </c>
      <c r="O286" s="603">
        <v>2015</v>
      </c>
      <c r="P286" s="62"/>
      <c r="Q286" s="355">
        <v>6.4624949999999997</v>
      </c>
      <c r="R286" s="603"/>
      <c r="S286" s="62"/>
      <c r="T286" s="355"/>
      <c r="U286" s="62"/>
      <c r="V286" s="62"/>
      <c r="W286" s="89">
        <f>AA286*(1+AB286)</f>
        <v>5.86513425E-3</v>
      </c>
      <c r="X286" s="87">
        <f>AA286*(1+AC286)</f>
        <v>5.86513425E-3</v>
      </c>
      <c r="Y286" s="642">
        <v>2005</v>
      </c>
      <c r="Z286" s="650"/>
      <c r="AA286" s="650">
        <f>K286/1000</f>
        <v>7.820179E-3</v>
      </c>
      <c r="AB286" s="399">
        <v>-0.25</v>
      </c>
      <c r="AC286" s="618">
        <f t="shared" si="151"/>
        <v>-0.25</v>
      </c>
      <c r="AD286" s="168"/>
      <c r="AE286" s="168"/>
      <c r="AF286" s="388"/>
      <c r="AG286" s="389"/>
      <c r="AH286" s="390"/>
      <c r="AI286" s="433"/>
      <c r="AJ286" s="433"/>
      <c r="AK286" s="156"/>
      <c r="AL286" s="284"/>
      <c r="AM286" s="210"/>
      <c r="AN286" s="168"/>
      <c r="AO286" s="89">
        <f>AS286*(1+AT286)</f>
        <v>3.9100895E-3</v>
      </c>
      <c r="AP286" s="87">
        <f>AS286*(1+AU286)</f>
        <v>3.9100895E-3</v>
      </c>
      <c r="AQ286" s="642">
        <v>2005</v>
      </c>
      <c r="AR286" s="650"/>
      <c r="AS286" s="650">
        <f>K286/1000</f>
        <v>7.820179E-3</v>
      </c>
      <c r="AT286" s="399">
        <v>-0.5</v>
      </c>
      <c r="AU286" s="618">
        <f t="shared" ref="AU286" si="188">AT286</f>
        <v>-0.5</v>
      </c>
      <c r="AV286" s="168"/>
      <c r="AW286" s="168"/>
      <c r="AX286" s="170"/>
      <c r="AY286" s="86"/>
      <c r="AZ286" s="272"/>
      <c r="BA286" s="51"/>
      <c r="BB286" s="34"/>
      <c r="BC286" s="156"/>
      <c r="BD286" s="341"/>
      <c r="BE286" s="210"/>
      <c r="BF286" s="168"/>
      <c r="BG286" s="170"/>
      <c r="BH286" s="86"/>
      <c r="BI286" s="272"/>
      <c r="BJ286" s="51"/>
      <c r="BK286" s="34"/>
      <c r="BL286" s="156"/>
      <c r="BM286" s="341"/>
      <c r="BN286" s="210"/>
      <c r="BO286" s="168"/>
      <c r="BP286" s="619">
        <f>BT286*(1+BV286)</f>
        <v>0</v>
      </c>
      <c r="BQ286" s="620">
        <f>BT286*(1+BU286)</f>
        <v>0</v>
      </c>
      <c r="BR286" s="642">
        <v>2005</v>
      </c>
      <c r="BS286" s="650"/>
      <c r="BT286" s="650">
        <f>+K286/1000</f>
        <v>7.820179E-3</v>
      </c>
      <c r="BU286" s="399">
        <v>-1</v>
      </c>
      <c r="BV286" s="618">
        <f>BU286</f>
        <v>-1</v>
      </c>
      <c r="BW286" s="141"/>
      <c r="BX286" s="311"/>
      <c r="BY286" s="139"/>
    </row>
    <row r="287" spans="1:77" ht="15" customHeight="1" x14ac:dyDescent="0.2">
      <c r="A287" s="56" t="s">
        <v>38</v>
      </c>
      <c r="B287" s="107" t="s">
        <v>477</v>
      </c>
      <c r="C287" s="637" t="s">
        <v>2971</v>
      </c>
      <c r="D287" s="544">
        <v>109.694</v>
      </c>
      <c r="E287" s="127" t="s">
        <v>387</v>
      </c>
      <c r="F287" s="667"/>
      <c r="G287" s="64"/>
      <c r="H287" s="61"/>
      <c r="I287" s="266"/>
      <c r="J287" s="62"/>
      <c r="K287" s="62"/>
      <c r="L287" s="608">
        <v>2012</v>
      </c>
      <c r="M287" s="62"/>
      <c r="N287" s="355">
        <v>1.4622360000000001</v>
      </c>
      <c r="O287" s="603"/>
      <c r="P287" s="62"/>
      <c r="Q287" s="355"/>
      <c r="R287" s="603"/>
      <c r="S287" s="62"/>
      <c r="T287" s="355"/>
      <c r="U287" s="62"/>
      <c r="V287" s="62"/>
      <c r="W287" s="89"/>
      <c r="X287" s="87"/>
      <c r="Y287" s="642"/>
      <c r="Z287" s="650"/>
      <c r="AA287" s="650"/>
      <c r="AB287" s="399"/>
      <c r="AC287" s="618"/>
      <c r="AD287" s="168"/>
      <c r="AE287" s="168"/>
      <c r="AF287" s="388"/>
      <c r="AG287" s="389"/>
      <c r="AH287" s="390"/>
      <c r="AI287" s="433"/>
      <c r="AJ287" s="433"/>
      <c r="AK287" s="156"/>
      <c r="AL287" s="284"/>
      <c r="AM287" s="210"/>
      <c r="AN287" s="168"/>
      <c r="AO287" s="89">
        <f>AS287*(1+AT287)</f>
        <v>7.7498508000000007E-4</v>
      </c>
      <c r="AP287" s="87">
        <f>AS287*(1+AU287)</f>
        <v>7.7498508000000007E-4</v>
      </c>
      <c r="AQ287" s="642">
        <v>2012</v>
      </c>
      <c r="AR287" s="650"/>
      <c r="AS287" s="650">
        <f>N287/1000</f>
        <v>1.462236E-3</v>
      </c>
      <c r="AT287" s="399">
        <v>-0.47</v>
      </c>
      <c r="AU287" s="618">
        <f t="shared" ref="AU287" si="189">AT287</f>
        <v>-0.47</v>
      </c>
      <c r="AV287" s="168"/>
      <c r="AW287" s="168"/>
      <c r="AX287" s="170"/>
      <c r="AY287" s="86"/>
      <c r="AZ287" s="272"/>
      <c r="BA287" s="51"/>
      <c r="BB287" s="34"/>
      <c r="BC287" s="156"/>
      <c r="BD287" s="341"/>
      <c r="BE287" s="210"/>
      <c r="BF287" s="168"/>
      <c r="BG287" s="170"/>
      <c r="BH287" s="86"/>
      <c r="BI287" s="272"/>
      <c r="BJ287" s="51"/>
      <c r="BK287" s="34"/>
      <c r="BL287" s="156"/>
      <c r="BM287" s="341"/>
      <c r="BN287" s="210"/>
      <c r="BO287" s="168"/>
      <c r="BP287" s="619">
        <f>BT287*(1+BV287)</f>
        <v>0</v>
      </c>
      <c r="BQ287" s="620">
        <f>BT287*(1+BU287)</f>
        <v>0</v>
      </c>
      <c r="BR287" s="642">
        <v>2005</v>
      </c>
      <c r="BS287" s="650"/>
      <c r="BT287" s="650">
        <f>+N287/1000</f>
        <v>1.462236E-3</v>
      </c>
      <c r="BU287" s="399">
        <v>-1</v>
      </c>
      <c r="BV287" s="618">
        <f>BU287</f>
        <v>-1</v>
      </c>
      <c r="BW287" s="141"/>
      <c r="BX287" s="311"/>
      <c r="BY287" s="139"/>
    </row>
    <row r="288" spans="1:77" ht="15" customHeight="1" x14ac:dyDescent="0.2">
      <c r="A288" s="56" t="s">
        <v>38</v>
      </c>
      <c r="B288" s="107" t="s">
        <v>477</v>
      </c>
      <c r="C288" s="637" t="s">
        <v>3233</v>
      </c>
      <c r="D288" s="544">
        <v>31.393999999999998</v>
      </c>
      <c r="E288" s="127" t="s">
        <v>387</v>
      </c>
      <c r="F288" s="667"/>
      <c r="G288" s="64"/>
      <c r="H288" s="61"/>
      <c r="I288" s="266"/>
      <c r="J288" s="62"/>
      <c r="K288" s="62"/>
      <c r="L288" s="608">
        <v>2012</v>
      </c>
      <c r="M288" s="62"/>
      <c r="N288" s="355">
        <v>0.52002300000000001</v>
      </c>
      <c r="O288" s="603"/>
      <c r="P288" s="62"/>
      <c r="Q288" s="355"/>
      <c r="R288" s="603"/>
      <c r="S288" s="62"/>
      <c r="T288" s="355"/>
      <c r="U288" s="62"/>
      <c r="V288" s="62"/>
      <c r="W288" s="89"/>
      <c r="X288" s="87"/>
      <c r="Y288" s="642"/>
      <c r="Z288" s="650"/>
      <c r="AA288" s="650"/>
      <c r="AB288" s="399"/>
      <c r="AC288" s="618"/>
      <c r="AD288" s="168"/>
      <c r="AE288" s="168"/>
      <c r="AF288" s="388"/>
      <c r="AG288" s="389"/>
      <c r="AH288" s="390"/>
      <c r="AI288" s="433"/>
      <c r="AJ288" s="433"/>
      <c r="AK288" s="156"/>
      <c r="AL288" s="284"/>
      <c r="AM288" s="210"/>
      <c r="AN288" s="168"/>
      <c r="AO288" s="89"/>
      <c r="AP288" s="87"/>
      <c r="AQ288" s="671"/>
      <c r="AR288" s="650"/>
      <c r="AS288" s="650"/>
      <c r="AT288" s="399"/>
      <c r="AU288" s="618"/>
      <c r="AV288" s="168"/>
      <c r="AW288" s="168"/>
      <c r="AX288" s="170"/>
      <c r="AY288" s="86"/>
      <c r="AZ288" s="272"/>
      <c r="BA288" s="51"/>
      <c r="BB288" s="34"/>
      <c r="BC288" s="156"/>
      <c r="BD288" s="341"/>
      <c r="BE288" s="210"/>
      <c r="BF288" s="168"/>
      <c r="BG288" s="170"/>
      <c r="BH288" s="86"/>
      <c r="BI288" s="272"/>
      <c r="BJ288" s="51"/>
      <c r="BK288" s="34"/>
      <c r="BL288" s="156"/>
      <c r="BM288" s="341"/>
      <c r="BN288" s="210"/>
      <c r="BO288" s="168"/>
      <c r="BP288" s="619">
        <f>BT288*(1+BV288)</f>
        <v>0</v>
      </c>
      <c r="BQ288" s="620">
        <f>BT288*(1+BU288)</f>
        <v>0</v>
      </c>
      <c r="BR288" s="642">
        <v>2012</v>
      </c>
      <c r="BS288" s="650"/>
      <c r="BT288" s="650">
        <f>+N288/1000</f>
        <v>5.2002299999999999E-4</v>
      </c>
      <c r="BU288" s="399">
        <v>-1</v>
      </c>
      <c r="BV288" s="618">
        <f>BU288</f>
        <v>-1</v>
      </c>
      <c r="BW288" s="141"/>
      <c r="BX288" s="311"/>
      <c r="BY288" s="139"/>
    </row>
    <row r="289" spans="1:77" ht="15" customHeight="1" x14ac:dyDescent="0.2">
      <c r="A289" s="56" t="s">
        <v>38</v>
      </c>
      <c r="B289" s="107" t="s">
        <v>477</v>
      </c>
      <c r="C289" s="637" t="s">
        <v>3235</v>
      </c>
      <c r="D289" s="544">
        <v>95.12</v>
      </c>
      <c r="E289" s="127" t="s">
        <v>387</v>
      </c>
      <c r="F289" s="667"/>
      <c r="G289" s="64"/>
      <c r="H289" s="61"/>
      <c r="I289" s="266"/>
      <c r="J289" s="62"/>
      <c r="K289" s="62"/>
      <c r="L289" s="608"/>
      <c r="M289" s="62"/>
      <c r="N289" s="355"/>
      <c r="O289" s="603"/>
      <c r="P289" s="62"/>
      <c r="Q289" s="355"/>
      <c r="R289" s="603">
        <v>2017</v>
      </c>
      <c r="S289" s="62"/>
      <c r="T289" s="355">
        <v>0.80104399999999998</v>
      </c>
      <c r="U289" s="62"/>
      <c r="V289" s="62"/>
      <c r="W289" s="89"/>
      <c r="X289" s="87"/>
      <c r="Y289" s="642"/>
      <c r="Z289" s="650"/>
      <c r="AA289" s="650"/>
      <c r="AB289" s="399"/>
      <c r="AC289" s="618"/>
      <c r="AD289" s="168"/>
      <c r="AE289" s="168"/>
      <c r="AF289" s="388"/>
      <c r="AG289" s="389"/>
      <c r="AH289" s="390"/>
      <c r="AI289" s="433"/>
      <c r="AJ289" s="433"/>
      <c r="AK289" s="156"/>
      <c r="AL289" s="284"/>
      <c r="AM289" s="210"/>
      <c r="AN289" s="168"/>
      <c r="AO289" s="89"/>
      <c r="AP289" s="87"/>
      <c r="AQ289" s="671"/>
      <c r="AR289" s="650"/>
      <c r="AS289" s="650"/>
      <c r="AT289" s="399"/>
      <c r="AU289" s="618"/>
      <c r="AV289" s="168"/>
      <c r="AW289" s="168"/>
      <c r="AX289" s="170"/>
      <c r="AY289" s="86"/>
      <c r="AZ289" s="272"/>
      <c r="BA289" s="51"/>
      <c r="BB289" s="34"/>
      <c r="BC289" s="156"/>
      <c r="BD289" s="341"/>
      <c r="BE289" s="210"/>
      <c r="BF289" s="168"/>
      <c r="BG289" s="170"/>
      <c r="BH289" s="86"/>
      <c r="BI289" s="272"/>
      <c r="BJ289" s="51"/>
      <c r="BK289" s="34"/>
      <c r="BL289" s="156"/>
      <c r="BM289" s="341"/>
      <c r="BN289" s="210"/>
      <c r="BO289" s="168"/>
      <c r="BP289" s="619">
        <f>BT289*(1+BV289)</f>
        <v>0</v>
      </c>
      <c r="BQ289" s="620">
        <f>BT289*(1+BU289)</f>
        <v>0</v>
      </c>
      <c r="BR289" s="642">
        <v>2005</v>
      </c>
      <c r="BS289" s="650"/>
      <c r="BT289" s="650">
        <f>+T289/1000</f>
        <v>8.01044E-4</v>
      </c>
      <c r="BU289" s="399">
        <v>-1</v>
      </c>
      <c r="BV289" s="618">
        <f>BU289</f>
        <v>-1</v>
      </c>
      <c r="BW289" s="141"/>
      <c r="BX289" s="311"/>
      <c r="BY289" s="139"/>
    </row>
    <row r="290" spans="1:77" ht="15" customHeight="1" x14ac:dyDescent="0.2">
      <c r="A290" s="56" t="s">
        <v>38</v>
      </c>
      <c r="B290" s="107" t="s">
        <v>477</v>
      </c>
      <c r="C290" s="637" t="s">
        <v>1618</v>
      </c>
      <c r="D290" s="544">
        <v>81.561999999999998</v>
      </c>
      <c r="E290" s="127" t="s">
        <v>387</v>
      </c>
      <c r="F290" s="667"/>
      <c r="G290" s="64"/>
      <c r="H290" s="61"/>
      <c r="I290" s="266"/>
      <c r="J290" s="62"/>
      <c r="K290" s="62"/>
      <c r="L290" s="608">
        <v>2014</v>
      </c>
      <c r="M290" s="62"/>
      <c r="N290" s="357">
        <v>0.65142599999999995</v>
      </c>
      <c r="O290" s="603">
        <v>2016</v>
      </c>
      <c r="P290" s="62"/>
      <c r="Q290" s="357">
        <v>0.58630800000000005</v>
      </c>
      <c r="R290" s="603">
        <v>2016</v>
      </c>
      <c r="S290" s="62"/>
      <c r="T290" s="357">
        <v>0.58630800000000005</v>
      </c>
      <c r="U290" s="62"/>
      <c r="V290" s="62"/>
      <c r="W290" s="23"/>
      <c r="X290" s="24"/>
      <c r="Y290" s="642"/>
      <c r="Z290" s="434"/>
      <c r="AA290" s="1055"/>
      <c r="AB290" s="399"/>
      <c r="AC290" s="618"/>
      <c r="AD290" s="168"/>
      <c r="AE290" s="168"/>
      <c r="AF290" s="388"/>
      <c r="AG290" s="389"/>
      <c r="AH290" s="390"/>
      <c r="AI290" s="433"/>
      <c r="AJ290" s="433"/>
      <c r="AK290" s="156"/>
      <c r="AL290" s="284"/>
      <c r="AM290" s="210"/>
      <c r="AN290" s="168"/>
      <c r="AO290" s="171"/>
      <c r="AP290" s="172"/>
      <c r="AQ290" s="272"/>
      <c r="AR290" s="651"/>
      <c r="AS290" s="442"/>
      <c r="AT290" s="395"/>
      <c r="AU290" s="443"/>
      <c r="AV290" s="168"/>
      <c r="AW290" s="168"/>
      <c r="AX290" s="170"/>
      <c r="AY290" s="86"/>
      <c r="AZ290" s="272"/>
      <c r="BA290" s="51"/>
      <c r="BB290" s="34"/>
      <c r="BC290" s="156"/>
      <c r="BD290" s="341"/>
      <c r="BE290" s="210"/>
      <c r="BF290" s="168"/>
      <c r="BG290" s="170"/>
      <c r="BH290" s="86"/>
      <c r="BI290" s="272"/>
      <c r="BJ290" s="51"/>
      <c r="BK290" s="34"/>
      <c r="BL290" s="156"/>
      <c r="BM290" s="341"/>
      <c r="BN290" s="210"/>
      <c r="BO290" s="168"/>
      <c r="BP290" s="615">
        <f t="shared" ref="BP290:BP291" si="190">BT290*(1+BV290)</f>
        <v>0</v>
      </c>
      <c r="BQ290" s="616">
        <f t="shared" ref="BQ290:BQ291" si="191">BT290*(1+BU290)</f>
        <v>0</v>
      </c>
      <c r="BR290" s="642">
        <v>2014</v>
      </c>
      <c r="BS290" s="434"/>
      <c r="BT290" s="650">
        <f>+N290/1000</f>
        <v>6.5142599999999998E-4</v>
      </c>
      <c r="BU290" s="399">
        <v>-1</v>
      </c>
      <c r="BV290" s="618">
        <f t="shared" ref="BV290:BV291" si="192">BU290</f>
        <v>-1</v>
      </c>
      <c r="BW290" s="141"/>
      <c r="BX290" s="311"/>
      <c r="BY290" s="139"/>
    </row>
    <row r="291" spans="1:77" ht="15" customHeight="1" x14ac:dyDescent="0.2">
      <c r="A291" s="56" t="s">
        <v>38</v>
      </c>
      <c r="B291" s="107" t="s">
        <v>2605</v>
      </c>
      <c r="C291" s="637"/>
      <c r="D291" s="544">
        <v>9878</v>
      </c>
      <c r="E291" s="127" t="s">
        <v>2604</v>
      </c>
      <c r="F291" s="667"/>
      <c r="G291" s="64"/>
      <c r="H291" s="61"/>
      <c r="I291" s="266"/>
      <c r="J291" s="62"/>
      <c r="K291" s="62">
        <v>234.8</v>
      </c>
      <c r="L291" s="608"/>
      <c r="M291" s="62"/>
      <c r="N291" s="357"/>
      <c r="O291" s="603"/>
      <c r="P291" s="62"/>
      <c r="Q291" s="357"/>
      <c r="R291" s="603"/>
      <c r="S291" s="62"/>
      <c r="T291" s="357"/>
      <c r="U291" s="62"/>
      <c r="V291" s="62"/>
      <c r="W291" s="23"/>
      <c r="X291" s="24"/>
      <c r="Y291" s="642"/>
      <c r="Z291" s="434"/>
      <c r="AA291" s="1055"/>
      <c r="AB291" s="399"/>
      <c r="AC291" s="618"/>
      <c r="AD291" s="168"/>
      <c r="AE291" s="168"/>
      <c r="AF291" s="619">
        <f>+AJ291*(1+AK291)</f>
        <v>0.17375200000000002</v>
      </c>
      <c r="AG291" s="620">
        <f>+AJ291*(1+AL291)</f>
        <v>0.16905600000000001</v>
      </c>
      <c r="AH291" s="617">
        <v>2005</v>
      </c>
      <c r="AI291" s="650"/>
      <c r="AJ291" s="650">
        <f>+K291/1000</f>
        <v>0.23480000000000001</v>
      </c>
      <c r="AK291" s="399">
        <v>-0.26</v>
      </c>
      <c r="AL291" s="618">
        <v>-0.28000000000000003</v>
      </c>
      <c r="AM291" s="210"/>
      <c r="AN291" s="168"/>
      <c r="AO291" s="170"/>
      <c r="AP291" s="86"/>
      <c r="AQ291" s="272"/>
      <c r="AR291" s="34"/>
      <c r="AS291" s="442"/>
      <c r="AT291" s="395"/>
      <c r="AU291" s="443"/>
      <c r="AV291" s="168"/>
      <c r="AW291" s="168"/>
      <c r="AX291" s="170"/>
      <c r="AY291" s="86"/>
      <c r="AZ291" s="272"/>
      <c r="BA291" s="51"/>
      <c r="BB291" s="34"/>
      <c r="BC291" s="156"/>
      <c r="BD291" s="341"/>
      <c r="BE291" s="210"/>
      <c r="BF291" s="168"/>
      <c r="BG291" s="170"/>
      <c r="BH291" s="86"/>
      <c r="BI291" s="272"/>
      <c r="BJ291" s="51"/>
      <c r="BK291" s="34"/>
      <c r="BL291" s="156"/>
      <c r="BM291" s="341"/>
      <c r="BN291" s="210"/>
      <c r="BO291" s="168"/>
      <c r="BP291" s="615">
        <f t="shared" si="190"/>
        <v>4.6959999999999988E-2</v>
      </c>
      <c r="BQ291" s="616">
        <f t="shared" si="191"/>
        <v>4.6959999999999988E-2</v>
      </c>
      <c r="BR291" s="617">
        <v>2005</v>
      </c>
      <c r="BS291" s="642"/>
      <c r="BT291" s="434">
        <f t="shared" ref="BT291:BT302" si="193">+K291/1000</f>
        <v>0.23480000000000001</v>
      </c>
      <c r="BU291" s="399">
        <v>-0.8</v>
      </c>
      <c r="BV291" s="618">
        <f t="shared" si="192"/>
        <v>-0.8</v>
      </c>
      <c r="BW291" s="141"/>
      <c r="BX291" s="311"/>
      <c r="BY291" s="669" t="s">
        <v>2606</v>
      </c>
    </row>
    <row r="292" spans="1:77" ht="15" customHeight="1" x14ac:dyDescent="0.2">
      <c r="A292" s="56" t="s">
        <v>38</v>
      </c>
      <c r="B292" s="107" t="s">
        <v>477</v>
      </c>
      <c r="C292" s="637" t="s">
        <v>559</v>
      </c>
      <c r="D292" s="544">
        <v>116</v>
      </c>
      <c r="E292" s="127" t="s">
        <v>2589</v>
      </c>
      <c r="F292" s="667"/>
      <c r="G292" s="64"/>
      <c r="H292" s="61"/>
      <c r="I292" s="67">
        <v>2000</v>
      </c>
      <c r="J292" s="62"/>
      <c r="K292" s="62">
        <v>1.681926</v>
      </c>
      <c r="L292" s="608"/>
      <c r="M292" s="62"/>
      <c r="N292" s="355"/>
      <c r="O292" s="603"/>
      <c r="P292" s="62"/>
      <c r="Q292" s="355">
        <v>1.42</v>
      </c>
      <c r="R292" s="603"/>
      <c r="S292" s="62"/>
      <c r="T292" s="355"/>
      <c r="U292" s="62"/>
      <c r="V292" s="62"/>
      <c r="W292" s="633"/>
      <c r="X292" s="634"/>
      <c r="Y292" s="1225"/>
      <c r="Z292" s="1055"/>
      <c r="AA292" s="1226"/>
      <c r="AB292" s="1172"/>
      <c r="AC292" s="1173"/>
      <c r="AD292" s="168"/>
      <c r="AE292" s="168"/>
      <c r="AF292" s="619">
        <f>+AJ292*(1+AK292)</f>
        <v>1.2614445E-3</v>
      </c>
      <c r="AG292" s="620">
        <f>+AJ292*(1+AL292)</f>
        <v>1.2614445E-3</v>
      </c>
      <c r="AH292" s="617">
        <v>2000</v>
      </c>
      <c r="AI292" s="650"/>
      <c r="AJ292" s="650">
        <f>+K292/1000</f>
        <v>1.681926E-3</v>
      </c>
      <c r="AK292" s="399">
        <v>-0.25</v>
      </c>
      <c r="AL292" s="618">
        <f>AK292</f>
        <v>-0.25</v>
      </c>
      <c r="AM292" s="210"/>
      <c r="AN292" s="168"/>
      <c r="AO292" s="171"/>
      <c r="AP292" s="172"/>
      <c r="AQ292" s="272"/>
      <c r="AR292" s="34"/>
      <c r="AS292" s="657"/>
      <c r="AT292" s="395"/>
      <c r="AU292" s="443"/>
      <c r="AV292" s="168"/>
      <c r="AW292" s="168"/>
      <c r="AX292" s="170"/>
      <c r="AY292" s="86"/>
      <c r="AZ292" s="272"/>
      <c r="BA292" s="51"/>
      <c r="BB292" s="34"/>
      <c r="BC292" s="156"/>
      <c r="BD292" s="341"/>
      <c r="BE292" s="210"/>
      <c r="BF292" s="168"/>
      <c r="BG292" s="619"/>
      <c r="BH292" s="620"/>
      <c r="BI292" s="617"/>
      <c r="BJ292" s="642"/>
      <c r="BK292" s="650"/>
      <c r="BL292" s="399"/>
      <c r="BM292" s="652"/>
      <c r="BN292" s="210"/>
      <c r="BO292" s="168"/>
      <c r="BP292" s="619">
        <f t="shared" ref="BP292" si="194">BT292*(1+BV292)</f>
        <v>1.6819259999999997E-4</v>
      </c>
      <c r="BQ292" s="620">
        <f t="shared" ref="BQ292" si="195">BT292*(1+BU292)</f>
        <v>1.6819259999999997E-4</v>
      </c>
      <c r="BR292" s="642">
        <v>2000</v>
      </c>
      <c r="BS292" s="650"/>
      <c r="BT292" s="676">
        <f>+K292/1000</f>
        <v>1.681926E-3</v>
      </c>
      <c r="BU292" s="399">
        <v>-0.9</v>
      </c>
      <c r="BV292" s="618">
        <f t="shared" ref="BV292" si="196">BU292</f>
        <v>-0.9</v>
      </c>
      <c r="BW292" s="141"/>
      <c r="BX292" s="311"/>
      <c r="BY292" s="669" t="s">
        <v>560</v>
      </c>
    </row>
    <row r="293" spans="1:77" ht="15" customHeight="1" x14ac:dyDescent="0.2">
      <c r="A293" s="56" t="s">
        <v>38</v>
      </c>
      <c r="B293" s="107" t="s">
        <v>477</v>
      </c>
      <c r="C293" s="637" t="s">
        <v>3240</v>
      </c>
      <c r="D293" s="544">
        <v>33.216000000000001</v>
      </c>
      <c r="E293" s="127" t="s">
        <v>387</v>
      </c>
      <c r="F293" s="667"/>
      <c r="G293" s="64"/>
      <c r="H293" s="61"/>
      <c r="I293" s="67"/>
      <c r="J293" s="62"/>
      <c r="K293" s="62"/>
      <c r="L293" s="608"/>
      <c r="M293" s="62"/>
      <c r="N293" s="355">
        <v>0.79520000000000002</v>
      </c>
      <c r="O293" s="603"/>
      <c r="P293" s="62"/>
      <c r="Q293" s="355"/>
      <c r="R293" s="603"/>
      <c r="S293" s="62"/>
      <c r="T293" s="355"/>
      <c r="U293" s="62"/>
      <c r="V293" s="62"/>
      <c r="W293" s="633"/>
      <c r="X293" s="634"/>
      <c r="Y293" s="1225"/>
      <c r="Z293" s="1055"/>
      <c r="AA293" s="1226"/>
      <c r="AB293" s="1172"/>
      <c r="AC293" s="1173"/>
      <c r="AD293" s="168"/>
      <c r="AE293" s="168"/>
      <c r="AF293" s="619"/>
      <c r="AG293" s="620"/>
      <c r="AH293" s="617"/>
      <c r="AI293" s="650"/>
      <c r="AJ293" s="650"/>
      <c r="AK293" s="399"/>
      <c r="AL293" s="618"/>
      <c r="AM293" s="210"/>
      <c r="AN293" s="168"/>
      <c r="AO293" s="171"/>
      <c r="AP293" s="172"/>
      <c r="AQ293" s="272"/>
      <c r="AR293" s="34"/>
      <c r="AS293" s="657"/>
      <c r="AT293" s="395"/>
      <c r="AU293" s="443"/>
      <c r="AV293" s="168"/>
      <c r="AW293" s="168"/>
      <c r="AX293" s="170"/>
      <c r="AY293" s="86"/>
      <c r="AZ293" s="272"/>
      <c r="BA293" s="51"/>
      <c r="BB293" s="34"/>
      <c r="BC293" s="156"/>
      <c r="BD293" s="341"/>
      <c r="BE293" s="210"/>
      <c r="BF293" s="168"/>
      <c r="BG293" s="619"/>
      <c r="BH293" s="620"/>
      <c r="BI293" s="617"/>
      <c r="BJ293" s="642"/>
      <c r="BK293" s="650"/>
      <c r="BL293" s="399"/>
      <c r="BM293" s="652"/>
      <c r="BN293" s="210"/>
      <c r="BO293" s="168"/>
      <c r="BP293" s="619">
        <f t="shared" ref="BP293" si="197">BT293*(1+BV293)</f>
        <v>4.05552E-4</v>
      </c>
      <c r="BQ293" s="620">
        <f t="shared" ref="BQ293" si="198">BT293*(1+BU293)</f>
        <v>4.05552E-4</v>
      </c>
      <c r="BR293" s="642">
        <v>2000</v>
      </c>
      <c r="BS293" s="650"/>
      <c r="BT293" s="676">
        <f>+N293/1000</f>
        <v>7.9520000000000003E-4</v>
      </c>
      <c r="BU293" s="399">
        <v>-0.49</v>
      </c>
      <c r="BV293" s="618">
        <f t="shared" ref="BV293" si="199">BU293</f>
        <v>-0.49</v>
      </c>
      <c r="BW293" s="141"/>
      <c r="BX293" s="311"/>
      <c r="BY293" s="669"/>
    </row>
    <row r="294" spans="1:77" ht="15" customHeight="1" x14ac:dyDescent="0.2">
      <c r="A294" s="56" t="s">
        <v>38</v>
      </c>
      <c r="B294" s="637" t="s">
        <v>374</v>
      </c>
      <c r="C294" s="637"/>
      <c r="D294" s="544">
        <v>5485.2380000000003</v>
      </c>
      <c r="E294" s="127" t="s">
        <v>2553</v>
      </c>
      <c r="F294" s="667"/>
      <c r="G294" s="64"/>
      <c r="H294" s="61">
        <v>119</v>
      </c>
      <c r="I294" s="266"/>
      <c r="J294" s="62"/>
      <c r="K294" s="62">
        <v>157.1</v>
      </c>
      <c r="L294" s="608">
        <v>2011</v>
      </c>
      <c r="M294" s="62"/>
      <c r="N294" s="355">
        <f>K294*(1-0.12)</f>
        <v>138.24799999999999</v>
      </c>
      <c r="O294" s="603">
        <v>2014</v>
      </c>
      <c r="P294" s="62"/>
      <c r="Q294" s="355">
        <f>K294*0.97</f>
        <v>152.387</v>
      </c>
      <c r="R294" s="603"/>
      <c r="S294" s="62"/>
      <c r="T294" s="355"/>
      <c r="U294" s="62"/>
      <c r="V294" s="62"/>
      <c r="W294" s="23"/>
      <c r="X294" s="24"/>
      <c r="Y294" s="642"/>
      <c r="Z294" s="434"/>
      <c r="AA294" s="434"/>
      <c r="AB294" s="399"/>
      <c r="AC294" s="618"/>
      <c r="AD294" s="168"/>
      <c r="AE294" s="168"/>
      <c r="AF294" s="619">
        <f>+AJ294*(1+AK294)</f>
        <v>0.10996999999999998</v>
      </c>
      <c r="AG294" s="620">
        <f>+AJ294*(1+AL294)</f>
        <v>0.10996999999999998</v>
      </c>
      <c r="AH294" s="617">
        <v>2005</v>
      </c>
      <c r="AI294" s="650"/>
      <c r="AJ294" s="650">
        <f>+K294/1000</f>
        <v>0.15709999999999999</v>
      </c>
      <c r="AK294" s="399">
        <v>-0.3</v>
      </c>
      <c r="AL294" s="618">
        <f>AK294</f>
        <v>-0.3</v>
      </c>
      <c r="AM294" s="210"/>
      <c r="AN294" s="168"/>
      <c r="AO294" s="170"/>
      <c r="AP294" s="86"/>
      <c r="AQ294" s="272"/>
      <c r="AR294" s="34"/>
      <c r="AS294" s="442"/>
      <c r="AT294" s="395"/>
      <c r="AU294" s="443"/>
      <c r="AV294" s="168"/>
      <c r="AW294" s="168"/>
      <c r="AX294" s="170"/>
      <c r="AY294" s="86"/>
      <c r="AZ294" s="272"/>
      <c r="BA294" s="51"/>
      <c r="BB294" s="34"/>
      <c r="BC294" s="156"/>
      <c r="BD294" s="341"/>
      <c r="BE294" s="210"/>
      <c r="BF294" s="168"/>
      <c r="BG294" s="619"/>
      <c r="BH294" s="620"/>
      <c r="BI294" s="617"/>
      <c r="BJ294" s="642"/>
      <c r="BK294" s="650"/>
      <c r="BL294" s="399"/>
      <c r="BM294" s="652"/>
      <c r="BN294" s="210"/>
      <c r="BO294" s="168"/>
      <c r="BP294" s="619">
        <f t="shared" ref="BP294" si="200">BT294*(1+BV294)</f>
        <v>3.141999999999999E-2</v>
      </c>
      <c r="BQ294" s="620">
        <f t="shared" ref="BQ294" si="201">BT294*(1+BU294)</f>
        <v>3.141999999999999E-2</v>
      </c>
      <c r="BR294" s="617">
        <v>2005</v>
      </c>
      <c r="BS294" s="642"/>
      <c r="BT294" s="650">
        <f t="shared" si="193"/>
        <v>0.15709999999999999</v>
      </c>
      <c r="BU294" s="399">
        <v>-0.8</v>
      </c>
      <c r="BV294" s="618">
        <f t="shared" ref="BV294:BV357" si="202">BU294</f>
        <v>-0.8</v>
      </c>
      <c r="BW294" s="141"/>
      <c r="BX294" s="311"/>
      <c r="BY294" s="139"/>
    </row>
    <row r="295" spans="1:77" s="14" customFormat="1" ht="15" customHeight="1" x14ac:dyDescent="0.2">
      <c r="A295" s="56" t="s">
        <v>38</v>
      </c>
      <c r="B295" s="107" t="s">
        <v>477</v>
      </c>
      <c r="C295" s="924" t="s">
        <v>362</v>
      </c>
      <c r="D295" s="925">
        <v>425.40300000000002</v>
      </c>
      <c r="E295" s="161" t="s">
        <v>2201</v>
      </c>
      <c r="F295" s="667"/>
      <c r="G295" s="64"/>
      <c r="H295" s="61"/>
      <c r="I295" s="958">
        <v>2006</v>
      </c>
      <c r="J295" s="62"/>
      <c r="K295" s="62">
        <v>5.1817070000000003</v>
      </c>
      <c r="L295" s="608"/>
      <c r="M295" s="62"/>
      <c r="N295" s="355">
        <v>5.0999999999999996</v>
      </c>
      <c r="O295" s="603"/>
      <c r="P295" s="62"/>
      <c r="Q295" s="355">
        <f>K295*0.85</f>
        <v>4.4044509500000002</v>
      </c>
      <c r="R295" s="603"/>
      <c r="S295" s="62"/>
      <c r="T295" s="355"/>
      <c r="U295" s="62"/>
      <c r="V295" s="62"/>
      <c r="W295" s="89"/>
      <c r="X295" s="87"/>
      <c r="Y295" s="642"/>
      <c r="Z295" s="650"/>
      <c r="AA295" s="650"/>
      <c r="AB295" s="399"/>
      <c r="AC295" s="618"/>
      <c r="AD295" s="168"/>
      <c r="AE295" s="168"/>
      <c r="AF295" s="619">
        <f>+AJ295*(1+AK295)</f>
        <v>3.6271949000000001E-3</v>
      </c>
      <c r="AG295" s="620">
        <f>+AJ295*(1+AL295)</f>
        <v>3.6271949000000001E-3</v>
      </c>
      <c r="AH295" s="617">
        <v>2006</v>
      </c>
      <c r="AI295" s="650"/>
      <c r="AJ295" s="650">
        <f>+K295/1000</f>
        <v>5.1817070000000007E-3</v>
      </c>
      <c r="AK295" s="399">
        <v>-0.3</v>
      </c>
      <c r="AL295" s="618">
        <f>AK295</f>
        <v>-0.3</v>
      </c>
      <c r="AM295" s="210"/>
      <c r="AN295" s="168"/>
      <c r="AO295" s="170"/>
      <c r="AP295" s="86"/>
      <c r="AQ295" s="272"/>
      <c r="AR295" s="34"/>
      <c r="AS295" s="442"/>
      <c r="AT295" s="395"/>
      <c r="AU295" s="443"/>
      <c r="AV295" s="168"/>
      <c r="AW295" s="168"/>
      <c r="AX295" s="170"/>
      <c r="AY295" s="86"/>
      <c r="AZ295" s="272"/>
      <c r="BA295" s="51"/>
      <c r="BB295" s="34"/>
      <c r="BC295" s="156"/>
      <c r="BD295" s="341"/>
      <c r="BE295" s="210"/>
      <c r="BF295" s="168"/>
      <c r="BG295" s="619"/>
      <c r="BH295" s="620"/>
      <c r="BI295" s="617"/>
      <c r="BJ295" s="642"/>
      <c r="BK295" s="650"/>
      <c r="BL295" s="399"/>
      <c r="BM295" s="652"/>
      <c r="BN295" s="210"/>
      <c r="BO295" s="168"/>
      <c r="BP295" s="619">
        <f>BT295*(1+BV295)</f>
        <v>1.0363414E-3</v>
      </c>
      <c r="BQ295" s="620">
        <f>BT295*(1+BU295)</f>
        <v>1.0363414E-3</v>
      </c>
      <c r="BR295" s="617">
        <v>2006</v>
      </c>
      <c r="BS295" s="642"/>
      <c r="BT295" s="650">
        <f t="shared" si="193"/>
        <v>5.1817070000000007E-3</v>
      </c>
      <c r="BU295" s="399">
        <v>-0.8</v>
      </c>
      <c r="BV295" s="618">
        <f>BU295</f>
        <v>-0.8</v>
      </c>
      <c r="BW295" s="429"/>
      <c r="BX295" s="926"/>
      <c r="BY295" s="430"/>
    </row>
    <row r="296" spans="1:77" s="14" customFormat="1" ht="15" customHeight="1" x14ac:dyDescent="0.2">
      <c r="A296" s="56" t="s">
        <v>38</v>
      </c>
      <c r="B296" s="107" t="s">
        <v>477</v>
      </c>
      <c r="C296" s="924" t="s">
        <v>2727</v>
      </c>
      <c r="D296" s="925">
        <v>304</v>
      </c>
      <c r="E296" s="161"/>
      <c r="F296" s="667"/>
      <c r="G296" s="64"/>
      <c r="H296" s="61"/>
      <c r="I296" s="958"/>
      <c r="J296" s="62"/>
      <c r="K296" s="62">
        <v>4.7</v>
      </c>
      <c r="L296" s="608"/>
      <c r="M296" s="62"/>
      <c r="N296" s="355"/>
      <c r="O296" s="603"/>
      <c r="P296" s="62"/>
      <c r="Q296" s="355"/>
      <c r="R296" s="603"/>
      <c r="S296" s="62"/>
      <c r="T296" s="355"/>
      <c r="U296" s="62"/>
      <c r="V296" s="62"/>
      <c r="W296" s="89"/>
      <c r="X296" s="87"/>
      <c r="Y296" s="642"/>
      <c r="Z296" s="650"/>
      <c r="AA296" s="650"/>
      <c r="AB296" s="399"/>
      <c r="AC296" s="618"/>
      <c r="AD296" s="168"/>
      <c r="AE296" s="168"/>
      <c r="AF296" s="619"/>
      <c r="AG296" s="620"/>
      <c r="AH296" s="617"/>
      <c r="AI296" s="650"/>
      <c r="AJ296" s="650"/>
      <c r="AK296" s="399"/>
      <c r="AL296" s="618"/>
      <c r="AM296" s="210"/>
      <c r="AN296" s="168"/>
      <c r="AO296" s="170"/>
      <c r="AP296" s="86"/>
      <c r="AQ296" s="272"/>
      <c r="AR296" s="34"/>
      <c r="AS296" s="442"/>
      <c r="AT296" s="395"/>
      <c r="AU296" s="443"/>
      <c r="AV296" s="168"/>
      <c r="AW296" s="168"/>
      <c r="AX296" s="170"/>
      <c r="AY296" s="86"/>
      <c r="AZ296" s="272"/>
      <c r="BA296" s="51"/>
      <c r="BB296" s="34"/>
      <c r="BC296" s="156"/>
      <c r="BD296" s="341"/>
      <c r="BE296" s="210"/>
      <c r="BF296" s="168"/>
      <c r="BG296" s="619"/>
      <c r="BH296" s="620"/>
      <c r="BI296" s="617"/>
      <c r="BJ296" s="642"/>
      <c r="BK296" s="650"/>
      <c r="BL296" s="399"/>
      <c r="BM296" s="652"/>
      <c r="BN296" s="210"/>
      <c r="BO296" s="168"/>
      <c r="BP296" s="619">
        <f t="shared" ref="BP296" si="203">BT296*(1+BV296)</f>
        <v>0</v>
      </c>
      <c r="BQ296" s="620">
        <f t="shared" ref="BQ296" si="204">BT296*(1+BU296)</f>
        <v>0</v>
      </c>
      <c r="BR296" s="617">
        <v>2005</v>
      </c>
      <c r="BS296" s="642"/>
      <c r="BT296" s="434">
        <f t="shared" si="193"/>
        <v>4.7000000000000002E-3</v>
      </c>
      <c r="BU296" s="399">
        <v>-1</v>
      </c>
      <c r="BV296" s="618">
        <f t="shared" ref="BV296" si="205">BU296</f>
        <v>-1</v>
      </c>
      <c r="BW296" s="429"/>
      <c r="BX296" s="926"/>
      <c r="BY296" s="430"/>
    </row>
    <row r="297" spans="1:77" ht="15" customHeight="1" x14ac:dyDescent="0.2">
      <c r="A297" s="56" t="s">
        <v>38</v>
      </c>
      <c r="B297" s="56" t="s">
        <v>3151</v>
      </c>
      <c r="C297" s="637" t="s">
        <v>386</v>
      </c>
      <c r="D297" s="544">
        <v>302.83800000000002</v>
      </c>
      <c r="E297" s="127" t="s">
        <v>2311</v>
      </c>
      <c r="F297" s="667"/>
      <c r="G297" s="64"/>
      <c r="H297" s="61"/>
      <c r="I297" s="266"/>
      <c r="J297" s="62"/>
      <c r="K297" s="62">
        <v>8.0814179999999993</v>
      </c>
      <c r="L297" s="608"/>
      <c r="M297" s="62"/>
      <c r="N297" s="355">
        <v>7.5063589999999998</v>
      </c>
      <c r="O297" s="603"/>
      <c r="P297" s="62"/>
      <c r="Q297" s="355">
        <v>7.2032670000000003</v>
      </c>
      <c r="R297" s="603"/>
      <c r="S297" s="62"/>
      <c r="T297" s="355"/>
      <c r="U297" s="62"/>
      <c r="V297" s="62"/>
      <c r="W297" s="89">
        <f>AA297*(1+AB297)</f>
        <v>6.0610635E-3</v>
      </c>
      <c r="X297" s="87">
        <f>AA297*(1+AC297)</f>
        <v>6.0610635E-3</v>
      </c>
      <c r="Y297" s="642">
        <v>2005</v>
      </c>
      <c r="Z297" s="650"/>
      <c r="AA297" s="650">
        <f>K297/1000</f>
        <v>8.0814179999999999E-3</v>
      </c>
      <c r="AB297" s="399">
        <v>-0.25</v>
      </c>
      <c r="AC297" s="618">
        <f>AB297</f>
        <v>-0.25</v>
      </c>
      <c r="AD297" s="168"/>
      <c r="AE297" s="168"/>
      <c r="AF297" s="388"/>
      <c r="AG297" s="389"/>
      <c r="AH297" s="390"/>
      <c r="AI297" s="433"/>
      <c r="AJ297" s="433"/>
      <c r="AK297" s="156"/>
      <c r="AL297" s="284"/>
      <c r="AM297" s="210"/>
      <c r="AN297" s="168"/>
      <c r="AO297" s="171"/>
      <c r="AP297" s="172"/>
      <c r="AQ297" s="272"/>
      <c r="AR297" s="34"/>
      <c r="AS297" s="657"/>
      <c r="AT297" s="395"/>
      <c r="AU297" s="443"/>
      <c r="AV297" s="168"/>
      <c r="AW297" s="168"/>
      <c r="AX297" s="170"/>
      <c r="AY297" s="86"/>
      <c r="AZ297" s="272"/>
      <c r="BA297" s="51"/>
      <c r="BB297" s="34"/>
      <c r="BC297" s="156"/>
      <c r="BD297" s="341"/>
      <c r="BE297" s="210"/>
      <c r="BF297" s="168"/>
      <c r="BG297" s="619"/>
      <c r="BH297" s="620"/>
      <c r="BI297" s="617"/>
      <c r="BJ297" s="642"/>
      <c r="BK297" s="650"/>
      <c r="BL297" s="399"/>
      <c r="BM297" s="652"/>
      <c r="BN297" s="210"/>
      <c r="BO297" s="168"/>
      <c r="BP297" s="619">
        <f t="shared" ref="BP297" si="206">BT297*(1+BV297)</f>
        <v>1.6162835999999996E-3</v>
      </c>
      <c r="BQ297" s="620">
        <f t="shared" ref="BQ297" si="207">BT297*(1+BU297)</f>
        <v>1.6162835999999996E-3</v>
      </c>
      <c r="BR297" s="617">
        <v>2005</v>
      </c>
      <c r="BS297" s="642"/>
      <c r="BT297" s="650">
        <f>+K297/1000</f>
        <v>8.0814179999999999E-3</v>
      </c>
      <c r="BU297" s="399">
        <v>-0.8</v>
      </c>
      <c r="BV297" s="618">
        <f t="shared" ref="BV297" si="208">BU297</f>
        <v>-0.8</v>
      </c>
      <c r="BW297" s="141"/>
      <c r="BX297" s="311"/>
      <c r="BY297" s="139"/>
    </row>
    <row r="298" spans="1:77" ht="15" customHeight="1" x14ac:dyDescent="0.2">
      <c r="A298" s="56" t="s">
        <v>38</v>
      </c>
      <c r="B298" s="56" t="s">
        <v>3149</v>
      </c>
      <c r="C298" s="637"/>
      <c r="D298" s="544">
        <v>2890</v>
      </c>
      <c r="E298" s="127" t="s">
        <v>3270</v>
      </c>
      <c r="F298" s="667"/>
      <c r="G298" s="64"/>
      <c r="H298" s="61"/>
      <c r="I298" s="266"/>
      <c r="J298" s="62"/>
      <c r="K298" s="62">
        <v>49.396999999999998</v>
      </c>
      <c r="L298" s="608"/>
      <c r="M298" s="62"/>
      <c r="N298" s="355"/>
      <c r="O298" s="603"/>
      <c r="P298" s="62"/>
      <c r="Q298" s="355"/>
      <c r="R298" s="603"/>
      <c r="S298" s="62"/>
      <c r="T298" s="355"/>
      <c r="U298" s="62"/>
      <c r="V298" s="62"/>
      <c r="W298" s="89"/>
      <c r="X298" s="87"/>
      <c r="Y298" s="642"/>
      <c r="Z298" s="650"/>
      <c r="AA298" s="650"/>
      <c r="AB298" s="399"/>
      <c r="AC298" s="618"/>
      <c r="AD298" s="168"/>
      <c r="AE298" s="168"/>
      <c r="AF298" s="23">
        <f>AJ298*(1+AK298)</f>
        <v>3.5565839999999994E-2</v>
      </c>
      <c r="AG298" s="24">
        <f>AJ298*(1+AL298)</f>
        <v>3.5565839999999994E-2</v>
      </c>
      <c r="AH298" s="642">
        <v>2005</v>
      </c>
      <c r="AI298" s="434"/>
      <c r="AJ298" s="434">
        <f>+K298/1000</f>
        <v>4.9396999999999996E-2</v>
      </c>
      <c r="AK298" s="399">
        <v>-0.28000000000000003</v>
      </c>
      <c r="AL298" s="618">
        <f>AK298</f>
        <v>-0.28000000000000003</v>
      </c>
      <c r="AM298" s="210"/>
      <c r="AN298" s="168"/>
      <c r="AO298" s="170">
        <f>AS298*(1+AT298)</f>
        <v>2.7168350000000001E-2</v>
      </c>
      <c r="AP298" s="86">
        <f>AS298*(1+AU298)</f>
        <v>2.7168350000000001E-2</v>
      </c>
      <c r="AQ298" s="272">
        <v>2005</v>
      </c>
      <c r="AR298" s="34"/>
      <c r="AS298" s="442">
        <f>K298/1000</f>
        <v>4.9396999999999996E-2</v>
      </c>
      <c r="AT298" s="395">
        <v>-0.45</v>
      </c>
      <c r="AU298" s="443">
        <f>AT298</f>
        <v>-0.45</v>
      </c>
      <c r="AV298" s="168"/>
      <c r="AW298" s="168"/>
      <c r="AX298" s="170"/>
      <c r="AY298" s="86"/>
      <c r="AZ298" s="272"/>
      <c r="BA298" s="51"/>
      <c r="BB298" s="34"/>
      <c r="BC298" s="156"/>
      <c r="BD298" s="341"/>
      <c r="BE298" s="210"/>
      <c r="BF298" s="168"/>
      <c r="BG298" s="619"/>
      <c r="BH298" s="620"/>
      <c r="BI298" s="617"/>
      <c r="BJ298" s="642"/>
      <c r="BK298" s="650"/>
      <c r="BL298" s="399"/>
      <c r="BM298" s="652"/>
      <c r="BN298" s="210"/>
      <c r="BO298" s="168"/>
      <c r="BP298" s="619"/>
      <c r="BQ298" s="620"/>
      <c r="BR298" s="617"/>
      <c r="BS298" s="642"/>
      <c r="BT298" s="650">
        <f>+K298/1000</f>
        <v>4.9396999999999996E-2</v>
      </c>
      <c r="BU298" s="399"/>
      <c r="BV298" s="618"/>
      <c r="BW298" s="141"/>
      <c r="BX298" s="311"/>
      <c r="BY298" s="139"/>
    </row>
    <row r="299" spans="1:77" ht="15" customHeight="1" x14ac:dyDescent="0.2">
      <c r="A299" s="56" t="s">
        <v>38</v>
      </c>
      <c r="B299" s="56" t="s">
        <v>477</v>
      </c>
      <c r="C299" s="637" t="s">
        <v>2829</v>
      </c>
      <c r="D299" s="544">
        <v>245.255</v>
      </c>
      <c r="E299" s="127" t="s">
        <v>387</v>
      </c>
      <c r="F299" s="667"/>
      <c r="G299" s="64"/>
      <c r="H299" s="656"/>
      <c r="I299" s="958"/>
      <c r="J299" s="62"/>
      <c r="K299" s="121"/>
      <c r="L299" s="608">
        <v>2008</v>
      </c>
      <c r="M299" s="62"/>
      <c r="N299" s="355">
        <v>2.7518788999999999</v>
      </c>
      <c r="O299" s="603"/>
      <c r="P299" s="62"/>
      <c r="Q299" s="355"/>
      <c r="R299" s="603"/>
      <c r="S299" s="62"/>
      <c r="T299" s="355"/>
      <c r="U299" s="62"/>
      <c r="V299" s="62"/>
      <c r="W299" s="89"/>
      <c r="X299" s="87"/>
      <c r="Y299" s="642"/>
      <c r="Z299" s="434"/>
      <c r="AA299" s="650"/>
      <c r="AB299" s="399"/>
      <c r="AC299" s="618"/>
      <c r="AD299" s="168"/>
      <c r="AE299" s="168"/>
      <c r="AF299" s="619"/>
      <c r="AG299" s="620"/>
      <c r="AH299" s="617"/>
      <c r="AI299" s="650"/>
      <c r="AJ299" s="650"/>
      <c r="AK299" s="399"/>
      <c r="AL299" s="618"/>
      <c r="AM299" s="210"/>
      <c r="AN299" s="168"/>
      <c r="AO299" s="619"/>
      <c r="AP299" s="620"/>
      <c r="AQ299" s="617"/>
      <c r="AR299" s="650"/>
      <c r="AS299" s="650"/>
      <c r="AT299" s="399"/>
      <c r="AU299" s="618"/>
      <c r="AV299" s="168"/>
      <c r="AW299" s="168"/>
      <c r="AX299" s="170"/>
      <c r="AY299" s="86"/>
      <c r="AZ299" s="272"/>
      <c r="BA299" s="51"/>
      <c r="BB299" s="34"/>
      <c r="BC299" s="156"/>
      <c r="BD299" s="341"/>
      <c r="BE299" s="210"/>
      <c r="BF299" s="168"/>
      <c r="BG299" s="615"/>
      <c r="BH299" s="616"/>
      <c r="BI299" s="617"/>
      <c r="BJ299" s="642"/>
      <c r="BK299" s="434"/>
      <c r="BL299" s="399"/>
      <c r="BM299" s="652"/>
      <c r="BN299" s="210"/>
      <c r="BO299" s="168"/>
      <c r="BP299" s="619">
        <f>+BT299*(1+BU299)</f>
        <v>5.5037577999999989E-4</v>
      </c>
      <c r="BQ299" s="620">
        <f>+BT299*(1+BV299)</f>
        <v>5.5037577999999989E-4</v>
      </c>
      <c r="BR299" s="617">
        <v>2003</v>
      </c>
      <c r="BS299" s="650"/>
      <c r="BT299" s="650">
        <f>+N299/1000</f>
        <v>2.7518789E-3</v>
      </c>
      <c r="BU299" s="399">
        <v>-0.8</v>
      </c>
      <c r="BV299" s="618">
        <f>BU299</f>
        <v>-0.8</v>
      </c>
      <c r="BW299" s="141"/>
      <c r="BX299" s="311"/>
      <c r="BY299" s="139"/>
    </row>
    <row r="300" spans="1:77" ht="15" customHeight="1" x14ac:dyDescent="0.2">
      <c r="A300" s="56" t="s">
        <v>38</v>
      </c>
      <c r="B300" s="56" t="s">
        <v>477</v>
      </c>
      <c r="C300" s="637" t="s">
        <v>3232</v>
      </c>
      <c r="D300" s="544">
        <v>675.971</v>
      </c>
      <c r="E300" s="127" t="s">
        <v>387</v>
      </c>
      <c r="F300" s="667"/>
      <c r="G300" s="64"/>
      <c r="H300" s="656"/>
      <c r="I300" s="958"/>
      <c r="J300" s="62"/>
      <c r="K300" s="121"/>
      <c r="L300" s="608"/>
      <c r="M300" s="62"/>
      <c r="N300" s="355"/>
      <c r="O300" s="603"/>
      <c r="P300" s="62"/>
      <c r="Q300" s="355"/>
      <c r="R300" s="603"/>
      <c r="S300" s="62"/>
      <c r="T300" s="355"/>
      <c r="U300" s="62"/>
      <c r="V300" s="62">
        <v>22.289335000000001</v>
      </c>
      <c r="W300" s="89"/>
      <c r="X300" s="87"/>
      <c r="Y300" s="642"/>
      <c r="Z300" s="434"/>
      <c r="AA300" s="650"/>
      <c r="AB300" s="399"/>
      <c r="AC300" s="618"/>
      <c r="AD300" s="168"/>
      <c r="AE300" s="168"/>
      <c r="AF300" s="619"/>
      <c r="AG300" s="620"/>
      <c r="AH300" s="617"/>
      <c r="AI300" s="650"/>
      <c r="AJ300" s="650"/>
      <c r="AK300" s="399"/>
      <c r="AL300" s="618"/>
      <c r="AM300" s="210"/>
      <c r="AN300" s="168"/>
      <c r="AO300" s="619"/>
      <c r="AP300" s="620"/>
      <c r="AQ300" s="617"/>
      <c r="AR300" s="650"/>
      <c r="AS300" s="650"/>
      <c r="AT300" s="399"/>
      <c r="AU300" s="618"/>
      <c r="AV300" s="168"/>
      <c r="AW300" s="168"/>
      <c r="AX300" s="170"/>
      <c r="AY300" s="86"/>
      <c r="AZ300" s="272"/>
      <c r="BA300" s="51"/>
      <c r="BB300" s="34"/>
      <c r="BC300" s="156"/>
      <c r="BD300" s="341"/>
      <c r="BE300" s="210"/>
      <c r="BF300" s="168"/>
      <c r="BG300" s="615"/>
      <c r="BH300" s="616"/>
      <c r="BI300" s="617"/>
      <c r="BJ300" s="642"/>
      <c r="BK300" s="434"/>
      <c r="BL300" s="399"/>
      <c r="BM300" s="652"/>
      <c r="BN300" s="210"/>
      <c r="BO300" s="168"/>
      <c r="BP300" s="615">
        <f>+BT300*(1+BU300)</f>
        <v>4.457866999999999E-3</v>
      </c>
      <c r="BQ300" s="616">
        <f>+BT300*(1+BV300)</f>
        <v>4.457866999999999E-3</v>
      </c>
      <c r="BR300" s="617">
        <v>2020</v>
      </c>
      <c r="BS300" s="650"/>
      <c r="BT300" s="434">
        <f>+V300/1000</f>
        <v>2.2289335E-2</v>
      </c>
      <c r="BU300" s="399">
        <v>-0.8</v>
      </c>
      <c r="BV300" s="618">
        <f>BU300</f>
        <v>-0.8</v>
      </c>
      <c r="BW300" s="141"/>
      <c r="BX300" s="311"/>
      <c r="BY300" s="139"/>
    </row>
    <row r="301" spans="1:77" ht="15" customHeight="1" x14ac:dyDescent="0.2">
      <c r="A301" s="56" t="s">
        <v>38</v>
      </c>
      <c r="B301" s="107" t="s">
        <v>1623</v>
      </c>
      <c r="C301" s="637"/>
      <c r="D301" s="544">
        <v>1317</v>
      </c>
      <c r="E301" s="127" t="s">
        <v>2485</v>
      </c>
      <c r="F301" s="667"/>
      <c r="G301" s="64"/>
      <c r="H301" s="61">
        <v>15.79</v>
      </c>
      <c r="I301" s="266"/>
      <c r="J301" s="62"/>
      <c r="K301" s="62">
        <v>22.45</v>
      </c>
      <c r="L301" s="608"/>
      <c r="M301" s="62"/>
      <c r="N301" s="355"/>
      <c r="O301" s="603"/>
      <c r="P301" s="62"/>
      <c r="Q301" s="355"/>
      <c r="R301" s="603"/>
      <c r="S301" s="62"/>
      <c r="T301" s="355"/>
      <c r="U301" s="62"/>
      <c r="V301" s="62"/>
      <c r="W301" s="23">
        <f>AA301*(1+AB301)</f>
        <v>1.4211E-2</v>
      </c>
      <c r="X301" s="24">
        <f>AA301*(1+AC301)</f>
        <v>1.4211E-2</v>
      </c>
      <c r="Y301" s="642">
        <v>1990</v>
      </c>
      <c r="Z301" s="434"/>
      <c r="AA301" s="434">
        <f>+H301/1000</f>
        <v>1.5789999999999998E-2</v>
      </c>
      <c r="AB301" s="399">
        <v>-0.1</v>
      </c>
      <c r="AC301" s="618">
        <f>AB301</f>
        <v>-0.1</v>
      </c>
      <c r="AD301" s="168"/>
      <c r="AE301" s="168"/>
      <c r="AF301" s="23"/>
      <c r="AG301" s="24"/>
      <c r="AH301" s="642"/>
      <c r="AI301" s="434"/>
      <c r="AJ301" s="434"/>
      <c r="AK301" s="399"/>
      <c r="AL301" s="618"/>
      <c r="AM301" s="210"/>
      <c r="AN301" s="168"/>
      <c r="AO301" s="171">
        <f>AS301*(1+AT301)</f>
        <v>7.8949999999999992E-3</v>
      </c>
      <c r="AP301" s="172">
        <f>AS301*(1+AU301)</f>
        <v>7.8949999999999992E-3</v>
      </c>
      <c r="AQ301" s="272">
        <v>1990</v>
      </c>
      <c r="AR301" s="34"/>
      <c r="AS301" s="657">
        <f>H301/1000</f>
        <v>1.5789999999999998E-2</v>
      </c>
      <c r="AT301" s="395">
        <v>-0.5</v>
      </c>
      <c r="AU301" s="443">
        <f>AT301</f>
        <v>-0.5</v>
      </c>
      <c r="AV301" s="168"/>
      <c r="AW301" s="168"/>
      <c r="AX301" s="170"/>
      <c r="AY301" s="86"/>
      <c r="AZ301" s="272"/>
      <c r="BA301" s="51"/>
      <c r="BB301" s="34"/>
      <c r="BC301" s="156"/>
      <c r="BD301" s="341"/>
      <c r="BE301" s="210"/>
      <c r="BF301" s="168"/>
      <c r="BG301" s="619">
        <f>BK301*(1+BL301)</f>
        <v>3.9474999999999996E-3</v>
      </c>
      <c r="BH301" s="620">
        <f>BK301*(1+BM301)</f>
        <v>3.9474999999999996E-3</v>
      </c>
      <c r="BI301" s="617">
        <v>1990</v>
      </c>
      <c r="BJ301" s="642"/>
      <c r="BK301" s="650">
        <f>+H301/1000</f>
        <v>1.5789999999999998E-2</v>
      </c>
      <c r="BL301" s="399">
        <v>-0.75</v>
      </c>
      <c r="BM301" s="652">
        <f>BL301</f>
        <v>-0.75</v>
      </c>
      <c r="BN301" s="210"/>
      <c r="BO301" s="168">
        <v>4.2950000000000002E-2</v>
      </c>
      <c r="BP301" s="615">
        <f t="shared" ref="BP301" si="209">BT301*(1+BV301)</f>
        <v>4.4899999999999983E-3</v>
      </c>
      <c r="BQ301" s="616">
        <f t="shared" ref="BQ301" si="210">BT301*(1+BU301)</f>
        <v>4.4899999999999983E-3</v>
      </c>
      <c r="BR301" s="642">
        <v>1990</v>
      </c>
      <c r="BS301" s="434"/>
      <c r="BT301" s="650">
        <f t="shared" si="193"/>
        <v>2.2449999999999998E-2</v>
      </c>
      <c r="BU301" s="399">
        <v>-0.8</v>
      </c>
      <c r="BV301" s="618">
        <v>-0.8</v>
      </c>
      <c r="BW301" s="141"/>
      <c r="BX301" s="311"/>
      <c r="BY301" s="669" t="s">
        <v>2484</v>
      </c>
    </row>
    <row r="302" spans="1:77" ht="15" customHeight="1" x14ac:dyDescent="0.2">
      <c r="A302" s="56" t="s">
        <v>38</v>
      </c>
      <c r="B302" s="107" t="s">
        <v>477</v>
      </c>
      <c r="C302" s="637" t="s">
        <v>388</v>
      </c>
      <c r="D302" s="544">
        <v>42.283999999999999</v>
      </c>
      <c r="E302" s="127" t="s">
        <v>2722</v>
      </c>
      <c r="F302" s="667"/>
      <c r="G302" s="64"/>
      <c r="H302" s="61"/>
      <c r="I302" s="67">
        <v>2007</v>
      </c>
      <c r="J302" s="62"/>
      <c r="K302" s="672">
        <v>0.40200000000000002</v>
      </c>
      <c r="L302" s="608"/>
      <c r="M302" s="62"/>
      <c r="N302" s="357">
        <v>0.404779</v>
      </c>
      <c r="O302" s="603"/>
      <c r="P302" s="62"/>
      <c r="Q302" s="357"/>
      <c r="R302" s="603"/>
      <c r="S302" s="62"/>
      <c r="T302" s="357"/>
      <c r="U302" s="62"/>
      <c r="V302" s="62"/>
      <c r="W302" s="674">
        <f>AA302*(1+AB302)</f>
        <v>3.2160000000000001E-4</v>
      </c>
      <c r="X302" s="675">
        <f>AA302*(1+AC302)</f>
        <v>3.2160000000000001E-4</v>
      </c>
      <c r="Y302" s="642">
        <v>2007</v>
      </c>
      <c r="Z302" s="650"/>
      <c r="AA302" s="673">
        <f>K302/1000</f>
        <v>4.0200000000000001E-4</v>
      </c>
      <c r="AB302" s="399">
        <v>-0.2</v>
      </c>
      <c r="AC302" s="618">
        <f>AB302</f>
        <v>-0.2</v>
      </c>
      <c r="AD302" s="168"/>
      <c r="AE302" s="168"/>
      <c r="AF302" s="89">
        <f>AJ302*(1+AK302)</f>
        <v>3.6430110000000001E-4</v>
      </c>
      <c r="AG302" s="87">
        <f>AJ302*(1+AL302)</f>
        <v>3.6430110000000001E-4</v>
      </c>
      <c r="AH302" s="642">
        <v>2010</v>
      </c>
      <c r="AI302" s="434"/>
      <c r="AJ302" s="650">
        <f>+N302/1000</f>
        <v>4.0477900000000002E-4</v>
      </c>
      <c r="AK302" s="399">
        <v>-0.1</v>
      </c>
      <c r="AL302" s="618">
        <f>AK302</f>
        <v>-0.1</v>
      </c>
      <c r="AM302" s="210"/>
      <c r="AN302" s="168"/>
      <c r="AO302" s="170"/>
      <c r="AP302" s="86"/>
      <c r="AQ302" s="272"/>
      <c r="AR302" s="34"/>
      <c r="AS302" s="442"/>
      <c r="AT302" s="395"/>
      <c r="AU302" s="443"/>
      <c r="AV302" s="168"/>
      <c r="AW302" s="168"/>
      <c r="AX302" s="170"/>
      <c r="AY302" s="86"/>
      <c r="AZ302" s="272"/>
      <c r="BA302" s="51"/>
      <c r="BB302" s="34"/>
      <c r="BC302" s="156"/>
      <c r="BD302" s="341"/>
      <c r="BE302" s="210"/>
      <c r="BF302" s="168"/>
      <c r="BG302" s="619"/>
      <c r="BH302" s="620"/>
      <c r="BI302" s="617"/>
      <c r="BJ302" s="642"/>
      <c r="BK302" s="650"/>
      <c r="BL302" s="399"/>
      <c r="BM302" s="652"/>
      <c r="BN302" s="210"/>
      <c r="BO302" s="168"/>
      <c r="BP302" s="619">
        <f>BT302*(1+BV302)</f>
        <v>8.0399999999999989E-5</v>
      </c>
      <c r="BQ302" s="620">
        <f>BT302*(1+BU302)</f>
        <v>8.0399999999999989E-5</v>
      </c>
      <c r="BR302" s="617">
        <v>2007</v>
      </c>
      <c r="BS302" s="642"/>
      <c r="BT302" s="650">
        <f t="shared" si="193"/>
        <v>4.0200000000000001E-4</v>
      </c>
      <c r="BU302" s="399">
        <v>-0.8</v>
      </c>
      <c r="BV302" s="618">
        <f>BU302</f>
        <v>-0.8</v>
      </c>
      <c r="BW302" s="141"/>
      <c r="BX302" s="311"/>
      <c r="BY302" s="139"/>
    </row>
    <row r="303" spans="1:77" ht="15" customHeight="1" x14ac:dyDescent="0.2">
      <c r="A303" s="56" t="s">
        <v>38</v>
      </c>
      <c r="B303" s="107" t="s">
        <v>2139</v>
      </c>
      <c r="C303" s="637"/>
      <c r="D303" s="544">
        <v>1328</v>
      </c>
      <c r="E303" s="127" t="s">
        <v>2140</v>
      </c>
      <c r="F303" s="667"/>
      <c r="G303" s="64">
        <v>125.6</v>
      </c>
      <c r="H303" s="61"/>
      <c r="I303" s="67">
        <v>2006</v>
      </c>
      <c r="J303" s="62">
        <v>127</v>
      </c>
      <c r="K303" s="672"/>
      <c r="L303" s="608"/>
      <c r="M303" s="62">
        <v>112.7</v>
      </c>
      <c r="N303" s="357"/>
      <c r="O303" s="603"/>
      <c r="P303" s="62"/>
      <c r="Q303" s="357"/>
      <c r="R303" s="603"/>
      <c r="S303" s="62"/>
      <c r="T303" s="357"/>
      <c r="U303" s="62"/>
      <c r="V303" s="62"/>
      <c r="W303" s="23">
        <f>Z303*(1+AB303)</f>
        <v>0.12559999999999999</v>
      </c>
      <c r="X303" s="24">
        <f>Z303*(1+AC303)</f>
        <v>0.12559999999999999</v>
      </c>
      <c r="Y303" s="642">
        <v>1990</v>
      </c>
      <c r="Z303" s="434">
        <f>G303/1000</f>
        <v>0.12559999999999999</v>
      </c>
      <c r="AA303" s="434"/>
      <c r="AB303" s="395">
        <v>0</v>
      </c>
      <c r="AC303" s="443">
        <v>0</v>
      </c>
      <c r="AD303" s="168"/>
      <c r="AE303" s="168"/>
      <c r="AF303" s="388"/>
      <c r="AG303" s="389"/>
      <c r="AH303" s="390"/>
      <c r="AI303" s="433"/>
      <c r="AJ303" s="433"/>
      <c r="AK303" s="156"/>
      <c r="AL303" s="284"/>
      <c r="AM303" s="210"/>
      <c r="AN303" s="168"/>
      <c r="AO303" s="170"/>
      <c r="AP303" s="86"/>
      <c r="AQ303" s="272"/>
      <c r="AR303" s="34"/>
      <c r="AS303" s="442"/>
      <c r="AT303" s="395"/>
      <c r="AU303" s="443"/>
      <c r="AV303" s="168"/>
      <c r="AW303" s="168"/>
      <c r="AX303" s="170"/>
      <c r="AY303" s="86"/>
      <c r="AZ303" s="272"/>
      <c r="BA303" s="51"/>
      <c r="BB303" s="34"/>
      <c r="BC303" s="156"/>
      <c r="BD303" s="341"/>
      <c r="BE303" s="210"/>
      <c r="BF303" s="168"/>
      <c r="BG303" s="619"/>
      <c r="BH303" s="620"/>
      <c r="BI303" s="617"/>
      <c r="BJ303" s="642"/>
      <c r="BK303" s="650"/>
      <c r="BL303" s="399"/>
      <c r="BM303" s="652"/>
      <c r="BN303" s="210"/>
      <c r="BO303" s="168"/>
      <c r="BP303" s="615">
        <f>BS303*(1+BV303)</f>
        <v>2.5399999999999995E-2</v>
      </c>
      <c r="BQ303" s="616">
        <f>BS303*(1+BU303)</f>
        <v>2.5399999999999995E-2</v>
      </c>
      <c r="BR303" s="642">
        <v>2006</v>
      </c>
      <c r="BS303" s="434">
        <f>J303/1000</f>
        <v>0.127</v>
      </c>
      <c r="BT303" s="34"/>
      <c r="BU303" s="399">
        <v>-0.8</v>
      </c>
      <c r="BV303" s="618">
        <v>-0.8</v>
      </c>
      <c r="BW303" s="141"/>
      <c r="BX303" s="311"/>
      <c r="BY303" s="139"/>
    </row>
    <row r="304" spans="1:77" ht="15" customHeight="1" x14ac:dyDescent="0.2">
      <c r="A304" s="56" t="s">
        <v>38</v>
      </c>
      <c r="B304" s="107" t="s">
        <v>477</v>
      </c>
      <c r="C304" s="637" t="s">
        <v>3241</v>
      </c>
      <c r="D304" s="544">
        <v>31.821999999999999</v>
      </c>
      <c r="E304" s="127" t="s">
        <v>387</v>
      </c>
      <c r="F304" s="667"/>
      <c r="G304" s="64"/>
      <c r="H304" s="61"/>
      <c r="I304" s="67"/>
      <c r="J304" s="62"/>
      <c r="K304" s="672"/>
      <c r="L304" s="608"/>
      <c r="M304" s="62"/>
      <c r="N304" s="357">
        <v>0.443693</v>
      </c>
      <c r="O304" s="603"/>
      <c r="P304" s="62"/>
      <c r="Q304" s="357"/>
      <c r="R304" s="603"/>
      <c r="S304" s="62"/>
      <c r="T304" s="357"/>
      <c r="U304" s="62"/>
      <c r="V304" s="62"/>
      <c r="W304" s="23"/>
      <c r="X304" s="24"/>
      <c r="Y304" s="642"/>
      <c r="Z304" s="434"/>
      <c r="AA304" s="434"/>
      <c r="AB304" s="395"/>
      <c r="AC304" s="443"/>
      <c r="AD304" s="168"/>
      <c r="AE304" s="168"/>
      <c r="AF304" s="388"/>
      <c r="AG304" s="389"/>
      <c r="AH304" s="390"/>
      <c r="AI304" s="433"/>
      <c r="AJ304" s="433"/>
      <c r="AK304" s="156"/>
      <c r="AL304" s="284"/>
      <c r="AM304" s="210"/>
      <c r="AN304" s="168"/>
      <c r="AO304" s="171">
        <f>AS304*(1+AT304)</f>
        <v>2.218465E-4</v>
      </c>
      <c r="AP304" s="172">
        <f>AS304*(1+AU304)</f>
        <v>2.218465E-4</v>
      </c>
      <c r="AQ304" s="272">
        <v>2010</v>
      </c>
      <c r="AR304" s="34"/>
      <c r="AS304" s="657">
        <f>N304/1000</f>
        <v>4.43693E-4</v>
      </c>
      <c r="AT304" s="395">
        <v>-0.5</v>
      </c>
      <c r="AU304" s="443">
        <f>AT304</f>
        <v>-0.5</v>
      </c>
      <c r="AV304" s="168"/>
      <c r="AW304" s="168"/>
      <c r="AX304" s="170"/>
      <c r="AY304" s="86"/>
      <c r="AZ304" s="272"/>
      <c r="BA304" s="51"/>
      <c r="BB304" s="34"/>
      <c r="BC304" s="156"/>
      <c r="BD304" s="341"/>
      <c r="BE304" s="210"/>
      <c r="BF304" s="168"/>
      <c r="BG304" s="1454">
        <f>BK304*(1+BL304)</f>
        <v>1.5529254999999999E-4</v>
      </c>
      <c r="BH304" s="1455">
        <f>BK304*(1+BM304)</f>
        <v>1.5529254999999999E-4</v>
      </c>
      <c r="BI304" s="617">
        <v>2005</v>
      </c>
      <c r="BJ304" s="642"/>
      <c r="BK304" s="650">
        <f>N304/1000</f>
        <v>4.43693E-4</v>
      </c>
      <c r="BL304" s="399">
        <v>-0.65</v>
      </c>
      <c r="BM304" s="652">
        <f>BL304</f>
        <v>-0.65</v>
      </c>
      <c r="BN304" s="210"/>
      <c r="BO304" s="168"/>
      <c r="BP304" s="615"/>
      <c r="BQ304" s="616"/>
      <c r="BR304" s="642"/>
      <c r="BS304" s="434"/>
      <c r="BT304" s="34"/>
      <c r="BU304" s="399"/>
      <c r="BV304" s="618"/>
      <c r="BW304" s="141"/>
      <c r="BX304" s="311"/>
      <c r="BY304" s="139"/>
    </row>
    <row r="305" spans="1:77" ht="15" customHeight="1" x14ac:dyDescent="0.2">
      <c r="A305" s="56" t="s">
        <v>38</v>
      </c>
      <c r="B305" s="107" t="s">
        <v>2170</v>
      </c>
      <c r="C305" s="637"/>
      <c r="D305" s="544">
        <v>1990</v>
      </c>
      <c r="E305" s="127" t="s">
        <v>2141</v>
      </c>
      <c r="F305" s="667"/>
      <c r="G305" s="64"/>
      <c r="H305" s="61">
        <v>65.3</v>
      </c>
      <c r="I305" s="67">
        <v>2000</v>
      </c>
      <c r="J305" s="62"/>
      <c r="K305" s="121">
        <f>(77+82.7)/2</f>
        <v>79.849999999999994</v>
      </c>
      <c r="L305" s="608">
        <v>2007</v>
      </c>
      <c r="M305" s="62"/>
      <c r="N305" s="357">
        <v>76.2</v>
      </c>
      <c r="O305" s="603"/>
      <c r="P305" s="62"/>
      <c r="Q305" s="357"/>
      <c r="R305" s="603"/>
      <c r="S305" s="62"/>
      <c r="T305" s="357"/>
      <c r="U305" s="62"/>
      <c r="V305" s="62"/>
      <c r="W305" s="23">
        <f>AA305*(1+AB305)</f>
        <v>7.1864999999999998E-2</v>
      </c>
      <c r="X305" s="24">
        <f>AA305*(1+AC305)</f>
        <v>7.1864999999999998E-2</v>
      </c>
      <c r="Y305" s="642">
        <v>2000</v>
      </c>
      <c r="Z305" s="434"/>
      <c r="AA305" s="434">
        <f>+K305/1000</f>
        <v>7.984999999999999E-2</v>
      </c>
      <c r="AB305" s="399">
        <v>-0.1</v>
      </c>
      <c r="AC305" s="618">
        <f>AB305</f>
        <v>-0.1</v>
      </c>
      <c r="AD305" s="168"/>
      <c r="AE305" s="168"/>
      <c r="AF305" s="388"/>
      <c r="AG305" s="389"/>
      <c r="AH305" s="390"/>
      <c r="AI305" s="433"/>
      <c r="AJ305" s="433"/>
      <c r="AK305" s="156"/>
      <c r="AL305" s="284"/>
      <c r="AM305" s="210"/>
      <c r="AN305" s="168"/>
      <c r="AO305" s="170">
        <f>AS305*(1+AT305)</f>
        <v>4.3917499999999998E-2</v>
      </c>
      <c r="AP305" s="86">
        <f>AS305*(1+AU305)</f>
        <v>4.3917499999999998E-2</v>
      </c>
      <c r="AQ305" s="272">
        <v>2005</v>
      </c>
      <c r="AR305" s="34"/>
      <c r="AS305" s="442">
        <f>K305/1000</f>
        <v>7.984999999999999E-2</v>
      </c>
      <c r="AT305" s="395">
        <v>-0.45</v>
      </c>
      <c r="AU305" s="443">
        <f>AT305</f>
        <v>-0.45</v>
      </c>
      <c r="AV305" s="168"/>
      <c r="AW305" s="168"/>
      <c r="AX305" s="170"/>
      <c r="AY305" s="86"/>
      <c r="AZ305" s="272"/>
      <c r="BA305" s="51"/>
      <c r="BB305" s="34"/>
      <c r="BC305" s="156"/>
      <c r="BD305" s="341"/>
      <c r="BE305" s="210"/>
      <c r="BF305" s="168"/>
      <c r="BG305" s="619"/>
      <c r="BH305" s="620"/>
      <c r="BI305" s="617"/>
      <c r="BJ305" s="642"/>
      <c r="BK305" s="650"/>
      <c r="BL305" s="399"/>
      <c r="BM305" s="652"/>
      <c r="BN305" s="210"/>
      <c r="BO305" s="168"/>
      <c r="BP305" s="615">
        <f t="shared" ref="BP305" si="211">BT305*(1+BV305)</f>
        <v>1.9962499999999998E-2</v>
      </c>
      <c r="BQ305" s="616">
        <f t="shared" ref="BQ305" si="212">BT305*(1+BU305)</f>
        <v>1.9962499999999998E-2</v>
      </c>
      <c r="BR305" s="642">
        <v>2000</v>
      </c>
      <c r="BS305" s="434"/>
      <c r="BT305" s="650">
        <f>+K305/1000</f>
        <v>7.984999999999999E-2</v>
      </c>
      <c r="BU305" s="399">
        <v>-0.75</v>
      </c>
      <c r="BV305" s="618">
        <f t="shared" ref="BV305" si="213">BU305</f>
        <v>-0.75</v>
      </c>
      <c r="BW305" s="141"/>
      <c r="BX305" s="311" t="s">
        <v>2487</v>
      </c>
      <c r="BY305" s="669" t="s">
        <v>2486</v>
      </c>
    </row>
    <row r="306" spans="1:77" ht="15" customHeight="1" x14ac:dyDescent="0.2">
      <c r="A306" s="56" t="s">
        <v>38</v>
      </c>
      <c r="B306" s="107" t="s">
        <v>477</v>
      </c>
      <c r="C306" s="637" t="s">
        <v>1613</v>
      </c>
      <c r="D306" s="544">
        <v>68</v>
      </c>
      <c r="E306" s="127" t="s">
        <v>1614</v>
      </c>
      <c r="F306" s="667"/>
      <c r="G306" s="64"/>
      <c r="H306" s="656"/>
      <c r="I306" s="266"/>
      <c r="J306" s="62"/>
      <c r="K306" s="121"/>
      <c r="L306" s="608">
        <v>2011</v>
      </c>
      <c r="M306" s="62"/>
      <c r="N306" s="355">
        <v>1.9</v>
      </c>
      <c r="O306" s="603"/>
      <c r="P306" s="62"/>
      <c r="Q306" s="355"/>
      <c r="R306" s="603"/>
      <c r="S306" s="62"/>
      <c r="T306" s="355"/>
      <c r="U306" s="62"/>
      <c r="V306" s="62"/>
      <c r="W306" s="89"/>
      <c r="X306" s="87"/>
      <c r="Y306" s="642"/>
      <c r="Z306" s="434"/>
      <c r="AA306" s="650"/>
      <c r="AB306" s="399"/>
      <c r="AC306" s="618"/>
      <c r="AD306" s="168"/>
      <c r="AE306" s="168"/>
      <c r="AF306" s="619"/>
      <c r="AG306" s="620"/>
      <c r="AH306" s="617"/>
      <c r="AI306" s="650"/>
      <c r="AJ306" s="650"/>
      <c r="AK306" s="399"/>
      <c r="AL306" s="618"/>
      <c r="AM306" s="210"/>
      <c r="AN306" s="168"/>
      <c r="AO306" s="170"/>
      <c r="AP306" s="86"/>
      <c r="AQ306" s="272"/>
      <c r="AR306" s="34"/>
      <c r="AS306" s="442"/>
      <c r="AT306" s="395"/>
      <c r="AU306" s="443"/>
      <c r="AV306" s="168"/>
      <c r="AW306" s="168"/>
      <c r="AX306" s="170"/>
      <c r="AY306" s="86"/>
      <c r="AZ306" s="272"/>
      <c r="BA306" s="51"/>
      <c r="BB306" s="34"/>
      <c r="BC306" s="156"/>
      <c r="BD306" s="341"/>
      <c r="BE306" s="210"/>
      <c r="BF306" s="168"/>
      <c r="BG306" s="615">
        <v>0</v>
      </c>
      <c r="BH306" s="616">
        <v>0</v>
      </c>
      <c r="BI306" s="617"/>
      <c r="BJ306" s="642"/>
      <c r="BK306" s="434"/>
      <c r="BL306" s="399">
        <v>-1</v>
      </c>
      <c r="BM306" s="652">
        <f>BL306</f>
        <v>-1</v>
      </c>
      <c r="BN306" s="210"/>
      <c r="BO306" s="168"/>
      <c r="BP306" s="619"/>
      <c r="BQ306" s="620"/>
      <c r="BR306" s="617"/>
      <c r="BS306" s="642"/>
      <c r="BT306" s="650"/>
      <c r="BU306" s="399"/>
      <c r="BV306" s="618"/>
      <c r="BW306" s="141"/>
      <c r="BX306" s="311"/>
      <c r="BY306" s="669" t="s">
        <v>1615</v>
      </c>
    </row>
    <row r="307" spans="1:77" ht="15" customHeight="1" x14ac:dyDescent="0.2">
      <c r="A307" s="56" t="s">
        <v>38</v>
      </c>
      <c r="B307" s="637" t="s">
        <v>389</v>
      </c>
      <c r="C307" s="637"/>
      <c r="D307" s="544">
        <v>19746</v>
      </c>
      <c r="E307" s="127" t="s">
        <v>2923</v>
      </c>
      <c r="F307" s="667"/>
      <c r="G307" s="64"/>
      <c r="H307" s="61">
        <v>236.19</v>
      </c>
      <c r="I307" s="266"/>
      <c r="J307" s="62"/>
      <c r="K307" s="62"/>
      <c r="L307" s="608">
        <v>2011</v>
      </c>
      <c r="M307" s="62"/>
      <c r="N307" s="355">
        <f>H307*0.92</f>
        <v>217.29480000000001</v>
      </c>
      <c r="O307" s="603">
        <v>2014</v>
      </c>
      <c r="P307" s="62"/>
      <c r="Q307" s="355">
        <v>223.23</v>
      </c>
      <c r="R307" s="603">
        <v>2016</v>
      </c>
      <c r="S307" s="62"/>
      <c r="T307" s="355">
        <v>205.61</v>
      </c>
      <c r="U307" s="62"/>
      <c r="V307" s="62"/>
      <c r="W307" s="1164">
        <f>AA307*(1+AB307)</f>
        <v>0.21257100000000001</v>
      </c>
      <c r="X307" s="1165">
        <f>AA307*(1+AC307)</f>
        <v>0.21257100000000001</v>
      </c>
      <c r="Y307" s="642">
        <v>1990</v>
      </c>
      <c r="Z307" s="434"/>
      <c r="AA307" s="434">
        <f>+H307/1000</f>
        <v>0.23619000000000001</v>
      </c>
      <c r="AB307" s="1162">
        <v>-0.1</v>
      </c>
      <c r="AC307" s="1163">
        <f>AB307</f>
        <v>-0.1</v>
      </c>
      <c r="AD307" s="168"/>
      <c r="AE307" s="168"/>
      <c r="AF307" s="619"/>
      <c r="AG307" s="620"/>
      <c r="AH307" s="617"/>
      <c r="AI307" s="650"/>
      <c r="AJ307" s="650"/>
      <c r="AK307" s="399"/>
      <c r="AL307" s="618"/>
      <c r="AM307" s="210"/>
      <c r="AN307" s="168"/>
      <c r="AO307" s="171">
        <f>AS307*(1+AT307)</f>
        <v>0.14171400000000001</v>
      </c>
      <c r="AP307" s="172">
        <f>AS307*(1+AU307)</f>
        <v>0.14171400000000001</v>
      </c>
      <c r="AQ307" s="272">
        <v>1990</v>
      </c>
      <c r="AR307" s="34"/>
      <c r="AS307" s="657">
        <f>H307/1000</f>
        <v>0.23619000000000001</v>
      </c>
      <c r="AT307" s="395">
        <v>-0.4</v>
      </c>
      <c r="AU307" s="443">
        <f>AT307</f>
        <v>-0.4</v>
      </c>
      <c r="AV307" s="168"/>
      <c r="AW307" s="168"/>
      <c r="AX307" s="170"/>
      <c r="AY307" s="86"/>
      <c r="AZ307" s="272"/>
      <c r="BA307" s="51"/>
      <c r="BB307" s="34"/>
      <c r="BC307" s="156"/>
      <c r="BD307" s="341"/>
      <c r="BE307" s="210"/>
      <c r="BF307" s="168"/>
      <c r="BG307" s="619"/>
      <c r="BH307" s="620"/>
      <c r="BI307" s="617"/>
      <c r="BJ307" s="642"/>
      <c r="BK307" s="650"/>
      <c r="BL307" s="399"/>
      <c r="BM307" s="652"/>
      <c r="BN307" s="210"/>
      <c r="BO307" s="168"/>
      <c r="BP307" s="615">
        <f t="shared" ref="BP307:BP355" si="214">BT307*(1+BV307)</f>
        <v>3.5428500000000009E-2</v>
      </c>
      <c r="BQ307" s="616">
        <f t="shared" ref="BQ307:BQ355" si="215">BT307*(1+BU307)</f>
        <v>3.5428500000000009E-2</v>
      </c>
      <c r="BR307" s="642">
        <v>1990</v>
      </c>
      <c r="BS307" s="434"/>
      <c r="BT307" s="650">
        <f>+H307/1000</f>
        <v>0.23619000000000001</v>
      </c>
      <c r="BU307" s="399">
        <v>-0.85</v>
      </c>
      <c r="BV307" s="618">
        <f t="shared" si="202"/>
        <v>-0.85</v>
      </c>
      <c r="BW307" s="141" t="s">
        <v>2833</v>
      </c>
      <c r="BX307" s="311"/>
      <c r="BY307" s="139"/>
    </row>
    <row r="308" spans="1:77" ht="15" customHeight="1" x14ac:dyDescent="0.2">
      <c r="A308" s="56" t="s">
        <v>38</v>
      </c>
      <c r="B308" s="107" t="s">
        <v>477</v>
      </c>
      <c r="C308" s="637" t="s">
        <v>2490</v>
      </c>
      <c r="D308" s="544">
        <v>97.855999999999995</v>
      </c>
      <c r="E308" s="127" t="s">
        <v>387</v>
      </c>
      <c r="F308" s="667"/>
      <c r="G308" s="64"/>
      <c r="H308" s="61"/>
      <c r="I308" s="266"/>
      <c r="J308" s="62"/>
      <c r="K308" s="62"/>
      <c r="L308" s="608">
        <v>2009</v>
      </c>
      <c r="M308" s="62"/>
      <c r="N308" s="355">
        <v>1.3046850000000001</v>
      </c>
      <c r="O308" s="603">
        <v>2016</v>
      </c>
      <c r="P308" s="62"/>
      <c r="Q308" s="355">
        <v>1.2170909999999999</v>
      </c>
      <c r="R308" s="603">
        <v>2016</v>
      </c>
      <c r="S308" s="62"/>
      <c r="T308" s="355">
        <v>1.2170909999999999</v>
      </c>
      <c r="U308" s="62"/>
      <c r="V308" s="62"/>
      <c r="W308" s="23"/>
      <c r="X308" s="24"/>
      <c r="Y308" s="642"/>
      <c r="Z308" s="434"/>
      <c r="AA308" s="434"/>
      <c r="AB308" s="399"/>
      <c r="AC308" s="618"/>
      <c r="AD308" s="168"/>
      <c r="AE308" s="168"/>
      <c r="AF308" s="619"/>
      <c r="AG308" s="620"/>
      <c r="AH308" s="617"/>
      <c r="AI308" s="650"/>
      <c r="AJ308" s="650"/>
      <c r="AK308" s="399"/>
      <c r="AL308" s="618"/>
      <c r="AM308" s="210"/>
      <c r="AN308" s="168"/>
      <c r="AO308" s="171">
        <f>AS308*(1+AT308)</f>
        <v>1.1742165E-3</v>
      </c>
      <c r="AP308" s="172">
        <f>AS308*(1+AU308)</f>
        <v>1.1742165E-3</v>
      </c>
      <c r="AQ308" s="272">
        <v>2009</v>
      </c>
      <c r="AR308" s="34"/>
      <c r="AS308" s="657">
        <f>N308/1000</f>
        <v>1.3046850000000001E-3</v>
      </c>
      <c r="AT308" s="395">
        <v>-0.1</v>
      </c>
      <c r="AU308" s="443">
        <f>AT308</f>
        <v>-0.1</v>
      </c>
      <c r="AV308" s="168"/>
      <c r="AW308" s="168"/>
      <c r="AX308" s="170"/>
      <c r="AY308" s="86"/>
      <c r="AZ308" s="272"/>
      <c r="BA308" s="51"/>
      <c r="BB308" s="34"/>
      <c r="BC308" s="156"/>
      <c r="BD308" s="341"/>
      <c r="BE308" s="210"/>
      <c r="BF308" s="168"/>
      <c r="BG308" s="619"/>
      <c r="BH308" s="620"/>
      <c r="BI308" s="617"/>
      <c r="BJ308" s="642"/>
      <c r="BK308" s="650"/>
      <c r="BL308" s="399"/>
      <c r="BM308" s="652"/>
      <c r="BN308" s="210"/>
      <c r="BO308" s="168"/>
      <c r="BP308" s="615"/>
      <c r="BQ308" s="616"/>
      <c r="BR308" s="671"/>
      <c r="BS308" s="434"/>
      <c r="BT308" s="650"/>
      <c r="BU308" s="399"/>
      <c r="BV308" s="618"/>
      <c r="BW308" s="141"/>
      <c r="BX308" s="311"/>
      <c r="BY308" s="139"/>
    </row>
    <row r="309" spans="1:77" ht="15" customHeight="1" x14ac:dyDescent="0.2">
      <c r="A309" s="56" t="s">
        <v>38</v>
      </c>
      <c r="B309" s="107" t="s">
        <v>477</v>
      </c>
      <c r="C309" s="637" t="s">
        <v>3154</v>
      </c>
      <c r="D309" s="544">
        <v>919.79100000000005</v>
      </c>
      <c r="E309" s="127" t="s">
        <v>387</v>
      </c>
      <c r="F309" s="667"/>
      <c r="G309" s="64"/>
      <c r="H309" s="61"/>
      <c r="I309" s="266"/>
      <c r="J309" s="62"/>
      <c r="K309" s="62">
        <v>11.752837</v>
      </c>
      <c r="L309" s="608"/>
      <c r="M309" s="62"/>
      <c r="N309" s="355"/>
      <c r="O309" s="603"/>
      <c r="P309" s="62"/>
      <c r="Q309" s="355"/>
      <c r="R309" s="603"/>
      <c r="S309" s="62"/>
      <c r="T309" s="355"/>
      <c r="U309" s="62"/>
      <c r="V309" s="62"/>
      <c r="W309" s="23"/>
      <c r="X309" s="24"/>
      <c r="Y309" s="642"/>
      <c r="Z309" s="434"/>
      <c r="AA309" s="434"/>
      <c r="AB309" s="399"/>
      <c r="AC309" s="618"/>
      <c r="AD309" s="168"/>
      <c r="AE309" s="168"/>
      <c r="AF309" s="619">
        <f>+AJ309*(1+AK309)</f>
        <v>8.69709938E-3</v>
      </c>
      <c r="AG309" s="620">
        <f>+AJ309*(1+AL309)</f>
        <v>8.69709938E-3</v>
      </c>
      <c r="AH309" s="617">
        <v>2005</v>
      </c>
      <c r="AI309" s="650"/>
      <c r="AJ309" s="650">
        <f>+K309/1000</f>
        <v>1.1752837E-2</v>
      </c>
      <c r="AK309" s="399">
        <v>-0.26</v>
      </c>
      <c r="AL309" s="618">
        <f>AK309</f>
        <v>-0.26</v>
      </c>
      <c r="AM309" s="210"/>
      <c r="AN309" s="168"/>
      <c r="AO309" s="171"/>
      <c r="AP309" s="172"/>
      <c r="AQ309" s="272"/>
      <c r="AR309" s="34"/>
      <c r="AS309" s="657"/>
      <c r="AT309" s="395"/>
      <c r="AU309" s="443"/>
      <c r="AV309" s="168"/>
      <c r="AW309" s="168"/>
      <c r="AX309" s="170"/>
      <c r="AY309" s="86"/>
      <c r="AZ309" s="272"/>
      <c r="BA309" s="51"/>
      <c r="BB309" s="34"/>
      <c r="BC309" s="156"/>
      <c r="BD309" s="341"/>
      <c r="BE309" s="210"/>
      <c r="BF309" s="168"/>
      <c r="BG309" s="619"/>
      <c r="BH309" s="620"/>
      <c r="BI309" s="617"/>
      <c r="BJ309" s="642"/>
      <c r="BK309" s="650"/>
      <c r="BL309" s="399"/>
      <c r="BM309" s="652"/>
      <c r="BN309" s="210"/>
      <c r="BO309" s="168"/>
      <c r="BP309" s="615"/>
      <c r="BQ309" s="616"/>
      <c r="BR309" s="671"/>
      <c r="BS309" s="434"/>
      <c r="BT309" s="650"/>
      <c r="BU309" s="399"/>
      <c r="BV309" s="618"/>
      <c r="BW309" s="141"/>
      <c r="BX309" s="311"/>
      <c r="BY309" s="139"/>
    </row>
    <row r="310" spans="1:77" ht="15" customHeight="1" x14ac:dyDescent="0.2">
      <c r="A310" s="56" t="s">
        <v>38</v>
      </c>
      <c r="B310" s="107" t="s">
        <v>477</v>
      </c>
      <c r="C310" s="637" t="s">
        <v>2229</v>
      </c>
      <c r="D310" s="544">
        <v>26.646999999999998</v>
      </c>
      <c r="E310" s="127" t="s">
        <v>392</v>
      </c>
      <c r="F310" s="667"/>
      <c r="G310" s="64"/>
      <c r="H310" s="61"/>
      <c r="I310" s="266"/>
      <c r="J310" s="62"/>
      <c r="K310" s="62"/>
      <c r="L310" s="608">
        <v>2008</v>
      </c>
      <c r="M310" s="62"/>
      <c r="N310" s="355">
        <v>1.5829409999999999</v>
      </c>
      <c r="O310" s="603"/>
      <c r="P310" s="62"/>
      <c r="Q310" s="355"/>
      <c r="R310" s="603"/>
      <c r="S310" s="62"/>
      <c r="T310" s="355"/>
      <c r="U310" s="62"/>
      <c r="V310" s="62"/>
      <c r="W310" s="89">
        <f>AA310*(1+AB310)</f>
        <v>1.2663528000000002E-3</v>
      </c>
      <c r="X310" s="87">
        <f>AA310*(1+AC310)</f>
        <v>1.2663528000000002E-3</v>
      </c>
      <c r="Y310" s="642">
        <v>2008</v>
      </c>
      <c r="Z310" s="434"/>
      <c r="AA310" s="650">
        <f>+N310/1000</f>
        <v>1.582941E-3</v>
      </c>
      <c r="AB310" s="399">
        <v>-0.2</v>
      </c>
      <c r="AC310" s="618">
        <f>AB310</f>
        <v>-0.2</v>
      </c>
      <c r="AD310" s="168"/>
      <c r="AE310" s="168"/>
      <c r="AF310" s="619"/>
      <c r="AG310" s="620"/>
      <c r="AH310" s="617"/>
      <c r="AI310" s="650"/>
      <c r="AJ310" s="650"/>
      <c r="AK310" s="399"/>
      <c r="AL310" s="618"/>
      <c r="AM310" s="210"/>
      <c r="AN310" s="168"/>
      <c r="AO310" s="171"/>
      <c r="AP310" s="172"/>
      <c r="AQ310" s="272"/>
      <c r="AR310" s="34"/>
      <c r="AS310" s="657"/>
      <c r="AT310" s="395"/>
      <c r="AU310" s="443"/>
      <c r="AV310" s="168"/>
      <c r="AW310" s="168"/>
      <c r="AX310" s="170"/>
      <c r="AY310" s="86"/>
      <c r="AZ310" s="272"/>
      <c r="BA310" s="51"/>
      <c r="BB310" s="34"/>
      <c r="BC310" s="156"/>
      <c r="BD310" s="341"/>
      <c r="BE310" s="210"/>
      <c r="BF310" s="168"/>
      <c r="BG310" s="619"/>
      <c r="BH310" s="620"/>
      <c r="BI310" s="617"/>
      <c r="BJ310" s="642"/>
      <c r="BK310" s="650"/>
      <c r="BL310" s="399"/>
      <c r="BM310" s="652"/>
      <c r="BN310" s="210"/>
      <c r="BO310" s="168"/>
      <c r="BP310" s="615"/>
      <c r="BQ310" s="616"/>
      <c r="BR310" s="671"/>
      <c r="BS310" s="434"/>
      <c r="BT310" s="650"/>
      <c r="BU310" s="399"/>
      <c r="BV310" s="618"/>
      <c r="BW310" s="141"/>
      <c r="BX310" s="311"/>
      <c r="BY310" s="139"/>
    </row>
    <row r="311" spans="1:77" ht="15" customHeight="1" x14ac:dyDescent="0.2">
      <c r="A311" s="56" t="s">
        <v>38</v>
      </c>
      <c r="B311" s="107" t="s">
        <v>477</v>
      </c>
      <c r="C311" s="637" t="s">
        <v>363</v>
      </c>
      <c r="D311" s="544">
        <v>8399</v>
      </c>
      <c r="E311" s="127" t="s">
        <v>2306</v>
      </c>
      <c r="F311" s="667"/>
      <c r="G311" s="64"/>
      <c r="H311" s="656"/>
      <c r="I311" s="266"/>
      <c r="J311" s="62"/>
      <c r="K311" s="62">
        <v>61.062452</v>
      </c>
      <c r="L311" s="608">
        <v>2012</v>
      </c>
      <c r="M311" s="62"/>
      <c r="N311" s="355">
        <v>45.923777999999999</v>
      </c>
      <c r="O311" s="603"/>
      <c r="P311" s="62"/>
      <c r="Q311" s="355">
        <v>52.042186000000001</v>
      </c>
      <c r="R311" s="603"/>
      <c r="S311" s="62"/>
      <c r="T311" s="355"/>
      <c r="U311" s="62"/>
      <c r="V311" s="62"/>
      <c r="W311" s="23"/>
      <c r="X311" s="24"/>
      <c r="Y311" s="642"/>
      <c r="Z311" s="434"/>
      <c r="AA311" s="434"/>
      <c r="AB311" s="399"/>
      <c r="AC311" s="618"/>
      <c r="AD311" s="168"/>
      <c r="AE311" s="168"/>
      <c r="AF311" s="619">
        <f>+AJ311*(1+AK311)</f>
        <v>3.96905938E-2</v>
      </c>
      <c r="AG311" s="620">
        <f>+AJ311*(1+AL311)</f>
        <v>3.96905938E-2</v>
      </c>
      <c r="AH311" s="617">
        <v>2005</v>
      </c>
      <c r="AI311" s="650"/>
      <c r="AJ311" s="650">
        <f>+K311/1000</f>
        <v>6.1062452000000003E-2</v>
      </c>
      <c r="AK311" s="399">
        <v>-0.35</v>
      </c>
      <c r="AL311" s="618">
        <f>AK311</f>
        <v>-0.35</v>
      </c>
      <c r="AM311" s="210"/>
      <c r="AN311" s="168"/>
      <c r="AO311" s="170">
        <f>AS311*(1+AT311)</f>
        <v>3.6637471200000001E-2</v>
      </c>
      <c r="AP311" s="86">
        <f>AS311*(1+AU311)</f>
        <v>3.6637471200000001E-2</v>
      </c>
      <c r="AQ311" s="272">
        <v>2005</v>
      </c>
      <c r="AR311" s="34"/>
      <c r="AS311" s="442">
        <f>K311/1000</f>
        <v>6.1062452000000003E-2</v>
      </c>
      <c r="AT311" s="395">
        <v>-0.4</v>
      </c>
      <c r="AU311" s="443">
        <f>AT311</f>
        <v>-0.4</v>
      </c>
      <c r="AV311" s="168"/>
      <c r="AW311" s="168"/>
      <c r="AX311" s="170"/>
      <c r="AY311" s="86"/>
      <c r="AZ311" s="272"/>
      <c r="BA311" s="51"/>
      <c r="BB311" s="34"/>
      <c r="BC311" s="156"/>
      <c r="BD311" s="341"/>
      <c r="BE311" s="210"/>
      <c r="BF311" s="168"/>
      <c r="BG311" s="615"/>
      <c r="BH311" s="616"/>
      <c r="BI311" s="617"/>
      <c r="BJ311" s="642"/>
      <c r="BK311" s="434"/>
      <c r="BL311" s="399"/>
      <c r="BM311" s="652"/>
      <c r="BN311" s="210"/>
      <c r="BO311" s="168"/>
      <c r="BP311" s="619">
        <f t="shared" ref="BP311" si="216">BT311*(1+BV311)</f>
        <v>1.2212490399999998E-2</v>
      </c>
      <c r="BQ311" s="620">
        <f t="shared" ref="BQ311" si="217">BT311*(1+BU311)</f>
        <v>1.2212490399999998E-2</v>
      </c>
      <c r="BR311" s="617">
        <v>2005</v>
      </c>
      <c r="BS311" s="642"/>
      <c r="BT311" s="650">
        <f>+K311/1000</f>
        <v>6.1062452000000003E-2</v>
      </c>
      <c r="BU311" s="399">
        <v>-0.8</v>
      </c>
      <c r="BV311" s="618">
        <f t="shared" ref="BV311" si="218">BU311</f>
        <v>-0.8</v>
      </c>
      <c r="BW311" s="141"/>
      <c r="BX311" s="311"/>
      <c r="BY311" s="139"/>
    </row>
    <row r="312" spans="1:77" ht="15" customHeight="1" x14ac:dyDescent="0.2">
      <c r="A312" s="56" t="s">
        <v>38</v>
      </c>
      <c r="B312" s="107" t="s">
        <v>477</v>
      </c>
      <c r="C312" s="637" t="s">
        <v>2830</v>
      </c>
      <c r="D312" s="544">
        <v>210.56299999999999</v>
      </c>
      <c r="E312" s="127" t="s">
        <v>387</v>
      </c>
      <c r="F312" s="667"/>
      <c r="G312" s="64"/>
      <c r="H312" s="656"/>
      <c r="I312" s="266"/>
      <c r="J312" s="62"/>
      <c r="K312" s="62"/>
      <c r="L312" s="608"/>
      <c r="M312" s="62"/>
      <c r="N312" s="355">
        <v>1.8</v>
      </c>
      <c r="O312" s="603"/>
      <c r="P312" s="62"/>
      <c r="Q312" s="355"/>
      <c r="R312" s="603"/>
      <c r="S312" s="62"/>
      <c r="T312" s="355"/>
      <c r="U312" s="62"/>
      <c r="V312" s="62"/>
      <c r="W312" s="23"/>
      <c r="X312" s="24"/>
      <c r="Y312" s="642"/>
      <c r="Z312" s="434"/>
      <c r="AA312" s="434"/>
      <c r="AB312" s="399"/>
      <c r="AC312" s="618"/>
      <c r="AD312" s="168"/>
      <c r="AE312" s="168"/>
      <c r="AF312" s="619"/>
      <c r="AG312" s="620"/>
      <c r="AH312" s="617"/>
      <c r="AI312" s="650"/>
      <c r="AJ312" s="650"/>
      <c r="AK312" s="399"/>
      <c r="AL312" s="618"/>
      <c r="AM312" s="210"/>
      <c r="AN312" s="168"/>
      <c r="AO312" s="170">
        <f>AS312*(1+AT312)</f>
        <v>1.08E-3</v>
      </c>
      <c r="AP312" s="86">
        <f>AS312*(1+AU312)</f>
        <v>1.08E-3</v>
      </c>
      <c r="AQ312" s="272">
        <v>2010</v>
      </c>
      <c r="AR312" s="34"/>
      <c r="AS312" s="442">
        <f>N312/1000</f>
        <v>1.8E-3</v>
      </c>
      <c r="AT312" s="395">
        <v>-0.4</v>
      </c>
      <c r="AU312" s="443">
        <f>AT312</f>
        <v>-0.4</v>
      </c>
      <c r="AV312" s="168"/>
      <c r="AW312" s="168"/>
      <c r="AX312" s="170"/>
      <c r="AY312" s="86"/>
      <c r="AZ312" s="272"/>
      <c r="BA312" s="51"/>
      <c r="BB312" s="34"/>
      <c r="BC312" s="156"/>
      <c r="BD312" s="341"/>
      <c r="BE312" s="210"/>
      <c r="BF312" s="168"/>
      <c r="BG312" s="615"/>
      <c r="BH312" s="616"/>
      <c r="BI312" s="617"/>
      <c r="BJ312" s="642"/>
      <c r="BK312" s="434"/>
      <c r="BL312" s="399"/>
      <c r="BM312" s="652"/>
      <c r="BN312" s="210"/>
      <c r="BO312" s="168"/>
      <c r="BP312" s="619"/>
      <c r="BQ312" s="620"/>
      <c r="BR312" s="617"/>
      <c r="BS312" s="642"/>
      <c r="BT312" s="964"/>
      <c r="BU312" s="399"/>
      <c r="BV312" s="618"/>
      <c r="BW312" s="141"/>
      <c r="BX312" s="311"/>
      <c r="BY312" s="139"/>
    </row>
    <row r="313" spans="1:77" ht="15" customHeight="1" x14ac:dyDescent="0.2">
      <c r="A313" s="56" t="s">
        <v>38</v>
      </c>
      <c r="B313" s="107" t="s">
        <v>477</v>
      </c>
      <c r="C313" s="637" t="s">
        <v>2211</v>
      </c>
      <c r="D313" s="544">
        <v>196</v>
      </c>
      <c r="E313" s="127" t="s">
        <v>2314</v>
      </c>
      <c r="F313" s="667"/>
      <c r="G313" s="64"/>
      <c r="H313" s="656"/>
      <c r="I313" s="266"/>
      <c r="J313" s="62"/>
      <c r="K313" s="62"/>
      <c r="L313" s="608">
        <v>2008</v>
      </c>
      <c r="M313" s="62"/>
      <c r="N313" s="355">
        <v>0.84427600000000003</v>
      </c>
      <c r="O313" s="603"/>
      <c r="P313" s="62"/>
      <c r="Q313" s="355"/>
      <c r="R313" s="603"/>
      <c r="S313" s="62"/>
      <c r="T313" s="355"/>
      <c r="U313" s="62"/>
      <c r="V313" s="62"/>
      <c r="W313" s="89">
        <f>AA313*(1+AB313)</f>
        <v>6.7542080000000009E-4</v>
      </c>
      <c r="X313" s="87">
        <f>AA313*(1+AC313)</f>
        <v>6.7542080000000009E-4</v>
      </c>
      <c r="Y313" s="642">
        <v>2008</v>
      </c>
      <c r="Z313" s="434"/>
      <c r="AA313" s="650">
        <f>+N313/1000</f>
        <v>8.4427600000000003E-4</v>
      </c>
      <c r="AB313" s="399">
        <v>-0.2</v>
      </c>
      <c r="AC313" s="618">
        <f>AB313</f>
        <v>-0.2</v>
      </c>
      <c r="AD313" s="168"/>
      <c r="AE313" s="168"/>
      <c r="AF313" s="619"/>
      <c r="AG313" s="620"/>
      <c r="AH313" s="617"/>
      <c r="AI313" s="650"/>
      <c r="AJ313" s="650"/>
      <c r="AK313" s="399"/>
      <c r="AL313" s="618"/>
      <c r="AM313" s="210"/>
      <c r="AN313" s="168"/>
      <c r="AO313" s="170"/>
      <c r="AP313" s="86"/>
      <c r="AQ313" s="272"/>
      <c r="AR313" s="34"/>
      <c r="AS313" s="442"/>
      <c r="AT313" s="395"/>
      <c r="AU313" s="443"/>
      <c r="AV313" s="168"/>
      <c r="AW313" s="168"/>
      <c r="AX313" s="170"/>
      <c r="AY313" s="86"/>
      <c r="AZ313" s="272"/>
      <c r="BA313" s="51"/>
      <c r="BB313" s="34"/>
      <c r="BC313" s="156"/>
      <c r="BD313" s="341"/>
      <c r="BE313" s="210"/>
      <c r="BF313" s="168"/>
      <c r="BG313" s="615"/>
      <c r="BH313" s="616"/>
      <c r="BI313" s="617"/>
      <c r="BJ313" s="642"/>
      <c r="BK313" s="434"/>
      <c r="BL313" s="399"/>
      <c r="BM313" s="652"/>
      <c r="BN313" s="210"/>
      <c r="BO313" s="168"/>
      <c r="BP313" s="619"/>
      <c r="BQ313" s="620"/>
      <c r="BR313" s="617"/>
      <c r="BS313" s="642"/>
      <c r="BT313" s="964"/>
      <c r="BU313" s="399"/>
      <c r="BV313" s="618"/>
      <c r="BW313" s="141"/>
      <c r="BX313" s="311"/>
      <c r="BY313" s="139"/>
    </row>
    <row r="314" spans="1:77" ht="15" customHeight="1" x14ac:dyDescent="0.2">
      <c r="A314" s="56" t="s">
        <v>38</v>
      </c>
      <c r="B314" s="107" t="s">
        <v>2887</v>
      </c>
      <c r="C314" s="637"/>
      <c r="D314" s="544">
        <v>10.4</v>
      </c>
      <c r="E314" s="127" t="s">
        <v>2884</v>
      </c>
      <c r="F314" s="667"/>
      <c r="G314" s="64"/>
      <c r="H314" s="656"/>
      <c r="I314" s="266"/>
      <c r="J314" s="62"/>
      <c r="K314" s="62">
        <v>153.9</v>
      </c>
      <c r="L314" s="608"/>
      <c r="M314" s="62"/>
      <c r="N314" s="355"/>
      <c r="O314" s="603"/>
      <c r="P314" s="62"/>
      <c r="Q314" s="355"/>
      <c r="R314" s="603"/>
      <c r="S314" s="62"/>
      <c r="T314" s="355"/>
      <c r="U314" s="62"/>
      <c r="V314" s="62"/>
      <c r="W314" s="89"/>
      <c r="X314" s="87"/>
      <c r="Y314" s="642"/>
      <c r="Z314" s="434"/>
      <c r="AA314" s="650"/>
      <c r="AB314" s="399"/>
      <c r="AC314" s="618"/>
      <c r="AD314" s="168"/>
      <c r="AE314" s="168"/>
      <c r="AF314" s="619">
        <f>+AJ314*(1+AK314)</f>
        <v>9.2340000000000005E-2</v>
      </c>
      <c r="AG314" s="620">
        <f>+AJ314*(1+AL314)</f>
        <v>9.2340000000000005E-2</v>
      </c>
      <c r="AH314" s="617">
        <v>2005</v>
      </c>
      <c r="AI314" s="650"/>
      <c r="AJ314" s="650">
        <f>+K314/1000</f>
        <v>0.15390000000000001</v>
      </c>
      <c r="AK314" s="399">
        <v>-0.4</v>
      </c>
      <c r="AL314" s="618">
        <f>AK314</f>
        <v>-0.4</v>
      </c>
      <c r="AM314" s="210"/>
      <c r="AN314" s="168"/>
      <c r="AO314" s="170"/>
      <c r="AP314" s="86"/>
      <c r="AQ314" s="272"/>
      <c r="AR314" s="34"/>
      <c r="AS314" s="442"/>
      <c r="AT314" s="395"/>
      <c r="AU314" s="443"/>
      <c r="AV314" s="168"/>
      <c r="AW314" s="168"/>
      <c r="AX314" s="170"/>
      <c r="AY314" s="86"/>
      <c r="AZ314" s="272"/>
      <c r="BA314" s="51"/>
      <c r="BB314" s="34"/>
      <c r="BC314" s="156"/>
      <c r="BD314" s="341"/>
      <c r="BE314" s="210"/>
      <c r="BF314" s="168"/>
      <c r="BG314" s="615"/>
      <c r="BH314" s="616"/>
      <c r="BI314" s="617"/>
      <c r="BJ314" s="642"/>
      <c r="BK314" s="434"/>
      <c r="BL314" s="399"/>
      <c r="BM314" s="652"/>
      <c r="BN314" s="210"/>
      <c r="BO314" s="168"/>
      <c r="BP314" s="619"/>
      <c r="BQ314" s="620"/>
      <c r="BR314" s="617"/>
      <c r="BS314" s="642"/>
      <c r="BT314" s="964"/>
      <c r="BU314" s="399"/>
      <c r="BV314" s="618"/>
      <c r="BW314" s="141" t="s">
        <v>2884</v>
      </c>
      <c r="BX314" s="311"/>
      <c r="BY314" s="139"/>
    </row>
    <row r="315" spans="1:77" ht="15" customHeight="1" x14ac:dyDescent="0.2">
      <c r="A315" s="56" t="s">
        <v>38</v>
      </c>
      <c r="B315" s="107" t="s">
        <v>477</v>
      </c>
      <c r="C315" s="637" t="s">
        <v>3224</v>
      </c>
      <c r="D315" s="544">
        <v>92.87</v>
      </c>
      <c r="E315" s="127" t="s">
        <v>3176</v>
      </c>
      <c r="F315" s="667"/>
      <c r="G315" s="64"/>
      <c r="H315" s="656"/>
      <c r="I315" s="266"/>
      <c r="J315" s="62"/>
      <c r="K315" s="62"/>
      <c r="L315" s="608"/>
      <c r="M315" s="62"/>
      <c r="N315" s="355"/>
      <c r="O315" s="603"/>
      <c r="P315" s="62"/>
      <c r="Q315" s="355">
        <v>1.3855459999999999</v>
      </c>
      <c r="R315" s="603"/>
      <c r="S315" s="62"/>
      <c r="T315" s="355"/>
      <c r="U315" s="62"/>
      <c r="V315" s="62"/>
      <c r="W315" s="89"/>
      <c r="X315" s="87"/>
      <c r="Y315" s="642"/>
      <c r="Z315" s="434"/>
      <c r="AA315" s="650"/>
      <c r="AB315" s="399"/>
      <c r="AC315" s="618"/>
      <c r="AD315" s="168"/>
      <c r="AE315" s="168"/>
      <c r="AF315" s="619"/>
      <c r="AG315" s="620"/>
      <c r="AH315" s="617"/>
      <c r="AI315" s="650"/>
      <c r="AJ315" s="650"/>
      <c r="AK315" s="399"/>
      <c r="AL315" s="618"/>
      <c r="AM315" s="210"/>
      <c r="AN315" s="168"/>
      <c r="AO315" s="170"/>
      <c r="AP315" s="86"/>
      <c r="AQ315" s="272"/>
      <c r="AR315" s="34"/>
      <c r="AS315" s="442"/>
      <c r="AT315" s="395"/>
      <c r="AU315" s="443"/>
      <c r="AV315" s="168"/>
      <c r="AW315" s="168"/>
      <c r="AX315" s="170"/>
      <c r="AY315" s="86"/>
      <c r="AZ315" s="272"/>
      <c r="BA315" s="51"/>
      <c r="BB315" s="34"/>
      <c r="BC315" s="156"/>
      <c r="BD315" s="341"/>
      <c r="BE315" s="210"/>
      <c r="BF315" s="168"/>
      <c r="BG315" s="615"/>
      <c r="BH315" s="616"/>
      <c r="BI315" s="617"/>
      <c r="BJ315" s="642"/>
      <c r="BK315" s="434"/>
      <c r="BL315" s="399"/>
      <c r="BM315" s="652"/>
      <c r="BN315" s="210"/>
      <c r="BO315" s="168"/>
      <c r="BP315" s="619">
        <f>BT315*(1+BV315)</f>
        <v>6.9277299999999993E-4</v>
      </c>
      <c r="BQ315" s="620">
        <f>BT315*(1+BU315)</f>
        <v>6.9277299999999993E-4</v>
      </c>
      <c r="BR315" s="617">
        <v>2006</v>
      </c>
      <c r="BS315" s="642"/>
      <c r="BT315" s="650">
        <f>+Q315/1000</f>
        <v>1.3855459999999999E-3</v>
      </c>
      <c r="BU315" s="399">
        <v>-0.5</v>
      </c>
      <c r="BV315" s="618">
        <f>BU315</f>
        <v>-0.5</v>
      </c>
      <c r="BW315" s="141"/>
      <c r="BX315" s="311"/>
      <c r="BY315" s="139"/>
    </row>
    <row r="316" spans="1:77" ht="15" customHeight="1" x14ac:dyDescent="0.2">
      <c r="A316" s="56" t="s">
        <v>38</v>
      </c>
      <c r="B316" s="107" t="s">
        <v>477</v>
      </c>
      <c r="C316" s="637" t="s">
        <v>1616</v>
      </c>
      <c r="D316" s="544">
        <v>739</v>
      </c>
      <c r="E316" s="127" t="s">
        <v>2297</v>
      </c>
      <c r="F316" s="667"/>
      <c r="G316" s="64"/>
      <c r="H316" s="61"/>
      <c r="I316" s="67">
        <v>2006</v>
      </c>
      <c r="J316" s="62"/>
      <c r="K316" s="121">
        <v>10.446</v>
      </c>
      <c r="L316" s="608"/>
      <c r="M316" s="62"/>
      <c r="N316" s="357"/>
      <c r="O316" s="603"/>
      <c r="P316" s="62"/>
      <c r="Q316" s="357"/>
      <c r="R316" s="603"/>
      <c r="S316" s="62"/>
      <c r="T316" s="357"/>
      <c r="U316" s="62"/>
      <c r="V316" s="62"/>
      <c r="W316" s="674"/>
      <c r="X316" s="675"/>
      <c r="Y316" s="642"/>
      <c r="Z316" s="650"/>
      <c r="AA316" s="673"/>
      <c r="AB316" s="399"/>
      <c r="AC316" s="618"/>
      <c r="AD316" s="168"/>
      <c r="AE316" s="168"/>
      <c r="AF316" s="388"/>
      <c r="AG316" s="389"/>
      <c r="AH316" s="390"/>
      <c r="AI316" s="433"/>
      <c r="AJ316" s="433"/>
      <c r="AK316" s="156"/>
      <c r="AL316" s="284"/>
      <c r="AM316" s="210"/>
      <c r="AN316" s="168"/>
      <c r="AO316" s="171"/>
      <c r="AP316" s="172"/>
      <c r="AQ316" s="272"/>
      <c r="AR316" s="34"/>
      <c r="AS316" s="657"/>
      <c r="AT316" s="395"/>
      <c r="AU316" s="443"/>
      <c r="AV316" s="168"/>
      <c r="AW316" s="168"/>
      <c r="AX316" s="170"/>
      <c r="AY316" s="86"/>
      <c r="AZ316" s="272"/>
      <c r="BA316" s="51"/>
      <c r="BB316" s="34"/>
      <c r="BC316" s="156"/>
      <c r="BD316" s="341"/>
      <c r="BE316" s="210"/>
      <c r="BF316" s="168"/>
      <c r="BG316" s="619"/>
      <c r="BH316" s="620"/>
      <c r="BI316" s="617"/>
      <c r="BJ316" s="642"/>
      <c r="BK316" s="650"/>
      <c r="BL316" s="399"/>
      <c r="BM316" s="652"/>
      <c r="BN316" s="210"/>
      <c r="BO316" s="168"/>
      <c r="BP316" s="619">
        <v>0</v>
      </c>
      <c r="BQ316" s="620">
        <v>0</v>
      </c>
      <c r="BR316" s="671">
        <v>2006</v>
      </c>
      <c r="BS316" s="434"/>
      <c r="BT316" s="650">
        <f>K316/1000</f>
        <v>1.0446E-2</v>
      </c>
      <c r="BU316" s="399">
        <v>-1</v>
      </c>
      <c r="BV316" s="618">
        <v>-1</v>
      </c>
      <c r="BW316" s="141"/>
      <c r="BX316" s="311"/>
      <c r="BY316" s="669" t="s">
        <v>1617</v>
      </c>
    </row>
    <row r="317" spans="1:77" ht="15" customHeight="1" x14ac:dyDescent="0.2">
      <c r="A317" s="56" t="s">
        <v>38</v>
      </c>
      <c r="B317" s="107" t="s">
        <v>477</v>
      </c>
      <c r="C317" s="637" t="s">
        <v>3228</v>
      </c>
      <c r="D317" s="544">
        <v>271.61599999999999</v>
      </c>
      <c r="E317" s="127" t="s">
        <v>387</v>
      </c>
      <c r="F317" s="667"/>
      <c r="G317" s="64"/>
      <c r="H317" s="61"/>
      <c r="I317" s="67"/>
      <c r="J317" s="62"/>
      <c r="K317" s="121">
        <v>6.4895810000000003</v>
      </c>
      <c r="L317" s="608"/>
      <c r="M317" s="62"/>
      <c r="N317" s="357"/>
      <c r="O317" s="603"/>
      <c r="P317" s="62"/>
      <c r="Q317" s="357"/>
      <c r="R317" s="603"/>
      <c r="S317" s="62"/>
      <c r="T317" s="357"/>
      <c r="U317" s="62"/>
      <c r="V317" s="62"/>
      <c r="W317" s="674"/>
      <c r="X317" s="675"/>
      <c r="Y317" s="642"/>
      <c r="Z317" s="650"/>
      <c r="AA317" s="673"/>
      <c r="AB317" s="399"/>
      <c r="AC317" s="618"/>
      <c r="AD317" s="168"/>
      <c r="AE317" s="168"/>
      <c r="AF317" s="388"/>
      <c r="AG317" s="389"/>
      <c r="AH317" s="390"/>
      <c r="AI317" s="433"/>
      <c r="AJ317" s="433"/>
      <c r="AK317" s="156"/>
      <c r="AL317" s="284"/>
      <c r="AM317" s="210"/>
      <c r="AN317" s="168"/>
      <c r="AO317" s="171">
        <f>AS317*(1+AT317)</f>
        <v>4.5427067000000003E-3</v>
      </c>
      <c r="AP317" s="172">
        <f>AS317*(1+AU317)</f>
        <v>4.5427067000000003E-3</v>
      </c>
      <c r="AQ317" s="272">
        <v>2010</v>
      </c>
      <c r="AR317" s="34"/>
      <c r="AS317" s="657">
        <f>K317/1000</f>
        <v>6.4895810000000003E-3</v>
      </c>
      <c r="AT317" s="395">
        <v>-0.3</v>
      </c>
      <c r="AU317" s="443">
        <f>AT317</f>
        <v>-0.3</v>
      </c>
      <c r="AV317" s="168"/>
      <c r="AW317" s="168"/>
      <c r="AX317" s="170"/>
      <c r="AY317" s="86"/>
      <c r="AZ317" s="272"/>
      <c r="BA317" s="51"/>
      <c r="BB317" s="34"/>
      <c r="BC317" s="156"/>
      <c r="BD317" s="341"/>
      <c r="BE317" s="210"/>
      <c r="BF317" s="168"/>
      <c r="BG317" s="619"/>
      <c r="BH317" s="620"/>
      <c r="BI317" s="617"/>
      <c r="BJ317" s="642"/>
      <c r="BK317" s="650"/>
      <c r="BL317" s="399"/>
      <c r="BM317" s="652"/>
      <c r="BN317" s="210"/>
      <c r="BO317" s="168"/>
      <c r="BP317" s="619"/>
      <c r="BQ317" s="620"/>
      <c r="BR317" s="671"/>
      <c r="BS317" s="434"/>
      <c r="BT317" s="650"/>
      <c r="BU317" s="399"/>
      <c r="BV317" s="618"/>
      <c r="BW317" s="141"/>
      <c r="BX317" s="311"/>
      <c r="BY317" s="669"/>
    </row>
    <row r="318" spans="1:77" ht="15" customHeight="1" x14ac:dyDescent="0.2">
      <c r="A318" s="56" t="s">
        <v>38</v>
      </c>
      <c r="B318" s="107" t="s">
        <v>477</v>
      </c>
      <c r="C318" s="637" t="s">
        <v>3143</v>
      </c>
      <c r="D318" s="544">
        <v>290.22199999999998</v>
      </c>
      <c r="E318" s="127" t="s">
        <v>387</v>
      </c>
      <c r="F318" s="667"/>
      <c r="G318" s="64"/>
      <c r="H318" s="61"/>
      <c r="I318" s="958"/>
      <c r="J318" s="62"/>
      <c r="K318" s="121">
        <v>5.3220159999999996</v>
      </c>
      <c r="L318" s="608">
        <v>2013</v>
      </c>
      <c r="M318" s="62"/>
      <c r="N318" s="355">
        <v>4.4676910000000003</v>
      </c>
      <c r="O318" s="603"/>
      <c r="P318" s="62"/>
      <c r="Q318" s="355"/>
      <c r="R318" s="603"/>
      <c r="S318" s="62"/>
      <c r="T318" s="355"/>
      <c r="U318" s="62"/>
      <c r="V318" s="62"/>
      <c r="W318" s="633"/>
      <c r="X318" s="634"/>
      <c r="Y318" s="1225"/>
      <c r="Z318" s="1226"/>
      <c r="AA318" s="1226"/>
      <c r="AB318" s="1172"/>
      <c r="AC318" s="1173"/>
      <c r="AD318" s="168"/>
      <c r="AE318" s="168"/>
      <c r="AF318" s="89">
        <f t="shared" ref="AF318" si="219">AJ318*(1+AK318)</f>
        <v>3.1932095999999996E-3</v>
      </c>
      <c r="AG318" s="87">
        <f t="shared" ref="AG318" si="220">AJ318*(1+AL318)</f>
        <v>3.1932095999999996E-3</v>
      </c>
      <c r="AH318" s="642">
        <v>2005</v>
      </c>
      <c r="AI318" s="650"/>
      <c r="AJ318" s="650">
        <f>K318/1000</f>
        <v>5.3220159999999997E-3</v>
      </c>
      <c r="AK318" s="399">
        <v>-0.4</v>
      </c>
      <c r="AL318" s="618">
        <f t="shared" ref="AL318" si="221">AK318</f>
        <v>-0.4</v>
      </c>
      <c r="AM318" s="210"/>
      <c r="AN318" s="168"/>
      <c r="AO318" s="171"/>
      <c r="AP318" s="172"/>
      <c r="AQ318" s="272"/>
      <c r="AR318" s="34"/>
      <c r="AS318" s="657"/>
      <c r="AT318" s="395"/>
      <c r="AU318" s="443"/>
      <c r="AV318" s="168"/>
      <c r="AW318" s="168"/>
      <c r="AX318" s="757"/>
      <c r="AY318" s="758"/>
      <c r="AZ318" s="272"/>
      <c r="BA318" s="34"/>
      <c r="BB318" s="756"/>
      <c r="BC318" s="395"/>
      <c r="BD318" s="670"/>
      <c r="BE318" s="210"/>
      <c r="BF318" s="168"/>
      <c r="BG318" s="619"/>
      <c r="BH318" s="620"/>
      <c r="BI318" s="617"/>
      <c r="BJ318" s="642"/>
      <c r="BK318" s="650"/>
      <c r="BL318" s="399"/>
      <c r="BM318" s="652"/>
      <c r="BN318" s="210"/>
      <c r="BO318" s="168"/>
      <c r="BP318" s="619"/>
      <c r="BQ318" s="620"/>
      <c r="BR318" s="617"/>
      <c r="BS318" s="642"/>
      <c r="BT318" s="650"/>
      <c r="BU318" s="399"/>
      <c r="BV318" s="618"/>
      <c r="BW318" s="141"/>
      <c r="BX318" s="311"/>
      <c r="BY318" s="139"/>
    </row>
    <row r="319" spans="1:77" ht="15" customHeight="1" x14ac:dyDescent="0.2">
      <c r="A319" s="56" t="s">
        <v>38</v>
      </c>
      <c r="B319" s="56" t="s">
        <v>3141</v>
      </c>
      <c r="C319" s="637" t="s">
        <v>1619</v>
      </c>
      <c r="D319" s="544">
        <v>302.60500000000002</v>
      </c>
      <c r="E319" s="127" t="s">
        <v>2596</v>
      </c>
      <c r="F319" s="667"/>
      <c r="G319" s="64"/>
      <c r="H319" s="61"/>
      <c r="I319" s="67">
        <v>2006</v>
      </c>
      <c r="J319" s="62"/>
      <c r="K319" s="121">
        <v>9.3000000000000007</v>
      </c>
      <c r="L319" s="608"/>
      <c r="M319" s="62"/>
      <c r="N319" s="355"/>
      <c r="O319" s="603"/>
      <c r="P319" s="62"/>
      <c r="Q319" s="355">
        <v>7.3180550000000002</v>
      </c>
      <c r="R319" s="603"/>
      <c r="S319" s="62"/>
      <c r="T319" s="355"/>
      <c r="U319" s="62"/>
      <c r="V319" s="62"/>
      <c r="W319" s="89"/>
      <c r="X319" s="87"/>
      <c r="Y319" s="642"/>
      <c r="Z319" s="434"/>
      <c r="AA319" s="650"/>
      <c r="AB319" s="399"/>
      <c r="AC319" s="618"/>
      <c r="AD319" s="168"/>
      <c r="AE319" s="168"/>
      <c r="AF319" s="388"/>
      <c r="AG319" s="389"/>
      <c r="AH319" s="390"/>
      <c r="AI319" s="433"/>
      <c r="AJ319" s="433"/>
      <c r="AK319" s="156"/>
      <c r="AL319" s="284"/>
      <c r="AM319" s="210"/>
      <c r="AN319" s="168"/>
      <c r="AO319" s="170">
        <f>AS319*(1+AT319)</f>
        <v>5.5800000000000008E-3</v>
      </c>
      <c r="AP319" s="86">
        <f>AS319*(1+AU319)</f>
        <v>5.5800000000000008E-3</v>
      </c>
      <c r="AQ319" s="272">
        <v>2006</v>
      </c>
      <c r="AR319" s="34"/>
      <c r="AS319" s="442">
        <f>+K319/1000</f>
        <v>9.300000000000001E-3</v>
      </c>
      <c r="AT319" s="395">
        <v>-0.4</v>
      </c>
      <c r="AU319" s="443">
        <f>AT319</f>
        <v>-0.4</v>
      </c>
      <c r="AV319" s="168"/>
      <c r="AW319" s="168"/>
      <c r="AX319" s="170"/>
      <c r="AY319" s="86"/>
      <c r="AZ319" s="272"/>
      <c r="BA319" s="51"/>
      <c r="BB319" s="34"/>
      <c r="BC319" s="156"/>
      <c r="BD319" s="341"/>
      <c r="BE319" s="210"/>
      <c r="BF319" s="168"/>
      <c r="BG319" s="619"/>
      <c r="BH319" s="620"/>
      <c r="BI319" s="617"/>
      <c r="BJ319" s="642"/>
      <c r="BK319" s="650"/>
      <c r="BL319" s="399"/>
      <c r="BM319" s="652"/>
      <c r="BN319" s="210"/>
      <c r="BO319" s="168"/>
      <c r="BP319" s="619">
        <f>BT319*(1+BV319)</f>
        <v>1.4880000000000004E-3</v>
      </c>
      <c r="BQ319" s="620">
        <f>BT319*(1+BU319)</f>
        <v>1.4880000000000004E-3</v>
      </c>
      <c r="BR319" s="617">
        <v>2006</v>
      </c>
      <c r="BS319" s="642"/>
      <c r="BT319" s="650">
        <f>+K319/1000</f>
        <v>9.300000000000001E-3</v>
      </c>
      <c r="BU319" s="399">
        <v>-0.84</v>
      </c>
      <c r="BV319" s="618">
        <f>BU319</f>
        <v>-0.84</v>
      </c>
      <c r="BW319" s="141"/>
      <c r="BX319" s="311"/>
      <c r="BY319" s="139"/>
    </row>
    <row r="320" spans="1:77" ht="15" customHeight="1" x14ac:dyDescent="0.2">
      <c r="A320" s="56" t="s">
        <v>38</v>
      </c>
      <c r="B320" s="107" t="s">
        <v>477</v>
      </c>
      <c r="C320" s="637" t="s">
        <v>563</v>
      </c>
      <c r="D320" s="544">
        <v>383.79300000000001</v>
      </c>
      <c r="E320" s="127" t="s">
        <v>2597</v>
      </c>
      <c r="F320" s="667"/>
      <c r="G320" s="64"/>
      <c r="H320" s="61"/>
      <c r="I320" s="266"/>
      <c r="J320" s="62"/>
      <c r="K320" s="121"/>
      <c r="L320" s="608"/>
      <c r="M320" s="62"/>
      <c r="N320" s="355">
        <v>12.907920000000001</v>
      </c>
      <c r="O320" s="603"/>
      <c r="P320" s="62"/>
      <c r="Q320" s="355">
        <v>12.2</v>
      </c>
      <c r="R320" s="603"/>
      <c r="S320" s="62"/>
      <c r="T320" s="355"/>
      <c r="U320" s="62"/>
      <c r="V320" s="62"/>
      <c r="W320" s="89">
        <f>AA320*(1+AB320)</f>
        <v>1.0842652800000002E-2</v>
      </c>
      <c r="X320" s="87">
        <f>AA320*(1+AC320)</f>
        <v>1.0842652800000002E-2</v>
      </c>
      <c r="Y320" s="642">
        <v>2010</v>
      </c>
      <c r="Z320" s="434"/>
      <c r="AA320" s="650">
        <f>+N320/1000</f>
        <v>1.2907920000000002E-2</v>
      </c>
      <c r="AB320" s="399">
        <v>-0.16</v>
      </c>
      <c r="AC320" s="618">
        <f>AB320</f>
        <v>-0.16</v>
      </c>
      <c r="AD320" s="168"/>
      <c r="AE320" s="168"/>
      <c r="AF320" s="388"/>
      <c r="AG320" s="389"/>
      <c r="AH320" s="390"/>
      <c r="AI320" s="433"/>
      <c r="AJ320" s="433"/>
      <c r="AK320" s="156"/>
      <c r="AL320" s="284"/>
      <c r="AM320" s="210"/>
      <c r="AN320" s="168"/>
      <c r="AO320" s="171">
        <f>AS320*(1+AT320)</f>
        <v>7.7447520000000006E-3</v>
      </c>
      <c r="AP320" s="172">
        <f>AS320*(1+AU320)</f>
        <v>7.7447520000000006E-3</v>
      </c>
      <c r="AQ320" s="272">
        <v>2010</v>
      </c>
      <c r="AR320" s="34"/>
      <c r="AS320" s="657">
        <f>N320/1000</f>
        <v>1.2907920000000002E-2</v>
      </c>
      <c r="AT320" s="395">
        <v>-0.4</v>
      </c>
      <c r="AU320" s="443">
        <f>AT320</f>
        <v>-0.4</v>
      </c>
      <c r="AV320" s="168"/>
      <c r="AW320" s="168"/>
      <c r="AX320" s="170"/>
      <c r="AY320" s="86"/>
      <c r="AZ320" s="272"/>
      <c r="BA320" s="51"/>
      <c r="BB320" s="34"/>
      <c r="BC320" s="156"/>
      <c r="BD320" s="341"/>
      <c r="BE320" s="210"/>
      <c r="BF320" s="168"/>
      <c r="BG320" s="619"/>
      <c r="BH320" s="620"/>
      <c r="BI320" s="617"/>
      <c r="BJ320" s="642"/>
      <c r="BK320" s="650"/>
      <c r="BL320" s="399"/>
      <c r="BM320" s="652"/>
      <c r="BN320" s="210"/>
      <c r="BO320" s="168"/>
      <c r="BP320" s="619">
        <f>BT320*(1+BV320)</f>
        <v>2.5815839999999996E-3</v>
      </c>
      <c r="BQ320" s="620">
        <f>BT320*(1+BU320)</f>
        <v>2.5815839999999996E-3</v>
      </c>
      <c r="BR320" s="642">
        <v>2010</v>
      </c>
      <c r="BS320" s="434"/>
      <c r="BT320" s="650">
        <f>+N320/1000</f>
        <v>1.2907920000000002E-2</v>
      </c>
      <c r="BU320" s="399">
        <v>-0.8</v>
      </c>
      <c r="BV320" s="618">
        <f t="shared" ref="BV320" si="222">BU320</f>
        <v>-0.8</v>
      </c>
      <c r="BW320" s="141"/>
      <c r="BX320" s="311"/>
      <c r="BY320" s="669" t="s">
        <v>2103</v>
      </c>
    </row>
    <row r="321" spans="1:77" ht="15" customHeight="1" x14ac:dyDescent="0.2">
      <c r="A321" s="56" t="s">
        <v>38</v>
      </c>
      <c r="B321" s="56"/>
      <c r="C321" s="637" t="s">
        <v>2185</v>
      </c>
      <c r="D321" s="544">
        <v>922.22299999999996</v>
      </c>
      <c r="E321" s="127" t="s">
        <v>2298</v>
      </c>
      <c r="F321" s="667"/>
      <c r="G321" s="64"/>
      <c r="H321" s="61"/>
      <c r="I321" s="266"/>
      <c r="J321" s="62"/>
      <c r="K321" s="121"/>
      <c r="L321" s="608">
        <v>2013</v>
      </c>
      <c r="M321" s="62"/>
      <c r="N321" s="355">
        <v>10.781451000000001</v>
      </c>
      <c r="O321" s="603">
        <v>2017</v>
      </c>
      <c r="P321" s="62"/>
      <c r="Q321" s="355">
        <f>N321-0.337278</f>
        <v>10.444173000000001</v>
      </c>
      <c r="R321" s="603">
        <v>2017</v>
      </c>
      <c r="S321" s="62"/>
      <c r="T321" s="355">
        <f>Q321-0.337278</f>
        <v>10.106895000000002</v>
      </c>
      <c r="U321" s="62"/>
      <c r="V321" s="62"/>
      <c r="W321" s="89"/>
      <c r="X321" s="87"/>
      <c r="Y321" s="642"/>
      <c r="Z321" s="434"/>
      <c r="AA321" s="650"/>
      <c r="AB321" s="399"/>
      <c r="AC321" s="618"/>
      <c r="AD321" s="168"/>
      <c r="AE321" s="168"/>
      <c r="AF321" s="388"/>
      <c r="AG321" s="389"/>
      <c r="AH321" s="390"/>
      <c r="AI321" s="433"/>
      <c r="AJ321" s="433"/>
      <c r="AK321" s="156"/>
      <c r="AL321" s="284"/>
      <c r="AM321" s="210"/>
      <c r="AN321" s="168"/>
      <c r="AO321" s="89">
        <f>AS321*(1+AT321)</f>
        <v>8.6251608000000018E-3</v>
      </c>
      <c r="AP321" s="87">
        <f>AS321*(1+AU321)</f>
        <v>8.6251608000000018E-3</v>
      </c>
      <c r="AQ321" s="642">
        <v>2013</v>
      </c>
      <c r="AR321" s="434"/>
      <c r="AS321" s="650">
        <f>+N321/1000</f>
        <v>1.0781451000000001E-2</v>
      </c>
      <c r="AT321" s="399">
        <v>-0.2</v>
      </c>
      <c r="AU321" s="618">
        <f>AT321</f>
        <v>-0.2</v>
      </c>
      <c r="AV321" s="168"/>
      <c r="AW321" s="168"/>
      <c r="AX321" s="170"/>
      <c r="AY321" s="86"/>
      <c r="AZ321" s="272"/>
      <c r="BA321" s="51"/>
      <c r="BB321" s="34"/>
      <c r="BC321" s="156"/>
      <c r="BD321" s="341"/>
      <c r="BE321" s="210"/>
      <c r="BF321" s="168"/>
      <c r="BG321" s="619"/>
      <c r="BH321" s="620"/>
      <c r="BI321" s="617"/>
      <c r="BJ321" s="642"/>
      <c r="BK321" s="650"/>
      <c r="BL321" s="399"/>
      <c r="BM321" s="652"/>
      <c r="BN321" s="210"/>
      <c r="BO321" s="168"/>
      <c r="BP321" s="619"/>
      <c r="BQ321" s="620"/>
      <c r="BR321" s="671"/>
      <c r="BS321" s="434"/>
      <c r="BT321" s="650"/>
      <c r="BU321" s="399"/>
      <c r="BV321" s="618"/>
      <c r="BW321" s="141"/>
      <c r="BX321" s="311"/>
      <c r="BY321" s="669"/>
    </row>
    <row r="322" spans="1:77" ht="15" customHeight="1" x14ac:dyDescent="0.2">
      <c r="A322" s="56" t="s">
        <v>38</v>
      </c>
      <c r="B322" s="56"/>
      <c r="C322" s="637" t="s">
        <v>3242</v>
      </c>
      <c r="D322" s="544">
        <v>1241.7180000000001</v>
      </c>
      <c r="E322" s="127" t="s">
        <v>387</v>
      </c>
      <c r="F322" s="667"/>
      <c r="G322" s="64"/>
      <c r="H322" s="61"/>
      <c r="I322" s="266"/>
      <c r="J322" s="62"/>
      <c r="K322" s="121"/>
      <c r="L322" s="608"/>
      <c r="M322" s="62"/>
      <c r="N322" s="355">
        <v>26.918797999999999</v>
      </c>
      <c r="O322" s="603"/>
      <c r="P322" s="62"/>
      <c r="Q322" s="355"/>
      <c r="R322" s="603"/>
      <c r="S322" s="62"/>
      <c r="T322" s="355"/>
      <c r="U322" s="62"/>
      <c r="V322" s="62"/>
      <c r="W322" s="89"/>
      <c r="X322" s="87"/>
      <c r="Y322" s="642"/>
      <c r="Z322" s="434"/>
      <c r="AA322" s="650"/>
      <c r="AB322" s="399"/>
      <c r="AC322" s="618"/>
      <c r="AD322" s="168"/>
      <c r="AE322" s="168"/>
      <c r="AF322" s="388"/>
      <c r="AG322" s="389"/>
      <c r="AH322" s="390"/>
      <c r="AI322" s="433"/>
      <c r="AJ322" s="433"/>
      <c r="AK322" s="156"/>
      <c r="AL322" s="284"/>
      <c r="AM322" s="210"/>
      <c r="AN322" s="168"/>
      <c r="AO322" s="89">
        <f>AS322*(1+AT322)</f>
        <v>1.4805338899999999E-2</v>
      </c>
      <c r="AP322" s="87">
        <f>AS322*(1+AU322)</f>
        <v>1.4805338899999999E-2</v>
      </c>
      <c r="AQ322" s="642">
        <v>2013</v>
      </c>
      <c r="AR322" s="434"/>
      <c r="AS322" s="650">
        <f>+N322/1000</f>
        <v>2.6918797999999997E-2</v>
      </c>
      <c r="AT322" s="399">
        <v>-0.45</v>
      </c>
      <c r="AU322" s="618">
        <f>AT322</f>
        <v>-0.45</v>
      </c>
      <c r="AV322" s="168"/>
      <c r="AW322" s="168"/>
      <c r="AX322" s="170"/>
      <c r="AY322" s="86"/>
      <c r="AZ322" s="272"/>
      <c r="BA322" s="51"/>
      <c r="BB322" s="34"/>
      <c r="BC322" s="156"/>
      <c r="BD322" s="341"/>
      <c r="BE322" s="210"/>
      <c r="BF322" s="168"/>
      <c r="BG322" s="619"/>
      <c r="BH322" s="620"/>
      <c r="BI322" s="617"/>
      <c r="BJ322" s="642"/>
      <c r="BK322" s="650"/>
      <c r="BL322" s="399"/>
      <c r="BM322" s="652"/>
      <c r="BN322" s="210"/>
      <c r="BO322" s="168"/>
      <c r="BP322" s="619">
        <f>BT322*(1+BV322)</f>
        <v>0</v>
      </c>
      <c r="BQ322" s="620">
        <f>BT322*(1+BU322)</f>
        <v>0</v>
      </c>
      <c r="BR322" s="642">
        <v>2010</v>
      </c>
      <c r="BS322" s="434"/>
      <c r="BT322" s="650">
        <f>+N322/1000</f>
        <v>2.6918797999999997E-2</v>
      </c>
      <c r="BU322" s="399">
        <v>-1</v>
      </c>
      <c r="BV322" s="618">
        <f t="shared" ref="BV322" si="223">BU322</f>
        <v>-1</v>
      </c>
      <c r="BW322" s="141"/>
      <c r="BX322" s="311"/>
      <c r="BY322" s="669"/>
    </row>
    <row r="323" spans="1:77" ht="15" customHeight="1" x14ac:dyDescent="0.2">
      <c r="A323" s="56" t="s">
        <v>38</v>
      </c>
      <c r="B323" s="637" t="s">
        <v>375</v>
      </c>
      <c r="C323" s="637"/>
      <c r="D323" s="544">
        <v>3831</v>
      </c>
      <c r="E323" s="127" t="s">
        <v>2927</v>
      </c>
      <c r="F323" s="667"/>
      <c r="G323" s="64"/>
      <c r="H323" s="656">
        <v>56.128149000000001</v>
      </c>
      <c r="I323" s="266"/>
      <c r="J323" s="62"/>
      <c r="K323" s="62">
        <v>68.8</v>
      </c>
      <c r="L323" s="608"/>
      <c r="M323" s="62"/>
      <c r="N323" s="355">
        <v>60.944000000000003</v>
      </c>
      <c r="O323" s="603"/>
      <c r="P323" s="62"/>
      <c r="Q323" s="355">
        <v>58.899635000000004</v>
      </c>
      <c r="R323" s="603">
        <v>2017</v>
      </c>
      <c r="S323" s="62"/>
      <c r="T323" s="355">
        <v>64.561357999999998</v>
      </c>
      <c r="U323" s="62"/>
      <c r="V323" s="62"/>
      <c r="W323" s="89">
        <f>AA323*(1+AB323)</f>
        <v>5.0515334100000003E-2</v>
      </c>
      <c r="X323" s="87">
        <f>AA323*(1+AC323)</f>
        <v>5.0515334100000003E-2</v>
      </c>
      <c r="Y323" s="642">
        <v>1990</v>
      </c>
      <c r="Z323" s="434"/>
      <c r="AA323" s="650">
        <f>+H323/1000</f>
        <v>5.6128149000000002E-2</v>
      </c>
      <c r="AB323" s="399">
        <v>-0.1</v>
      </c>
      <c r="AC323" s="618">
        <f>AB323</f>
        <v>-0.1</v>
      </c>
      <c r="AD323" s="168"/>
      <c r="AE323" s="168"/>
      <c r="AF323" s="619"/>
      <c r="AG323" s="620"/>
      <c r="AH323" s="617"/>
      <c r="AI323" s="650"/>
      <c r="AJ323" s="650"/>
      <c r="AK323" s="399"/>
      <c r="AL323" s="618"/>
      <c r="AM323" s="210"/>
      <c r="AN323" s="168"/>
      <c r="AO323" s="170"/>
      <c r="AP323" s="86"/>
      <c r="AQ323" s="272"/>
      <c r="AR323" s="34"/>
      <c r="AS323" s="442"/>
      <c r="AT323" s="395"/>
      <c r="AU323" s="443"/>
      <c r="AV323" s="168"/>
      <c r="AW323" s="168"/>
      <c r="AX323" s="171">
        <f>BB323*(1+BC323)</f>
        <v>3.0870481950000004E-2</v>
      </c>
      <c r="AY323" s="172">
        <f>BB323*(1+BD323)</f>
        <v>3.0870481950000004E-2</v>
      </c>
      <c r="AZ323" s="272">
        <v>1990</v>
      </c>
      <c r="BA323" s="34"/>
      <c r="BB323" s="657">
        <f>H323/1000</f>
        <v>5.6128149000000002E-2</v>
      </c>
      <c r="BC323" s="395">
        <v>-0.45</v>
      </c>
      <c r="BD323" s="443">
        <f>BC323</f>
        <v>-0.45</v>
      </c>
      <c r="BE323" s="210"/>
      <c r="BF323" s="168"/>
      <c r="BG323" s="615"/>
      <c r="BH323" s="616"/>
      <c r="BI323" s="617"/>
      <c r="BJ323" s="642"/>
      <c r="BK323" s="434"/>
      <c r="BL323" s="399"/>
      <c r="BM323" s="652"/>
      <c r="BN323" s="210"/>
      <c r="BO323" s="168"/>
      <c r="BP323" s="619">
        <f t="shared" si="214"/>
        <v>1.1225629799999998E-2</v>
      </c>
      <c r="BQ323" s="620">
        <f t="shared" si="215"/>
        <v>1.1225629799999998E-2</v>
      </c>
      <c r="BR323" s="642">
        <v>1990</v>
      </c>
      <c r="BS323" s="650"/>
      <c r="BT323" s="676">
        <f>+H323/1000</f>
        <v>5.6128149000000002E-2</v>
      </c>
      <c r="BU323" s="399">
        <v>-0.8</v>
      </c>
      <c r="BV323" s="618">
        <f t="shared" si="202"/>
        <v>-0.8</v>
      </c>
      <c r="BW323" s="141"/>
      <c r="BX323" s="311"/>
      <c r="BY323" s="669" t="s">
        <v>376</v>
      </c>
    </row>
    <row r="324" spans="1:77" ht="15" customHeight="1" x14ac:dyDescent="0.2">
      <c r="A324" s="56" t="s">
        <v>38</v>
      </c>
      <c r="B324" s="107" t="s">
        <v>477</v>
      </c>
      <c r="C324" s="637" t="s">
        <v>540</v>
      </c>
      <c r="D324" s="544">
        <v>94</v>
      </c>
      <c r="E324" s="127" t="s">
        <v>392</v>
      </c>
      <c r="F324" s="667"/>
      <c r="G324" s="64"/>
      <c r="H324" s="656"/>
      <c r="I324" s="67">
        <v>2008</v>
      </c>
      <c r="J324" s="62"/>
      <c r="K324" s="62">
        <v>13</v>
      </c>
      <c r="L324" s="608"/>
      <c r="M324" s="62"/>
      <c r="N324" s="355"/>
      <c r="O324" s="603"/>
      <c r="P324" s="62"/>
      <c r="Q324" s="355"/>
      <c r="R324" s="603"/>
      <c r="S324" s="62"/>
      <c r="T324" s="355"/>
      <c r="U324" s="62"/>
      <c r="V324" s="62"/>
      <c r="W324" s="89"/>
      <c r="X324" s="87"/>
      <c r="Y324" s="642"/>
      <c r="Z324" s="434"/>
      <c r="AA324" s="650"/>
      <c r="AB324" s="399"/>
      <c r="AC324" s="618"/>
      <c r="AD324" s="168"/>
      <c r="AE324" s="168"/>
      <c r="AF324" s="619"/>
      <c r="AG324" s="620"/>
      <c r="AH324" s="617"/>
      <c r="AI324" s="650"/>
      <c r="AJ324" s="650"/>
      <c r="AK324" s="399"/>
      <c r="AL324" s="618"/>
      <c r="AM324" s="210"/>
      <c r="AN324" s="168"/>
      <c r="AO324" s="170"/>
      <c r="AP324" s="86"/>
      <c r="AQ324" s="272"/>
      <c r="AR324" s="34"/>
      <c r="AS324" s="442"/>
      <c r="AT324" s="395"/>
      <c r="AU324" s="443"/>
      <c r="AV324" s="168"/>
      <c r="AW324" s="168"/>
      <c r="AX324" s="171"/>
      <c r="AY324" s="172"/>
      <c r="AZ324" s="272"/>
      <c r="BA324" s="34"/>
      <c r="BB324" s="657"/>
      <c r="BC324" s="395"/>
      <c r="BD324" s="670"/>
      <c r="BE324" s="210"/>
      <c r="BF324" s="168"/>
      <c r="BG324" s="615"/>
      <c r="BH324" s="616"/>
      <c r="BI324" s="617"/>
      <c r="BJ324" s="642"/>
      <c r="BK324" s="434"/>
      <c r="BL324" s="399"/>
      <c r="BM324" s="652"/>
      <c r="BN324" s="210"/>
      <c r="BO324" s="168"/>
      <c r="BP324" s="619">
        <f>BT324*(1+BV324)</f>
        <v>3.2499999999999999E-3</v>
      </c>
      <c r="BQ324" s="620">
        <f>BT324*(1+BU324)</f>
        <v>3.2499999999999999E-3</v>
      </c>
      <c r="BR324" s="642">
        <v>2008</v>
      </c>
      <c r="BS324" s="650"/>
      <c r="BT324" s="650">
        <f>+K324/1000</f>
        <v>1.2999999999999999E-2</v>
      </c>
      <c r="BU324" s="399">
        <v>-0.75</v>
      </c>
      <c r="BV324" s="618">
        <f>BU324</f>
        <v>-0.75</v>
      </c>
      <c r="BW324" s="141"/>
      <c r="BX324" s="311"/>
      <c r="BY324" s="669"/>
    </row>
    <row r="325" spans="1:77" ht="15" customHeight="1" x14ac:dyDescent="0.2">
      <c r="A325" s="56" t="s">
        <v>38</v>
      </c>
      <c r="B325" s="107" t="s">
        <v>477</v>
      </c>
      <c r="C325" s="637" t="s">
        <v>3227</v>
      </c>
      <c r="D325" s="544">
        <v>673.10400000000004</v>
      </c>
      <c r="E325" s="127" t="s">
        <v>387</v>
      </c>
      <c r="F325" s="667"/>
      <c r="G325" s="64"/>
      <c r="H325" s="656"/>
      <c r="I325" s="67"/>
      <c r="J325" s="62"/>
      <c r="K325" s="62"/>
      <c r="L325" s="608">
        <v>2012</v>
      </c>
      <c r="M325" s="62"/>
      <c r="N325" s="355">
        <v>10.5</v>
      </c>
      <c r="O325" s="603"/>
      <c r="P325" s="62"/>
      <c r="Q325" s="355"/>
      <c r="R325" s="603"/>
      <c r="S325" s="62"/>
      <c r="T325" s="355"/>
      <c r="U325" s="62"/>
      <c r="V325" s="62"/>
      <c r="W325" s="89"/>
      <c r="X325" s="87"/>
      <c r="Y325" s="642"/>
      <c r="Z325" s="434"/>
      <c r="AA325" s="650"/>
      <c r="AB325" s="399"/>
      <c r="AC325" s="618"/>
      <c r="AD325" s="168"/>
      <c r="AE325" s="168"/>
      <c r="AF325" s="619">
        <f>+AJ325*(1+AK325)</f>
        <v>7.3499999999999998E-3</v>
      </c>
      <c r="AG325" s="620">
        <f>+AJ325*(1+AL325)</f>
        <v>7.3499999999999998E-3</v>
      </c>
      <c r="AH325" s="617">
        <v>2005</v>
      </c>
      <c r="AI325" s="650"/>
      <c r="AJ325" s="650">
        <f>+N325/1000</f>
        <v>1.0500000000000001E-2</v>
      </c>
      <c r="AK325" s="399">
        <v>-0.3</v>
      </c>
      <c r="AL325" s="618">
        <f>AK325</f>
        <v>-0.3</v>
      </c>
      <c r="AM325" s="210"/>
      <c r="AN325" s="168"/>
      <c r="AO325" s="170"/>
      <c r="AP325" s="86"/>
      <c r="AQ325" s="272"/>
      <c r="AR325" s="34"/>
      <c r="AS325" s="442"/>
      <c r="AT325" s="395"/>
      <c r="AU325" s="443"/>
      <c r="AV325" s="168"/>
      <c r="AW325" s="168"/>
      <c r="AX325" s="171"/>
      <c r="AY325" s="172"/>
      <c r="AZ325" s="272"/>
      <c r="BA325" s="34"/>
      <c r="BB325" s="657"/>
      <c r="BC325" s="395"/>
      <c r="BD325" s="670"/>
      <c r="BE325" s="210"/>
      <c r="BF325" s="168"/>
      <c r="BG325" s="615"/>
      <c r="BH325" s="616"/>
      <c r="BI325" s="617"/>
      <c r="BJ325" s="642"/>
      <c r="BK325" s="434"/>
      <c r="BL325" s="399"/>
      <c r="BM325" s="652"/>
      <c r="BN325" s="210"/>
      <c r="BO325" s="168"/>
      <c r="BP325" s="619"/>
      <c r="BQ325" s="620"/>
      <c r="BR325" s="671"/>
      <c r="BS325" s="650"/>
      <c r="BT325" s="964"/>
      <c r="BU325" s="399"/>
      <c r="BV325" s="618"/>
      <c r="BW325" s="141"/>
      <c r="BX325" s="311"/>
      <c r="BY325" s="669"/>
    </row>
    <row r="326" spans="1:77" ht="15" customHeight="1" x14ac:dyDescent="0.2">
      <c r="A326" s="56" t="s">
        <v>38</v>
      </c>
      <c r="B326" s="668" t="s">
        <v>477</v>
      </c>
      <c r="C326" s="637" t="s">
        <v>2497</v>
      </c>
      <c r="D326" s="544">
        <v>57.765000000000001</v>
      </c>
      <c r="E326" s="127" t="s">
        <v>387</v>
      </c>
      <c r="F326" s="667"/>
      <c r="G326" s="64"/>
      <c r="H326" s="656"/>
      <c r="I326" s="266"/>
      <c r="J326" s="62"/>
      <c r="K326" s="62"/>
      <c r="L326" s="608"/>
      <c r="M326" s="62"/>
      <c r="N326" s="355"/>
      <c r="O326" s="603"/>
      <c r="P326" s="62"/>
      <c r="Q326" s="355">
        <v>0.46587899999999999</v>
      </c>
      <c r="R326" s="603"/>
      <c r="S326" s="62"/>
      <c r="T326" s="355"/>
      <c r="U326" s="62"/>
      <c r="V326" s="62"/>
      <c r="W326" s="89"/>
      <c r="X326" s="87"/>
      <c r="Y326" s="642"/>
      <c r="Z326" s="434"/>
      <c r="AA326" s="650"/>
      <c r="AB326" s="399"/>
      <c r="AC326" s="618"/>
      <c r="AD326" s="168"/>
      <c r="AE326" s="168"/>
      <c r="AF326" s="619"/>
      <c r="AG326" s="620"/>
      <c r="AH326" s="617"/>
      <c r="AI326" s="650"/>
      <c r="AJ326" s="650"/>
      <c r="AK326" s="399"/>
      <c r="AL326" s="618"/>
      <c r="AM326" s="210"/>
      <c r="AN326" s="168"/>
      <c r="AO326" s="170"/>
      <c r="AP326" s="86"/>
      <c r="AQ326" s="272"/>
      <c r="AR326" s="34"/>
      <c r="AS326" s="442"/>
      <c r="AT326" s="395"/>
      <c r="AU326" s="443"/>
      <c r="AV326" s="168"/>
      <c r="AW326" s="168"/>
      <c r="AX326" s="170"/>
      <c r="AY326" s="86"/>
      <c r="AZ326" s="272"/>
      <c r="BA326" s="51"/>
      <c r="BB326" s="34"/>
      <c r="BC326" s="156"/>
      <c r="BD326" s="341"/>
      <c r="BE326" s="210"/>
      <c r="BF326" s="168"/>
      <c r="BG326" s="615"/>
      <c r="BH326" s="616"/>
      <c r="BI326" s="617"/>
      <c r="BJ326" s="642"/>
      <c r="BK326" s="434"/>
      <c r="BL326" s="399"/>
      <c r="BM326" s="652"/>
      <c r="BN326" s="210"/>
      <c r="BO326" s="168"/>
      <c r="BP326" s="619">
        <v>0</v>
      </c>
      <c r="BQ326" s="620">
        <v>0</v>
      </c>
      <c r="BR326" s="671">
        <v>2015</v>
      </c>
      <c r="BS326" s="650"/>
      <c r="BT326" s="676">
        <f>+Q326/1000</f>
        <v>4.6587899999999999E-4</v>
      </c>
      <c r="BU326" s="399">
        <v>-1</v>
      </c>
      <c r="BV326" s="618">
        <f>+BU326</f>
        <v>-1</v>
      </c>
      <c r="BW326" s="141"/>
      <c r="BX326" s="311"/>
      <c r="BY326" s="669"/>
    </row>
    <row r="327" spans="1:77" ht="15" customHeight="1" x14ac:dyDescent="0.2">
      <c r="A327" s="56" t="s">
        <v>38</v>
      </c>
      <c r="B327" s="107" t="s">
        <v>477</v>
      </c>
      <c r="C327" s="637" t="s">
        <v>364</v>
      </c>
      <c r="D327" s="544">
        <v>639.86300000000006</v>
      </c>
      <c r="E327" s="127" t="s">
        <v>2341</v>
      </c>
      <c r="F327" s="667"/>
      <c r="G327" s="64"/>
      <c r="H327" s="61">
        <v>9.0376460000000005</v>
      </c>
      <c r="I327" s="266"/>
      <c r="J327" s="62"/>
      <c r="K327" s="62"/>
      <c r="L327" s="608">
        <v>2013</v>
      </c>
      <c r="M327" s="62"/>
      <c r="N327" s="355">
        <v>7.6950000000000003</v>
      </c>
      <c r="O327" s="603">
        <v>2014</v>
      </c>
      <c r="P327" s="62"/>
      <c r="Q327" s="355">
        <v>6.9745439999999999</v>
      </c>
      <c r="R327" s="603"/>
      <c r="S327" s="62"/>
      <c r="T327" s="355"/>
      <c r="U327" s="63"/>
      <c r="V327" s="62"/>
      <c r="W327" s="23"/>
      <c r="X327" s="24"/>
      <c r="Y327" s="642"/>
      <c r="Z327" s="434"/>
      <c r="AA327" s="434"/>
      <c r="AB327" s="399"/>
      <c r="AC327" s="618"/>
      <c r="AD327" s="168"/>
      <c r="AE327" s="168"/>
      <c r="AF327" s="388"/>
      <c r="AG327" s="389"/>
      <c r="AH327" s="390"/>
      <c r="AI327" s="433"/>
      <c r="AJ327" s="433"/>
      <c r="AK327" s="156"/>
      <c r="AL327" s="284"/>
      <c r="AM327" s="210"/>
      <c r="AN327" s="168"/>
      <c r="AO327" s="171">
        <f>AS327*(1+AT327)</f>
        <v>5.4225875999999998E-3</v>
      </c>
      <c r="AP327" s="172">
        <f>AS327*(1+AU327)</f>
        <v>5.4225875999999998E-3</v>
      </c>
      <c r="AQ327" s="272">
        <v>1990</v>
      </c>
      <c r="AR327" s="34"/>
      <c r="AS327" s="657">
        <f>H327/1000</f>
        <v>9.0376459999999999E-3</v>
      </c>
      <c r="AT327" s="395">
        <v>-0.4</v>
      </c>
      <c r="AU327" s="443">
        <f>AT327</f>
        <v>-0.4</v>
      </c>
      <c r="AV327" s="168"/>
      <c r="AW327" s="168"/>
      <c r="AX327" s="170"/>
      <c r="AY327" s="86"/>
      <c r="AZ327" s="272"/>
      <c r="BA327" s="51"/>
      <c r="BB327" s="34"/>
      <c r="BC327" s="156"/>
      <c r="BD327" s="341"/>
      <c r="BE327" s="210"/>
      <c r="BF327" s="168"/>
      <c r="BG327" s="615"/>
      <c r="BH327" s="616"/>
      <c r="BI327" s="617"/>
      <c r="BJ327" s="642"/>
      <c r="BK327" s="434"/>
      <c r="BL327" s="399"/>
      <c r="BM327" s="652"/>
      <c r="BN327" s="210"/>
      <c r="BO327" s="168"/>
      <c r="BP327" s="619">
        <f t="shared" ref="BP327" si="224">BT327*(1+BV327)</f>
        <v>1.8075291999999996E-3</v>
      </c>
      <c r="BQ327" s="620">
        <f t="shared" ref="BQ327" si="225">BT327*(1+BU327)</f>
        <v>1.8075291999999996E-3</v>
      </c>
      <c r="BR327" s="617">
        <v>1990</v>
      </c>
      <c r="BS327" s="642"/>
      <c r="BT327" s="650">
        <f>+H327/1000</f>
        <v>9.0376459999999999E-3</v>
      </c>
      <c r="BU327" s="399">
        <v>-0.8</v>
      </c>
      <c r="BV327" s="618">
        <f t="shared" ref="BV327" si="226">BU327</f>
        <v>-0.8</v>
      </c>
      <c r="BW327" s="141"/>
      <c r="BX327" s="311" t="s">
        <v>2204</v>
      </c>
      <c r="BY327" s="139"/>
    </row>
    <row r="328" spans="1:77" ht="15" customHeight="1" x14ac:dyDescent="0.2">
      <c r="A328" s="56" t="s">
        <v>38</v>
      </c>
      <c r="B328" s="107" t="s">
        <v>477</v>
      </c>
      <c r="C328" s="637" t="s">
        <v>2189</v>
      </c>
      <c r="D328" s="544">
        <v>171.245</v>
      </c>
      <c r="E328" s="127" t="s">
        <v>387</v>
      </c>
      <c r="F328" s="667"/>
      <c r="G328" s="64"/>
      <c r="H328" s="61">
        <v>0.91196500000000003</v>
      </c>
      <c r="I328" s="266"/>
      <c r="J328" s="62"/>
      <c r="K328" s="61">
        <v>1.25</v>
      </c>
      <c r="L328" s="1054"/>
      <c r="M328" s="62"/>
      <c r="N328" s="355">
        <v>1.061266</v>
      </c>
      <c r="O328" s="603"/>
      <c r="P328" s="62"/>
      <c r="Q328" s="355"/>
      <c r="R328" s="603"/>
      <c r="S328" s="62"/>
      <c r="T328" s="355"/>
      <c r="U328" s="62"/>
      <c r="V328" s="62"/>
      <c r="W328" s="89">
        <f>AA328*(1+AB328)</f>
        <v>9.8060978400000003E-4</v>
      </c>
      <c r="X328" s="87">
        <f>AA328*(1+AC328)</f>
        <v>9.8060978400000003E-4</v>
      </c>
      <c r="Y328" s="642">
        <v>2010</v>
      </c>
      <c r="Z328" s="434"/>
      <c r="AA328" s="650">
        <f>+N328/1000</f>
        <v>1.0612659999999999E-3</v>
      </c>
      <c r="AB328" s="400">
        <v>-7.5999999999999998E-2</v>
      </c>
      <c r="AC328" s="680">
        <f>AB328</f>
        <v>-7.5999999999999998E-2</v>
      </c>
      <c r="AD328" s="168"/>
      <c r="AE328" s="168"/>
      <c r="AF328" s="388"/>
      <c r="AG328" s="389"/>
      <c r="AH328" s="390"/>
      <c r="AI328" s="433"/>
      <c r="AJ328" s="433"/>
      <c r="AK328" s="156"/>
      <c r="AL328" s="284"/>
      <c r="AM328" s="210"/>
      <c r="AN328" s="168"/>
      <c r="AO328" s="171">
        <f>AS328*(1+AT328)</f>
        <v>5.3063299999999997E-4</v>
      </c>
      <c r="AP328" s="172">
        <f>AS328*(1+AU328)</f>
        <v>5.3063299999999997E-4</v>
      </c>
      <c r="AQ328" s="272">
        <v>2010</v>
      </c>
      <c r="AR328" s="34"/>
      <c r="AS328" s="657">
        <f>N328/1000</f>
        <v>1.0612659999999999E-3</v>
      </c>
      <c r="AT328" s="395">
        <v>-0.5</v>
      </c>
      <c r="AU328" s="443">
        <f>AT328</f>
        <v>-0.5</v>
      </c>
      <c r="AV328" s="168"/>
      <c r="AW328" s="168"/>
      <c r="AX328" s="170"/>
      <c r="AY328" s="86"/>
      <c r="AZ328" s="272"/>
      <c r="BA328" s="51"/>
      <c r="BB328" s="34"/>
      <c r="BC328" s="156"/>
      <c r="BD328" s="341"/>
      <c r="BE328" s="210"/>
      <c r="BF328" s="168"/>
      <c r="BG328" s="615"/>
      <c r="BH328" s="616"/>
      <c r="BI328" s="617"/>
      <c r="BJ328" s="642"/>
      <c r="BK328" s="434"/>
      <c r="BL328" s="399"/>
      <c r="BM328" s="652"/>
      <c r="BN328" s="210"/>
      <c r="BO328" s="168"/>
      <c r="BP328" s="619">
        <f t="shared" ref="BP328" si="227">BT328*(1+BV328)</f>
        <v>1.8230180350000001E-3</v>
      </c>
      <c r="BQ328" s="620">
        <f t="shared" ref="BQ328" si="228">BT328*(1+BU328)</f>
        <v>1.8230180350000001E-3</v>
      </c>
      <c r="BR328" s="617">
        <v>1990</v>
      </c>
      <c r="BS328" s="642"/>
      <c r="BT328" s="650">
        <f>+H328/1000</f>
        <v>9.1196500000000004E-4</v>
      </c>
      <c r="BU328" s="399">
        <v>0.999</v>
      </c>
      <c r="BV328" s="618">
        <f>BU328</f>
        <v>0.999</v>
      </c>
      <c r="BW328" s="141"/>
      <c r="BX328" s="311" t="s">
        <v>2190</v>
      </c>
      <c r="BY328" s="139"/>
    </row>
    <row r="329" spans="1:77" ht="15" customHeight="1" x14ac:dyDescent="0.2">
      <c r="A329" s="56" t="s">
        <v>38</v>
      </c>
      <c r="B329" s="107" t="s">
        <v>2886</v>
      </c>
      <c r="C329" s="637"/>
      <c r="D329" s="544">
        <v>12.8</v>
      </c>
      <c r="E329" s="127" t="s">
        <v>2884</v>
      </c>
      <c r="F329" s="667"/>
      <c r="G329" s="64"/>
      <c r="H329" s="61"/>
      <c r="I329" s="266"/>
      <c r="J329" s="62"/>
      <c r="K329" s="62">
        <v>278.39999999999998</v>
      </c>
      <c r="L329" s="608"/>
      <c r="M329" s="62"/>
      <c r="N329" s="355"/>
      <c r="O329" s="603"/>
      <c r="P329" s="62"/>
      <c r="Q329" s="355"/>
      <c r="R329" s="603"/>
      <c r="S329" s="62"/>
      <c r="T329" s="355"/>
      <c r="U329" s="62"/>
      <c r="V329" s="62"/>
      <c r="W329" s="89"/>
      <c r="X329" s="87"/>
      <c r="Y329" s="642"/>
      <c r="Z329" s="434"/>
      <c r="AA329" s="650"/>
      <c r="AB329" s="400"/>
      <c r="AC329" s="680"/>
      <c r="AD329" s="168"/>
      <c r="AE329" s="168"/>
      <c r="AF329" s="619">
        <f>+AJ329*(1+AK329)</f>
        <v>0.20601599999999998</v>
      </c>
      <c r="AG329" s="620">
        <f>+AJ329*(1+AL329)</f>
        <v>0.20601599999999998</v>
      </c>
      <c r="AH329" s="617">
        <v>2005</v>
      </c>
      <c r="AI329" s="650"/>
      <c r="AJ329" s="650">
        <f>+K329/1000</f>
        <v>0.27839999999999998</v>
      </c>
      <c r="AK329" s="399">
        <v>-0.26</v>
      </c>
      <c r="AL329" s="618">
        <f>AK329</f>
        <v>-0.26</v>
      </c>
      <c r="AM329" s="210"/>
      <c r="AN329" s="168"/>
      <c r="AO329" s="171"/>
      <c r="AP329" s="172"/>
      <c r="AQ329" s="272"/>
      <c r="AR329" s="34"/>
      <c r="AS329" s="657"/>
      <c r="AT329" s="395"/>
      <c r="AU329" s="443"/>
      <c r="AV329" s="168"/>
      <c r="AW329" s="168"/>
      <c r="AX329" s="170"/>
      <c r="AY329" s="86"/>
      <c r="AZ329" s="272"/>
      <c r="BA329" s="51"/>
      <c r="BB329" s="34"/>
      <c r="BC329" s="156"/>
      <c r="BD329" s="341"/>
      <c r="BE329" s="210"/>
      <c r="BF329" s="168"/>
      <c r="BG329" s="615"/>
      <c r="BH329" s="616"/>
      <c r="BI329" s="617"/>
      <c r="BJ329" s="642"/>
      <c r="BK329" s="434"/>
      <c r="BL329" s="399"/>
      <c r="BM329" s="652"/>
      <c r="BN329" s="210"/>
      <c r="BO329" s="168"/>
      <c r="BP329" s="619">
        <f t="shared" ref="BP329" si="229">BT329*(1+BV329)</f>
        <v>5.5679999999999986E-2</v>
      </c>
      <c r="BQ329" s="620">
        <f t="shared" ref="BQ329" si="230">BT329*(1+BU329)</f>
        <v>5.5679999999999986E-2</v>
      </c>
      <c r="BR329" s="617">
        <v>2005</v>
      </c>
      <c r="BS329" s="642"/>
      <c r="BT329" s="650">
        <f>+K329/1000</f>
        <v>0.27839999999999998</v>
      </c>
      <c r="BU329" s="399">
        <v>-0.8</v>
      </c>
      <c r="BV329" s="618">
        <f>BU329</f>
        <v>-0.8</v>
      </c>
      <c r="BW329" s="141"/>
      <c r="BX329" s="311"/>
      <c r="BY329" s="139"/>
    </row>
    <row r="330" spans="1:77" ht="15" customHeight="1" x14ac:dyDescent="0.2">
      <c r="A330" s="56" t="s">
        <v>38</v>
      </c>
      <c r="B330" s="56" t="s">
        <v>477</v>
      </c>
      <c r="C330" s="637" t="s">
        <v>2819</v>
      </c>
      <c r="D330" s="544">
        <v>26.995999999999999</v>
      </c>
      <c r="E330" s="127" t="s">
        <v>387</v>
      </c>
      <c r="F330" s="667"/>
      <c r="G330" s="64"/>
      <c r="H330" s="61"/>
      <c r="I330" s="958"/>
      <c r="J330" s="62"/>
      <c r="K330" s="121"/>
      <c r="L330" s="608"/>
      <c r="M330" s="62"/>
      <c r="N330" s="355"/>
      <c r="O330" s="603">
        <v>2016</v>
      </c>
      <c r="P330" s="62"/>
      <c r="Q330" s="355">
        <v>0.35089999999999999</v>
      </c>
      <c r="R330" s="603">
        <v>2016</v>
      </c>
      <c r="S330" s="62"/>
      <c r="T330" s="355">
        <v>0.35089999999999999</v>
      </c>
      <c r="U330" s="62"/>
      <c r="V330" s="62"/>
      <c r="W330" s="89"/>
      <c r="X330" s="87"/>
      <c r="Y330" s="642"/>
      <c r="Z330" s="434"/>
      <c r="AA330" s="650"/>
      <c r="AB330" s="399"/>
      <c r="AC330" s="618"/>
      <c r="AD330" s="168"/>
      <c r="AE330" s="168"/>
      <c r="AF330" s="388"/>
      <c r="AG330" s="389"/>
      <c r="AH330" s="390"/>
      <c r="AI330" s="433"/>
      <c r="AJ330" s="433"/>
      <c r="AK330" s="156"/>
      <c r="AL330" s="284"/>
      <c r="AM330" s="210"/>
      <c r="AN330" s="168"/>
      <c r="AO330" s="171"/>
      <c r="AP330" s="172"/>
      <c r="AQ330" s="272"/>
      <c r="AR330" s="34"/>
      <c r="AS330" s="442"/>
      <c r="AT330" s="395"/>
      <c r="AU330" s="443"/>
      <c r="AV330" s="168"/>
      <c r="AW330" s="168"/>
      <c r="AX330" s="170"/>
      <c r="AY330" s="86"/>
      <c r="AZ330" s="272"/>
      <c r="BA330" s="51"/>
      <c r="BB330" s="34"/>
      <c r="BC330" s="156"/>
      <c r="BD330" s="341"/>
      <c r="BE330" s="210"/>
      <c r="BF330" s="168"/>
      <c r="BG330" s="619"/>
      <c r="BH330" s="620"/>
      <c r="BI330" s="617"/>
      <c r="BJ330" s="642"/>
      <c r="BK330" s="650"/>
      <c r="BL330" s="399"/>
      <c r="BM330" s="652"/>
      <c r="BN330" s="210"/>
      <c r="BO330" s="168"/>
      <c r="BP330" s="619">
        <f t="shared" ref="BP330" si="231">BT330*(1+BV330)</f>
        <v>7.0179999999999982E-5</v>
      </c>
      <c r="BQ330" s="620">
        <f t="shared" ref="BQ330" si="232">BT330*(1+BU330)</f>
        <v>7.0179999999999982E-5</v>
      </c>
      <c r="BR330" s="617">
        <v>2005</v>
      </c>
      <c r="BS330" s="642"/>
      <c r="BT330" s="650">
        <f>Q330/1000</f>
        <v>3.5089999999999996E-4</v>
      </c>
      <c r="BU330" s="399">
        <v>-0.8</v>
      </c>
      <c r="BV330" s="618">
        <f t="shared" ref="BV330" si="233">BU330</f>
        <v>-0.8</v>
      </c>
      <c r="BW330" s="141"/>
      <c r="BX330" s="311"/>
      <c r="BY330" s="669"/>
    </row>
    <row r="331" spans="1:77" ht="15" customHeight="1" x14ac:dyDescent="0.2">
      <c r="A331" s="56" t="s">
        <v>38</v>
      </c>
      <c r="B331" s="56" t="s">
        <v>477</v>
      </c>
      <c r="C331" s="637" t="s">
        <v>385</v>
      </c>
      <c r="D331" s="544">
        <v>1555.0719999999999</v>
      </c>
      <c r="E331" s="127" t="s">
        <v>2308</v>
      </c>
      <c r="F331" s="667"/>
      <c r="G331" s="64"/>
      <c r="H331" s="656">
        <v>21.059038999999999</v>
      </c>
      <c r="I331" s="958">
        <v>2006</v>
      </c>
      <c r="J331" s="62"/>
      <c r="K331" s="121">
        <v>21</v>
      </c>
      <c r="L331" s="608"/>
      <c r="M331" s="62"/>
      <c r="N331" s="355">
        <v>19.780964000000001</v>
      </c>
      <c r="O331" s="603">
        <v>2014</v>
      </c>
      <c r="P331" s="62"/>
      <c r="Q331" s="355">
        <v>17.355478999999999</v>
      </c>
      <c r="R331" s="603"/>
      <c r="S331" s="62"/>
      <c r="T331" s="355"/>
      <c r="U331" s="62"/>
      <c r="V331" s="62"/>
      <c r="W331" s="89"/>
      <c r="X331" s="87"/>
      <c r="Y331" s="642"/>
      <c r="Z331" s="434"/>
      <c r="AA331" s="650"/>
      <c r="AB331" s="399"/>
      <c r="AC331" s="618"/>
      <c r="AD331" s="168"/>
      <c r="AE331" s="168"/>
      <c r="AF331" s="615">
        <f>+AJ331*(1+AK331)</f>
        <v>1.512E-2</v>
      </c>
      <c r="AG331" s="616">
        <f>+AJ331*(1+AL331)</f>
        <v>1.512E-2</v>
      </c>
      <c r="AH331" s="617">
        <v>2003</v>
      </c>
      <c r="AI331" s="650"/>
      <c r="AJ331" s="434">
        <f>+K331/1000</f>
        <v>2.1000000000000001E-2</v>
      </c>
      <c r="AK331" s="399">
        <v>-0.28000000000000003</v>
      </c>
      <c r="AL331" s="618">
        <f>AK331</f>
        <v>-0.28000000000000003</v>
      </c>
      <c r="AM331" s="210"/>
      <c r="AN331" s="168"/>
      <c r="AO331" s="170"/>
      <c r="AP331" s="86"/>
      <c r="AQ331" s="272"/>
      <c r="AR331" s="34"/>
      <c r="AS331" s="442"/>
      <c r="AT331" s="395"/>
      <c r="AU331" s="443"/>
      <c r="AV331" s="168"/>
      <c r="AW331" s="168"/>
      <c r="AX331" s="170"/>
      <c r="AY331" s="86"/>
      <c r="AZ331" s="272"/>
      <c r="BA331" s="51"/>
      <c r="BB331" s="34"/>
      <c r="BC331" s="156"/>
      <c r="BD331" s="341"/>
      <c r="BE331" s="210"/>
      <c r="BF331" s="168"/>
      <c r="BG331" s="615"/>
      <c r="BH331" s="616"/>
      <c r="BI331" s="617"/>
      <c r="BJ331" s="642"/>
      <c r="BK331" s="434"/>
      <c r="BL331" s="399"/>
      <c r="BM331" s="652"/>
      <c r="BN331" s="210"/>
      <c r="BO331" s="168"/>
      <c r="BP331" s="619">
        <f t="shared" ref="BP331" si="234">BT331*(1+BV331)</f>
        <v>4.1999999999999997E-3</v>
      </c>
      <c r="BQ331" s="620">
        <f t="shared" ref="BQ331" si="235">BT331*(1+BU331)</f>
        <v>4.1999999999999997E-3</v>
      </c>
      <c r="BR331" s="617">
        <v>2006</v>
      </c>
      <c r="BS331" s="642"/>
      <c r="BT331" s="650">
        <f>+K331/1000</f>
        <v>2.1000000000000001E-2</v>
      </c>
      <c r="BU331" s="399">
        <v>-0.8</v>
      </c>
      <c r="BV331" s="618">
        <f t="shared" ref="BV331" si="236">BU331</f>
        <v>-0.8</v>
      </c>
      <c r="BW331" s="141"/>
      <c r="BX331" s="311"/>
      <c r="BY331" s="139"/>
    </row>
    <row r="332" spans="1:77" ht="15" customHeight="1" x14ac:dyDescent="0.2">
      <c r="A332" s="56" t="s">
        <v>38</v>
      </c>
      <c r="B332" s="56" t="s">
        <v>477</v>
      </c>
      <c r="C332" s="637" t="s">
        <v>2203</v>
      </c>
      <c r="D332" s="544">
        <v>301.048</v>
      </c>
      <c r="E332" s="127" t="s">
        <v>2599</v>
      </c>
      <c r="F332" s="667"/>
      <c r="G332" s="64"/>
      <c r="H332" s="656"/>
      <c r="I332" s="958">
        <v>2003</v>
      </c>
      <c r="J332" s="62"/>
      <c r="K332" s="121">
        <f>5.98787</f>
        <v>5.98787</v>
      </c>
      <c r="L332" s="608">
        <v>2008</v>
      </c>
      <c r="M332" s="62"/>
      <c r="N332" s="355">
        <f>Q332/0.96</f>
        <v>5.0535958333333335</v>
      </c>
      <c r="O332" s="603">
        <v>2013</v>
      </c>
      <c r="P332" s="62"/>
      <c r="Q332" s="355">
        <v>4.8514520000000001</v>
      </c>
      <c r="R332" s="603"/>
      <c r="S332" s="62"/>
      <c r="T332" s="355"/>
      <c r="U332" s="62"/>
      <c r="V332" s="62"/>
      <c r="W332" s="89"/>
      <c r="X332" s="87"/>
      <c r="Y332" s="642"/>
      <c r="Z332" s="434"/>
      <c r="AA332" s="650"/>
      <c r="AB332" s="399"/>
      <c r="AC332" s="618"/>
      <c r="AD332" s="168"/>
      <c r="AE332" s="168"/>
      <c r="AF332" s="619">
        <f>+AJ332*(1+AK332)</f>
        <v>4.7902960000000003E-3</v>
      </c>
      <c r="AG332" s="620">
        <f>+AJ332*(1+AL332)</f>
        <v>4.7902960000000003E-3</v>
      </c>
      <c r="AH332" s="617">
        <v>2003</v>
      </c>
      <c r="AI332" s="650"/>
      <c r="AJ332" s="650">
        <f>+K332/1000</f>
        <v>5.9878700000000002E-3</v>
      </c>
      <c r="AK332" s="399">
        <v>-0.2</v>
      </c>
      <c r="AL332" s="618">
        <f>AK332</f>
        <v>-0.2</v>
      </c>
      <c r="AM332" s="210"/>
      <c r="AN332" s="168"/>
      <c r="AO332" s="619">
        <f>+AS332*(1+AT332)</f>
        <v>2.9939350000000001E-3</v>
      </c>
      <c r="AP332" s="620">
        <f>+AS332*(1+AU332)</f>
        <v>2.9939350000000001E-3</v>
      </c>
      <c r="AQ332" s="617">
        <v>2003</v>
      </c>
      <c r="AR332" s="650"/>
      <c r="AS332" s="650">
        <f>+K332/1000</f>
        <v>5.9878700000000002E-3</v>
      </c>
      <c r="AT332" s="399">
        <v>-0.5</v>
      </c>
      <c r="AU332" s="618">
        <f>AT332</f>
        <v>-0.5</v>
      </c>
      <c r="AV332" s="168"/>
      <c r="AW332" s="168"/>
      <c r="AX332" s="170"/>
      <c r="AY332" s="86"/>
      <c r="AZ332" s="272"/>
      <c r="BA332" s="51"/>
      <c r="BB332" s="34"/>
      <c r="BC332" s="156"/>
      <c r="BD332" s="341"/>
      <c r="BE332" s="210"/>
      <c r="BF332" s="168"/>
      <c r="BG332" s="615"/>
      <c r="BH332" s="616"/>
      <c r="BI332" s="617"/>
      <c r="BJ332" s="642"/>
      <c r="BK332" s="434"/>
      <c r="BL332" s="399"/>
      <c r="BM332" s="652"/>
      <c r="BN332" s="210"/>
      <c r="BO332" s="168"/>
      <c r="BP332" s="619">
        <f>+BT332*(1+BU332)</f>
        <v>1.1975739999999999E-3</v>
      </c>
      <c r="BQ332" s="620">
        <f>+BT332*(1+BV332)</f>
        <v>1.1975739999999999E-3</v>
      </c>
      <c r="BR332" s="617">
        <v>2003</v>
      </c>
      <c r="BS332" s="650"/>
      <c r="BT332" s="650">
        <f>+K332/1000</f>
        <v>5.9878700000000002E-3</v>
      </c>
      <c r="BU332" s="399">
        <v>-0.8</v>
      </c>
      <c r="BV332" s="618">
        <f>BU332</f>
        <v>-0.8</v>
      </c>
      <c r="BW332" s="141"/>
      <c r="BX332" s="311"/>
      <c r="BY332" s="139"/>
    </row>
    <row r="333" spans="1:77" ht="15" customHeight="1" x14ac:dyDescent="0.2">
      <c r="A333" s="56" t="s">
        <v>38</v>
      </c>
      <c r="B333" s="107" t="s">
        <v>1624</v>
      </c>
      <c r="C333" s="637"/>
      <c r="D333" s="544">
        <v>1055</v>
      </c>
      <c r="E333" s="127" t="s">
        <v>371</v>
      </c>
      <c r="F333" s="667"/>
      <c r="G333" s="64"/>
      <c r="H333" s="61">
        <v>10.74</v>
      </c>
      <c r="I333" s="266"/>
      <c r="J333" s="62"/>
      <c r="K333" s="62"/>
      <c r="L333" s="608"/>
      <c r="M333" s="62"/>
      <c r="N333" s="355">
        <v>12.25</v>
      </c>
      <c r="O333" s="603"/>
      <c r="P333" s="62"/>
      <c r="Q333" s="355"/>
      <c r="R333" s="603"/>
      <c r="S333" s="62"/>
      <c r="T333" s="355"/>
      <c r="U333" s="62"/>
      <c r="V333" s="92">
        <v>1.2630000000000001E-2</v>
      </c>
      <c r="W333" s="89">
        <f>AA333*(1+AB333)</f>
        <v>9.6659999999999992E-3</v>
      </c>
      <c r="X333" s="87">
        <f>AA333*(1+AC333)</f>
        <v>9.6659999999999992E-3</v>
      </c>
      <c r="Y333" s="642">
        <v>1990</v>
      </c>
      <c r="Z333" s="434"/>
      <c r="AA333" s="650">
        <f>+H333/1000</f>
        <v>1.074E-2</v>
      </c>
      <c r="AB333" s="399">
        <v>-0.1</v>
      </c>
      <c r="AC333" s="618">
        <f>AB333</f>
        <v>-0.1</v>
      </c>
      <c r="AD333" s="168"/>
      <c r="AE333" s="168"/>
      <c r="AF333" s="388"/>
      <c r="AG333" s="389"/>
      <c r="AH333" s="390"/>
      <c r="AI333" s="433"/>
      <c r="AJ333" s="433"/>
      <c r="AK333" s="156"/>
      <c r="AL333" s="284"/>
      <c r="AM333" s="210"/>
      <c r="AN333" s="168"/>
      <c r="AO333" s="171"/>
      <c r="AP333" s="172"/>
      <c r="AQ333" s="272"/>
      <c r="AR333" s="34"/>
      <c r="AS333" s="657"/>
      <c r="AT333" s="395"/>
      <c r="AU333" s="443"/>
      <c r="AV333" s="168"/>
      <c r="AW333" s="168"/>
      <c r="AX333" s="171">
        <f>BB333*(1+BC333)</f>
        <v>5.9069999999999999E-3</v>
      </c>
      <c r="AY333" s="172">
        <f>BB333*(1+BD333)</f>
        <v>5.9069999999999999E-3</v>
      </c>
      <c r="AZ333" s="272">
        <v>1990</v>
      </c>
      <c r="BA333" s="34"/>
      <c r="BB333" s="657">
        <f>H333/1000</f>
        <v>1.074E-2</v>
      </c>
      <c r="BC333" s="395">
        <v>-0.45</v>
      </c>
      <c r="BD333" s="443">
        <f>BC333</f>
        <v>-0.45</v>
      </c>
      <c r="BE333" s="210"/>
      <c r="BF333" s="168"/>
      <c r="BG333" s="615"/>
      <c r="BH333" s="616"/>
      <c r="BI333" s="617"/>
      <c r="BJ333" s="642"/>
      <c r="BK333" s="434"/>
      <c r="BL333" s="399"/>
      <c r="BM333" s="652"/>
      <c r="BN333" s="210"/>
      <c r="BO333" s="168"/>
      <c r="BP333" s="619">
        <f t="shared" ref="BP333:BP334" si="237">BT333*(1+BV333)</f>
        <v>2.6849999999999999E-3</v>
      </c>
      <c r="BQ333" s="620">
        <f t="shared" ref="BQ333:BQ334" si="238">BT333*(1+BU333)</f>
        <v>2.6849999999999999E-3</v>
      </c>
      <c r="BR333" s="617">
        <v>1990</v>
      </c>
      <c r="BS333" s="642"/>
      <c r="BT333" s="650">
        <f>+H333/1000</f>
        <v>1.074E-2</v>
      </c>
      <c r="BU333" s="399">
        <v>-0.75</v>
      </c>
      <c r="BV333" s="618">
        <f>BU333</f>
        <v>-0.75</v>
      </c>
      <c r="BW333" s="141"/>
      <c r="BX333" s="311"/>
      <c r="BY333" s="669" t="s">
        <v>1625</v>
      </c>
    </row>
    <row r="334" spans="1:77" ht="15" customHeight="1" x14ac:dyDescent="0.2">
      <c r="A334" s="56" t="s">
        <v>38</v>
      </c>
      <c r="B334" s="107" t="s">
        <v>477</v>
      </c>
      <c r="C334" s="637" t="s">
        <v>2500</v>
      </c>
      <c r="D334" s="544">
        <v>179.88300000000001</v>
      </c>
      <c r="E334" s="127" t="s">
        <v>387</v>
      </c>
      <c r="F334" s="667"/>
      <c r="G334" s="64"/>
      <c r="H334" s="61"/>
      <c r="I334" s="266"/>
      <c r="J334" s="62"/>
      <c r="K334" s="62"/>
      <c r="L334" s="608"/>
      <c r="M334" s="62"/>
      <c r="N334" s="355">
        <v>2.6528369999999999</v>
      </c>
      <c r="O334" s="603"/>
      <c r="P334" s="62"/>
      <c r="Q334" s="355"/>
      <c r="R334" s="603"/>
      <c r="S334" s="62"/>
      <c r="T334" s="355"/>
      <c r="U334" s="62"/>
      <c r="V334" s="92"/>
      <c r="W334" s="89"/>
      <c r="X334" s="87"/>
      <c r="Y334" s="642"/>
      <c r="Z334" s="434"/>
      <c r="AA334" s="650"/>
      <c r="AB334" s="399"/>
      <c r="AC334" s="618"/>
      <c r="AD334" s="168"/>
      <c r="AE334" s="168"/>
      <c r="AF334" s="388"/>
      <c r="AG334" s="389"/>
      <c r="AH334" s="390"/>
      <c r="AI334" s="433"/>
      <c r="AJ334" s="433"/>
      <c r="AK334" s="156"/>
      <c r="AL334" s="284"/>
      <c r="AM334" s="210"/>
      <c r="AN334" s="168"/>
      <c r="AO334" s="171"/>
      <c r="AP334" s="172"/>
      <c r="AQ334" s="272"/>
      <c r="AR334" s="34"/>
      <c r="AS334" s="657"/>
      <c r="AT334" s="395"/>
      <c r="AU334" s="443"/>
      <c r="AV334" s="168"/>
      <c r="AW334" s="168"/>
      <c r="AX334" s="171"/>
      <c r="AY334" s="172"/>
      <c r="AZ334" s="272"/>
      <c r="BA334" s="34"/>
      <c r="BB334" s="657"/>
      <c r="BC334" s="395"/>
      <c r="BD334" s="670"/>
      <c r="BE334" s="210"/>
      <c r="BF334" s="168"/>
      <c r="BG334" s="615"/>
      <c r="BH334" s="616"/>
      <c r="BI334" s="617"/>
      <c r="BJ334" s="642"/>
      <c r="BK334" s="434"/>
      <c r="BL334" s="399"/>
      <c r="BM334" s="652"/>
      <c r="BN334" s="210"/>
      <c r="BO334" s="168"/>
      <c r="BP334" s="615">
        <f t="shared" si="237"/>
        <v>0</v>
      </c>
      <c r="BQ334" s="616">
        <f t="shared" si="238"/>
        <v>0</v>
      </c>
      <c r="BR334" s="642">
        <v>2010</v>
      </c>
      <c r="BS334" s="434"/>
      <c r="BT334" s="650">
        <f>+N334/1000</f>
        <v>2.6528369999999999E-3</v>
      </c>
      <c r="BU334" s="399">
        <v>-1</v>
      </c>
      <c r="BV334" s="618">
        <f t="shared" ref="BV334" si="239">BU334</f>
        <v>-1</v>
      </c>
      <c r="BW334" s="141"/>
      <c r="BX334" s="311"/>
      <c r="BY334" s="669"/>
    </row>
    <row r="335" spans="1:77" ht="15" customHeight="1" x14ac:dyDescent="0.2">
      <c r="A335" s="56" t="s">
        <v>38</v>
      </c>
      <c r="B335" s="56" t="s">
        <v>3140</v>
      </c>
      <c r="C335" s="637" t="s">
        <v>562</v>
      </c>
      <c r="D335" s="544">
        <v>130</v>
      </c>
      <c r="E335" s="127" t="s">
        <v>392</v>
      </c>
      <c r="F335" s="667"/>
      <c r="G335" s="64"/>
      <c r="H335" s="61">
        <v>1.88</v>
      </c>
      <c r="I335" s="67">
        <v>2002</v>
      </c>
      <c r="J335" s="62"/>
      <c r="K335" s="121">
        <v>2.17</v>
      </c>
      <c r="L335" s="608"/>
      <c r="M335" s="62"/>
      <c r="N335" s="357"/>
      <c r="O335" s="603"/>
      <c r="P335" s="62"/>
      <c r="Q335" s="357"/>
      <c r="R335" s="603"/>
      <c r="S335" s="62"/>
      <c r="T335" s="357"/>
      <c r="U335" s="62"/>
      <c r="V335" s="62"/>
      <c r="W335" s="674"/>
      <c r="X335" s="675"/>
      <c r="Y335" s="642"/>
      <c r="Z335" s="650"/>
      <c r="AA335" s="673"/>
      <c r="AB335" s="399"/>
      <c r="AC335" s="618"/>
      <c r="AD335" s="168"/>
      <c r="AE335" s="168"/>
      <c r="AF335" s="388"/>
      <c r="AG335" s="389"/>
      <c r="AH335" s="390"/>
      <c r="AI335" s="433"/>
      <c r="AJ335" s="433"/>
      <c r="AK335" s="156"/>
      <c r="AL335" s="284"/>
      <c r="AM335" s="210"/>
      <c r="AN335" s="168"/>
      <c r="AO335" s="171"/>
      <c r="AP335" s="172"/>
      <c r="AQ335" s="272"/>
      <c r="AR335" s="34"/>
      <c r="AS335" s="657"/>
      <c r="AT335" s="395"/>
      <c r="AU335" s="443"/>
      <c r="AV335" s="168"/>
      <c r="AW335" s="168"/>
      <c r="AX335" s="170"/>
      <c r="AY335" s="86"/>
      <c r="AZ335" s="272"/>
      <c r="BA335" s="51"/>
      <c r="BB335" s="34"/>
      <c r="BC335" s="156"/>
      <c r="BD335" s="341"/>
      <c r="BE335" s="210"/>
      <c r="BF335" s="168"/>
      <c r="BG335" s="619"/>
      <c r="BH335" s="620"/>
      <c r="BI335" s="617"/>
      <c r="BJ335" s="642"/>
      <c r="BK335" s="650"/>
      <c r="BL335" s="399"/>
      <c r="BM335" s="652"/>
      <c r="BN335" s="210"/>
      <c r="BO335" s="168"/>
      <c r="BP335" s="171">
        <f>BT335*(1+BU335)</f>
        <v>3.6890000000000008E-4</v>
      </c>
      <c r="BQ335" s="172">
        <f>BT335*(1+BV335)</f>
        <v>3.6890000000000008E-4</v>
      </c>
      <c r="BR335" s="272">
        <v>2002</v>
      </c>
      <c r="BS335" s="34"/>
      <c r="BT335" s="657">
        <f>K335/1000</f>
        <v>2.1700000000000001E-3</v>
      </c>
      <c r="BU335" s="395">
        <v>-0.83</v>
      </c>
      <c r="BV335" s="443">
        <f>BU335</f>
        <v>-0.83</v>
      </c>
      <c r="BW335" s="141"/>
      <c r="BX335" s="311"/>
      <c r="BY335" s="139"/>
    </row>
    <row r="336" spans="1:77" ht="15" customHeight="1" x14ac:dyDescent="0.2">
      <c r="A336" s="56" t="s">
        <v>38</v>
      </c>
      <c r="B336" s="668" t="s">
        <v>477</v>
      </c>
      <c r="C336" s="637" t="s">
        <v>56</v>
      </c>
      <c r="D336" s="544">
        <v>133.358</v>
      </c>
      <c r="E336" s="127" t="s">
        <v>387</v>
      </c>
      <c r="F336" s="667"/>
      <c r="G336" s="64"/>
      <c r="H336" s="61"/>
      <c r="I336" s="266"/>
      <c r="J336" s="62"/>
      <c r="K336" s="121"/>
      <c r="L336" s="608"/>
      <c r="M336" s="62"/>
      <c r="N336" s="355"/>
      <c r="O336" s="603"/>
      <c r="P336" s="62"/>
      <c r="Q336" s="355">
        <v>1.8486370000000001</v>
      </c>
      <c r="R336" s="603"/>
      <c r="S336" s="62"/>
      <c r="T336" s="355"/>
      <c r="U336" s="62"/>
      <c r="V336" s="62"/>
      <c r="W336" s="89"/>
      <c r="X336" s="87"/>
      <c r="Y336" s="642"/>
      <c r="Z336" s="434"/>
      <c r="AA336" s="650"/>
      <c r="AB336" s="399"/>
      <c r="AC336" s="618"/>
      <c r="AD336" s="168"/>
      <c r="AE336" s="168"/>
      <c r="AF336" s="388"/>
      <c r="AG336" s="389"/>
      <c r="AH336" s="390"/>
      <c r="AI336" s="433"/>
      <c r="AJ336" s="433"/>
      <c r="AK336" s="156"/>
      <c r="AL336" s="284"/>
      <c r="AM336" s="210"/>
      <c r="AN336" s="168"/>
      <c r="AO336" s="171"/>
      <c r="AP336" s="172"/>
      <c r="AQ336" s="272"/>
      <c r="AR336" s="34"/>
      <c r="AS336" s="657"/>
      <c r="AT336" s="395"/>
      <c r="AU336" s="443"/>
      <c r="AV336" s="168"/>
      <c r="AW336" s="168"/>
      <c r="AX336" s="170"/>
      <c r="AY336" s="86"/>
      <c r="AZ336" s="272"/>
      <c r="BA336" s="51"/>
      <c r="BB336" s="34"/>
      <c r="BC336" s="156"/>
      <c r="BD336" s="341"/>
      <c r="BE336" s="210"/>
      <c r="BF336" s="168"/>
      <c r="BG336" s="619"/>
      <c r="BH336" s="620"/>
      <c r="BI336" s="617"/>
      <c r="BJ336" s="642"/>
      <c r="BK336" s="650"/>
      <c r="BL336" s="399"/>
      <c r="BM336" s="652"/>
      <c r="BN336" s="210"/>
      <c r="BO336" s="168"/>
      <c r="BP336" s="619"/>
      <c r="BQ336" s="620"/>
      <c r="BR336" s="671"/>
      <c r="BS336" s="434"/>
      <c r="BT336" s="650"/>
      <c r="BU336" s="399"/>
      <c r="BV336" s="618"/>
      <c r="BW336" s="141"/>
      <c r="BX336" s="311"/>
      <c r="BY336" s="669"/>
    </row>
    <row r="337" spans="1:77" ht="15" customHeight="1" x14ac:dyDescent="0.2">
      <c r="A337" s="56" t="s">
        <v>38</v>
      </c>
      <c r="B337" s="107" t="s">
        <v>3134</v>
      </c>
      <c r="C337" s="637" t="s">
        <v>568</v>
      </c>
      <c r="D337" s="544">
        <v>187.60300000000001</v>
      </c>
      <c r="E337" s="127" t="s">
        <v>2598</v>
      </c>
      <c r="F337" s="667"/>
      <c r="G337" s="64"/>
      <c r="H337" s="61"/>
      <c r="I337" s="266"/>
      <c r="J337" s="62"/>
      <c r="K337" s="121">
        <v>4.1281819500000001</v>
      </c>
      <c r="L337" s="608"/>
      <c r="M337" s="62"/>
      <c r="N337" s="355"/>
      <c r="O337" s="603"/>
      <c r="P337" s="62"/>
      <c r="Q337" s="355">
        <v>4.3837029999999997</v>
      </c>
      <c r="R337" s="603"/>
      <c r="S337" s="62"/>
      <c r="T337" s="355"/>
      <c r="U337" s="62"/>
      <c r="V337" s="62"/>
      <c r="W337" s="89">
        <f>AA337*(1+AB337)</f>
        <v>3.3025455600000004E-3</v>
      </c>
      <c r="X337" s="87">
        <f>AA337*(1+AC337)</f>
        <v>3.3025455600000004E-3</v>
      </c>
      <c r="Y337" s="642">
        <v>2005</v>
      </c>
      <c r="Z337" s="650"/>
      <c r="AA337" s="650">
        <f>K337/1000</f>
        <v>4.1281819500000004E-3</v>
      </c>
      <c r="AB337" s="399">
        <v>-0.2</v>
      </c>
      <c r="AC337" s="618">
        <f>AB337</f>
        <v>-0.2</v>
      </c>
      <c r="AD337" s="168"/>
      <c r="AE337" s="168"/>
      <c r="AF337" s="388"/>
      <c r="AG337" s="389"/>
      <c r="AH337" s="390"/>
      <c r="AI337" s="433"/>
      <c r="AJ337" s="433"/>
      <c r="AK337" s="156"/>
      <c r="AL337" s="284"/>
      <c r="AM337" s="210"/>
      <c r="AN337" s="168"/>
      <c r="AO337" s="171"/>
      <c r="AP337" s="172"/>
      <c r="AQ337" s="272"/>
      <c r="AR337" s="34"/>
      <c r="AS337" s="657"/>
      <c r="AT337" s="395"/>
      <c r="AU337" s="443"/>
      <c r="AV337" s="168"/>
      <c r="AW337" s="168"/>
      <c r="AX337" s="757"/>
      <c r="AY337" s="758"/>
      <c r="AZ337" s="272"/>
      <c r="BA337" s="34"/>
      <c r="BB337" s="756"/>
      <c r="BC337" s="395"/>
      <c r="BD337" s="670"/>
      <c r="BE337" s="210"/>
      <c r="BF337" s="168"/>
      <c r="BG337" s="619"/>
      <c r="BH337" s="620"/>
      <c r="BI337" s="617"/>
      <c r="BJ337" s="642"/>
      <c r="BK337" s="650"/>
      <c r="BL337" s="399"/>
      <c r="BM337" s="652"/>
      <c r="BN337" s="210"/>
      <c r="BO337" s="168"/>
      <c r="BP337" s="615">
        <f t="shared" ref="BP337" si="240">BT337*(1+BV337)</f>
        <v>8.7674059999999986E-4</v>
      </c>
      <c r="BQ337" s="616">
        <f t="shared" ref="BQ337" si="241">BT337*(1+BU337)</f>
        <v>8.7674059999999986E-4</v>
      </c>
      <c r="BR337" s="617">
        <v>2005</v>
      </c>
      <c r="BS337" s="642"/>
      <c r="BT337" s="434">
        <f>+Q337/1000</f>
        <v>4.3837030000000001E-3</v>
      </c>
      <c r="BU337" s="399">
        <v>-0.8</v>
      </c>
      <c r="BV337" s="618">
        <f t="shared" ref="BV337" si="242">BU337</f>
        <v>-0.8</v>
      </c>
      <c r="BW337" s="141"/>
      <c r="BX337" s="311"/>
      <c r="BY337" s="139"/>
    </row>
    <row r="338" spans="1:77" ht="15" customHeight="1" x14ac:dyDescent="0.2">
      <c r="A338" s="56" t="s">
        <v>38</v>
      </c>
      <c r="B338" s="668" t="s">
        <v>477</v>
      </c>
      <c r="C338" s="637" t="s">
        <v>3135</v>
      </c>
      <c r="D338" s="544">
        <v>650.61800000000005</v>
      </c>
      <c r="E338" s="127" t="s">
        <v>387</v>
      </c>
      <c r="F338" s="667"/>
      <c r="G338" s="64"/>
      <c r="H338" s="61"/>
      <c r="I338" s="266"/>
      <c r="J338" s="62"/>
      <c r="K338" s="62"/>
      <c r="L338" s="608"/>
      <c r="M338" s="62"/>
      <c r="N338" s="355"/>
      <c r="O338" s="603">
        <v>2016</v>
      </c>
      <c r="P338" s="62"/>
      <c r="Q338" s="355">
        <v>17.191915000000002</v>
      </c>
      <c r="R338" s="603"/>
      <c r="S338" s="62"/>
      <c r="T338" s="355"/>
      <c r="U338" s="62"/>
      <c r="V338" s="92"/>
      <c r="W338" s="89"/>
      <c r="X338" s="87"/>
      <c r="Y338" s="642"/>
      <c r="Z338" s="434"/>
      <c r="AA338" s="650"/>
      <c r="AB338" s="399"/>
      <c r="AC338" s="618"/>
      <c r="AD338" s="168"/>
      <c r="AE338" s="168"/>
      <c r="AF338" s="388"/>
      <c r="AG338" s="389"/>
      <c r="AH338" s="390"/>
      <c r="AI338" s="433"/>
      <c r="AJ338" s="433"/>
      <c r="AK338" s="156"/>
      <c r="AL338" s="284"/>
      <c r="AM338" s="210"/>
      <c r="AN338" s="168"/>
      <c r="AO338" s="171"/>
      <c r="AP338" s="172"/>
      <c r="AQ338" s="272"/>
      <c r="AR338" s="34"/>
      <c r="AS338" s="657"/>
      <c r="AT338" s="395"/>
      <c r="AU338" s="443"/>
      <c r="AV338" s="168"/>
      <c r="AW338" s="168"/>
      <c r="AX338" s="171">
        <f>BB338*(1+BC338)</f>
        <v>8.4240383500000012E-3</v>
      </c>
      <c r="AY338" s="172">
        <f>BB338*(1+BD338)</f>
        <v>8.4240383500000012E-3</v>
      </c>
      <c r="AZ338" s="272">
        <v>2016</v>
      </c>
      <c r="BA338" s="34"/>
      <c r="BB338" s="657">
        <f>Q338/1000</f>
        <v>1.7191915000000002E-2</v>
      </c>
      <c r="BC338" s="395">
        <v>-0.51</v>
      </c>
      <c r="BD338" s="443">
        <f>BC338</f>
        <v>-0.51</v>
      </c>
      <c r="BE338" s="210"/>
      <c r="BF338" s="168"/>
      <c r="BG338" s="615"/>
      <c r="BH338" s="616"/>
      <c r="BI338" s="617"/>
      <c r="BJ338" s="642"/>
      <c r="BK338" s="434"/>
      <c r="BL338" s="399"/>
      <c r="BM338" s="652"/>
      <c r="BN338" s="210"/>
      <c r="BO338" s="168"/>
      <c r="BP338" s="615">
        <f t="shared" ref="BP338" si="243">BT338*(1+BV338)</f>
        <v>4.9856553500000015E-3</v>
      </c>
      <c r="BQ338" s="616">
        <f t="shared" ref="BQ338" si="244">BT338*(1+BU338)</f>
        <v>4.9856553500000015E-3</v>
      </c>
      <c r="BR338" s="642">
        <v>2016</v>
      </c>
      <c r="BS338" s="434"/>
      <c r="BT338" s="650">
        <f>+Q338/1000</f>
        <v>1.7191915000000002E-2</v>
      </c>
      <c r="BU338" s="399">
        <v>-0.71</v>
      </c>
      <c r="BV338" s="618">
        <f t="shared" ref="BV338" si="245">BU338</f>
        <v>-0.71</v>
      </c>
      <c r="BW338" s="141"/>
      <c r="BX338" s="311"/>
      <c r="BY338" s="669"/>
    </row>
    <row r="339" spans="1:77" ht="15" customHeight="1" x14ac:dyDescent="0.2">
      <c r="A339" s="56" t="s">
        <v>38</v>
      </c>
      <c r="B339" s="668" t="s">
        <v>477</v>
      </c>
      <c r="C339" s="637" t="s">
        <v>570</v>
      </c>
      <c r="D339" s="544">
        <v>692.58699999999999</v>
      </c>
      <c r="E339" s="127" t="s">
        <v>392</v>
      </c>
      <c r="F339" s="667"/>
      <c r="G339" s="64"/>
      <c r="H339" s="61"/>
      <c r="I339" s="266"/>
      <c r="J339" s="62"/>
      <c r="K339" s="121">
        <v>12.252425000000001</v>
      </c>
      <c r="L339" s="608"/>
      <c r="M339" s="62"/>
      <c r="N339" s="355"/>
      <c r="O339" s="603"/>
      <c r="P339" s="62"/>
      <c r="Q339" s="355"/>
      <c r="R339" s="603"/>
      <c r="S339" s="62"/>
      <c r="T339" s="355"/>
      <c r="U339" s="62"/>
      <c r="V339" s="62"/>
      <c r="W339" s="89">
        <f>AA339*(1+AB339)</f>
        <v>9.801940000000002E-3</v>
      </c>
      <c r="X339" s="87">
        <f>AA339*(1+AC339)</f>
        <v>9.801940000000002E-3</v>
      </c>
      <c r="Y339" s="642">
        <v>2005</v>
      </c>
      <c r="Z339" s="650"/>
      <c r="AA339" s="650">
        <f>K339/1000</f>
        <v>1.2252425000000001E-2</v>
      </c>
      <c r="AB339" s="399">
        <v>-0.2</v>
      </c>
      <c r="AC339" s="618">
        <f>AB339</f>
        <v>-0.2</v>
      </c>
      <c r="AD339" s="168"/>
      <c r="AE339" s="168"/>
      <c r="AF339" s="388"/>
      <c r="AG339" s="389"/>
      <c r="AH339" s="390"/>
      <c r="AI339" s="433"/>
      <c r="AJ339" s="433"/>
      <c r="AK339" s="156"/>
      <c r="AL339" s="284"/>
      <c r="AM339" s="210"/>
      <c r="AN339" s="168"/>
      <c r="AO339" s="171"/>
      <c r="AP339" s="172"/>
      <c r="AQ339" s="272"/>
      <c r="AR339" s="34"/>
      <c r="AS339" s="657"/>
      <c r="AT339" s="395"/>
      <c r="AU339" s="443"/>
      <c r="AV339" s="168"/>
      <c r="AW339" s="168"/>
      <c r="AX339" s="757"/>
      <c r="AY339" s="758"/>
      <c r="AZ339" s="272"/>
      <c r="BA339" s="34"/>
      <c r="BB339" s="756"/>
      <c r="BC339" s="395"/>
      <c r="BD339" s="670"/>
      <c r="BE339" s="210"/>
      <c r="BF339" s="168"/>
      <c r="BG339" s="619"/>
      <c r="BH339" s="620"/>
      <c r="BI339" s="617"/>
      <c r="BJ339" s="642"/>
      <c r="BK339" s="650"/>
      <c r="BL339" s="399"/>
      <c r="BM339" s="652"/>
      <c r="BN339" s="210"/>
      <c r="BO339" s="168"/>
      <c r="BP339" s="615">
        <f t="shared" ref="BP339" si="246">BT339*(1+BV339)</f>
        <v>3.6757275000000008E-3</v>
      </c>
      <c r="BQ339" s="616">
        <f t="shared" ref="BQ339" si="247">BT339*(1+BU339)</f>
        <v>3.6757275000000008E-3</v>
      </c>
      <c r="BR339" s="642">
        <v>2016</v>
      </c>
      <c r="BS339" s="434"/>
      <c r="BT339" s="650">
        <f>+K339/1000</f>
        <v>1.2252425000000001E-2</v>
      </c>
      <c r="BU339" s="399">
        <v>-0.7</v>
      </c>
      <c r="BV339" s="618">
        <f t="shared" ref="BV339" si="248">BU339</f>
        <v>-0.7</v>
      </c>
      <c r="BW339" s="141"/>
      <c r="BX339" s="311"/>
      <c r="BY339" s="139"/>
    </row>
    <row r="340" spans="1:77" ht="15" customHeight="1" x14ac:dyDescent="0.2">
      <c r="A340" s="56" t="s">
        <v>38</v>
      </c>
      <c r="B340" s="668" t="s">
        <v>3139</v>
      </c>
      <c r="C340" s="637" t="s">
        <v>382</v>
      </c>
      <c r="D340" s="544">
        <v>1265.9739999999999</v>
      </c>
      <c r="E340" s="127" t="s">
        <v>2592</v>
      </c>
      <c r="F340" s="667"/>
      <c r="G340" s="64"/>
      <c r="H340" s="656"/>
      <c r="I340" s="266"/>
      <c r="J340" s="62"/>
      <c r="K340" s="62"/>
      <c r="L340" s="608"/>
      <c r="M340" s="62"/>
      <c r="N340" s="355">
        <v>14.5</v>
      </c>
      <c r="O340" s="603">
        <v>2013</v>
      </c>
      <c r="P340" s="62"/>
      <c r="Q340" s="355">
        <v>13.001830999999999</v>
      </c>
      <c r="R340" s="603"/>
      <c r="S340" s="62"/>
      <c r="T340" s="355"/>
      <c r="U340" s="62"/>
      <c r="V340" s="62"/>
      <c r="W340" s="89">
        <f>AA340*(1+AB340)</f>
        <v>1.1310000000000001E-2</v>
      </c>
      <c r="X340" s="87">
        <f>AA340*(1+AC340)</f>
        <v>1.1310000000000001E-2</v>
      </c>
      <c r="Y340" s="642">
        <v>2010</v>
      </c>
      <c r="Z340" s="434"/>
      <c r="AA340" s="650">
        <f>+N340/1000</f>
        <v>1.4500000000000001E-2</v>
      </c>
      <c r="AB340" s="399">
        <v>-0.22</v>
      </c>
      <c r="AC340" s="618">
        <f>AB340</f>
        <v>-0.22</v>
      </c>
      <c r="AD340" s="168"/>
      <c r="AE340" s="168"/>
      <c r="AF340" s="619"/>
      <c r="AG340" s="620"/>
      <c r="AH340" s="617"/>
      <c r="AI340" s="650"/>
      <c r="AJ340" s="650"/>
      <c r="AK340" s="399"/>
      <c r="AL340" s="618"/>
      <c r="AM340" s="210"/>
      <c r="AN340" s="168"/>
      <c r="AO340" s="171">
        <f>AS340*(1+AT340)</f>
        <v>7.9750000000000012E-3</v>
      </c>
      <c r="AP340" s="172">
        <f>AS340*(1+AU340)</f>
        <v>7.9750000000000012E-3</v>
      </c>
      <c r="AQ340" s="272">
        <v>2010</v>
      </c>
      <c r="AR340" s="34"/>
      <c r="AS340" s="657">
        <f>N340/1000</f>
        <v>1.4500000000000001E-2</v>
      </c>
      <c r="AT340" s="395">
        <v>-0.45</v>
      </c>
      <c r="AU340" s="443">
        <f>AT340</f>
        <v>-0.45</v>
      </c>
      <c r="AV340" s="168"/>
      <c r="AW340" s="168"/>
      <c r="AX340" s="171"/>
      <c r="AY340" s="172"/>
      <c r="AZ340" s="272"/>
      <c r="BA340" s="34"/>
      <c r="BB340" s="657"/>
      <c r="BC340" s="395"/>
      <c r="BD340" s="670"/>
      <c r="BE340" s="210"/>
      <c r="BF340" s="168"/>
      <c r="BG340" s="619">
        <f>BK340*(1+BL340)</f>
        <v>4.6399999999999992E-3</v>
      </c>
      <c r="BH340" s="620">
        <f>BK340*(1+BM340)</f>
        <v>4.6399999999999992E-3</v>
      </c>
      <c r="BI340" s="617">
        <v>2010</v>
      </c>
      <c r="BJ340" s="642"/>
      <c r="BK340" s="650">
        <f>+N340/1000</f>
        <v>1.4500000000000001E-2</v>
      </c>
      <c r="BL340" s="399">
        <v>-0.68</v>
      </c>
      <c r="BM340" s="652">
        <f>BL340</f>
        <v>-0.68</v>
      </c>
      <c r="BN340" s="210"/>
      <c r="BO340" s="168"/>
      <c r="BP340" s="615">
        <f>BT340*(1+BV340)</f>
        <v>1.4499999999999997E-3</v>
      </c>
      <c r="BQ340" s="616">
        <f>BT340*(1+BU340)</f>
        <v>1.4499999999999997E-3</v>
      </c>
      <c r="BR340" s="642">
        <v>2010</v>
      </c>
      <c r="BS340" s="434"/>
      <c r="BT340" s="650">
        <f>+N340/1000</f>
        <v>1.4500000000000001E-2</v>
      </c>
      <c r="BU340" s="399">
        <v>-0.9</v>
      </c>
      <c r="BV340" s="618">
        <f>BU340</f>
        <v>-0.9</v>
      </c>
      <c r="BW340" s="141"/>
      <c r="BX340" s="311"/>
      <c r="BY340" s="669" t="s">
        <v>383</v>
      </c>
    </row>
    <row r="341" spans="1:77" s="14" customFormat="1" ht="15.75" customHeight="1" x14ac:dyDescent="0.2">
      <c r="A341" s="56" t="s">
        <v>38</v>
      </c>
      <c r="B341" s="668" t="s">
        <v>477</v>
      </c>
      <c r="C341" s="924" t="s">
        <v>2309</v>
      </c>
      <c r="D341" s="925">
        <v>1547.2529999999999</v>
      </c>
      <c r="E341" s="127" t="s">
        <v>2310</v>
      </c>
      <c r="F341" s="667"/>
      <c r="G341" s="64"/>
      <c r="H341" s="121"/>
      <c r="I341" s="608"/>
      <c r="J341" s="62"/>
      <c r="K341" s="61">
        <v>16.089575</v>
      </c>
      <c r="L341" s="1054"/>
      <c r="M341" s="62"/>
      <c r="N341" s="355"/>
      <c r="O341" s="603">
        <v>2013</v>
      </c>
      <c r="P341" s="62"/>
      <c r="Q341" s="355">
        <v>16.498864000000001</v>
      </c>
      <c r="R341" s="603">
        <v>2016</v>
      </c>
      <c r="S341" s="62"/>
      <c r="T341" s="355">
        <v>17.350376000000001</v>
      </c>
      <c r="U341" s="62"/>
      <c r="V341" s="62"/>
      <c r="W341" s="89"/>
      <c r="X341" s="87"/>
      <c r="Y341" s="642"/>
      <c r="Z341" s="650"/>
      <c r="AA341" s="650"/>
      <c r="AB341" s="399"/>
      <c r="AC341" s="618"/>
      <c r="AD341" s="168"/>
      <c r="AE341" s="168"/>
      <c r="AF341" s="619"/>
      <c r="AG341" s="620"/>
      <c r="AH341" s="617"/>
      <c r="AI341" s="650"/>
      <c r="AJ341" s="650"/>
      <c r="AK341" s="399"/>
      <c r="AL341" s="618"/>
      <c r="AM341" s="210"/>
      <c r="AN341" s="168"/>
      <c r="AO341" s="171">
        <f>AS341*(1+AT341)</f>
        <v>1.0236721840000003E-2</v>
      </c>
      <c r="AP341" s="172">
        <f>AS341*(1+AU341)</f>
        <v>1.0236721840000003E-2</v>
      </c>
      <c r="AQ341" s="272">
        <v>2010</v>
      </c>
      <c r="AR341" s="34"/>
      <c r="AS341" s="657">
        <f>T341/1000</f>
        <v>1.7350376000000001E-2</v>
      </c>
      <c r="AT341" s="395">
        <v>-0.41</v>
      </c>
      <c r="AU341" s="443">
        <f>AT341</f>
        <v>-0.41</v>
      </c>
      <c r="AV341" s="168"/>
      <c r="AW341" s="168"/>
      <c r="AX341" s="757"/>
      <c r="AY341" s="758"/>
      <c r="AZ341" s="272"/>
      <c r="BA341" s="34"/>
      <c r="BB341" s="756"/>
      <c r="BC341" s="395"/>
      <c r="BD341" s="670"/>
      <c r="BE341" s="210"/>
      <c r="BF341" s="168"/>
      <c r="BG341" s="615"/>
      <c r="BH341" s="616"/>
      <c r="BI341" s="617"/>
      <c r="BJ341" s="642"/>
      <c r="BK341" s="434"/>
      <c r="BL341" s="399"/>
      <c r="BM341" s="652"/>
      <c r="BN341" s="210"/>
      <c r="BO341" s="168"/>
      <c r="BP341" s="615">
        <f t="shared" ref="BP341" si="249">BT341*(1+BV341)</f>
        <v>8.249432000000001E-3</v>
      </c>
      <c r="BQ341" s="616">
        <f t="shared" ref="BQ341" si="250">BT341*(1+BU341)</f>
        <v>8.249432000000001E-3</v>
      </c>
      <c r="BR341" s="617">
        <v>2005</v>
      </c>
      <c r="BS341" s="642"/>
      <c r="BT341" s="434">
        <f>+Q341/1000</f>
        <v>1.6498864000000002E-2</v>
      </c>
      <c r="BU341" s="399">
        <v>-0.5</v>
      </c>
      <c r="BV341" s="618">
        <f t="shared" ref="BV341" si="251">BU341</f>
        <v>-0.5</v>
      </c>
      <c r="BW341" s="429"/>
      <c r="BX341" s="926"/>
      <c r="BY341" s="935"/>
    </row>
    <row r="342" spans="1:77" s="14" customFormat="1" ht="15.75" customHeight="1" x14ac:dyDescent="0.2">
      <c r="A342" s="56" t="s">
        <v>38</v>
      </c>
      <c r="B342" s="668" t="s">
        <v>477</v>
      </c>
      <c r="C342" s="924" t="s">
        <v>3230</v>
      </c>
      <c r="D342" s="925">
        <v>2343.3649999999998</v>
      </c>
      <c r="E342" s="127" t="s">
        <v>387</v>
      </c>
      <c r="F342" s="667"/>
      <c r="G342" s="64"/>
      <c r="H342" s="121"/>
      <c r="I342" s="608"/>
      <c r="J342" s="62"/>
      <c r="K342" s="62"/>
      <c r="L342" s="608"/>
      <c r="M342" s="62"/>
      <c r="N342" s="355"/>
      <c r="O342" s="603">
        <v>2014</v>
      </c>
      <c r="P342" s="62"/>
      <c r="Q342" s="355">
        <v>33.414133999999997</v>
      </c>
      <c r="R342" s="603"/>
      <c r="S342" s="62"/>
      <c r="T342" s="355"/>
      <c r="U342" s="62"/>
      <c r="V342" s="62"/>
      <c r="W342" s="89"/>
      <c r="X342" s="87"/>
      <c r="Y342" s="642"/>
      <c r="Z342" s="650"/>
      <c r="AA342" s="650"/>
      <c r="AB342" s="399"/>
      <c r="AC342" s="618"/>
      <c r="AD342" s="168"/>
      <c r="AE342" s="168"/>
      <c r="AF342" s="619"/>
      <c r="AG342" s="620"/>
      <c r="AH342" s="617"/>
      <c r="AI342" s="650"/>
      <c r="AJ342" s="650"/>
      <c r="AK342" s="399"/>
      <c r="AL342" s="618"/>
      <c r="AM342" s="210"/>
      <c r="AN342" s="168"/>
      <c r="AO342" s="171">
        <f>AS342*(1+AT342)</f>
        <v>2.0048480399999999E-2</v>
      </c>
      <c r="AP342" s="172">
        <f>AS342*(1+AU342)</f>
        <v>2.0048480399999999E-2</v>
      </c>
      <c r="AQ342" s="272">
        <v>2014</v>
      </c>
      <c r="AR342" s="34"/>
      <c r="AS342" s="657">
        <f>Q342/1000</f>
        <v>3.3414133999999998E-2</v>
      </c>
      <c r="AT342" s="395">
        <v>-0.4</v>
      </c>
      <c r="AU342" s="443">
        <f>AT342</f>
        <v>-0.4</v>
      </c>
      <c r="AV342" s="168"/>
      <c r="AW342" s="168"/>
      <c r="AX342" s="757"/>
      <c r="AY342" s="758"/>
      <c r="AZ342" s="272"/>
      <c r="BA342" s="34"/>
      <c r="BB342" s="756"/>
      <c r="BC342" s="395"/>
      <c r="BD342" s="670"/>
      <c r="BE342" s="210"/>
      <c r="BF342" s="168"/>
      <c r="BG342" s="615">
        <f>BK342*(1+BL342)</f>
        <v>8.3535334999999995E-3</v>
      </c>
      <c r="BH342" s="616">
        <f>BK342*(1+BM342)</f>
        <v>8.3535334999999995E-3</v>
      </c>
      <c r="BI342" s="617">
        <v>2016</v>
      </c>
      <c r="BJ342" s="642"/>
      <c r="BK342" s="434">
        <f>+Q342/1000</f>
        <v>3.3414133999999998E-2</v>
      </c>
      <c r="BL342" s="399">
        <v>-0.75</v>
      </c>
      <c r="BM342" s="652">
        <f>BL342</f>
        <v>-0.75</v>
      </c>
      <c r="BN342" s="210"/>
      <c r="BO342" s="168"/>
      <c r="BP342" s="615">
        <f t="shared" ref="BP342" si="252">BT342*(1+BV342)</f>
        <v>0</v>
      </c>
      <c r="BQ342" s="616">
        <f t="shared" ref="BQ342" si="253">BT342*(1+BU342)</f>
        <v>0</v>
      </c>
      <c r="BR342" s="617">
        <v>2005</v>
      </c>
      <c r="BS342" s="642"/>
      <c r="BT342" s="434">
        <f>+Q342/1000</f>
        <v>3.3414133999999998E-2</v>
      </c>
      <c r="BU342" s="399">
        <v>-1</v>
      </c>
      <c r="BV342" s="618">
        <f t="shared" ref="BV342" si="254">BU342</f>
        <v>-1</v>
      </c>
      <c r="BW342" s="429"/>
      <c r="BX342" s="926"/>
      <c r="BY342" s="935"/>
    </row>
    <row r="343" spans="1:77" s="14" customFormat="1" ht="15.75" customHeight="1" x14ac:dyDescent="0.2">
      <c r="A343" s="56" t="s">
        <v>38</v>
      </c>
      <c r="B343" s="56" t="s">
        <v>3136</v>
      </c>
      <c r="C343" s="924" t="s">
        <v>2156</v>
      </c>
      <c r="D343" s="925">
        <v>200.59100000000001</v>
      </c>
      <c r="E343" s="127" t="s">
        <v>2223</v>
      </c>
      <c r="F343" s="667"/>
      <c r="G343" s="64"/>
      <c r="H343" s="656"/>
      <c r="I343" s="266"/>
      <c r="J343" s="62"/>
      <c r="K343" s="121"/>
      <c r="L343" s="608">
        <v>2009</v>
      </c>
      <c r="M343" s="62"/>
      <c r="N343" s="355">
        <v>4.9439039999999999</v>
      </c>
      <c r="O343" s="603"/>
      <c r="P343" s="62"/>
      <c r="Q343" s="355">
        <v>4.7523860000000004</v>
      </c>
      <c r="R343" s="603"/>
      <c r="S343" s="62"/>
      <c r="T343" s="355"/>
      <c r="U343" s="62"/>
      <c r="V343" s="62"/>
      <c r="W343" s="89">
        <f t="shared" ref="W343" si="255">AA343*(1+AB343)</f>
        <v>3.9551231999999997E-3</v>
      </c>
      <c r="X343" s="87">
        <f t="shared" ref="X343" si="256">AA343*(1+AC343)</f>
        <v>3.9551231999999997E-3</v>
      </c>
      <c r="Y343" s="642">
        <v>2009</v>
      </c>
      <c r="Z343" s="650"/>
      <c r="AA343" s="650">
        <f>N343/1000</f>
        <v>4.9439039999999998E-3</v>
      </c>
      <c r="AB343" s="399">
        <v>-0.2</v>
      </c>
      <c r="AC343" s="618">
        <f t="shared" ref="AC343" si="257">AB343</f>
        <v>-0.2</v>
      </c>
      <c r="AD343" s="168"/>
      <c r="AE343" s="168"/>
      <c r="AF343" s="619"/>
      <c r="AG343" s="620"/>
      <c r="AH343" s="617"/>
      <c r="AI343" s="650"/>
      <c r="AJ343" s="650"/>
      <c r="AK343" s="399"/>
      <c r="AL343" s="618"/>
      <c r="AM343" s="210"/>
      <c r="AN343" s="168"/>
      <c r="AO343" s="171">
        <f>AS343*(1+AT343)</f>
        <v>2.4719519999999999E-3</v>
      </c>
      <c r="AP343" s="172">
        <f>AS343*(1+AU343)</f>
        <v>2.4719519999999999E-3</v>
      </c>
      <c r="AQ343" s="272">
        <v>2009</v>
      </c>
      <c r="AR343" s="34"/>
      <c r="AS343" s="657">
        <f>N343/1000</f>
        <v>4.9439039999999998E-3</v>
      </c>
      <c r="AT343" s="395">
        <v>-0.5</v>
      </c>
      <c r="AU343" s="443">
        <f>AT343</f>
        <v>-0.5</v>
      </c>
      <c r="AV343" s="168"/>
      <c r="AW343" s="168"/>
      <c r="AX343" s="757"/>
      <c r="AY343" s="758"/>
      <c r="AZ343" s="272"/>
      <c r="BA343" s="34"/>
      <c r="BB343" s="756"/>
      <c r="BC343" s="395"/>
      <c r="BD343" s="443"/>
      <c r="BE343" s="210"/>
      <c r="BF343" s="168"/>
      <c r="BG343" s="615">
        <f>BK343*(1+BL343)</f>
        <v>9.8878079999999971E-4</v>
      </c>
      <c r="BH343" s="616">
        <f>BK343*(1+BM343)</f>
        <v>9.8878079999999971E-4</v>
      </c>
      <c r="BI343" s="617">
        <v>2009</v>
      </c>
      <c r="BJ343" s="642"/>
      <c r="BK343" s="434">
        <f>N343/1000</f>
        <v>4.9439039999999998E-3</v>
      </c>
      <c r="BL343" s="399">
        <v>-0.8</v>
      </c>
      <c r="BM343" s="652">
        <f>BL343</f>
        <v>-0.8</v>
      </c>
      <c r="BN343" s="210"/>
      <c r="BO343" s="168"/>
      <c r="BP343" s="619">
        <f t="shared" ref="BP343" si="258">BT343*(1+BV343)</f>
        <v>9.8878079999999971E-4</v>
      </c>
      <c r="BQ343" s="620">
        <f t="shared" ref="BQ343" si="259">BT343*(1+BU343)</f>
        <v>9.8878079999999971E-4</v>
      </c>
      <c r="BR343" s="617">
        <v>2009</v>
      </c>
      <c r="BS343" s="642"/>
      <c r="BT343" s="650">
        <f>+N343/1000</f>
        <v>4.9439039999999998E-3</v>
      </c>
      <c r="BU343" s="399">
        <v>-0.8</v>
      </c>
      <c r="BV343" s="618">
        <f t="shared" ref="BV343" si="260">BU343</f>
        <v>-0.8</v>
      </c>
      <c r="BW343" s="429"/>
      <c r="BX343" s="926" t="s">
        <v>2177</v>
      </c>
      <c r="BY343" s="935" t="s">
        <v>2178</v>
      </c>
    </row>
    <row r="344" spans="1:77" ht="15" customHeight="1" x14ac:dyDescent="0.2">
      <c r="A344" s="56" t="s">
        <v>38</v>
      </c>
      <c r="B344" s="668" t="s">
        <v>477</v>
      </c>
      <c r="C344" s="637" t="s">
        <v>2827</v>
      </c>
      <c r="D344" s="544">
        <v>5.2530000000000001</v>
      </c>
      <c r="E344" s="127" t="s">
        <v>387</v>
      </c>
      <c r="F344" s="667"/>
      <c r="G344" s="64"/>
      <c r="H344" s="61"/>
      <c r="I344" s="266"/>
      <c r="J344" s="62"/>
      <c r="K344" s="121"/>
      <c r="L344" s="608"/>
      <c r="M344" s="62"/>
      <c r="N344" s="355"/>
      <c r="O344" s="603">
        <v>2016</v>
      </c>
      <c r="P344" s="62"/>
      <c r="Q344" s="355">
        <v>0.22894400000000001</v>
      </c>
      <c r="R344" s="603">
        <v>2016</v>
      </c>
      <c r="S344" s="62"/>
      <c r="T344" s="355">
        <v>0.22894400000000001</v>
      </c>
      <c r="U344" s="62"/>
      <c r="V344" s="62"/>
      <c r="W344" s="89"/>
      <c r="X344" s="87"/>
      <c r="Y344" s="642"/>
      <c r="Z344" s="650"/>
      <c r="AA344" s="650"/>
      <c r="AB344" s="399"/>
      <c r="AC344" s="618"/>
      <c r="AD344" s="168"/>
      <c r="AE344" s="168"/>
      <c r="AF344" s="388"/>
      <c r="AG344" s="389"/>
      <c r="AH344" s="390"/>
      <c r="AI344" s="433"/>
      <c r="AJ344" s="433"/>
      <c r="AK344" s="156"/>
      <c r="AL344" s="284"/>
      <c r="AM344" s="210"/>
      <c r="AN344" s="168"/>
      <c r="AO344" s="171"/>
      <c r="AP344" s="172"/>
      <c r="AQ344" s="272"/>
      <c r="AR344" s="34"/>
      <c r="AS344" s="657"/>
      <c r="AT344" s="395"/>
      <c r="AU344" s="443"/>
      <c r="AV344" s="168"/>
      <c r="AW344" s="168"/>
      <c r="AX344" s="757"/>
      <c r="AY344" s="758"/>
      <c r="AZ344" s="272"/>
      <c r="BA344" s="34"/>
      <c r="BB344" s="756"/>
      <c r="BC344" s="395"/>
      <c r="BD344" s="670"/>
      <c r="BE344" s="210"/>
      <c r="BF344" s="168"/>
      <c r="BG344" s="697">
        <f>BK344*(1+BL344)</f>
        <v>4.5788799999999991E-5</v>
      </c>
      <c r="BH344" s="698">
        <f>BK344*(1+BM344)</f>
        <v>4.5788799999999991E-5</v>
      </c>
      <c r="BI344" s="617">
        <v>2016</v>
      </c>
      <c r="BJ344" s="642"/>
      <c r="BK344" s="673">
        <f>Q344/1000</f>
        <v>2.28944E-4</v>
      </c>
      <c r="BL344" s="399">
        <v>-0.8</v>
      </c>
      <c r="BM344" s="652">
        <f>BL344</f>
        <v>-0.8</v>
      </c>
      <c r="BN344" s="210"/>
      <c r="BO344" s="168"/>
      <c r="BP344" s="619"/>
      <c r="BQ344" s="620"/>
      <c r="BR344" s="617"/>
      <c r="BS344" s="642"/>
      <c r="BT344" s="650"/>
      <c r="BU344" s="399"/>
      <c r="BV344" s="618"/>
      <c r="BW344" s="141"/>
      <c r="BX344" s="311"/>
      <c r="BY344" s="139"/>
    </row>
    <row r="345" spans="1:77" ht="15" customHeight="1" x14ac:dyDescent="0.2">
      <c r="A345" s="56" t="s">
        <v>38</v>
      </c>
      <c r="B345" s="668" t="s">
        <v>477</v>
      </c>
      <c r="C345" s="637" t="s">
        <v>3147</v>
      </c>
      <c r="D345" s="544">
        <v>7.8</v>
      </c>
      <c r="E345" s="127" t="s">
        <v>387</v>
      </c>
      <c r="F345" s="667"/>
      <c r="G345" s="64"/>
      <c r="H345" s="61"/>
      <c r="I345" s="266"/>
      <c r="J345" s="62"/>
      <c r="K345" s="121"/>
      <c r="L345" s="608"/>
      <c r="M345" s="62"/>
      <c r="N345" s="355"/>
      <c r="O345" s="603"/>
      <c r="P345" s="62"/>
      <c r="Q345" s="781">
        <v>1.959E-2</v>
      </c>
      <c r="R345" s="603"/>
      <c r="S345" s="62"/>
      <c r="T345" s="781"/>
      <c r="U345" s="62"/>
      <c r="V345" s="62"/>
      <c r="W345" s="89"/>
      <c r="X345" s="87"/>
      <c r="Y345" s="642"/>
      <c r="Z345" s="650"/>
      <c r="AA345" s="650"/>
      <c r="AB345" s="399"/>
      <c r="AC345" s="618"/>
      <c r="AD345" s="168"/>
      <c r="AE345" s="168"/>
      <c r="AF345" s="388"/>
      <c r="AG345" s="389"/>
      <c r="AH345" s="390"/>
      <c r="AI345" s="433"/>
      <c r="AJ345" s="433"/>
      <c r="AK345" s="156"/>
      <c r="AL345" s="284"/>
      <c r="AM345" s="210"/>
      <c r="AN345" s="168"/>
      <c r="AO345" s="171">
        <f>AS345*(1+AT345)</f>
        <v>0</v>
      </c>
      <c r="AP345" s="172">
        <f>AS345*(1+AU345)</f>
        <v>0</v>
      </c>
      <c r="AQ345" s="272">
        <v>2015</v>
      </c>
      <c r="AR345" s="34"/>
      <c r="AS345" s="756">
        <f>+Q345/1000</f>
        <v>1.959E-5</v>
      </c>
      <c r="AT345" s="395">
        <v>-1</v>
      </c>
      <c r="AU345" s="443">
        <f>AT345</f>
        <v>-1</v>
      </c>
      <c r="AV345" s="168"/>
      <c r="AW345" s="168"/>
      <c r="AX345" s="757"/>
      <c r="AY345" s="758"/>
      <c r="AZ345" s="272"/>
      <c r="BA345" s="34"/>
      <c r="BB345" s="756"/>
      <c r="BC345" s="395"/>
      <c r="BD345" s="670"/>
      <c r="BE345" s="210"/>
      <c r="BF345" s="168"/>
      <c r="BG345" s="619"/>
      <c r="BH345" s="620"/>
      <c r="BI345" s="617"/>
      <c r="BJ345" s="642"/>
      <c r="BK345" s="650"/>
      <c r="BL345" s="399"/>
      <c r="BM345" s="652"/>
      <c r="BN345" s="210"/>
      <c r="BO345" s="168"/>
      <c r="BP345" s="619"/>
      <c r="BQ345" s="620"/>
      <c r="BR345" s="617"/>
      <c r="BS345" s="642"/>
      <c r="BT345" s="650"/>
      <c r="BU345" s="399"/>
      <c r="BV345" s="618"/>
      <c r="BW345" s="141"/>
      <c r="BX345" s="311"/>
      <c r="BY345" s="139"/>
    </row>
    <row r="346" spans="1:77" ht="15" customHeight="1" x14ac:dyDescent="0.2">
      <c r="A346" s="56" t="s">
        <v>38</v>
      </c>
      <c r="B346" s="668" t="s">
        <v>477</v>
      </c>
      <c r="C346" s="637" t="s">
        <v>3245</v>
      </c>
      <c r="D346" s="544">
        <v>42.145000000000003</v>
      </c>
      <c r="E346" s="127" t="s">
        <v>387</v>
      </c>
      <c r="F346" s="667"/>
      <c r="G346" s="64"/>
      <c r="H346" s="61"/>
      <c r="I346" s="266"/>
      <c r="J346" s="62"/>
      <c r="K346" s="121"/>
      <c r="L346" s="608"/>
      <c r="M346" s="62"/>
      <c r="N346" s="355"/>
      <c r="O346" s="603">
        <v>2014</v>
      </c>
      <c r="P346" s="62"/>
      <c r="Q346" s="781">
        <v>1.36</v>
      </c>
      <c r="R346" s="603"/>
      <c r="S346" s="62"/>
      <c r="T346" s="781"/>
      <c r="U346" s="62"/>
      <c r="V346" s="62"/>
      <c r="W346" s="89"/>
      <c r="X346" s="87"/>
      <c r="Y346" s="642"/>
      <c r="Z346" s="650"/>
      <c r="AA346" s="650"/>
      <c r="AB346" s="399"/>
      <c r="AC346" s="618"/>
      <c r="AD346" s="168"/>
      <c r="AE346" s="168"/>
      <c r="AF346" s="388"/>
      <c r="AG346" s="389"/>
      <c r="AH346" s="390"/>
      <c r="AI346" s="433"/>
      <c r="AJ346" s="433"/>
      <c r="AK346" s="156"/>
      <c r="AL346" s="284"/>
      <c r="AM346" s="210"/>
      <c r="AN346" s="168"/>
      <c r="AO346" s="171"/>
      <c r="AP346" s="172"/>
      <c r="AQ346" s="272"/>
      <c r="AR346" s="34"/>
      <c r="AS346" s="756"/>
      <c r="AT346" s="395"/>
      <c r="AU346" s="443"/>
      <c r="AV346" s="168"/>
      <c r="AW346" s="168"/>
      <c r="AX346" s="757"/>
      <c r="AY346" s="758"/>
      <c r="AZ346" s="272"/>
      <c r="BA346" s="34"/>
      <c r="BB346" s="756"/>
      <c r="BC346" s="395"/>
      <c r="BD346" s="670"/>
      <c r="BE346" s="210"/>
      <c r="BF346" s="168"/>
      <c r="BG346" s="619"/>
      <c r="BH346" s="620"/>
      <c r="BI346" s="617"/>
      <c r="BJ346" s="642"/>
      <c r="BK346" s="650"/>
      <c r="BL346" s="399"/>
      <c r="BM346" s="652"/>
      <c r="BN346" s="210"/>
      <c r="BO346" s="168"/>
      <c r="BP346" s="619">
        <f t="shared" ref="BP346" si="261">BT346*(1+BV346)</f>
        <v>2.7199999999999994E-4</v>
      </c>
      <c r="BQ346" s="620">
        <f t="shared" ref="BQ346" si="262">BT346*(1+BU346)</f>
        <v>2.7199999999999994E-4</v>
      </c>
      <c r="BR346" s="617">
        <v>2009</v>
      </c>
      <c r="BS346" s="642"/>
      <c r="BT346" s="650">
        <f>+Q346/1000</f>
        <v>1.3600000000000001E-3</v>
      </c>
      <c r="BU346" s="399">
        <v>-0.8</v>
      </c>
      <c r="BV346" s="618">
        <f t="shared" ref="BV346" si="263">BU346</f>
        <v>-0.8</v>
      </c>
      <c r="BW346" s="141"/>
      <c r="BX346" s="311"/>
      <c r="BY346" s="139"/>
    </row>
    <row r="347" spans="1:77" ht="15" customHeight="1" x14ac:dyDescent="0.2">
      <c r="A347" s="56" t="s">
        <v>38</v>
      </c>
      <c r="B347" s="668" t="s">
        <v>377</v>
      </c>
      <c r="C347" s="637"/>
      <c r="D347" s="544">
        <v>626</v>
      </c>
      <c r="E347" s="127" t="s">
        <v>2564</v>
      </c>
      <c r="F347" s="667"/>
      <c r="G347" s="64"/>
      <c r="H347" s="656">
        <v>8.11</v>
      </c>
      <c r="I347" s="266"/>
      <c r="J347" s="62"/>
      <c r="K347" s="62">
        <v>9.34</v>
      </c>
      <c r="L347" s="608"/>
      <c r="M347" s="62"/>
      <c r="N347" s="355">
        <v>8.2690000000000001</v>
      </c>
      <c r="O347" s="603">
        <v>2016</v>
      </c>
      <c r="P347" s="62"/>
      <c r="Q347" s="355">
        <f>N347</f>
        <v>8.2690000000000001</v>
      </c>
      <c r="R347" s="603">
        <v>2016</v>
      </c>
      <c r="S347" s="62"/>
      <c r="T347" s="355">
        <f>Q347</f>
        <v>8.2690000000000001</v>
      </c>
      <c r="U347" s="62"/>
      <c r="V347" s="62"/>
      <c r="W347" s="89">
        <f t="shared" ref="W347:W360" si="264">AA347*(1+AB347)</f>
        <v>7.2989999999999991E-3</v>
      </c>
      <c r="X347" s="87">
        <f t="shared" ref="X347:X360" si="265">AA347*(1+AC347)</f>
        <v>7.2989999999999991E-3</v>
      </c>
      <c r="Y347" s="642">
        <v>1990</v>
      </c>
      <c r="Z347" s="434"/>
      <c r="AA347" s="650">
        <f>+H347/1000</f>
        <v>8.1099999999999992E-3</v>
      </c>
      <c r="AB347" s="399">
        <v>-0.1</v>
      </c>
      <c r="AC347" s="618">
        <f t="shared" ref="AC347:AC360" si="266">AB347</f>
        <v>-0.1</v>
      </c>
      <c r="AD347" s="168"/>
      <c r="AE347" s="168"/>
      <c r="AF347" s="619">
        <f>+AJ347*(1+AK347)</f>
        <v>6.9115999999999995E-3</v>
      </c>
      <c r="AG347" s="620">
        <f>+AJ347*(1+AL347)</f>
        <v>6.9115999999999995E-3</v>
      </c>
      <c r="AH347" s="617">
        <v>2005</v>
      </c>
      <c r="AI347" s="650"/>
      <c r="AJ347" s="650">
        <f>+K347/1000</f>
        <v>9.3399999999999993E-3</v>
      </c>
      <c r="AK347" s="399">
        <v>-0.26</v>
      </c>
      <c r="AL347" s="618">
        <f>AK347</f>
        <v>-0.26</v>
      </c>
      <c r="AM347" s="210"/>
      <c r="AN347" s="168"/>
      <c r="AO347" s="171">
        <f>AS347*(1+AT347)</f>
        <v>4.8659999999999997E-3</v>
      </c>
      <c r="AP347" s="172">
        <f>AS347*(1+AU347)</f>
        <v>4.8659999999999997E-3</v>
      </c>
      <c r="AQ347" s="272">
        <v>1990</v>
      </c>
      <c r="AR347" s="34"/>
      <c r="AS347" s="657">
        <f>H347/1000</f>
        <v>8.1099999999999992E-3</v>
      </c>
      <c r="AT347" s="395">
        <v>-0.4</v>
      </c>
      <c r="AU347" s="443">
        <f>AT347</f>
        <v>-0.4</v>
      </c>
      <c r="AV347" s="168"/>
      <c r="AW347" s="168"/>
      <c r="AX347" s="170"/>
      <c r="AY347" s="86"/>
      <c r="AZ347" s="272"/>
      <c r="BA347" s="51"/>
      <c r="BB347" s="34"/>
      <c r="BC347" s="156"/>
      <c r="BD347" s="341"/>
      <c r="BE347" s="210"/>
      <c r="BF347" s="168"/>
      <c r="BG347" s="615"/>
      <c r="BH347" s="616"/>
      <c r="BI347" s="617"/>
      <c r="BJ347" s="642"/>
      <c r="BK347" s="434"/>
      <c r="BL347" s="399"/>
      <c r="BM347" s="652"/>
      <c r="BN347" s="210"/>
      <c r="BO347" s="168"/>
      <c r="BP347" s="615">
        <f t="shared" si="214"/>
        <v>1.2165000000000001E-3</v>
      </c>
      <c r="BQ347" s="616">
        <f t="shared" si="215"/>
        <v>2.0274999999999998E-3</v>
      </c>
      <c r="BR347" s="642">
        <v>1990</v>
      </c>
      <c r="BS347" s="434"/>
      <c r="BT347" s="650">
        <f>+H347/1000</f>
        <v>8.1099999999999992E-3</v>
      </c>
      <c r="BU347" s="399">
        <v>-0.75</v>
      </c>
      <c r="BV347" s="618">
        <v>-0.85</v>
      </c>
      <c r="BW347" s="141"/>
      <c r="BX347" s="311"/>
      <c r="BY347" s="669" t="s">
        <v>378</v>
      </c>
    </row>
    <row r="348" spans="1:77" ht="15" customHeight="1" x14ac:dyDescent="0.2">
      <c r="A348" s="56" t="s">
        <v>38</v>
      </c>
      <c r="B348" s="668" t="s">
        <v>2892</v>
      </c>
      <c r="C348" s="637"/>
      <c r="D348" s="544"/>
      <c r="E348" s="127" t="s">
        <v>2891</v>
      </c>
      <c r="F348" s="667"/>
      <c r="G348" s="64"/>
      <c r="H348" s="656"/>
      <c r="I348" s="266"/>
      <c r="J348" s="62"/>
      <c r="K348" s="62">
        <v>125</v>
      </c>
      <c r="L348" s="608"/>
      <c r="M348" s="62"/>
      <c r="N348" s="355"/>
      <c r="O348" s="603"/>
      <c r="P348" s="62"/>
      <c r="Q348" s="355"/>
      <c r="R348" s="603"/>
      <c r="S348" s="62"/>
      <c r="T348" s="355"/>
      <c r="U348" s="62"/>
      <c r="V348" s="62"/>
      <c r="W348" s="89"/>
      <c r="X348" s="87"/>
      <c r="Y348" s="642"/>
      <c r="Z348" s="434"/>
      <c r="AA348" s="650"/>
      <c r="AB348" s="399"/>
      <c r="AC348" s="618"/>
      <c r="AD348" s="168"/>
      <c r="AE348" s="168"/>
      <c r="AF348" s="619">
        <f>+AJ348*(1+AK348)</f>
        <v>9.7500000000000003E-2</v>
      </c>
      <c r="AG348" s="620">
        <f>+AJ348*(1+AL348)</f>
        <v>9.7500000000000003E-2</v>
      </c>
      <c r="AH348" s="617">
        <v>2005</v>
      </c>
      <c r="AI348" s="650"/>
      <c r="AJ348" s="650">
        <f>+K348/1000</f>
        <v>0.125</v>
      </c>
      <c r="AK348" s="399">
        <v>-0.22</v>
      </c>
      <c r="AL348" s="618">
        <f>AK348</f>
        <v>-0.22</v>
      </c>
      <c r="AM348" s="210"/>
      <c r="AN348" s="168"/>
      <c r="AO348" s="171"/>
      <c r="AP348" s="172"/>
      <c r="AQ348" s="272"/>
      <c r="AR348" s="34"/>
      <c r="AS348" s="657"/>
      <c r="AT348" s="395"/>
      <c r="AU348" s="443"/>
      <c r="AV348" s="168"/>
      <c r="AW348" s="168"/>
      <c r="AX348" s="170"/>
      <c r="AY348" s="86"/>
      <c r="AZ348" s="272"/>
      <c r="BA348" s="51"/>
      <c r="BB348" s="34"/>
      <c r="BC348" s="156"/>
      <c r="BD348" s="341"/>
      <c r="BE348" s="210"/>
      <c r="BF348" s="168"/>
      <c r="BG348" s="615"/>
      <c r="BH348" s="616"/>
      <c r="BI348" s="617"/>
      <c r="BJ348" s="642"/>
      <c r="BK348" s="434"/>
      <c r="BL348" s="399"/>
      <c r="BM348" s="652"/>
      <c r="BN348" s="210"/>
      <c r="BO348" s="168"/>
      <c r="BP348" s="615">
        <f t="shared" ref="BP348" si="267">BT348*(1+BV348)</f>
        <v>3.125E-2</v>
      </c>
      <c r="BQ348" s="616">
        <f t="shared" ref="BQ348" si="268">BT348*(1+BU348)</f>
        <v>3.125E-2</v>
      </c>
      <c r="BR348" s="642">
        <v>2005</v>
      </c>
      <c r="BS348" s="434"/>
      <c r="BT348" s="650">
        <f>+K348/1000</f>
        <v>0.125</v>
      </c>
      <c r="BU348" s="399">
        <v>-0.75</v>
      </c>
      <c r="BV348" s="618">
        <f>BU348</f>
        <v>-0.75</v>
      </c>
      <c r="BW348" s="141"/>
      <c r="BX348" s="311"/>
      <c r="BY348" s="669" t="s">
        <v>2893</v>
      </c>
    </row>
    <row r="349" spans="1:77" ht="15" customHeight="1" x14ac:dyDescent="0.2">
      <c r="A349" s="56" t="s">
        <v>38</v>
      </c>
      <c r="B349" s="668" t="s">
        <v>477</v>
      </c>
      <c r="C349" s="637" t="s">
        <v>3243</v>
      </c>
      <c r="D349" s="544">
        <v>542.4</v>
      </c>
      <c r="E349" s="127" t="s">
        <v>387</v>
      </c>
      <c r="F349" s="667"/>
      <c r="G349" s="64"/>
      <c r="H349" s="656"/>
      <c r="I349" s="266"/>
      <c r="J349" s="62"/>
      <c r="K349" s="62"/>
      <c r="L349" s="608"/>
      <c r="M349" s="62"/>
      <c r="N349" s="355"/>
      <c r="O349" s="603"/>
      <c r="P349" s="62"/>
      <c r="Q349" s="355"/>
      <c r="R349" s="603">
        <v>2017</v>
      </c>
      <c r="S349" s="62"/>
      <c r="T349" s="355">
        <v>7.4509999999999996</v>
      </c>
      <c r="U349" s="62"/>
      <c r="V349" s="62"/>
      <c r="W349" s="89"/>
      <c r="X349" s="87"/>
      <c r="Y349" s="642"/>
      <c r="Z349" s="434"/>
      <c r="AA349" s="650"/>
      <c r="AB349" s="399"/>
      <c r="AC349" s="618"/>
      <c r="AD349" s="168"/>
      <c r="AE349" s="168"/>
      <c r="AF349" s="619"/>
      <c r="AG349" s="620"/>
      <c r="AH349" s="617"/>
      <c r="AI349" s="650"/>
      <c r="AJ349" s="650"/>
      <c r="AK349" s="399"/>
      <c r="AL349" s="618"/>
      <c r="AM349" s="210"/>
      <c r="AN349" s="168"/>
      <c r="AO349" s="171">
        <f>AS349*(1+AT349)</f>
        <v>3.7254999999999996E-3</v>
      </c>
      <c r="AP349" s="172">
        <f>AS349*(1+AU349)</f>
        <v>3.7254999999999996E-3</v>
      </c>
      <c r="AQ349" s="272">
        <v>2017</v>
      </c>
      <c r="AR349" s="34"/>
      <c r="AS349" s="657">
        <f>T349/1000</f>
        <v>7.4509999999999993E-3</v>
      </c>
      <c r="AT349" s="395">
        <v>-0.5</v>
      </c>
      <c r="AU349" s="443">
        <f>AT349</f>
        <v>-0.5</v>
      </c>
      <c r="AV349" s="168"/>
      <c r="AW349" s="168"/>
      <c r="AX349" s="170"/>
      <c r="AY349" s="86"/>
      <c r="AZ349" s="272"/>
      <c r="BA349" s="51"/>
      <c r="BB349" s="34"/>
      <c r="BC349" s="156"/>
      <c r="BD349" s="341"/>
      <c r="BE349" s="210"/>
      <c r="BF349" s="168"/>
      <c r="BG349" s="615"/>
      <c r="BH349" s="616"/>
      <c r="BI349" s="617"/>
      <c r="BJ349" s="642"/>
      <c r="BK349" s="434"/>
      <c r="BL349" s="399"/>
      <c r="BM349" s="652"/>
      <c r="BN349" s="210"/>
      <c r="BO349" s="168"/>
      <c r="BP349" s="615"/>
      <c r="BQ349" s="616"/>
      <c r="BR349" s="642"/>
      <c r="BS349" s="434"/>
      <c r="BT349" s="650"/>
      <c r="BU349" s="399"/>
      <c r="BV349" s="618"/>
      <c r="BW349" s="141"/>
      <c r="BX349" s="311"/>
      <c r="BY349" s="669"/>
    </row>
    <row r="350" spans="1:77" ht="15" customHeight="1" x14ac:dyDescent="0.2">
      <c r="A350" s="56" t="s">
        <v>38</v>
      </c>
      <c r="B350" s="668" t="s">
        <v>2890</v>
      </c>
      <c r="C350" s="637"/>
      <c r="D350" s="544"/>
      <c r="E350" s="127" t="s">
        <v>2891</v>
      </c>
      <c r="F350" s="667"/>
      <c r="G350" s="64"/>
      <c r="H350" s="656"/>
      <c r="I350" s="67">
        <v>2000</v>
      </c>
      <c r="J350" s="62"/>
      <c r="K350" s="62"/>
      <c r="L350" s="608"/>
      <c r="M350" s="62"/>
      <c r="N350" s="355"/>
      <c r="O350" s="603"/>
      <c r="P350" s="62"/>
      <c r="Q350" s="355"/>
      <c r="R350" s="603"/>
      <c r="S350" s="62"/>
      <c r="T350" s="355"/>
      <c r="U350" s="62"/>
      <c r="V350" s="62"/>
      <c r="W350" s="89"/>
      <c r="X350" s="87"/>
      <c r="Y350" s="642"/>
      <c r="Z350" s="434"/>
      <c r="AA350" s="650"/>
      <c r="AB350" s="399"/>
      <c r="AC350" s="618"/>
      <c r="AD350" s="168"/>
      <c r="AE350" s="168"/>
      <c r="AF350" s="619">
        <f>+AJ350*(1+AK350)</f>
        <v>0</v>
      </c>
      <c r="AG350" s="620">
        <f>+AJ350*(1+AL350)</f>
        <v>0</v>
      </c>
      <c r="AH350" s="617">
        <v>2005</v>
      </c>
      <c r="AI350" s="650"/>
      <c r="AJ350" s="650">
        <f>+K350/1000</f>
        <v>0</v>
      </c>
      <c r="AK350" s="399">
        <v>-0.25</v>
      </c>
      <c r="AL350" s="618">
        <f>AK350</f>
        <v>-0.25</v>
      </c>
      <c r="AM350" s="210"/>
      <c r="AN350" s="168"/>
      <c r="AO350" s="171"/>
      <c r="AP350" s="172"/>
      <c r="AQ350" s="272"/>
      <c r="AR350" s="34"/>
      <c r="AS350" s="657"/>
      <c r="AT350" s="395"/>
      <c r="AU350" s="443"/>
      <c r="AV350" s="168"/>
      <c r="AW350" s="168"/>
      <c r="AX350" s="170"/>
      <c r="AY350" s="86"/>
      <c r="AZ350" s="272"/>
      <c r="BA350" s="51"/>
      <c r="BB350" s="34"/>
      <c r="BC350" s="156"/>
      <c r="BD350" s="341"/>
      <c r="BE350" s="210"/>
      <c r="BF350" s="168"/>
      <c r="BG350" s="615"/>
      <c r="BH350" s="616"/>
      <c r="BI350" s="617"/>
      <c r="BJ350" s="642"/>
      <c r="BK350" s="434"/>
      <c r="BL350" s="399"/>
      <c r="BM350" s="652"/>
      <c r="BN350" s="210"/>
      <c r="BO350" s="168"/>
      <c r="BP350" s="615"/>
      <c r="BQ350" s="616"/>
      <c r="BR350" s="642"/>
      <c r="BS350" s="434"/>
      <c r="BT350" s="650"/>
      <c r="BU350" s="399"/>
      <c r="BV350" s="618"/>
      <c r="BW350" s="141"/>
      <c r="BX350" s="311"/>
      <c r="BY350" s="669"/>
    </row>
    <row r="351" spans="1:77" ht="15" customHeight="1" x14ac:dyDescent="0.2">
      <c r="A351" s="56" t="s">
        <v>38</v>
      </c>
      <c r="B351" s="668" t="s">
        <v>477</v>
      </c>
      <c r="C351" s="637" t="s">
        <v>3138</v>
      </c>
      <c r="D351" s="544">
        <v>366</v>
      </c>
      <c r="E351" s="127" t="s">
        <v>2590</v>
      </c>
      <c r="F351" s="667"/>
      <c r="G351" s="64"/>
      <c r="H351" s="61"/>
      <c r="I351" s="67">
        <v>2007</v>
      </c>
      <c r="J351" s="62"/>
      <c r="K351" s="62">
        <f>13.4*D351/1000</f>
        <v>4.9044000000000008</v>
      </c>
      <c r="L351" s="608">
        <v>2012</v>
      </c>
      <c r="M351" s="62"/>
      <c r="N351" s="355">
        <v>2.5508860000000002</v>
      </c>
      <c r="O351" s="603"/>
      <c r="P351" s="62"/>
      <c r="Q351" s="355"/>
      <c r="R351" s="603"/>
      <c r="S351" s="62"/>
      <c r="T351" s="355"/>
      <c r="U351" s="62"/>
      <c r="V351" s="62"/>
      <c r="W351" s="1160">
        <f>9.3*D351/1000000</f>
        <v>3.4038000000000002E-3</v>
      </c>
      <c r="X351" s="1161">
        <f>W351</f>
        <v>3.4038000000000002E-3</v>
      </c>
      <c r="Y351" s="642">
        <v>2007</v>
      </c>
      <c r="Z351" s="434"/>
      <c r="AA351" s="650">
        <f>K351/1000</f>
        <v>4.9044000000000006E-3</v>
      </c>
      <c r="AB351" s="1162">
        <f>(W351-AA351)/AA351</f>
        <v>-0.30597014925373139</v>
      </c>
      <c r="AC351" s="1163">
        <f>AB351</f>
        <v>-0.30597014925373139</v>
      </c>
      <c r="AD351" s="168"/>
      <c r="AE351" s="168"/>
      <c r="AF351" s="388"/>
      <c r="AG351" s="389"/>
      <c r="AH351" s="390"/>
      <c r="AI351" s="433"/>
      <c r="AJ351" s="433"/>
      <c r="AK351" s="156"/>
      <c r="AL351" s="284"/>
      <c r="AM351" s="210"/>
      <c r="AN351" s="168"/>
      <c r="AO351" s="171"/>
      <c r="AP351" s="172"/>
      <c r="AQ351" s="272"/>
      <c r="AR351" s="34"/>
      <c r="AS351" s="657"/>
      <c r="AT351" s="395"/>
      <c r="AU351" s="443"/>
      <c r="AV351" s="168"/>
      <c r="AW351" s="168"/>
      <c r="AX351" s="170"/>
      <c r="AY351" s="86"/>
      <c r="AZ351" s="272"/>
      <c r="BA351" s="51"/>
      <c r="BB351" s="34"/>
      <c r="BC351" s="156"/>
      <c r="BD351" s="341"/>
      <c r="BE351" s="210"/>
      <c r="BF351" s="168"/>
      <c r="BG351" s="619"/>
      <c r="BH351" s="620"/>
      <c r="BI351" s="617"/>
      <c r="BJ351" s="642"/>
      <c r="BK351" s="650"/>
      <c r="BL351" s="399"/>
      <c r="BM351" s="652"/>
      <c r="BN351" s="210"/>
      <c r="BO351" s="168"/>
      <c r="BP351" s="619">
        <f t="shared" ref="BP351" si="269">BT351*(1+BV351)</f>
        <v>1.1770560000000001E-3</v>
      </c>
      <c r="BQ351" s="620">
        <f t="shared" ref="BQ351" si="270">BT351*(1+BU351)</f>
        <v>1.1770560000000001E-3</v>
      </c>
      <c r="BR351" s="642">
        <v>2007</v>
      </c>
      <c r="BS351" s="650"/>
      <c r="BT351" s="676">
        <f>+K351/1000</f>
        <v>4.9044000000000006E-3</v>
      </c>
      <c r="BU351" s="399">
        <v>-0.76</v>
      </c>
      <c r="BV351" s="618">
        <f t="shared" ref="BV351" si="271">BU351</f>
        <v>-0.76</v>
      </c>
      <c r="BW351" s="141"/>
      <c r="BX351" s="311"/>
      <c r="BY351" t="s">
        <v>2183</v>
      </c>
    </row>
    <row r="352" spans="1:77" ht="15" customHeight="1" x14ac:dyDescent="0.2">
      <c r="A352" s="56" t="s">
        <v>38</v>
      </c>
      <c r="B352" s="668" t="s">
        <v>477</v>
      </c>
      <c r="C352" s="637" t="s">
        <v>2294</v>
      </c>
      <c r="D352" s="544">
        <v>44.215000000000003</v>
      </c>
      <c r="E352" s="127" t="s">
        <v>2295</v>
      </c>
      <c r="F352" s="667"/>
      <c r="G352" s="64"/>
      <c r="H352" s="656">
        <v>0.27641100000000002</v>
      </c>
      <c r="I352" s="67"/>
      <c r="J352" s="62"/>
      <c r="K352" s="62"/>
      <c r="L352" s="608"/>
      <c r="M352" s="62"/>
      <c r="N352" s="355">
        <v>0.34748299999999999</v>
      </c>
      <c r="O352" s="603"/>
      <c r="P352" s="62"/>
      <c r="Q352" s="355"/>
      <c r="R352" s="603"/>
      <c r="S352" s="62"/>
      <c r="T352" s="355"/>
      <c r="U352" s="62"/>
      <c r="V352" s="62"/>
      <c r="W352" s="89"/>
      <c r="X352" s="87"/>
      <c r="Y352" s="642"/>
      <c r="Z352" s="434"/>
      <c r="AA352" s="650"/>
      <c r="AB352" s="399"/>
      <c r="AC352" s="618"/>
      <c r="AD352" s="168"/>
      <c r="AE352" s="168"/>
      <c r="AF352" s="619"/>
      <c r="AG352" s="620"/>
      <c r="AH352" s="617"/>
      <c r="AI352" s="650"/>
      <c r="AJ352" s="650"/>
      <c r="AK352" s="399"/>
      <c r="AL352" s="618"/>
      <c r="AM352" s="210"/>
      <c r="AN352" s="168"/>
      <c r="AO352" s="170"/>
      <c r="AP352" s="86"/>
      <c r="AQ352" s="272"/>
      <c r="AR352" s="34"/>
      <c r="AS352" s="442"/>
      <c r="AT352" s="395"/>
      <c r="AU352" s="443"/>
      <c r="AV352" s="168"/>
      <c r="AW352" s="168"/>
      <c r="AX352" s="171"/>
      <c r="AY352" s="172"/>
      <c r="AZ352" s="272"/>
      <c r="BA352" s="34"/>
      <c r="BB352" s="657"/>
      <c r="BC352" s="395"/>
      <c r="BD352" s="670"/>
      <c r="BE352" s="210"/>
      <c r="BF352" s="168"/>
      <c r="BG352" s="615"/>
      <c r="BH352" s="616"/>
      <c r="BI352" s="617"/>
      <c r="BJ352" s="642"/>
      <c r="BK352" s="434"/>
      <c r="BL352" s="399"/>
      <c r="BM352" s="652"/>
      <c r="BN352" s="210"/>
      <c r="BO352" s="168"/>
      <c r="BP352" s="619">
        <f>BT352*(1+BV352)</f>
        <v>5.5282199999999991E-5</v>
      </c>
      <c r="BQ352" s="620">
        <f>BT352*(1+BU352)</f>
        <v>5.5282199999999991E-5</v>
      </c>
      <c r="BR352" s="617">
        <v>1990</v>
      </c>
      <c r="BS352" s="642"/>
      <c r="BT352" s="650">
        <f>+H352/1000</f>
        <v>2.7641100000000001E-4</v>
      </c>
      <c r="BU352" s="399">
        <v>-0.8</v>
      </c>
      <c r="BV352" s="618">
        <f>BU352</f>
        <v>-0.8</v>
      </c>
      <c r="BW352" s="141"/>
      <c r="BX352" s="311"/>
      <c r="BY352" s="669"/>
    </row>
    <row r="353" spans="1:77" ht="15" customHeight="1" x14ac:dyDescent="0.2">
      <c r="A353" s="56" t="s">
        <v>38</v>
      </c>
      <c r="B353" s="668" t="s">
        <v>477</v>
      </c>
      <c r="C353" s="637" t="s">
        <v>2491</v>
      </c>
      <c r="D353" s="544">
        <v>46.911999999999999</v>
      </c>
      <c r="E353" s="127" t="s">
        <v>387</v>
      </c>
      <c r="F353" s="667"/>
      <c r="G353" s="64"/>
      <c r="H353" s="61"/>
      <c r="I353" s="67">
        <v>2000</v>
      </c>
      <c r="J353" s="62"/>
      <c r="K353" s="121">
        <v>0.47</v>
      </c>
      <c r="L353" s="608"/>
      <c r="M353" s="62"/>
      <c r="N353" s="357"/>
      <c r="O353" s="603"/>
      <c r="P353" s="62"/>
      <c r="Q353" s="357">
        <f>K353*(1-0.27)</f>
        <v>0.34309999999999996</v>
      </c>
      <c r="R353" s="603"/>
      <c r="S353" s="62"/>
      <c r="T353" s="357"/>
      <c r="U353" s="62"/>
      <c r="V353" s="62"/>
      <c r="W353" s="674"/>
      <c r="X353" s="675"/>
      <c r="Y353" s="642"/>
      <c r="Z353" s="650"/>
      <c r="AA353" s="673"/>
      <c r="AB353" s="399"/>
      <c r="AC353" s="618"/>
      <c r="AD353" s="168"/>
      <c r="AE353" s="168"/>
      <c r="AF353" s="388"/>
      <c r="AG353" s="389"/>
      <c r="AH353" s="390"/>
      <c r="AI353" s="433"/>
      <c r="AJ353" s="433"/>
      <c r="AK353" s="156"/>
      <c r="AL353" s="284"/>
      <c r="AM353" s="210"/>
      <c r="AN353" s="168"/>
      <c r="AO353" s="171"/>
      <c r="AP353" s="172"/>
      <c r="AQ353" s="272"/>
      <c r="AR353" s="34"/>
      <c r="AS353" s="657"/>
      <c r="AT353" s="395"/>
      <c r="AU353" s="443"/>
      <c r="AV353" s="168"/>
      <c r="AW353" s="168"/>
      <c r="AX353" s="1168">
        <f>BB353*(1+BC353)</f>
        <v>4.2299999999999998E-4</v>
      </c>
      <c r="AY353" s="1169">
        <f>BB353*(1+BD353)</f>
        <v>4.2299999999999998E-4</v>
      </c>
      <c r="AZ353" s="272">
        <v>2000</v>
      </c>
      <c r="BA353" s="34"/>
      <c r="BB353" s="756">
        <f>K353/1000</f>
        <v>4.6999999999999999E-4</v>
      </c>
      <c r="BC353" s="1166">
        <v>-0.1</v>
      </c>
      <c r="BD353" s="1167">
        <f>BC353</f>
        <v>-0.1</v>
      </c>
      <c r="BE353" s="210"/>
      <c r="BF353" s="168"/>
      <c r="BG353" s="619"/>
      <c r="BH353" s="620"/>
      <c r="BI353" s="617"/>
      <c r="BJ353" s="642"/>
      <c r="BK353" s="650"/>
      <c r="BL353" s="399"/>
      <c r="BM353" s="652"/>
      <c r="BN353" s="210"/>
      <c r="BO353" s="168"/>
      <c r="BP353" s="619"/>
      <c r="BQ353" s="620"/>
      <c r="BR353" s="671"/>
      <c r="BS353" s="434"/>
      <c r="BT353" s="650"/>
      <c r="BU353" s="399"/>
      <c r="BV353" s="618"/>
      <c r="BW353" s="141"/>
      <c r="BX353" s="311"/>
      <c r="BY353" s="669"/>
    </row>
    <row r="354" spans="1:77" s="14" customFormat="1" ht="15" customHeight="1" x14ac:dyDescent="0.2">
      <c r="A354" s="56" t="s">
        <v>38</v>
      </c>
      <c r="B354" s="668" t="s">
        <v>477</v>
      </c>
      <c r="C354" s="924" t="s">
        <v>3150</v>
      </c>
      <c r="D354" s="925">
        <v>230.43600000000001</v>
      </c>
      <c r="E354" s="161" t="s">
        <v>387</v>
      </c>
      <c r="F354" s="667"/>
      <c r="G354" s="64"/>
      <c r="H354" s="656"/>
      <c r="I354" s="266"/>
      <c r="J354" s="62"/>
      <c r="K354" s="121"/>
      <c r="L354" s="608">
        <v>2008</v>
      </c>
      <c r="M354" s="62"/>
      <c r="N354" s="355">
        <v>3.3773330000000001</v>
      </c>
      <c r="O354" s="603"/>
      <c r="P354" s="62"/>
      <c r="Q354" s="355">
        <v>2.790162</v>
      </c>
      <c r="R354" s="603"/>
      <c r="S354" s="62"/>
      <c r="T354" s="355"/>
      <c r="U354" s="62"/>
      <c r="V354" s="62"/>
      <c r="W354" s="89"/>
      <c r="X354" s="87"/>
      <c r="Y354" s="642"/>
      <c r="Z354" s="434"/>
      <c r="AA354" s="650"/>
      <c r="AB354" s="399"/>
      <c r="AC354" s="618"/>
      <c r="AD354" s="168"/>
      <c r="AE354" s="168"/>
      <c r="AF354" s="619"/>
      <c r="AG354" s="620"/>
      <c r="AH354" s="617"/>
      <c r="AI354" s="650"/>
      <c r="AJ354" s="650"/>
      <c r="AK354" s="399"/>
      <c r="AL354" s="618"/>
      <c r="AM354" s="210"/>
      <c r="AN354" s="168"/>
      <c r="AO354" s="170">
        <f>AS354*(1+AT354)</f>
        <v>1.8575331500000002E-3</v>
      </c>
      <c r="AP354" s="86">
        <f>AS354*(1+AU354)</f>
        <v>1.8575331500000002E-3</v>
      </c>
      <c r="AQ354" s="272">
        <v>2007</v>
      </c>
      <c r="AR354" s="34"/>
      <c r="AS354" s="442">
        <f>N354/1000</f>
        <v>3.3773330000000002E-3</v>
      </c>
      <c r="AT354" s="395">
        <v>-0.45</v>
      </c>
      <c r="AU354" s="443">
        <f>AT354</f>
        <v>-0.45</v>
      </c>
      <c r="AV354" s="168"/>
      <c r="AW354" s="168"/>
      <c r="AX354" s="170"/>
      <c r="AY354" s="86"/>
      <c r="AZ354" s="272"/>
      <c r="BA354" s="51"/>
      <c r="BB354" s="34"/>
      <c r="BC354" s="156"/>
      <c r="BD354" s="341"/>
      <c r="BE354" s="210"/>
      <c r="BF354" s="168"/>
      <c r="BG354" s="615"/>
      <c r="BH354" s="616"/>
      <c r="BI354" s="617"/>
      <c r="BJ354" s="642"/>
      <c r="BK354" s="434"/>
      <c r="BL354" s="399"/>
      <c r="BM354" s="652"/>
      <c r="BN354" s="210"/>
      <c r="BO354" s="168"/>
      <c r="BP354" s="619">
        <f t="shared" ref="BP354" si="272">BT354*(1+BV354)</f>
        <v>6.7546659999999988E-4</v>
      </c>
      <c r="BQ354" s="620">
        <f t="shared" ref="BQ354" si="273">BT354*(1+BU354)</f>
        <v>6.7546659999999988E-4</v>
      </c>
      <c r="BR354" s="617">
        <v>2008</v>
      </c>
      <c r="BS354" s="642"/>
      <c r="BT354" s="650">
        <f>+N354/1000</f>
        <v>3.3773330000000002E-3</v>
      </c>
      <c r="BU354" s="399">
        <v>-0.8</v>
      </c>
      <c r="BV354" s="618">
        <f t="shared" ref="BV354" si="274">BU354</f>
        <v>-0.8</v>
      </c>
      <c r="BW354" s="429"/>
      <c r="BX354" s="926"/>
      <c r="BY354" s="430" t="s">
        <v>2153</v>
      </c>
    </row>
    <row r="355" spans="1:77" ht="15" customHeight="1" x14ac:dyDescent="0.2">
      <c r="A355" s="56" t="s">
        <v>38</v>
      </c>
      <c r="B355" s="668" t="s">
        <v>379</v>
      </c>
      <c r="C355" s="637"/>
      <c r="D355" s="544">
        <v>6725</v>
      </c>
      <c r="E355" s="127" t="s">
        <v>2935</v>
      </c>
      <c r="F355" s="667"/>
      <c r="G355" s="64"/>
      <c r="H355" s="656">
        <v>90.4983</v>
      </c>
      <c r="I355" s="67">
        <v>2008</v>
      </c>
      <c r="J355" s="62"/>
      <c r="K355" s="62">
        <v>98.4</v>
      </c>
      <c r="L355" s="608"/>
      <c r="M355" s="62"/>
      <c r="N355" s="355">
        <v>94.1</v>
      </c>
      <c r="O355" s="603"/>
      <c r="P355" s="62">
        <v>58.130200000000002</v>
      </c>
      <c r="Q355" s="355">
        <v>97.758399999999995</v>
      </c>
      <c r="R355" s="603"/>
      <c r="S355" s="62"/>
      <c r="T355" s="355"/>
      <c r="U355" s="62"/>
      <c r="V355" s="62"/>
      <c r="W355" s="89">
        <f>Z355*(1+AB355)</f>
        <v>9.0498300000000004E-2</v>
      </c>
      <c r="X355" s="87">
        <f>Z355*(1+AC355)</f>
        <v>9.0498300000000004E-2</v>
      </c>
      <c r="Y355" s="642">
        <v>1990</v>
      </c>
      <c r="Z355" s="434">
        <f>+H355/1000</f>
        <v>9.0498300000000004E-2</v>
      </c>
      <c r="AA355" s="650"/>
      <c r="AB355" s="399">
        <v>0</v>
      </c>
      <c r="AC355" s="618">
        <f t="shared" si="266"/>
        <v>0</v>
      </c>
      <c r="AD355" s="168"/>
      <c r="AE355" s="168"/>
      <c r="AF355" s="619"/>
      <c r="AG355" s="620"/>
      <c r="AH355" s="617"/>
      <c r="AI355" s="650"/>
      <c r="AJ355" s="650"/>
      <c r="AK355" s="399"/>
      <c r="AL355" s="618"/>
      <c r="AM355" s="210"/>
      <c r="AN355" s="168"/>
      <c r="AO355" s="170">
        <f>AS355*(1+AT355)</f>
        <v>4.9774065000000006E-2</v>
      </c>
      <c r="AP355" s="86">
        <f>AS355*(1+AU355)</f>
        <v>4.9774065000000006E-2</v>
      </c>
      <c r="AQ355" s="272">
        <v>1990</v>
      </c>
      <c r="AR355" s="34"/>
      <c r="AS355" s="442">
        <f>H355/1000</f>
        <v>9.0498300000000004E-2</v>
      </c>
      <c r="AT355" s="395">
        <v>-0.45</v>
      </c>
      <c r="AU355" s="443">
        <f>AT355</f>
        <v>-0.45</v>
      </c>
      <c r="AV355" s="168"/>
      <c r="AW355" s="168"/>
      <c r="AX355" s="171"/>
      <c r="AY355" s="172"/>
      <c r="AZ355" s="272"/>
      <c r="BA355" s="34"/>
      <c r="BB355" s="657"/>
      <c r="BC355" s="395"/>
      <c r="BD355" s="443"/>
      <c r="BE355" s="210"/>
      <c r="BF355" s="168"/>
      <c r="BG355" s="615">
        <f>BK355*(1+BL355)</f>
        <v>2.7149490000000005E-2</v>
      </c>
      <c r="BH355" s="616">
        <f>BK355*(1+BM355)</f>
        <v>2.7149490000000005E-2</v>
      </c>
      <c r="BI355" s="617">
        <v>1990</v>
      </c>
      <c r="BJ355" s="642"/>
      <c r="BK355" s="434">
        <f>+H355/1000</f>
        <v>9.0498300000000004E-2</v>
      </c>
      <c r="BL355" s="399">
        <v>-0.7</v>
      </c>
      <c r="BM355" s="652">
        <f>BL355</f>
        <v>-0.7</v>
      </c>
      <c r="BN355" s="210"/>
      <c r="BO355" s="168"/>
      <c r="BP355" s="615">
        <f t="shared" si="214"/>
        <v>4.5249150000000044E-3</v>
      </c>
      <c r="BQ355" s="616">
        <f t="shared" si="215"/>
        <v>4.5249150000000044E-3</v>
      </c>
      <c r="BR355" s="642">
        <v>1990</v>
      </c>
      <c r="BS355" s="434"/>
      <c r="BT355" s="650">
        <f>+H355/1000</f>
        <v>9.0498300000000004E-2</v>
      </c>
      <c r="BU355" s="399">
        <v>-0.95</v>
      </c>
      <c r="BV355" s="618">
        <f t="shared" si="202"/>
        <v>-0.95</v>
      </c>
      <c r="BW355" s="141"/>
      <c r="BX355" s="311"/>
      <c r="BY355" s="669"/>
    </row>
    <row r="356" spans="1:77" ht="15" customHeight="1" x14ac:dyDescent="0.2">
      <c r="A356" s="56" t="s">
        <v>38</v>
      </c>
      <c r="B356" s="668" t="s">
        <v>477</v>
      </c>
      <c r="C356" s="637" t="s">
        <v>2290</v>
      </c>
      <c r="D356" s="544">
        <v>80</v>
      </c>
      <c r="E356" s="127" t="s">
        <v>2291</v>
      </c>
      <c r="F356" s="667"/>
      <c r="G356" s="64"/>
      <c r="H356" s="656"/>
      <c r="I356" s="67">
        <v>2000</v>
      </c>
      <c r="J356" s="62"/>
      <c r="K356" s="62">
        <v>0.86254509999999995</v>
      </c>
      <c r="L356" s="608"/>
      <c r="M356" s="62"/>
      <c r="N356" s="355"/>
      <c r="O356" s="603">
        <v>2012</v>
      </c>
      <c r="P356" s="62"/>
      <c r="Q356" s="355">
        <f>K356*0.93</f>
        <v>0.80216694300000002</v>
      </c>
      <c r="R356" s="603"/>
      <c r="S356" s="62"/>
      <c r="T356" s="355"/>
      <c r="U356" s="62"/>
      <c r="V356" s="62"/>
      <c r="W356" s="89"/>
      <c r="X356" s="87"/>
      <c r="Y356" s="642"/>
      <c r="Z356" s="434"/>
      <c r="AA356" s="650"/>
      <c r="AB356" s="399"/>
      <c r="AC356" s="618"/>
      <c r="AD356" s="168"/>
      <c r="AE356" s="168"/>
      <c r="AF356" s="619"/>
      <c r="AG356" s="620"/>
      <c r="AH356" s="617"/>
      <c r="AI356" s="650"/>
      <c r="AJ356" s="650"/>
      <c r="AK356" s="399"/>
      <c r="AL356" s="618"/>
      <c r="AM356" s="210"/>
      <c r="AN356" s="168"/>
      <c r="AO356" s="170"/>
      <c r="AP356" s="86"/>
      <c r="AQ356" s="272"/>
      <c r="AR356" s="34"/>
      <c r="AS356" s="442"/>
      <c r="AT356" s="395"/>
      <c r="AU356" s="443"/>
      <c r="AV356" s="168"/>
      <c r="AW356" s="168"/>
      <c r="AX356" s="171"/>
      <c r="AY356" s="172"/>
      <c r="AZ356" s="272"/>
      <c r="BA356" s="34"/>
      <c r="BB356" s="657"/>
      <c r="BC356" s="395"/>
      <c r="BD356" s="670"/>
      <c r="BE356" s="210"/>
      <c r="BF356" s="168"/>
      <c r="BG356" s="615"/>
      <c r="BH356" s="616"/>
      <c r="BI356" s="617"/>
      <c r="BJ356" s="642"/>
      <c r="BK356" s="434"/>
      <c r="BL356" s="399"/>
      <c r="BM356" s="652"/>
      <c r="BN356" s="210"/>
      <c r="BO356" s="168"/>
      <c r="BP356" s="615"/>
      <c r="BQ356" s="616"/>
      <c r="BR356" s="671"/>
      <c r="BS356" s="434"/>
      <c r="BT356" s="650"/>
      <c r="BU356" s="399"/>
      <c r="BV356" s="618"/>
      <c r="BW356" s="141"/>
      <c r="BX356" s="311"/>
      <c r="BY356" s="669"/>
    </row>
    <row r="357" spans="1:77" ht="15" customHeight="1" x14ac:dyDescent="0.2">
      <c r="A357" s="56" t="s">
        <v>38</v>
      </c>
      <c r="B357" s="668" t="s">
        <v>477</v>
      </c>
      <c r="C357" s="637" t="s">
        <v>1620</v>
      </c>
      <c r="D357" s="544">
        <v>425.19499999999999</v>
      </c>
      <c r="E357" s="127" t="s">
        <v>2598</v>
      </c>
      <c r="F357" s="667"/>
      <c r="G357" s="64"/>
      <c r="H357" s="656"/>
      <c r="I357" s="67"/>
      <c r="J357" s="62"/>
      <c r="K357" s="62">
        <v>3.5421299999999998</v>
      </c>
      <c r="L357" s="608"/>
      <c r="M357" s="62"/>
      <c r="N357" s="355"/>
      <c r="O357" s="603"/>
      <c r="P357" s="62"/>
      <c r="Q357" s="355">
        <v>1.745827</v>
      </c>
      <c r="R357" s="603"/>
      <c r="S357" s="62"/>
      <c r="T357" s="355"/>
      <c r="U357" s="62"/>
      <c r="V357" s="62"/>
      <c r="W357" s="1160">
        <f t="shared" ref="W357" si="275">AA357*(1+AB357)</f>
        <v>2.2669631999999999E-3</v>
      </c>
      <c r="X357" s="1161">
        <f t="shared" ref="X357" si="276">AA357*(1+AC357)</f>
        <v>2.2669631999999999E-3</v>
      </c>
      <c r="Y357" s="642">
        <v>2005</v>
      </c>
      <c r="Z357" s="434"/>
      <c r="AA357" s="650">
        <f>+K357/1000</f>
        <v>3.5421299999999997E-3</v>
      </c>
      <c r="AB357" s="1162">
        <v>-0.36</v>
      </c>
      <c r="AC357" s="1163">
        <f>AB357</f>
        <v>-0.36</v>
      </c>
      <c r="AD357" s="168"/>
      <c r="AE357" s="168"/>
      <c r="AF357" s="619"/>
      <c r="AG357" s="620"/>
      <c r="AH357" s="617"/>
      <c r="AI357" s="650"/>
      <c r="AJ357" s="650"/>
      <c r="AK357" s="399"/>
      <c r="AL357" s="618"/>
      <c r="AM357" s="210"/>
      <c r="AN357" s="168"/>
      <c r="AO357" s="170"/>
      <c r="AP357" s="86"/>
      <c r="AQ357" s="272"/>
      <c r="AR357" s="34"/>
      <c r="AS357" s="442"/>
      <c r="AT357" s="395"/>
      <c r="AU357" s="443"/>
      <c r="AV357" s="168"/>
      <c r="AW357" s="168"/>
      <c r="AX357" s="171"/>
      <c r="AY357" s="172"/>
      <c r="AZ357" s="272"/>
      <c r="BA357" s="34"/>
      <c r="BB357" s="657"/>
      <c r="BC357" s="395"/>
      <c r="BD357" s="670"/>
      <c r="BE357" s="210"/>
      <c r="BF357" s="168"/>
      <c r="BG357" s="615"/>
      <c r="BH357" s="616"/>
      <c r="BI357" s="617"/>
      <c r="BJ357" s="642"/>
      <c r="BK357" s="434"/>
      <c r="BL357" s="399"/>
      <c r="BM357" s="652"/>
      <c r="BN357" s="210"/>
      <c r="BO357" s="168"/>
      <c r="BP357" s="619">
        <f t="shared" ref="BP357:BP358" si="277">BT357*(1+BV357)</f>
        <v>6.0216210000000009E-4</v>
      </c>
      <c r="BQ357" s="620">
        <f t="shared" ref="BQ357:BQ358" si="278">BT357*(1+BU357)</f>
        <v>6.0216210000000009E-4</v>
      </c>
      <c r="BR357" s="671">
        <v>2005</v>
      </c>
      <c r="BS357" s="434"/>
      <c r="BT357" s="650">
        <f t="shared" ref="BT357:BT360" si="279">+K357/1000</f>
        <v>3.5421299999999997E-3</v>
      </c>
      <c r="BU357" s="399">
        <v>-0.83</v>
      </c>
      <c r="BV357" s="618">
        <f t="shared" si="202"/>
        <v>-0.83</v>
      </c>
      <c r="BW357" s="141"/>
      <c r="BX357" s="311"/>
      <c r="BY357" s="669" t="s">
        <v>1621</v>
      </c>
    </row>
    <row r="358" spans="1:77" ht="15" customHeight="1" x14ac:dyDescent="0.2">
      <c r="A358" s="56" t="s">
        <v>38</v>
      </c>
      <c r="B358" s="668" t="s">
        <v>477</v>
      </c>
      <c r="C358" s="637" t="s">
        <v>2726</v>
      </c>
      <c r="D358" s="544">
        <v>51.02</v>
      </c>
      <c r="E358" s="127" t="s">
        <v>392</v>
      </c>
      <c r="F358" s="667"/>
      <c r="G358" s="64"/>
      <c r="H358" s="656">
        <v>0.6</v>
      </c>
      <c r="I358" s="67"/>
      <c r="J358" s="62"/>
      <c r="K358" s="62"/>
      <c r="L358" s="608"/>
      <c r="M358" s="62"/>
      <c r="N358" s="355"/>
      <c r="O358" s="603"/>
      <c r="P358" s="62"/>
      <c r="Q358" s="355"/>
      <c r="R358" s="603"/>
      <c r="S358" s="62"/>
      <c r="T358" s="355"/>
      <c r="U358" s="62"/>
      <c r="V358" s="62"/>
      <c r="W358" s="633"/>
      <c r="X358" s="634"/>
      <c r="Y358" s="1225"/>
      <c r="Z358" s="1055"/>
      <c r="AA358" s="1226"/>
      <c r="AB358" s="1172"/>
      <c r="AC358" s="1173"/>
      <c r="AD358" s="168"/>
      <c r="AE358" s="168"/>
      <c r="AF358" s="619"/>
      <c r="AG358" s="620"/>
      <c r="AH358" s="617"/>
      <c r="AI358" s="650"/>
      <c r="AJ358" s="650"/>
      <c r="AK358" s="399"/>
      <c r="AL358" s="618"/>
      <c r="AM358" s="210"/>
      <c r="AN358" s="168"/>
      <c r="AO358" s="170"/>
      <c r="AP358" s="86"/>
      <c r="AQ358" s="272"/>
      <c r="AR358" s="34"/>
      <c r="AS358" s="442"/>
      <c r="AT358" s="395"/>
      <c r="AU358" s="443"/>
      <c r="AV358" s="168"/>
      <c r="AW358" s="168"/>
      <c r="AX358" s="171"/>
      <c r="AY358" s="172"/>
      <c r="AZ358" s="272"/>
      <c r="BA358" s="34"/>
      <c r="BB358" s="657"/>
      <c r="BC358" s="395"/>
      <c r="BD358" s="670"/>
      <c r="BE358" s="210"/>
      <c r="BF358" s="168"/>
      <c r="BG358" s="615"/>
      <c r="BH358" s="616"/>
      <c r="BI358" s="617"/>
      <c r="BJ358" s="642"/>
      <c r="BK358" s="434"/>
      <c r="BL358" s="399"/>
      <c r="BM358" s="652"/>
      <c r="BN358" s="210"/>
      <c r="BO358" s="168"/>
      <c r="BP358" s="619">
        <f t="shared" si="277"/>
        <v>1.1999999999999996E-4</v>
      </c>
      <c r="BQ358" s="620">
        <f t="shared" si="278"/>
        <v>1.1999999999999996E-4</v>
      </c>
      <c r="BR358" s="642">
        <v>1990</v>
      </c>
      <c r="BS358" s="434"/>
      <c r="BT358" s="650">
        <f>+H358/1000</f>
        <v>5.9999999999999995E-4</v>
      </c>
      <c r="BU358" s="399">
        <v>-0.8</v>
      </c>
      <c r="BV358" s="618">
        <f t="shared" ref="BV358" si="280">BU358</f>
        <v>-0.8</v>
      </c>
      <c r="BW358" s="141"/>
      <c r="BX358" s="311"/>
      <c r="BY358" s="669"/>
    </row>
    <row r="359" spans="1:77" ht="15" customHeight="1" x14ac:dyDescent="0.2">
      <c r="A359" s="56" t="s">
        <v>38</v>
      </c>
      <c r="B359" s="668" t="s">
        <v>477</v>
      </c>
      <c r="C359" s="637" t="s">
        <v>2823</v>
      </c>
      <c r="D359" s="544">
        <v>2188.6489999999999</v>
      </c>
      <c r="E359" s="127" t="s">
        <v>2824</v>
      </c>
      <c r="F359" s="667"/>
      <c r="G359" s="64"/>
      <c r="H359" s="656"/>
      <c r="I359" s="67">
        <v>2007</v>
      </c>
      <c r="J359" s="62"/>
      <c r="K359" s="62">
        <v>20.100000000000001</v>
      </c>
      <c r="L359" s="608"/>
      <c r="M359" s="62"/>
      <c r="N359" s="355"/>
      <c r="O359" s="603"/>
      <c r="P359" s="62"/>
      <c r="Q359" s="355"/>
      <c r="R359" s="603"/>
      <c r="S359" s="62"/>
      <c r="T359" s="355"/>
      <c r="U359" s="62"/>
      <c r="V359" s="62"/>
      <c r="W359" s="23">
        <f t="shared" ref="W359" si="281">AA359*(1+AB359)</f>
        <v>1.5075E-2</v>
      </c>
      <c r="X359" s="24">
        <f t="shared" ref="X359" si="282">AA359*(1+AC359)</f>
        <v>1.5075E-2</v>
      </c>
      <c r="Y359" s="642">
        <v>2007</v>
      </c>
      <c r="Z359" s="650"/>
      <c r="AA359" s="434">
        <f>K359/1000</f>
        <v>2.01E-2</v>
      </c>
      <c r="AB359" s="399">
        <v>-0.25</v>
      </c>
      <c r="AC359" s="618">
        <f t="shared" ref="AC359" si="283">AB359</f>
        <v>-0.25</v>
      </c>
      <c r="AD359" s="168"/>
      <c r="AE359" s="168"/>
      <c r="AF359" s="619"/>
      <c r="AG359" s="620"/>
      <c r="AH359" s="617"/>
      <c r="AI359" s="650"/>
      <c r="AJ359" s="650"/>
      <c r="AK359" s="399"/>
      <c r="AL359" s="618"/>
      <c r="AM359" s="210"/>
      <c r="AN359" s="168"/>
      <c r="AO359" s="170">
        <f>AS359*(1+AT359)</f>
        <v>1.005E-2</v>
      </c>
      <c r="AP359" s="86">
        <f>AS359*(1+AU359)</f>
        <v>1.005E-2</v>
      </c>
      <c r="AQ359" s="272">
        <v>2007</v>
      </c>
      <c r="AR359" s="34"/>
      <c r="AS359" s="442">
        <f>K359/1000</f>
        <v>2.01E-2</v>
      </c>
      <c r="AT359" s="395">
        <v>-0.5</v>
      </c>
      <c r="AU359" s="443">
        <f>AT359</f>
        <v>-0.5</v>
      </c>
      <c r="AV359" s="168"/>
      <c r="AW359" s="168"/>
      <c r="AX359" s="171"/>
      <c r="AY359" s="172"/>
      <c r="AZ359" s="272"/>
      <c r="BA359" s="34"/>
      <c r="BB359" s="657"/>
      <c r="BC359" s="395"/>
      <c r="BD359" s="670"/>
      <c r="BE359" s="210"/>
      <c r="BF359" s="168"/>
      <c r="BG359" s="615"/>
      <c r="BH359" s="616"/>
      <c r="BI359" s="617"/>
      <c r="BJ359" s="642"/>
      <c r="BK359" s="434"/>
      <c r="BL359" s="399"/>
      <c r="BM359" s="652"/>
      <c r="BN359" s="210"/>
      <c r="BO359" s="168"/>
      <c r="BP359" s="615">
        <f t="shared" ref="BP359" si="284">BT359*(1+BV359)</f>
        <v>4.0199999999999993E-3</v>
      </c>
      <c r="BQ359" s="616">
        <f t="shared" ref="BQ359" si="285">BT359*(1+BU359)</f>
        <v>4.0199999999999993E-3</v>
      </c>
      <c r="BR359" s="642">
        <v>1990</v>
      </c>
      <c r="BS359" s="434"/>
      <c r="BT359" s="434">
        <f>+K359/1000</f>
        <v>2.01E-2</v>
      </c>
      <c r="BU359" s="399">
        <v>-0.8</v>
      </c>
      <c r="BV359" s="618">
        <f t="shared" ref="BV359" si="286">BU359</f>
        <v>-0.8</v>
      </c>
      <c r="BW359" s="141"/>
      <c r="BX359" s="311"/>
      <c r="BY359" s="669"/>
    </row>
    <row r="360" spans="1:77" ht="15" customHeight="1" x14ac:dyDescent="0.2">
      <c r="A360" s="56" t="s">
        <v>38</v>
      </c>
      <c r="B360" s="56" t="s">
        <v>477</v>
      </c>
      <c r="C360" s="637" t="s">
        <v>361</v>
      </c>
      <c r="D360" s="544">
        <v>704.35199999999998</v>
      </c>
      <c r="E360" s="127" t="s">
        <v>2601</v>
      </c>
      <c r="F360" s="667"/>
      <c r="G360" s="64"/>
      <c r="H360" s="61"/>
      <c r="I360" s="67">
        <v>2008</v>
      </c>
      <c r="J360" s="62"/>
      <c r="K360" s="62">
        <v>3.7080000000000002</v>
      </c>
      <c r="L360" s="608">
        <v>2012</v>
      </c>
      <c r="M360" s="62"/>
      <c r="N360" s="355">
        <v>4</v>
      </c>
      <c r="O360" s="603">
        <v>2014</v>
      </c>
      <c r="P360" s="62"/>
      <c r="Q360" s="355">
        <v>3.4710000000000001</v>
      </c>
      <c r="R360" s="603"/>
      <c r="S360" s="62"/>
      <c r="T360" s="355"/>
      <c r="U360" s="62"/>
      <c r="V360" s="62"/>
      <c r="W360" s="89">
        <f t="shared" si="264"/>
        <v>2.5956E-3</v>
      </c>
      <c r="X360" s="87">
        <f t="shared" si="265"/>
        <v>2.5956E-3</v>
      </c>
      <c r="Y360" s="642">
        <v>2008</v>
      </c>
      <c r="Z360" s="650"/>
      <c r="AA360" s="650">
        <f>K360/1000</f>
        <v>3.7080000000000004E-3</v>
      </c>
      <c r="AB360" s="399">
        <v>-0.3</v>
      </c>
      <c r="AC360" s="618">
        <f t="shared" si="266"/>
        <v>-0.3</v>
      </c>
      <c r="AD360" s="168"/>
      <c r="AE360" s="168"/>
      <c r="AF360" s="388"/>
      <c r="AG360" s="389"/>
      <c r="AH360" s="390"/>
      <c r="AI360" s="433"/>
      <c r="AJ360" s="433"/>
      <c r="AK360" s="156"/>
      <c r="AL360" s="284"/>
      <c r="AM360" s="210"/>
      <c r="AN360" s="168"/>
      <c r="AO360" s="171">
        <f>AS360*(1+AT360)</f>
        <v>1.5573600000000003E-3</v>
      </c>
      <c r="AP360" s="172">
        <f>AS360*(1+AU360)</f>
        <v>1.5573600000000003E-3</v>
      </c>
      <c r="AQ360" s="272">
        <v>2008</v>
      </c>
      <c r="AR360" s="34"/>
      <c r="AS360" s="657">
        <f>K360/1000</f>
        <v>3.7080000000000004E-3</v>
      </c>
      <c r="AT360" s="395">
        <v>-0.57999999999999996</v>
      </c>
      <c r="AU360" s="443">
        <f>AT360</f>
        <v>-0.57999999999999996</v>
      </c>
      <c r="AV360" s="168"/>
      <c r="AW360" s="168"/>
      <c r="AX360" s="170"/>
      <c r="AY360" s="86"/>
      <c r="AZ360" s="272"/>
      <c r="BA360" s="51"/>
      <c r="BB360" s="34"/>
      <c r="BC360" s="156"/>
      <c r="BD360" s="341"/>
      <c r="BE360" s="210"/>
      <c r="BF360" s="168"/>
      <c r="BG360" s="619"/>
      <c r="BH360" s="620"/>
      <c r="BI360" s="617"/>
      <c r="BJ360" s="642"/>
      <c r="BK360" s="650"/>
      <c r="BL360" s="399"/>
      <c r="BM360" s="652"/>
      <c r="BN360" s="210"/>
      <c r="BO360" s="168"/>
      <c r="BP360" s="619">
        <f t="shared" ref="BP360" si="287">BT360*(1+BV360)</f>
        <v>0</v>
      </c>
      <c r="BQ360" s="620">
        <f t="shared" ref="BQ360" si="288">BT360*(1+BU360)</f>
        <v>0</v>
      </c>
      <c r="BR360" s="671">
        <v>2008</v>
      </c>
      <c r="BS360" s="434"/>
      <c r="BT360" s="650">
        <f t="shared" si="279"/>
        <v>3.7080000000000004E-3</v>
      </c>
      <c r="BU360" s="399">
        <v>-1</v>
      </c>
      <c r="BV360" s="618">
        <f t="shared" ref="BV360" si="289">BU360</f>
        <v>-1</v>
      </c>
      <c r="BW360" s="141"/>
      <c r="BX360" s="311"/>
      <c r="BY360" s="139"/>
    </row>
    <row r="361" spans="1:77" ht="15" customHeight="1" x14ac:dyDescent="0.2">
      <c r="A361" s="56" t="s">
        <v>38</v>
      </c>
      <c r="B361" s="56" t="s">
        <v>477</v>
      </c>
      <c r="C361" s="637" t="s">
        <v>3153</v>
      </c>
      <c r="D361" s="544">
        <v>215.14400000000001</v>
      </c>
      <c r="E361" s="127" t="s">
        <v>387</v>
      </c>
      <c r="F361" s="667"/>
      <c r="G361" s="64"/>
      <c r="H361" s="61"/>
      <c r="I361" s="67"/>
      <c r="J361" s="62"/>
      <c r="K361" s="62">
        <v>2.3462510000000001</v>
      </c>
      <c r="L361" s="608"/>
      <c r="M361" s="62"/>
      <c r="N361" s="355"/>
      <c r="O361" s="603"/>
      <c r="P361" s="62"/>
      <c r="Q361" s="355"/>
      <c r="R361" s="603"/>
      <c r="S361" s="62"/>
      <c r="T361" s="355"/>
      <c r="U361" s="62"/>
      <c r="V361" s="62"/>
      <c r="W361" s="89"/>
      <c r="X361" s="87"/>
      <c r="Y361" s="642"/>
      <c r="Z361" s="650"/>
      <c r="AA361" s="650"/>
      <c r="AB361" s="399"/>
      <c r="AC361" s="618"/>
      <c r="AD361" s="168"/>
      <c r="AE361" s="168"/>
      <c r="AF361" s="388"/>
      <c r="AG361" s="389"/>
      <c r="AH361" s="390"/>
      <c r="AI361" s="433"/>
      <c r="AJ361" s="433"/>
      <c r="AK361" s="156"/>
      <c r="AL361" s="284"/>
      <c r="AM361" s="210"/>
      <c r="AN361" s="168"/>
      <c r="AO361" s="171">
        <f>AS361*(1+AT361)</f>
        <v>1.6423757E-3</v>
      </c>
      <c r="AP361" s="172">
        <f>AS361*(1+AU361)</f>
        <v>1.6423757E-3</v>
      </c>
      <c r="AQ361" s="272">
        <v>2005</v>
      </c>
      <c r="AR361" s="34"/>
      <c r="AS361" s="657">
        <f>K361/1000</f>
        <v>2.3462510000000002E-3</v>
      </c>
      <c r="AT361" s="395">
        <v>-0.3</v>
      </c>
      <c r="AU361" s="443">
        <f>AT361</f>
        <v>-0.3</v>
      </c>
      <c r="AV361" s="168"/>
      <c r="AW361" s="168"/>
      <c r="AX361" s="170"/>
      <c r="AY361" s="86"/>
      <c r="AZ361" s="272"/>
      <c r="BA361" s="51"/>
      <c r="BB361" s="34"/>
      <c r="BC361" s="156"/>
      <c r="BD361" s="341"/>
      <c r="BE361" s="210"/>
      <c r="BF361" s="168"/>
      <c r="BG361" s="619"/>
      <c r="BH361" s="620"/>
      <c r="BI361" s="617"/>
      <c r="BJ361" s="642"/>
      <c r="BK361" s="650"/>
      <c r="BL361" s="399"/>
      <c r="BM361" s="652"/>
      <c r="BN361" s="210"/>
      <c r="BO361" s="168"/>
      <c r="BP361" s="619"/>
      <c r="BQ361" s="620"/>
      <c r="BR361" s="671"/>
      <c r="BS361" s="434"/>
      <c r="BT361" s="650"/>
      <c r="BU361" s="399"/>
      <c r="BV361" s="618"/>
      <c r="BW361" s="141"/>
      <c r="BX361" s="311"/>
      <c r="BY361" s="139"/>
    </row>
    <row r="362" spans="1:77" ht="15" customHeight="1" x14ac:dyDescent="0.2">
      <c r="A362" s="56" t="s">
        <v>38</v>
      </c>
      <c r="B362" s="56" t="s">
        <v>477</v>
      </c>
      <c r="C362" s="637" t="s">
        <v>572</v>
      </c>
      <c r="D362" s="544">
        <v>211.27699999999999</v>
      </c>
      <c r="E362" s="127" t="s">
        <v>387</v>
      </c>
      <c r="F362" s="667"/>
      <c r="G362" s="64"/>
      <c r="H362" s="61">
        <v>1.75</v>
      </c>
      <c r="I362" s="608">
        <v>2000</v>
      </c>
      <c r="J362" s="62"/>
      <c r="K362" s="62">
        <v>1.6589389999999999</v>
      </c>
      <c r="L362" s="608">
        <v>2012</v>
      </c>
      <c r="M362" s="62"/>
      <c r="N362" s="355">
        <v>1.5</v>
      </c>
      <c r="O362" s="603"/>
      <c r="P362" s="62"/>
      <c r="Q362" s="355"/>
      <c r="R362" s="603"/>
      <c r="S362" s="62"/>
      <c r="T362" s="355"/>
      <c r="U362" s="62"/>
      <c r="V362" s="62"/>
      <c r="W362" s="89">
        <f>AA362*(1+AB362)</f>
        <v>1.0499999999999999E-3</v>
      </c>
      <c r="X362" s="87">
        <f>AA362*(1+AC362)</f>
        <v>1.0499999999999999E-3</v>
      </c>
      <c r="Y362" s="642">
        <v>2005</v>
      </c>
      <c r="Z362" s="650"/>
      <c r="AA362" s="650">
        <f>H362/1000</f>
        <v>1.75E-3</v>
      </c>
      <c r="AB362" s="399">
        <v>-0.4</v>
      </c>
      <c r="AC362" s="618">
        <f>AB362</f>
        <v>-0.4</v>
      </c>
      <c r="AD362" s="168"/>
      <c r="AE362" s="168"/>
      <c r="AF362" s="388"/>
      <c r="AG362" s="389"/>
      <c r="AH362" s="390"/>
      <c r="AI362" s="433"/>
      <c r="AJ362" s="433"/>
      <c r="AK362" s="156"/>
      <c r="AL362" s="284"/>
      <c r="AM362" s="210"/>
      <c r="AN362" s="168"/>
      <c r="AO362" s="171"/>
      <c r="AP362" s="172"/>
      <c r="AQ362" s="272"/>
      <c r="AR362" s="34"/>
      <c r="AS362" s="657"/>
      <c r="AT362" s="395"/>
      <c r="AU362" s="443"/>
      <c r="AV362" s="168"/>
      <c r="AW362" s="168"/>
      <c r="AX362" s="170"/>
      <c r="AY362" s="86"/>
      <c r="AZ362" s="272"/>
      <c r="BA362" s="51"/>
      <c r="BB362" s="34"/>
      <c r="BC362" s="156"/>
      <c r="BD362" s="341"/>
      <c r="BE362" s="210"/>
      <c r="BF362" s="168"/>
      <c r="BG362" s="619"/>
      <c r="BH362" s="620"/>
      <c r="BI362" s="617"/>
      <c r="BJ362" s="642"/>
      <c r="BK362" s="650"/>
      <c r="BL362" s="399"/>
      <c r="BM362" s="652"/>
      <c r="BN362" s="210"/>
      <c r="BO362" s="168"/>
      <c r="BP362" s="619">
        <f t="shared" ref="BP362" si="290">BT362*(1+BV362)</f>
        <v>3.4999999999999994E-4</v>
      </c>
      <c r="BQ362" s="620">
        <f t="shared" ref="BQ362" si="291">BT362*(1+BU362)</f>
        <v>3.4999999999999994E-4</v>
      </c>
      <c r="BR362" s="617">
        <v>1990</v>
      </c>
      <c r="BS362" s="642"/>
      <c r="BT362" s="650">
        <f>+H362/1000</f>
        <v>1.75E-3</v>
      </c>
      <c r="BU362" s="399">
        <v>-0.8</v>
      </c>
      <c r="BV362" s="618">
        <f t="shared" ref="BV362" si="292">BU362</f>
        <v>-0.8</v>
      </c>
      <c r="BW362" s="141"/>
      <c r="BX362" s="311"/>
      <c r="BY362" s="669" t="s">
        <v>571</v>
      </c>
    </row>
    <row r="363" spans="1:77" s="14" customFormat="1" ht="15" customHeight="1" x14ac:dyDescent="0.2">
      <c r="A363" s="56" t="s">
        <v>38</v>
      </c>
      <c r="B363" s="56" t="s">
        <v>477</v>
      </c>
      <c r="C363" s="924" t="s">
        <v>367</v>
      </c>
      <c r="D363" s="925">
        <v>701.54700000000003</v>
      </c>
      <c r="E363" s="161" t="s">
        <v>2302</v>
      </c>
      <c r="F363" s="667"/>
      <c r="G363" s="64"/>
      <c r="H363" s="61"/>
      <c r="I363" s="608">
        <v>2006</v>
      </c>
      <c r="J363" s="62"/>
      <c r="K363" s="62">
        <v>10.535018000000001</v>
      </c>
      <c r="L363" s="608"/>
      <c r="M363" s="62"/>
      <c r="N363" s="355"/>
      <c r="O363" s="603">
        <v>2013</v>
      </c>
      <c r="P363" s="62"/>
      <c r="Q363" s="355">
        <v>7.3864070000000002</v>
      </c>
      <c r="R363" s="603"/>
      <c r="S363" s="62"/>
      <c r="T363" s="355"/>
      <c r="U363" s="62"/>
      <c r="V363" s="62"/>
      <c r="W363" s="89">
        <f t="shared" ref="W363" si="293">AA363*(1+AB363)</f>
        <v>8.4280144000000012E-3</v>
      </c>
      <c r="X363" s="87">
        <f t="shared" ref="X363" si="294">AA363*(1+AC363)</f>
        <v>8.4280144000000012E-3</v>
      </c>
      <c r="Y363" s="642">
        <v>2006</v>
      </c>
      <c r="Z363" s="650"/>
      <c r="AA363" s="650">
        <f>K363/1000</f>
        <v>1.0535018E-2</v>
      </c>
      <c r="AB363" s="399">
        <v>-0.2</v>
      </c>
      <c r="AC363" s="618">
        <f t="shared" ref="AC363" si="295">AB363</f>
        <v>-0.2</v>
      </c>
      <c r="AD363" s="168"/>
      <c r="AE363" s="168"/>
      <c r="AF363" s="388"/>
      <c r="AG363" s="389"/>
      <c r="AH363" s="390"/>
      <c r="AI363" s="433"/>
      <c r="AJ363" s="433"/>
      <c r="AK363" s="156"/>
      <c r="AL363" s="284"/>
      <c r="AM363" s="210"/>
      <c r="AN363" s="168"/>
      <c r="AO363" s="171">
        <f>AS363*(1+AT363)</f>
        <v>5.2675090000000001E-3</v>
      </c>
      <c r="AP363" s="172">
        <f>AS363*(1+AU363)</f>
        <v>5.2675090000000001E-3</v>
      </c>
      <c r="AQ363" s="272">
        <v>2006</v>
      </c>
      <c r="AR363" s="34"/>
      <c r="AS363" s="657">
        <f>K363/1000</f>
        <v>1.0535018E-2</v>
      </c>
      <c r="AT363" s="395">
        <v>-0.5</v>
      </c>
      <c r="AU363" s="443">
        <f>AT363</f>
        <v>-0.5</v>
      </c>
      <c r="AV363" s="168"/>
      <c r="AW363" s="168"/>
      <c r="AX363" s="170"/>
      <c r="AY363" s="86"/>
      <c r="AZ363" s="272"/>
      <c r="BA363" s="51"/>
      <c r="BB363" s="34"/>
      <c r="BC363" s="156"/>
      <c r="BD363" s="341"/>
      <c r="BE363" s="210"/>
      <c r="BF363" s="168"/>
      <c r="BG363" s="615"/>
      <c r="BH363" s="616"/>
      <c r="BI363" s="617"/>
      <c r="BJ363" s="642"/>
      <c r="BK363" s="434"/>
      <c r="BL363" s="399"/>
      <c r="BM363" s="652"/>
      <c r="BN363" s="210"/>
      <c r="BO363" s="168"/>
      <c r="BP363" s="619">
        <f t="shared" ref="BP363" si="296">BT363*(1+BV363)</f>
        <v>0</v>
      </c>
      <c r="BQ363" s="620">
        <f t="shared" ref="BQ363" si="297">BT363*(1+BU363)</f>
        <v>0</v>
      </c>
      <c r="BR363" s="617">
        <v>2006</v>
      </c>
      <c r="BS363" s="642"/>
      <c r="BT363" s="650">
        <f>+K363/1000</f>
        <v>1.0535018E-2</v>
      </c>
      <c r="BU363" s="399">
        <v>-1</v>
      </c>
      <c r="BV363" s="618">
        <f t="shared" ref="BV363" si="298">BU363</f>
        <v>-1</v>
      </c>
      <c r="BW363" s="429"/>
      <c r="BX363" s="926"/>
      <c r="BY363" s="430"/>
    </row>
    <row r="364" spans="1:77" s="135" customFormat="1" ht="15" customHeight="1" x14ac:dyDescent="0.2">
      <c r="A364" s="108" t="s">
        <v>122</v>
      </c>
      <c r="B364" s="56" t="s">
        <v>1606</v>
      </c>
      <c r="C364" s="637"/>
      <c r="D364" s="544">
        <v>3371.982</v>
      </c>
      <c r="E364" s="140" t="s">
        <v>3341</v>
      </c>
      <c r="F364" s="374"/>
      <c r="G364" s="104">
        <v>17.928999999999998</v>
      </c>
      <c r="H364" s="1293">
        <v>25.7</v>
      </c>
      <c r="I364" s="1294">
        <v>2006</v>
      </c>
      <c r="J364" s="104">
        <v>16.452000000000002</v>
      </c>
      <c r="K364" s="1293">
        <v>33</v>
      </c>
      <c r="L364" s="1294"/>
      <c r="M364" s="104">
        <v>19.855</v>
      </c>
      <c r="N364" s="104">
        <v>34.86</v>
      </c>
      <c r="O364" s="374">
        <v>2014</v>
      </c>
      <c r="P364" s="104">
        <v>17.254000000000001</v>
      </c>
      <c r="Q364" s="1295">
        <f>P364+19.2</f>
        <v>36.454000000000001</v>
      </c>
      <c r="R364" s="374">
        <v>2019</v>
      </c>
      <c r="S364" s="104">
        <v>19.463000000000001</v>
      </c>
      <c r="T364" s="1295">
        <v>34.85</v>
      </c>
      <c r="U364" s="99"/>
      <c r="V364" s="99"/>
      <c r="W364" s="332"/>
      <c r="X364" s="333"/>
      <c r="Y364" s="646"/>
      <c r="Z364" s="338"/>
      <c r="AA364" s="646"/>
      <c r="AB364" s="649"/>
      <c r="AC364" s="691"/>
      <c r="AD364" s="201"/>
      <c r="AE364" s="130"/>
      <c r="AF364" s="336"/>
      <c r="AG364" s="270"/>
      <c r="AH364" s="278"/>
      <c r="AI364" s="335"/>
      <c r="AJ364" s="334"/>
      <c r="AK364" s="134"/>
      <c r="AL364" s="219"/>
      <c r="AM364" s="221"/>
      <c r="AN364" s="201"/>
      <c r="AO364" s="528">
        <f>(840*21+39*310-2.3)/1000000</f>
        <v>2.9727699999999999E-2</v>
      </c>
      <c r="AP364" s="504"/>
      <c r="AQ364" s="278"/>
      <c r="AR364" s="335"/>
      <c r="AS364" s="334"/>
      <c r="AT364" s="134"/>
      <c r="AU364" s="219"/>
      <c r="AV364" s="201"/>
      <c r="AW364" s="130"/>
      <c r="AX364" s="201"/>
      <c r="AY364" s="130"/>
      <c r="AZ364" s="278"/>
      <c r="BA364" s="335"/>
      <c r="BB364" s="334"/>
      <c r="BC364" s="134"/>
      <c r="BD364" s="233"/>
      <c r="BE364" s="221"/>
      <c r="BF364" s="201"/>
      <c r="BG364" s="643"/>
      <c r="BH364" s="644"/>
      <c r="BI364" s="653"/>
      <c r="BJ364" s="338"/>
      <c r="BK364" s="646"/>
      <c r="BL364" s="649"/>
      <c r="BM364" s="654"/>
      <c r="BN364" s="221"/>
      <c r="BO364" s="201"/>
      <c r="BP364" s="643"/>
      <c r="BQ364" s="644"/>
      <c r="BR364" s="645"/>
      <c r="BS364" s="338"/>
      <c r="BT364" s="646"/>
      <c r="BU364" s="647"/>
      <c r="BV364" s="648"/>
      <c r="BX364" s="139" t="s">
        <v>270</v>
      </c>
      <c r="BY364" s="338" t="s">
        <v>271</v>
      </c>
    </row>
    <row r="365" spans="1:77" s="135" customFormat="1" ht="15" customHeight="1" x14ac:dyDescent="0.2">
      <c r="A365" s="109" t="s">
        <v>124</v>
      </c>
      <c r="B365" s="109" t="s">
        <v>1606</v>
      </c>
      <c r="C365" s="1176"/>
      <c r="D365" s="1177">
        <v>29043.282999999999</v>
      </c>
      <c r="E365" s="1178" t="s">
        <v>2650</v>
      </c>
      <c r="F365" s="369">
        <v>1999</v>
      </c>
      <c r="G365" s="105">
        <v>177.9</v>
      </c>
      <c r="H365" s="1179">
        <v>192.2</v>
      </c>
      <c r="I365" s="1180"/>
      <c r="J365" s="105"/>
      <c r="K365" s="1179"/>
      <c r="L365" s="1180"/>
      <c r="M365" s="1181">
        <v>243.38</v>
      </c>
      <c r="N365" s="105">
        <f>M365-6.664</f>
        <v>236.71600000000001</v>
      </c>
      <c r="O365" s="369"/>
      <c r="P365" s="1182"/>
      <c r="Q365" s="1183"/>
      <c r="R365" s="369"/>
      <c r="S365" s="1182"/>
      <c r="T365" s="1183"/>
      <c r="U365" s="1182">
        <v>270</v>
      </c>
      <c r="V365" s="1184"/>
      <c r="W365" s="1185">
        <v>0.25</v>
      </c>
      <c r="X365" s="1186">
        <f>W365</f>
        <v>0.25</v>
      </c>
      <c r="Y365" s="1187"/>
      <c r="Z365" s="1188"/>
      <c r="AA365" s="1187"/>
      <c r="AB365" s="1189"/>
      <c r="AC365" s="1190"/>
      <c r="AD365" s="1191"/>
      <c r="AE365" s="1192"/>
      <c r="AF365" s="1193"/>
      <c r="AG365" s="1194"/>
      <c r="AH365" s="1195"/>
      <c r="AI365" s="1188"/>
      <c r="AJ365" s="1187"/>
      <c r="AK365" s="1189"/>
      <c r="AL365" s="1196"/>
      <c r="AM365" s="1197">
        <v>0.34</v>
      </c>
      <c r="AN365" s="1198"/>
      <c r="AO365" s="1185">
        <f>AR365*(1+AT365)</f>
        <v>0.34</v>
      </c>
      <c r="AP365" s="1186">
        <f>AR365*(1+AU365)</f>
        <v>0.27200000000000002</v>
      </c>
      <c r="AQ365" s="1199">
        <v>2030</v>
      </c>
      <c r="AR365" s="1200">
        <f>+AM365</f>
        <v>0.34</v>
      </c>
      <c r="AS365" s="1201"/>
      <c r="AT365" s="1202">
        <v>0</v>
      </c>
      <c r="AU365" s="1203">
        <v>-0.2</v>
      </c>
      <c r="AV365" s="1191"/>
      <c r="AW365" s="1192"/>
      <c r="AX365" s="1191"/>
      <c r="AY365" s="1192"/>
      <c r="AZ365" s="1195"/>
      <c r="BA365" s="1188"/>
      <c r="BB365" s="1187"/>
      <c r="BC365" s="1189"/>
      <c r="BD365" s="1204"/>
      <c r="BE365" s="1205"/>
      <c r="BF365" s="1191"/>
      <c r="BG365" s="1206"/>
      <c r="BH365" s="1192"/>
      <c r="BI365" s="1195"/>
      <c r="BJ365" s="1188"/>
      <c r="BK365" s="1187"/>
      <c r="BL365" s="1189"/>
      <c r="BM365" s="1204"/>
      <c r="BN365" s="1205"/>
      <c r="BO365" s="1191"/>
      <c r="BP365" s="1206"/>
      <c r="BQ365" s="1192"/>
      <c r="BR365" s="1207"/>
      <c r="BS365" s="1188"/>
      <c r="BT365" s="1187"/>
      <c r="BU365" s="1208"/>
      <c r="BV365" s="1209"/>
      <c r="BW365" s="1210"/>
      <c r="BX365" s="828"/>
      <c r="BY365" s="1188"/>
    </row>
    <row r="366" spans="1:77" ht="15" customHeight="1" x14ac:dyDescent="0.2">
      <c r="A366" s="116" t="s">
        <v>336</v>
      </c>
      <c r="B366" s="116"/>
      <c r="C366" s="627"/>
      <c r="D366" s="627"/>
      <c r="E366" s="183"/>
      <c r="F366" s="371"/>
      <c r="G366" s="115">
        <f>SUM(G367:G692)</f>
        <v>8526.8694500599995</v>
      </c>
      <c r="H366" s="115">
        <f>SUM(H367:H692)</f>
        <v>9164.0919503199966</v>
      </c>
      <c r="I366" s="112"/>
      <c r="J366" s="115">
        <f>SUM(J367:J692)</f>
        <v>14269.950116299997</v>
      </c>
      <c r="K366" s="115">
        <f>SUM(K367:K692)</f>
        <v>15167.167743557828</v>
      </c>
      <c r="L366" s="112"/>
      <c r="M366" s="115">
        <f>SUM(M367:M692)</f>
        <v>19302.490641199998</v>
      </c>
      <c r="N366" s="372">
        <f>SUM(N367:N692)</f>
        <v>20467.840054899996</v>
      </c>
      <c r="O366" s="1036"/>
      <c r="P366" s="115"/>
      <c r="Q366" s="372"/>
      <c r="R366" s="1036"/>
      <c r="S366" s="115"/>
      <c r="T366" s="372"/>
      <c r="U366" s="115">
        <f>SUM(U367:U692)</f>
        <v>10714.359847435899</v>
      </c>
      <c r="V366" s="113">
        <f>SUM(V367:V692)</f>
        <v>8590.4331187179487</v>
      </c>
      <c r="W366" s="46">
        <f>SUM(W367:W692)</f>
        <v>9.590816160100001</v>
      </c>
      <c r="X366" s="47">
        <f>SUM(X367:X692)</f>
        <v>8.9076523600999984</v>
      </c>
      <c r="Y366" s="145"/>
      <c r="Z366" s="38"/>
      <c r="AA366" s="145"/>
      <c r="AB366" s="80"/>
      <c r="AC366" s="209"/>
      <c r="AD366" s="78">
        <f>SUM(AD367:AD692)</f>
        <v>0.12694387503649635</v>
      </c>
      <c r="AE366" s="78">
        <f>SUM(AE367:AE692)</f>
        <v>0.92527618503649633</v>
      </c>
      <c r="AF366" s="414">
        <f>SUM(AF367:AF692)</f>
        <v>0.63262255114899624</v>
      </c>
      <c r="AG366" s="480">
        <f>SUM(AG367:AG692)</f>
        <v>0.56664172925118605</v>
      </c>
      <c r="AH366" s="77"/>
      <c r="AI366" s="38"/>
      <c r="AJ366" s="145"/>
      <c r="AK366" s="80"/>
      <c r="AL366" s="215"/>
      <c r="AM366" s="207">
        <f>SUM(AM367:AM692)</f>
        <v>7.4845430197826079</v>
      </c>
      <c r="AN366" s="78">
        <f>SUM(AN367:AN692)</f>
        <v>3.5128735849999999</v>
      </c>
      <c r="AO366" s="46">
        <f>SUM(AO367:AO692)</f>
        <v>30.269011579243937</v>
      </c>
      <c r="AP366" s="47">
        <f>SUM(AP367:AP692)</f>
        <v>27.891559192753935</v>
      </c>
      <c r="AQ366" s="77"/>
      <c r="AR366" s="38"/>
      <c r="AS366" s="145"/>
      <c r="AT366" s="80"/>
      <c r="AU366" s="215"/>
      <c r="AV366" s="78">
        <f>SUM(AV367:AV692)</f>
        <v>0</v>
      </c>
      <c r="AW366" s="78">
        <f>SUM(AW367:AW692)</f>
        <v>0</v>
      </c>
      <c r="AX366" s="414">
        <f>SUM(AX367:AX692)</f>
        <v>7.7700000000000005E-5</v>
      </c>
      <c r="AY366" s="480">
        <f>SUM(AY367:AY692)</f>
        <v>7.7700000000000005E-5</v>
      </c>
      <c r="AZ366" s="77"/>
      <c r="BA366" s="38"/>
      <c r="BB366" s="145"/>
      <c r="BC366" s="80"/>
      <c r="BD366" s="75"/>
      <c r="BE366" s="207">
        <f>SUM(BE367:BE692)</f>
        <v>0</v>
      </c>
      <c r="BF366" s="78">
        <f>SUM(BF367:BF692)</f>
        <v>0</v>
      </c>
      <c r="BG366" s="46">
        <f>SUM(BG367:BG692)</f>
        <v>2.0249575879999995E-2</v>
      </c>
      <c r="BH366" s="47">
        <f>SUM(BH367:BH692)</f>
        <v>2.0249575879999995E-2</v>
      </c>
      <c r="BI366" s="77"/>
      <c r="BJ366" s="38"/>
      <c r="BK366" s="145"/>
      <c r="BL366" s="80"/>
      <c r="BM366" s="75"/>
      <c r="BN366" s="207">
        <f>SUM(BN367:BN692)</f>
        <v>0</v>
      </c>
      <c r="BO366" s="47">
        <f>SUM(BO367:BO692)</f>
        <v>0</v>
      </c>
      <c r="BP366" s="78">
        <f>SUM(BP367:BP692)</f>
        <v>0.20973409130000004</v>
      </c>
      <c r="BQ366" s="47">
        <f>SUM(BQ367:BQ692)</f>
        <v>0.19413409130000003</v>
      </c>
      <c r="BR366" s="32"/>
      <c r="BS366" s="38"/>
      <c r="BT366" s="145"/>
      <c r="BU366" s="27"/>
      <c r="BV366" s="220"/>
      <c r="BX366" s="321"/>
      <c r="BY366" s="38"/>
    </row>
    <row r="367" spans="1:77" ht="15" customHeight="1" x14ac:dyDescent="0.2">
      <c r="A367" s="578" t="s">
        <v>180</v>
      </c>
      <c r="B367" s="56" t="s">
        <v>1606</v>
      </c>
      <c r="C367" s="637"/>
      <c r="D367" s="544">
        <v>28397.812000000002</v>
      </c>
      <c r="E367" s="1273" t="s">
        <v>2900</v>
      </c>
      <c r="F367" s="1274"/>
      <c r="G367" s="1277">
        <v>18.07657</v>
      </c>
      <c r="H367" s="1277">
        <f>G367</f>
        <v>18.07657</v>
      </c>
      <c r="I367" s="1275"/>
      <c r="J367" s="1278">
        <v>22.453859999999999</v>
      </c>
      <c r="K367" s="1279">
        <f>J367</f>
        <v>22.453859999999999</v>
      </c>
      <c r="L367" s="1280"/>
      <c r="M367" s="1277">
        <v>36.102420000000002</v>
      </c>
      <c r="N367" s="1281">
        <f>M367</f>
        <v>36.102420000000002</v>
      </c>
      <c r="O367" s="1038">
        <v>2017</v>
      </c>
      <c r="P367" s="104">
        <v>43.47139</v>
      </c>
      <c r="Q367" s="1295">
        <f>P367</f>
        <v>43.47139</v>
      </c>
      <c r="R367" s="1038">
        <v>2017</v>
      </c>
      <c r="S367" s="104">
        <v>43.47139</v>
      </c>
      <c r="T367" s="1295">
        <f>S367</f>
        <v>43.47139</v>
      </c>
      <c r="U367" s="540">
        <v>46.482199999999999</v>
      </c>
      <c r="V367" s="540">
        <v>35.53302</v>
      </c>
      <c r="W367" s="481"/>
      <c r="X367" s="485"/>
      <c r="Y367" s="145"/>
      <c r="Z367" s="38"/>
      <c r="AA367" s="145"/>
      <c r="AB367" s="80"/>
      <c r="AC367" s="209"/>
      <c r="AD367" s="387">
        <f>53.18064/1000</f>
        <v>5.3180639999999994E-2</v>
      </c>
      <c r="AE367" s="387">
        <f>41.67295/1000</f>
        <v>4.167295E-2</v>
      </c>
      <c r="AF367" s="454"/>
      <c r="AG367" s="439">
        <f>40.3/1000</f>
        <v>4.0299999999999996E-2</v>
      </c>
      <c r="AH367" s="77"/>
      <c r="AI367" s="38"/>
      <c r="AJ367" s="145"/>
      <c r="AK367" s="80"/>
      <c r="AL367" s="215"/>
      <c r="AM367" s="456">
        <f>61.93954/1000</f>
        <v>6.1939540000000001E-2</v>
      </c>
      <c r="AN367" s="387">
        <f>48.93954/1000</f>
        <v>4.8939540000000004E-2</v>
      </c>
      <c r="AO367" s="454">
        <f>AS367*(1+AT367)</f>
        <v>4.8939540000000004E-2</v>
      </c>
      <c r="AP367" s="439">
        <f>AS367*(1+AU367)</f>
        <v>4.228376256E-2</v>
      </c>
      <c r="AQ367" s="440">
        <v>2030</v>
      </c>
      <c r="AR367" s="424"/>
      <c r="AS367" s="424">
        <f>AN367</f>
        <v>4.8939540000000004E-2</v>
      </c>
      <c r="AT367" s="461">
        <v>0</v>
      </c>
      <c r="AU367" s="462">
        <v>-0.13600000000000001</v>
      </c>
      <c r="AV367" s="16"/>
      <c r="AW367" s="16"/>
      <c r="AX367" s="19"/>
      <c r="AY367" s="20"/>
      <c r="AZ367" s="77"/>
      <c r="BA367" s="38"/>
      <c r="BB367" s="145"/>
      <c r="BC367" s="80"/>
      <c r="BD367" s="75"/>
      <c r="BE367" s="208"/>
      <c r="BF367" s="16"/>
      <c r="BG367" s="19"/>
      <c r="BH367" s="20"/>
      <c r="BI367" s="77"/>
      <c r="BJ367" s="38"/>
      <c r="BK367" s="145"/>
      <c r="BL367" s="80"/>
      <c r="BM367" s="75"/>
      <c r="BN367" s="208"/>
      <c r="BO367" s="16"/>
      <c r="BP367" s="19"/>
      <c r="BQ367" s="20"/>
      <c r="BR367" s="32"/>
      <c r="BS367" s="38"/>
      <c r="BT367" s="145"/>
      <c r="BU367" s="27"/>
      <c r="BV367" s="220"/>
      <c r="BX367" s="321"/>
      <c r="BY367" s="38"/>
    </row>
    <row r="368" spans="1:77" ht="15" customHeight="1" x14ac:dyDescent="0.2">
      <c r="A368" s="55" t="s">
        <v>2</v>
      </c>
      <c r="B368" s="56" t="s">
        <v>1606</v>
      </c>
      <c r="C368" s="637"/>
      <c r="D368" s="544">
        <v>22404.488000000001</v>
      </c>
      <c r="E368" s="1513" t="s">
        <v>3298</v>
      </c>
      <c r="F368" s="1098"/>
      <c r="G368" s="121">
        <v>604.904</v>
      </c>
      <c r="H368" s="104">
        <v>420.315</v>
      </c>
      <c r="I368" s="571"/>
      <c r="J368" s="62">
        <v>610.58799999999997</v>
      </c>
      <c r="K368" s="62">
        <v>521.80100000000004</v>
      </c>
      <c r="L368" s="571"/>
      <c r="M368" s="62">
        <v>585.95000000000005</v>
      </c>
      <c r="N368" s="62">
        <v>537.27499999999998</v>
      </c>
      <c r="O368" s="603">
        <v>2017</v>
      </c>
      <c r="P368" s="62">
        <v>534.69500000000005</v>
      </c>
      <c r="Q368" s="355">
        <v>554.12699999999995</v>
      </c>
      <c r="R368" s="1514">
        <v>2019</v>
      </c>
      <c r="S368" s="1515">
        <v>529.29999999999995</v>
      </c>
      <c r="T368" s="1516"/>
      <c r="U368" s="62">
        <v>690</v>
      </c>
      <c r="V368" s="61">
        <v>648</v>
      </c>
      <c r="W368" s="19">
        <f>Z368*(1+AB368)</f>
        <v>0.53010000000000002</v>
      </c>
      <c r="X368" s="20">
        <f>Z368*(1+AC368)</f>
        <v>0.41850000000000004</v>
      </c>
      <c r="Y368" s="50">
        <v>2000</v>
      </c>
      <c r="Z368" s="31">
        <f>558/1000</f>
        <v>0.55800000000000005</v>
      </c>
      <c r="AA368" s="145"/>
      <c r="AB368" s="395">
        <v>-0.05</v>
      </c>
      <c r="AC368" s="443">
        <v>-0.25</v>
      </c>
      <c r="AD368" s="16"/>
      <c r="AE368" s="16"/>
      <c r="AF368" s="170"/>
      <c r="AG368" s="86"/>
      <c r="AH368" s="272"/>
      <c r="AI368" s="31"/>
      <c r="AJ368" s="31"/>
      <c r="AK368" s="156"/>
      <c r="AL368" s="284"/>
      <c r="AM368" s="208"/>
      <c r="AN368" s="16"/>
      <c r="AO368" s="1517">
        <f>AR368*(1+AT368)</f>
        <v>0.23957955000000003</v>
      </c>
      <c r="AP368" s="1518">
        <f>AR368*(1+AU368)</f>
        <v>0.23957955000000003</v>
      </c>
      <c r="AQ368" s="1519">
        <v>2005</v>
      </c>
      <c r="AR368" s="1520">
        <f>+H368/1000</f>
        <v>0.42031499999999999</v>
      </c>
      <c r="AS368" s="1521"/>
      <c r="AT368" s="1522">
        <v>-0.43</v>
      </c>
      <c r="AU368" s="1523">
        <v>-0.43</v>
      </c>
      <c r="AV368" s="16"/>
      <c r="AW368" s="16"/>
      <c r="AX368" s="170"/>
      <c r="AY368" s="86"/>
      <c r="AZ368" s="272"/>
      <c r="BA368" s="31"/>
      <c r="BB368" s="31"/>
      <c r="BC368" s="43"/>
      <c r="BD368" s="229"/>
      <c r="BE368" s="208"/>
      <c r="BF368" s="16"/>
      <c r="BG368" s="170"/>
      <c r="BH368" s="86"/>
      <c r="BI368" s="272"/>
      <c r="BJ368" s="31"/>
      <c r="BK368" s="31"/>
      <c r="BL368" s="43"/>
      <c r="BM368" s="229"/>
      <c r="BN368" s="208"/>
      <c r="BO368" s="16"/>
      <c r="BP368" s="170"/>
      <c r="BQ368" s="86"/>
      <c r="BR368" s="50"/>
      <c r="BS368" s="31"/>
      <c r="BT368" s="31"/>
      <c r="BU368" s="43"/>
      <c r="BV368" s="209"/>
      <c r="BW368" s="141" t="s">
        <v>217</v>
      </c>
      <c r="BX368" s="311"/>
      <c r="BY368" s="137" t="s">
        <v>225</v>
      </c>
    </row>
    <row r="369" spans="1:77" ht="15" customHeight="1" x14ac:dyDescent="0.2">
      <c r="A369" s="55" t="s">
        <v>2</v>
      </c>
      <c r="B369" s="1023" t="s">
        <v>2256</v>
      </c>
      <c r="C369" s="637"/>
      <c r="D369" s="544">
        <v>44</v>
      </c>
      <c r="E369" s="487" t="s">
        <v>2247</v>
      </c>
      <c r="F369" s="572"/>
      <c r="G369" s="60"/>
      <c r="H369" s="61"/>
      <c r="I369" s="571"/>
      <c r="J369" s="62"/>
      <c r="K369" s="63">
        <f>Q369/(1-0.08)</f>
        <v>1.6637293478260871</v>
      </c>
      <c r="L369" s="571"/>
      <c r="M369" s="62"/>
      <c r="N369" s="355"/>
      <c r="O369" s="603">
        <v>2014</v>
      </c>
      <c r="P369" s="272"/>
      <c r="Q369" s="355">
        <v>1.5306310000000001</v>
      </c>
      <c r="R369" s="603"/>
      <c r="S369" s="272"/>
      <c r="T369" s="355"/>
      <c r="U369" s="62"/>
      <c r="V369" s="62"/>
      <c r="W369" s="19"/>
      <c r="X369" s="20"/>
      <c r="Y369" s="50"/>
      <c r="Z369" s="31"/>
      <c r="AA369" s="145"/>
      <c r="AB369" s="395"/>
      <c r="AC369" s="443"/>
      <c r="AD369" s="16"/>
      <c r="AE369" s="16"/>
      <c r="AF369" s="170"/>
      <c r="AG369" s="86"/>
      <c r="AH369" s="272"/>
      <c r="AI369" s="31"/>
      <c r="AJ369" s="31"/>
      <c r="AK369" s="156"/>
      <c r="AL369" s="284"/>
      <c r="AM369" s="208"/>
      <c r="AN369" s="16"/>
      <c r="AO369" s="388">
        <f>AP369</f>
        <v>1.663729347826087E-3</v>
      </c>
      <c r="AP369" s="389">
        <f>AS369</f>
        <v>1.663729347826087E-3</v>
      </c>
      <c r="AQ369" s="617">
        <v>2005</v>
      </c>
      <c r="AR369" s="434"/>
      <c r="AS369" s="679">
        <f>+K369/1000</f>
        <v>1.663729347826087E-3</v>
      </c>
      <c r="AT369" s="399">
        <v>0</v>
      </c>
      <c r="AU369" s="618">
        <v>0</v>
      </c>
      <c r="AV369" s="16"/>
      <c r="AW369" s="16"/>
      <c r="AX369" s="170"/>
      <c r="AY369" s="86"/>
      <c r="AZ369" s="272"/>
      <c r="BA369" s="31"/>
      <c r="BB369" s="31"/>
      <c r="BC369" s="43"/>
      <c r="BD369" s="229"/>
      <c r="BE369" s="208"/>
      <c r="BF369" s="16"/>
      <c r="BG369" s="170"/>
      <c r="BH369" s="86"/>
      <c r="BI369" s="272"/>
      <c r="BJ369" s="31"/>
      <c r="BK369" s="31"/>
      <c r="BL369" s="43"/>
      <c r="BM369" s="229"/>
      <c r="BN369" s="208"/>
      <c r="BO369" s="16"/>
      <c r="BP369" s="170"/>
      <c r="BQ369" s="86"/>
      <c r="BR369" s="50"/>
      <c r="BS369" s="31"/>
      <c r="BT369" s="31"/>
      <c r="BU369" s="43"/>
      <c r="BV369" s="209"/>
      <c r="BW369" s="141"/>
      <c r="BX369" s="311"/>
      <c r="BY369" s="137"/>
    </row>
    <row r="370" spans="1:77" ht="15" customHeight="1" x14ac:dyDescent="0.2">
      <c r="A370" s="55" t="s">
        <v>2</v>
      </c>
      <c r="B370" s="107" t="s">
        <v>2478</v>
      </c>
      <c r="C370" s="637"/>
      <c r="D370" s="544">
        <v>4900</v>
      </c>
      <c r="E370" s="487" t="s">
        <v>2928</v>
      </c>
      <c r="F370" s="572"/>
      <c r="G370" s="60"/>
      <c r="H370" s="61">
        <v>73.864999999999995</v>
      </c>
      <c r="I370" s="571"/>
      <c r="J370" s="62">
        <v>179.83099999999999</v>
      </c>
      <c r="K370" s="62">
        <v>119.5</v>
      </c>
      <c r="L370" s="571"/>
      <c r="M370" s="62">
        <v>160</v>
      </c>
      <c r="N370" s="355">
        <v>127.3</v>
      </c>
      <c r="O370" s="603">
        <v>2016</v>
      </c>
      <c r="P370" s="62">
        <v>151.80000000000001</v>
      </c>
      <c r="Q370" s="355">
        <f>K370*0.86</f>
        <v>102.77</v>
      </c>
      <c r="R370" s="603">
        <v>2016</v>
      </c>
      <c r="S370" s="62">
        <v>161.20077000000001</v>
      </c>
      <c r="T370" s="355">
        <v>142.07324</v>
      </c>
      <c r="U370" s="62"/>
      <c r="V370" s="62"/>
      <c r="W370" s="19"/>
      <c r="X370" s="20"/>
      <c r="Y370" s="50"/>
      <c r="Z370" s="31"/>
      <c r="AA370" s="145"/>
      <c r="AB370" s="395"/>
      <c r="AC370" s="443"/>
      <c r="AD370" s="16"/>
      <c r="AE370" s="16"/>
      <c r="AF370" s="170"/>
      <c r="AG370" s="86"/>
      <c r="AH370" s="272"/>
      <c r="AI370" s="31"/>
      <c r="AJ370" s="31"/>
      <c r="AK370" s="156"/>
      <c r="AL370" s="284"/>
      <c r="AM370" s="208"/>
      <c r="AN370" s="16"/>
      <c r="AO370" s="409">
        <f>AR370*(1+AT370)</f>
        <v>0.12588169999999999</v>
      </c>
      <c r="AP370" s="713">
        <f>AR370*(1+AU370)</f>
        <v>0.12588169999999999</v>
      </c>
      <c r="AQ370" s="617">
        <v>2005</v>
      </c>
      <c r="AR370" s="679">
        <f>+J370/1000</f>
        <v>0.17983099999999999</v>
      </c>
      <c r="AS370" s="679"/>
      <c r="AT370" s="399">
        <v>-0.3</v>
      </c>
      <c r="AU370" s="618">
        <f>AT370</f>
        <v>-0.3</v>
      </c>
      <c r="AV370" s="16"/>
      <c r="AW370" s="16"/>
      <c r="AX370" s="170"/>
      <c r="AY370" s="86"/>
      <c r="AZ370" s="272"/>
      <c r="BA370" s="31"/>
      <c r="BB370" s="31"/>
      <c r="BC370" s="43"/>
      <c r="BD370" s="229"/>
      <c r="BE370" s="208"/>
      <c r="BF370" s="16"/>
      <c r="BG370" s="170"/>
      <c r="BH370" s="86"/>
      <c r="BI370" s="272"/>
      <c r="BJ370" s="31"/>
      <c r="BK370" s="31"/>
      <c r="BL370" s="43"/>
      <c r="BM370" s="229"/>
      <c r="BN370" s="208"/>
      <c r="BO370" s="16"/>
      <c r="BP370" s="635">
        <f>BT370*(1+BU370)</f>
        <v>0</v>
      </c>
      <c r="BQ370" s="636">
        <f>BT370*(1+BV370)</f>
        <v>0</v>
      </c>
      <c r="BR370" s="50">
        <v>1990</v>
      </c>
      <c r="BS370" s="31"/>
      <c r="BT370" s="33">
        <f>+H370/1000</f>
        <v>7.3865E-2</v>
      </c>
      <c r="BU370" s="43">
        <v>-1</v>
      </c>
      <c r="BV370" s="209">
        <f>BU370</f>
        <v>-1</v>
      </c>
      <c r="BW370" s="141"/>
      <c r="BX370" s="311"/>
      <c r="BY370" s="743" t="s">
        <v>2479</v>
      </c>
    </row>
    <row r="371" spans="1:77" ht="15" customHeight="1" x14ac:dyDescent="0.2">
      <c r="A371" s="55" t="s">
        <v>2</v>
      </c>
      <c r="B371" s="107" t="s">
        <v>417</v>
      </c>
      <c r="C371" s="637"/>
      <c r="D371" s="544">
        <v>1689</v>
      </c>
      <c r="E371" s="487" t="s">
        <v>2739</v>
      </c>
      <c r="F371" s="572"/>
      <c r="G371" s="60">
        <v>33.523000000000003</v>
      </c>
      <c r="H371" s="61"/>
      <c r="I371" s="571"/>
      <c r="J371" s="62">
        <v>33.799999999999997</v>
      </c>
      <c r="K371" s="62"/>
      <c r="L371" s="608"/>
      <c r="M371" s="62">
        <v>31.69</v>
      </c>
      <c r="N371" s="355">
        <v>31.69</v>
      </c>
      <c r="O371" s="603">
        <v>2016</v>
      </c>
      <c r="P371" s="62">
        <v>26.3</v>
      </c>
      <c r="Q371" s="355"/>
      <c r="R371" s="603">
        <v>2016</v>
      </c>
      <c r="S371" s="62">
        <v>26.3</v>
      </c>
      <c r="T371" s="357"/>
      <c r="U371" s="62"/>
      <c r="V371" s="62"/>
      <c r="W371" s="19"/>
      <c r="X371" s="20"/>
      <c r="Y371" s="50"/>
      <c r="Z371" s="31"/>
      <c r="AA371" s="145"/>
      <c r="AB371" s="395"/>
      <c r="AC371" s="443"/>
      <c r="AD371" s="16"/>
      <c r="AE371" s="16"/>
      <c r="AF371" s="170"/>
      <c r="AG371" s="86"/>
      <c r="AH371" s="272"/>
      <c r="AI371" s="31"/>
      <c r="AJ371" s="31"/>
      <c r="AK371" s="156"/>
      <c r="AL371" s="284"/>
      <c r="AM371" s="208"/>
      <c r="AN371" s="16"/>
      <c r="AO371" s="388"/>
      <c r="AP371" s="389"/>
      <c r="AQ371" s="390"/>
      <c r="AR371" s="433"/>
      <c r="AS371" s="31"/>
      <c r="AT371" s="156"/>
      <c r="AU371" s="284"/>
      <c r="AV371" s="16"/>
      <c r="AW371" s="16"/>
      <c r="AX371" s="170"/>
      <c r="AY371" s="86"/>
      <c r="AZ371" s="272"/>
      <c r="BA371" s="31"/>
      <c r="BB371" s="31"/>
      <c r="BC371" s="43"/>
      <c r="BD371" s="229"/>
      <c r="BE371" s="208"/>
      <c r="BF371" s="16"/>
      <c r="BG371" s="170"/>
      <c r="BH371" s="86"/>
      <c r="BI371" s="272"/>
      <c r="BJ371" s="31"/>
      <c r="BK371" s="31"/>
      <c r="BL371" s="43"/>
      <c r="BM371" s="229"/>
      <c r="BN371" s="208"/>
      <c r="BO371" s="16"/>
      <c r="BP371" s="635">
        <f>BT371*(1+BU371)</f>
        <v>0</v>
      </c>
      <c r="BQ371" s="636">
        <f>BT371*(1+BV371)</f>
        <v>0</v>
      </c>
      <c r="BR371" s="50">
        <v>1990</v>
      </c>
      <c r="BS371" s="31"/>
      <c r="BT371" s="33">
        <f>+H371/1000</f>
        <v>0</v>
      </c>
      <c r="BU371" s="43">
        <v>-1</v>
      </c>
      <c r="BV371" s="209">
        <f>BU371</f>
        <v>-1</v>
      </c>
      <c r="BW371" s="141"/>
      <c r="BX371" s="311" t="s">
        <v>2186</v>
      </c>
      <c r="BY371" s="137"/>
    </row>
    <row r="372" spans="1:77" ht="15" customHeight="1" x14ac:dyDescent="0.2">
      <c r="A372" s="55" t="s">
        <v>2</v>
      </c>
      <c r="B372" s="107" t="s">
        <v>1630</v>
      </c>
      <c r="C372" s="637"/>
      <c r="D372" s="544">
        <v>507.6</v>
      </c>
      <c r="E372" s="487" t="s">
        <v>1631</v>
      </c>
      <c r="F372" s="572"/>
      <c r="G372" s="60"/>
      <c r="H372" s="61">
        <v>8.0500000000000007</v>
      </c>
      <c r="I372" s="571"/>
      <c r="J372" s="62">
        <v>21.5</v>
      </c>
      <c r="K372" s="62">
        <v>8.0399999999999991</v>
      </c>
      <c r="L372" s="608"/>
      <c r="M372" s="62"/>
      <c r="N372" s="355">
        <v>8.06</v>
      </c>
      <c r="O372" s="603"/>
      <c r="P372" s="62">
        <v>21.6</v>
      </c>
      <c r="Q372" s="355">
        <v>7.9</v>
      </c>
      <c r="R372" s="603"/>
      <c r="S372" s="62"/>
      <c r="T372" s="355"/>
      <c r="U372" s="62"/>
      <c r="V372" s="62"/>
      <c r="W372" s="633"/>
      <c r="X372" s="634"/>
      <c r="Y372" s="50"/>
      <c r="Z372" s="31"/>
      <c r="AA372" s="564"/>
      <c r="AB372" s="395"/>
      <c r="AC372" s="443"/>
      <c r="AD372" s="16"/>
      <c r="AE372" s="16"/>
      <c r="AF372" s="170"/>
      <c r="AG372" s="86"/>
      <c r="AH372" s="272"/>
      <c r="AI372" s="31"/>
      <c r="AJ372" s="31"/>
      <c r="AK372" s="156"/>
      <c r="AL372" s="284"/>
      <c r="AM372" s="208"/>
      <c r="AN372" s="16"/>
      <c r="AO372" s="409">
        <f>AS372*(1+AT372)</f>
        <v>3.2200000000000002E-3</v>
      </c>
      <c r="AP372" s="713">
        <f>AS372*(1+AU372)</f>
        <v>3.2200000000000002E-3</v>
      </c>
      <c r="AQ372" s="617"/>
      <c r="AR372" s="434"/>
      <c r="AS372" s="679">
        <f>+H372/1000</f>
        <v>8.0499999999999999E-3</v>
      </c>
      <c r="AT372" s="399">
        <v>-0.6</v>
      </c>
      <c r="AU372" s="618">
        <f>AT372</f>
        <v>-0.6</v>
      </c>
      <c r="AV372" s="16"/>
      <c r="AW372" s="16"/>
      <c r="AX372" s="170"/>
      <c r="AY372" s="86"/>
      <c r="AZ372" s="272"/>
      <c r="BA372" s="31"/>
      <c r="BB372" s="31"/>
      <c r="BC372" s="43"/>
      <c r="BD372" s="229"/>
      <c r="BE372" s="208"/>
      <c r="BF372" s="16"/>
      <c r="BG372" s="170"/>
      <c r="BH372" s="86"/>
      <c r="BI372" s="272"/>
      <c r="BJ372" s="31"/>
      <c r="BK372" s="31"/>
      <c r="BL372" s="43"/>
      <c r="BM372" s="229"/>
      <c r="BN372" s="208"/>
      <c r="BO372" s="16"/>
      <c r="BP372" s="635"/>
      <c r="BQ372" s="636"/>
      <c r="BR372" s="50"/>
      <c r="BS372" s="31"/>
      <c r="BT372" s="33"/>
      <c r="BU372" s="43"/>
      <c r="BV372" s="209"/>
      <c r="BW372" s="141"/>
      <c r="BX372" s="311"/>
      <c r="BY372" s="743" t="s">
        <v>1632</v>
      </c>
    </row>
    <row r="373" spans="1:77" ht="15" customHeight="1" x14ac:dyDescent="0.2">
      <c r="A373" s="55" t="s">
        <v>2</v>
      </c>
      <c r="B373" s="107" t="s">
        <v>2210</v>
      </c>
      <c r="C373" s="637"/>
      <c r="D373" s="544">
        <v>6300</v>
      </c>
      <c r="E373" s="487" t="s">
        <v>2933</v>
      </c>
      <c r="F373" s="572"/>
      <c r="G373" s="60">
        <v>104</v>
      </c>
      <c r="H373" s="61"/>
      <c r="I373" s="608"/>
      <c r="J373" s="62">
        <v>127.8</v>
      </c>
      <c r="K373" s="62"/>
      <c r="L373" s="608"/>
      <c r="M373" s="62"/>
      <c r="N373" s="355"/>
      <c r="O373" s="603"/>
      <c r="P373" s="62">
        <v>113.95199167</v>
      </c>
      <c r="Q373" s="915">
        <v>123.68906389999999</v>
      </c>
      <c r="R373" s="603">
        <v>2016</v>
      </c>
      <c r="S373" s="62">
        <v>113.9</v>
      </c>
      <c r="T373" s="355">
        <f>S373+10</f>
        <v>123.9</v>
      </c>
      <c r="U373" s="62"/>
      <c r="V373" s="62"/>
      <c r="W373" s="89">
        <f>Z373*(1+AB373)</f>
        <v>0.10862999999999999</v>
      </c>
      <c r="X373" s="87">
        <f>Z373*(1+AC373)</f>
        <v>0.10862999999999999</v>
      </c>
      <c r="Y373" s="642">
        <v>2005</v>
      </c>
      <c r="Z373" s="650">
        <f>+J373/1000</f>
        <v>0.1278</v>
      </c>
      <c r="AA373" s="650"/>
      <c r="AB373" s="399">
        <v>-0.15</v>
      </c>
      <c r="AC373" s="618">
        <f t="shared" ref="AC373" si="299">AB373</f>
        <v>-0.15</v>
      </c>
      <c r="AD373" s="16"/>
      <c r="AE373" s="16"/>
      <c r="AF373" s="170"/>
      <c r="AG373" s="86"/>
      <c r="AH373" s="272"/>
      <c r="AI373" s="31"/>
      <c r="AJ373" s="31"/>
      <c r="AK373" s="156"/>
      <c r="AL373" s="284"/>
      <c r="AM373" s="208"/>
      <c r="AN373" s="16"/>
      <c r="AO373" s="409"/>
      <c r="AP373" s="713"/>
      <c r="AQ373" s="617"/>
      <c r="AR373" s="434"/>
      <c r="AS373" s="679"/>
      <c r="AT373" s="399"/>
      <c r="AU373" s="618"/>
      <c r="AV373" s="16"/>
      <c r="AW373" s="16"/>
      <c r="AX373" s="170"/>
      <c r="AY373" s="86"/>
      <c r="AZ373" s="272"/>
      <c r="BA373" s="31"/>
      <c r="BB373" s="31"/>
      <c r="BC373" s="43"/>
      <c r="BD373" s="229"/>
      <c r="BE373" s="208"/>
      <c r="BF373" s="16"/>
      <c r="BG373" s="170"/>
      <c r="BH373" s="86"/>
      <c r="BI373" s="272"/>
      <c r="BJ373" s="31"/>
      <c r="BK373" s="31"/>
      <c r="BL373" s="43"/>
      <c r="BM373" s="229"/>
      <c r="BN373" s="208"/>
      <c r="BO373" s="16"/>
      <c r="BP373" s="635">
        <f>BS373*(1+BU373)</f>
        <v>2.0799999999999996E-2</v>
      </c>
      <c r="BQ373" s="636">
        <f>BS373*(1+BV373)</f>
        <v>5.2000000000000041E-3</v>
      </c>
      <c r="BR373" s="50">
        <v>1990</v>
      </c>
      <c r="BS373" s="31">
        <f>+G373/1000</f>
        <v>0.104</v>
      </c>
      <c r="BT373" s="33"/>
      <c r="BU373" s="43">
        <v>-0.8</v>
      </c>
      <c r="BV373" s="209">
        <v>-0.95</v>
      </c>
      <c r="BW373" s="141"/>
      <c r="BX373" s="311"/>
      <c r="BY373" s="743"/>
    </row>
    <row r="374" spans="1:77" ht="15" customHeight="1" x14ac:dyDescent="0.2">
      <c r="A374" s="55" t="s">
        <v>2</v>
      </c>
      <c r="B374" s="107"/>
      <c r="C374" s="637" t="s">
        <v>548</v>
      </c>
      <c r="D374" s="544">
        <v>24.806999999999999</v>
      </c>
      <c r="E374" s="487" t="s">
        <v>2225</v>
      </c>
      <c r="F374" s="572"/>
      <c r="G374" s="60"/>
      <c r="H374" s="61"/>
      <c r="I374" s="608">
        <v>2007</v>
      </c>
      <c r="J374" s="62"/>
      <c r="K374" s="62">
        <v>1.1481079999999999</v>
      </c>
      <c r="L374" s="608"/>
      <c r="M374" s="62"/>
      <c r="N374" s="944"/>
      <c r="O374" s="603">
        <v>2016</v>
      </c>
      <c r="P374" s="62"/>
      <c r="Q374" s="357">
        <f>K374*0.85</f>
        <v>0.97589179999999986</v>
      </c>
      <c r="R374" s="603">
        <v>2016</v>
      </c>
      <c r="S374" s="62"/>
      <c r="T374" s="357">
        <f>Q374</f>
        <v>0.97589179999999986</v>
      </c>
      <c r="U374" s="62"/>
      <c r="V374" s="62"/>
      <c r="W374" s="1233">
        <f>AA374*(1+AB374)</f>
        <v>7.4627020000000001E-4</v>
      </c>
      <c r="X374" s="1234">
        <f>AA374*(1+AC374)</f>
        <v>7.4627020000000001E-4</v>
      </c>
      <c r="Y374" s="50">
        <v>2007</v>
      </c>
      <c r="Z374" s="31"/>
      <c r="AA374" s="564">
        <f>+K374/1000</f>
        <v>1.1481079999999999E-3</v>
      </c>
      <c r="AB374" s="395">
        <v>-0.35</v>
      </c>
      <c r="AC374" s="443">
        <f>AB374</f>
        <v>-0.35</v>
      </c>
      <c r="AD374" s="16"/>
      <c r="AE374" s="16"/>
      <c r="AF374" s="615">
        <v>0</v>
      </c>
      <c r="AG374" s="616">
        <v>0</v>
      </c>
      <c r="AH374" s="617"/>
      <c r="AI374" s="434"/>
      <c r="AJ374" s="679"/>
      <c r="AK374" s="399">
        <v>-1</v>
      </c>
      <c r="AL374" s="618">
        <f>+AK374</f>
        <v>-1</v>
      </c>
      <c r="AM374" s="208"/>
      <c r="AN374" s="16"/>
      <c r="AO374" s="615">
        <v>0</v>
      </c>
      <c r="AP374" s="616">
        <v>0</v>
      </c>
      <c r="AQ374" s="617"/>
      <c r="AR374" s="434"/>
      <c r="AS374" s="679"/>
      <c r="AT374" s="399">
        <v>-1</v>
      </c>
      <c r="AU374" s="618">
        <f>+AT374</f>
        <v>-1</v>
      </c>
      <c r="AV374" s="16"/>
      <c r="AW374" s="16"/>
      <c r="AX374" s="170"/>
      <c r="AY374" s="86"/>
      <c r="AZ374" s="272"/>
      <c r="BA374" s="31"/>
      <c r="BB374" s="31"/>
      <c r="BC374" s="43"/>
      <c r="BD374" s="229"/>
      <c r="BE374" s="208"/>
      <c r="BF374" s="16"/>
      <c r="BG374" s="170"/>
      <c r="BH374" s="86"/>
      <c r="BI374" s="272"/>
      <c r="BJ374" s="31"/>
      <c r="BK374" s="31"/>
      <c r="BL374" s="43"/>
      <c r="BM374" s="229"/>
      <c r="BN374" s="208"/>
      <c r="BO374" s="16"/>
      <c r="BP374" s="635">
        <f>BT374*(1+BU374)</f>
        <v>0</v>
      </c>
      <c r="BQ374" s="636">
        <f>BT374*(1+BV374)</f>
        <v>0</v>
      </c>
      <c r="BR374" s="50">
        <v>1990</v>
      </c>
      <c r="BS374" s="31"/>
      <c r="BT374" s="33">
        <f>+H374/1000</f>
        <v>0</v>
      </c>
      <c r="BU374" s="43">
        <v>-1</v>
      </c>
      <c r="BV374" s="209">
        <f>BU374</f>
        <v>-1</v>
      </c>
      <c r="BW374" s="141"/>
      <c r="BX374" s="311"/>
      <c r="BY374" s="743" t="s">
        <v>549</v>
      </c>
    </row>
    <row r="375" spans="1:77" ht="15" customHeight="1" x14ac:dyDescent="0.2">
      <c r="A375" s="55" t="s">
        <v>2</v>
      </c>
      <c r="B375" s="107"/>
      <c r="C375" s="637" t="s">
        <v>2530</v>
      </c>
      <c r="D375" s="544">
        <v>29.209</v>
      </c>
      <c r="E375" s="487" t="s">
        <v>387</v>
      </c>
      <c r="F375" s="572"/>
      <c r="G375" s="60"/>
      <c r="H375" s="61"/>
      <c r="I375" s="608"/>
      <c r="J375" s="62"/>
      <c r="K375" s="62"/>
      <c r="L375" s="608"/>
      <c r="M375" s="62"/>
      <c r="N375" s="922"/>
      <c r="O375" s="603"/>
      <c r="P375" s="62"/>
      <c r="Q375" s="357">
        <v>0.26319900000000002</v>
      </c>
      <c r="R375" s="603"/>
      <c r="S375" s="62"/>
      <c r="T375" s="357"/>
      <c r="U375" s="62"/>
      <c r="V375" s="62"/>
      <c r="W375" s="633"/>
      <c r="X375" s="634"/>
      <c r="Y375" s="50"/>
      <c r="Z375" s="31"/>
      <c r="AA375" s="564"/>
      <c r="AB375" s="395"/>
      <c r="AC375" s="443"/>
      <c r="AD375" s="16"/>
      <c r="AE375" s="16"/>
      <c r="AF375" s="615">
        <v>0</v>
      </c>
      <c r="AG375" s="616">
        <v>0</v>
      </c>
      <c r="AH375" s="617"/>
      <c r="AI375" s="434"/>
      <c r="AJ375" s="679"/>
      <c r="AK375" s="399">
        <v>-1</v>
      </c>
      <c r="AL375" s="618">
        <f>+AK375</f>
        <v>-1</v>
      </c>
      <c r="AM375" s="208"/>
      <c r="AN375" s="16"/>
      <c r="AO375" s="615"/>
      <c r="AP375" s="616"/>
      <c r="AQ375" s="617"/>
      <c r="AR375" s="434"/>
      <c r="AS375" s="679"/>
      <c r="AT375" s="399"/>
      <c r="AU375" s="618"/>
      <c r="AV375" s="16"/>
      <c r="AW375" s="16"/>
      <c r="AX375" s="170"/>
      <c r="AY375" s="86"/>
      <c r="AZ375" s="272"/>
      <c r="BA375" s="31"/>
      <c r="BB375" s="31"/>
      <c r="BC375" s="43"/>
      <c r="BD375" s="229"/>
      <c r="BE375" s="208"/>
      <c r="BF375" s="16"/>
      <c r="BG375" s="170"/>
      <c r="BH375" s="86"/>
      <c r="BI375" s="272"/>
      <c r="BJ375" s="31"/>
      <c r="BK375" s="31"/>
      <c r="BL375" s="43"/>
      <c r="BM375" s="229"/>
      <c r="BN375" s="208"/>
      <c r="BO375" s="16"/>
      <c r="BP375" s="635"/>
      <c r="BQ375" s="636"/>
      <c r="BR375" s="50"/>
      <c r="BS375" s="31"/>
      <c r="BT375" s="33"/>
      <c r="BU375" s="43"/>
      <c r="BV375" s="209"/>
      <c r="BW375" s="141"/>
      <c r="BX375" s="311"/>
      <c r="BY375" s="743"/>
    </row>
    <row r="376" spans="1:77" ht="15" customHeight="1" x14ac:dyDescent="0.2">
      <c r="A376" s="55" t="s">
        <v>2</v>
      </c>
      <c r="B376" s="107"/>
      <c r="C376" s="637" t="s">
        <v>2182</v>
      </c>
      <c r="D376" s="544">
        <v>427</v>
      </c>
      <c r="E376" s="487" t="s">
        <v>3205</v>
      </c>
      <c r="F376" s="572"/>
      <c r="G376" s="60"/>
      <c r="H376" s="61">
        <v>2.94</v>
      </c>
      <c r="I376" s="571"/>
      <c r="J376" s="62"/>
      <c r="K376" s="62"/>
      <c r="L376" s="608"/>
      <c r="M376" s="62"/>
      <c r="N376" s="355">
        <v>1.74</v>
      </c>
      <c r="O376" s="603">
        <v>2016</v>
      </c>
      <c r="P376" s="62"/>
      <c r="Q376" s="355">
        <f>4.039*1.002</f>
        <v>4.047078</v>
      </c>
      <c r="R376" s="603">
        <v>2018</v>
      </c>
      <c r="S376" s="62"/>
      <c r="T376" s="355">
        <v>3.3769999999999998</v>
      </c>
      <c r="U376" s="62"/>
      <c r="V376" s="62"/>
      <c r="W376" s="633">
        <f>AA376*(1+AB376)</f>
        <v>1.47E-3</v>
      </c>
      <c r="X376" s="634">
        <f>AA376*(1+AC376)</f>
        <v>1.47E-3</v>
      </c>
      <c r="Y376" s="50">
        <v>1990</v>
      </c>
      <c r="Z376" s="31"/>
      <c r="AA376" s="564">
        <f>+H376/1000</f>
        <v>2.9399999999999999E-3</v>
      </c>
      <c r="AB376" s="395">
        <v>-0.5</v>
      </c>
      <c r="AC376" s="443">
        <f>AB376</f>
        <v>-0.5</v>
      </c>
      <c r="AD376" s="16"/>
      <c r="AE376" s="16"/>
      <c r="AF376" s="170"/>
      <c r="AG376" s="86"/>
      <c r="AH376" s="272"/>
      <c r="AI376" s="31"/>
      <c r="AJ376" s="31"/>
      <c r="AK376" s="156"/>
      <c r="AL376" s="284"/>
      <c r="AM376" s="208"/>
      <c r="AN376" s="16"/>
      <c r="AO376" s="633">
        <f>AS376*(1+AT376)</f>
        <v>1.029E-3</v>
      </c>
      <c r="AP376" s="634">
        <f>AS376*(1+AU376)</f>
        <v>1.029E-3</v>
      </c>
      <c r="AQ376" s="50">
        <v>1990</v>
      </c>
      <c r="AR376" s="31"/>
      <c r="AS376" s="564">
        <f>+H376/1000</f>
        <v>2.9399999999999999E-3</v>
      </c>
      <c r="AT376" s="395">
        <v>-0.65</v>
      </c>
      <c r="AU376" s="443">
        <f>AT376</f>
        <v>-0.65</v>
      </c>
      <c r="AV376" s="16"/>
      <c r="AW376" s="16"/>
      <c r="AX376" s="170"/>
      <c r="AY376" s="86"/>
      <c r="AZ376" s="272"/>
      <c r="BA376" s="31"/>
      <c r="BB376" s="31"/>
      <c r="BC376" s="43"/>
      <c r="BD376" s="229"/>
      <c r="BE376" s="208"/>
      <c r="BF376" s="16"/>
      <c r="BG376" s="633">
        <f>BK376*(1+BL376)</f>
        <v>2.9399999999999994E-4</v>
      </c>
      <c r="BH376" s="634">
        <f>BK376*(1+BM376)</f>
        <v>2.9399999999999994E-4</v>
      </c>
      <c r="BI376" s="50">
        <v>1990</v>
      </c>
      <c r="BJ376" s="31"/>
      <c r="BK376" s="564">
        <f>+H376/1000</f>
        <v>2.9399999999999999E-3</v>
      </c>
      <c r="BL376" s="395">
        <v>-0.9</v>
      </c>
      <c r="BM376" s="443">
        <f>BL376</f>
        <v>-0.9</v>
      </c>
      <c r="BN376" s="208"/>
      <c r="BO376" s="16"/>
      <c r="BP376" s="635">
        <f>BT376*(1+BU376)</f>
        <v>0</v>
      </c>
      <c r="BQ376" s="636">
        <f>BT376*(1+BV376)</f>
        <v>0</v>
      </c>
      <c r="BR376" s="50">
        <v>1990</v>
      </c>
      <c r="BS376" s="31"/>
      <c r="BT376" s="33">
        <f>+H376/1000</f>
        <v>2.9399999999999999E-3</v>
      </c>
      <c r="BU376" s="43">
        <v>-1</v>
      </c>
      <c r="BV376" s="209">
        <f>BU376</f>
        <v>-1</v>
      </c>
      <c r="BW376" s="141"/>
      <c r="BX376" s="311" t="s">
        <v>2455</v>
      </c>
      <c r="BY376" s="137"/>
    </row>
    <row r="377" spans="1:77" ht="15" customHeight="1" x14ac:dyDescent="0.2">
      <c r="A377" s="55" t="s">
        <v>2</v>
      </c>
      <c r="B377" s="107"/>
      <c r="C377" s="637" t="s">
        <v>368</v>
      </c>
      <c r="D377" s="544">
        <v>4200</v>
      </c>
      <c r="E377" s="487" t="s">
        <v>2205</v>
      </c>
      <c r="F377" s="572"/>
      <c r="G377" s="60"/>
      <c r="H377" s="61">
        <v>4.9340000000000002</v>
      </c>
      <c r="I377" s="608">
        <v>2006</v>
      </c>
      <c r="J377" s="62"/>
      <c r="K377" s="62">
        <v>5.0999999999999996</v>
      </c>
      <c r="L377" s="571"/>
      <c r="M377" s="62"/>
      <c r="N377" s="355"/>
      <c r="O377" s="1040"/>
      <c r="P377" s="62"/>
      <c r="Q377" s="355">
        <v>5.3190099999999996</v>
      </c>
      <c r="R377" s="1040"/>
      <c r="S377" s="62"/>
      <c r="T377" s="355"/>
      <c r="U377" s="62"/>
      <c r="V377" s="62"/>
      <c r="W377" s="633">
        <v>0</v>
      </c>
      <c r="X377" s="634">
        <v>0</v>
      </c>
      <c r="Y377" s="50"/>
      <c r="Z377" s="31"/>
      <c r="AA377" s="564"/>
      <c r="AB377" s="395">
        <v>-1</v>
      </c>
      <c r="AC377" s="443">
        <f>AB377</f>
        <v>-1</v>
      </c>
      <c r="AD377" s="16"/>
      <c r="AE377" s="16"/>
      <c r="AF377" s="170"/>
      <c r="AG377" s="86"/>
      <c r="AH377" s="272"/>
      <c r="AI377" s="31"/>
      <c r="AJ377" s="31"/>
      <c r="AK377" s="156"/>
      <c r="AL377" s="284"/>
      <c r="AM377" s="208"/>
      <c r="AN377" s="16"/>
      <c r="AO377" s="388"/>
      <c r="AP377" s="389"/>
      <c r="AQ377" s="390"/>
      <c r="AR377" s="433"/>
      <c r="AS377" s="31"/>
      <c r="AT377" s="156"/>
      <c r="AU377" s="284"/>
      <c r="AV377" s="16"/>
      <c r="AW377" s="16"/>
      <c r="AX377" s="170"/>
      <c r="AY377" s="86"/>
      <c r="AZ377" s="272"/>
      <c r="BA377" s="31"/>
      <c r="BB377" s="31"/>
      <c r="BC377" s="43"/>
      <c r="BD377" s="229"/>
      <c r="BE377" s="208"/>
      <c r="BF377" s="16"/>
      <c r="BG377" s="170"/>
      <c r="BH377" s="86"/>
      <c r="BI377" s="272"/>
      <c r="BJ377" s="31"/>
      <c r="BK377" s="31"/>
      <c r="BL377" s="43"/>
      <c r="BM377" s="229"/>
      <c r="BN377" s="208"/>
      <c r="BO377" s="16"/>
      <c r="BP377" s="635">
        <f>BT377*(1+BU377)</f>
        <v>0</v>
      </c>
      <c r="BQ377" s="636">
        <f>BT377*(1+BV377)</f>
        <v>0</v>
      </c>
      <c r="BR377" s="50">
        <v>1990</v>
      </c>
      <c r="BS377" s="31"/>
      <c r="BT377" s="33">
        <f>+H377/1000</f>
        <v>4.934E-3</v>
      </c>
      <c r="BU377" s="43">
        <v>-1</v>
      </c>
      <c r="BV377" s="209">
        <f>BU377</f>
        <v>-1</v>
      </c>
      <c r="BW377" s="141"/>
      <c r="BX377" s="311"/>
      <c r="BY377" s="137"/>
    </row>
    <row r="378" spans="1:77" ht="15" customHeight="1" x14ac:dyDescent="0.2">
      <c r="A378" s="55" t="s">
        <v>2</v>
      </c>
      <c r="B378" s="107"/>
      <c r="C378" s="637" t="s">
        <v>2202</v>
      </c>
      <c r="D378" s="544">
        <v>1670</v>
      </c>
      <c r="E378" s="487" t="s">
        <v>387</v>
      </c>
      <c r="F378" s="572"/>
      <c r="G378" s="60"/>
      <c r="H378" s="61"/>
      <c r="I378" s="608">
        <v>2006</v>
      </c>
      <c r="J378" s="62"/>
      <c r="K378" s="62">
        <v>0.96660000000000001</v>
      </c>
      <c r="L378" s="571"/>
      <c r="M378" s="62"/>
      <c r="N378" s="355"/>
      <c r="O378" s="1040"/>
      <c r="P378" s="62"/>
      <c r="Q378" s="355"/>
      <c r="R378" s="1040"/>
      <c r="S378" s="62"/>
      <c r="T378" s="355"/>
      <c r="U378" s="62"/>
      <c r="V378" s="62"/>
      <c r="W378" s="633"/>
      <c r="X378" s="634"/>
      <c r="Y378" s="50"/>
      <c r="Z378" s="31"/>
      <c r="AA378" s="564"/>
      <c r="AB378" s="395"/>
      <c r="AC378" s="443"/>
      <c r="AD378" s="16"/>
      <c r="AE378" s="16"/>
      <c r="AF378" s="170"/>
      <c r="AG378" s="86"/>
      <c r="AH378" s="272"/>
      <c r="AI378" s="31"/>
      <c r="AJ378" s="31"/>
      <c r="AK378" s="156"/>
      <c r="AL378" s="284"/>
      <c r="AM378" s="208"/>
      <c r="AN378" s="676"/>
      <c r="AO378" s="635">
        <f>AS378*(1+AT378)</f>
        <v>0.67662</v>
      </c>
      <c r="AP378" s="636">
        <f>AS378*(1+AU378)</f>
        <v>0.67662</v>
      </c>
      <c r="AQ378" s="666">
        <v>2006</v>
      </c>
      <c r="AR378" s="433"/>
      <c r="AS378" s="33">
        <f>+K378</f>
        <v>0.96660000000000001</v>
      </c>
      <c r="AT378" s="399">
        <v>-0.3</v>
      </c>
      <c r="AU378" s="618">
        <f>AT378</f>
        <v>-0.3</v>
      </c>
      <c r="AV378" s="16"/>
      <c r="AW378" s="16"/>
      <c r="AX378" s="170"/>
      <c r="AY378" s="86"/>
      <c r="AZ378" s="272"/>
      <c r="BA378" s="31"/>
      <c r="BB378" s="31"/>
      <c r="BC378" s="43"/>
      <c r="BD378" s="229"/>
      <c r="BE378" s="208"/>
      <c r="BF378" s="16"/>
      <c r="BG378" s="170"/>
      <c r="BH378" s="86"/>
      <c r="BI378" s="272"/>
      <c r="BJ378" s="31"/>
      <c r="BK378" s="31"/>
      <c r="BL378" s="43"/>
      <c r="BM378" s="229"/>
      <c r="BN378" s="208"/>
      <c r="BO378" s="16"/>
      <c r="BP378" s="635"/>
      <c r="BQ378" s="636"/>
      <c r="BR378" s="50"/>
      <c r="BS378" s="31"/>
      <c r="BT378" s="33"/>
      <c r="BU378" s="43"/>
      <c r="BV378" s="209"/>
      <c r="BW378" s="141"/>
      <c r="BX378" s="311"/>
      <c r="BY378" s="137"/>
    </row>
    <row r="379" spans="1:77" ht="15" customHeight="1" x14ac:dyDescent="0.2">
      <c r="A379" s="55" t="s">
        <v>2</v>
      </c>
      <c r="B379" s="107"/>
      <c r="C379" s="637" t="s">
        <v>550</v>
      </c>
      <c r="D379" s="544">
        <v>4392</v>
      </c>
      <c r="E379" s="487" t="s">
        <v>3206</v>
      </c>
      <c r="F379" s="572"/>
      <c r="G379" s="60"/>
      <c r="H379" s="61"/>
      <c r="I379" s="608">
        <v>2006</v>
      </c>
      <c r="J379" s="62"/>
      <c r="K379" s="62">
        <v>5.8155229999999998</v>
      </c>
      <c r="L379" s="608">
        <v>2011</v>
      </c>
      <c r="M379" s="62"/>
      <c r="N379" s="355">
        <v>5.77</v>
      </c>
      <c r="O379" s="1040"/>
      <c r="P379" s="62"/>
      <c r="Q379" s="355">
        <v>3.783982</v>
      </c>
      <c r="R379" s="1040"/>
      <c r="S379" s="62"/>
      <c r="T379" s="355"/>
      <c r="U379" s="62"/>
      <c r="V379" s="62"/>
      <c r="W379" s="633"/>
      <c r="X379" s="634"/>
      <c r="Y379" s="50"/>
      <c r="Z379" s="31"/>
      <c r="AA379" s="564"/>
      <c r="AB379" s="395"/>
      <c r="AC379" s="443"/>
      <c r="AD379" s="16"/>
      <c r="AE379" s="16"/>
      <c r="AF379" s="170"/>
      <c r="AG379" s="86"/>
      <c r="AH379" s="272"/>
      <c r="AI379" s="31"/>
      <c r="AJ379" s="31"/>
      <c r="AK379" s="156"/>
      <c r="AL379" s="284"/>
      <c r="AM379" s="208"/>
      <c r="AN379" s="16"/>
      <c r="AO379" s="635">
        <f>AS379*(1+AT379)</f>
        <v>1.7446569000000001E-3</v>
      </c>
      <c r="AP379" s="636">
        <f>AS379*(1+AU379)</f>
        <v>1.7446569000000001E-3</v>
      </c>
      <c r="AQ379" s="666">
        <v>2006</v>
      </c>
      <c r="AR379" s="158"/>
      <c r="AS379" s="641">
        <f>+K379/1000</f>
        <v>5.8155229999999995E-3</v>
      </c>
      <c r="AT379" s="399">
        <v>-0.7</v>
      </c>
      <c r="AU379" s="618">
        <f>AT379</f>
        <v>-0.7</v>
      </c>
      <c r="AV379" s="16"/>
      <c r="AW379" s="16"/>
      <c r="AX379" s="170"/>
      <c r="AY379" s="86"/>
      <c r="AZ379" s="272"/>
      <c r="BA379" s="31"/>
      <c r="BB379" s="31"/>
      <c r="BC379" s="43"/>
      <c r="BD379" s="229"/>
      <c r="BE379" s="208"/>
      <c r="BF379" s="16"/>
      <c r="BG379" s="170"/>
      <c r="BH379" s="86"/>
      <c r="BI379" s="272"/>
      <c r="BJ379" s="31"/>
      <c r="BK379" s="31"/>
      <c r="BL379" s="43"/>
      <c r="BM379" s="229"/>
      <c r="BN379" s="208"/>
      <c r="BO379" s="16"/>
      <c r="BP379" s="635"/>
      <c r="BQ379" s="636"/>
      <c r="BR379" s="50"/>
      <c r="BS379" s="31"/>
      <c r="BT379" s="33"/>
      <c r="BU379" s="399">
        <v>-1</v>
      </c>
      <c r="BV379" s="618">
        <f t="shared" ref="BV379" si="300">BU379</f>
        <v>-1</v>
      </c>
      <c r="BW379" s="141"/>
      <c r="BX379" s="311"/>
      <c r="BY379" s="137"/>
    </row>
    <row r="380" spans="1:77" ht="15" customHeight="1" x14ac:dyDescent="0.2">
      <c r="A380" s="55" t="s">
        <v>2</v>
      </c>
      <c r="B380" s="107"/>
      <c r="C380" s="637" t="s">
        <v>3207</v>
      </c>
      <c r="D380" s="544">
        <v>255.322</v>
      </c>
      <c r="E380" s="487" t="s">
        <v>3208</v>
      </c>
      <c r="F380" s="572"/>
      <c r="G380" s="60"/>
      <c r="H380" s="61"/>
      <c r="I380" s="608"/>
      <c r="J380" s="62"/>
      <c r="K380" s="62"/>
      <c r="L380" s="608"/>
      <c r="M380" s="62"/>
      <c r="N380" s="355"/>
      <c r="O380" s="603">
        <v>2014</v>
      </c>
      <c r="P380" s="62"/>
      <c r="Q380" s="781">
        <v>2.5956E-2</v>
      </c>
      <c r="R380" s="1040"/>
      <c r="S380" s="62"/>
      <c r="T380" s="355"/>
      <c r="U380" s="62"/>
      <c r="V380" s="62"/>
      <c r="W380" s="633"/>
      <c r="X380" s="634"/>
      <c r="Y380" s="50"/>
      <c r="Z380" s="31"/>
      <c r="AA380" s="564"/>
      <c r="AB380" s="395"/>
      <c r="AC380" s="443"/>
      <c r="AD380" s="16"/>
      <c r="AE380" s="16"/>
      <c r="AF380" s="170"/>
      <c r="AG380" s="86"/>
      <c r="AH380" s="272"/>
      <c r="AI380" s="31"/>
      <c r="AJ380" s="31"/>
      <c r="AK380" s="156"/>
      <c r="AL380" s="284"/>
      <c r="AM380" s="208"/>
      <c r="AN380" s="16"/>
      <c r="AO380" s="635"/>
      <c r="AP380" s="636"/>
      <c r="AQ380" s="640"/>
      <c r="AR380" s="158"/>
      <c r="AS380" s="641"/>
      <c r="AT380" s="399"/>
      <c r="AU380" s="618"/>
      <c r="AV380" s="16"/>
      <c r="AW380" s="16"/>
      <c r="AX380" s="170"/>
      <c r="AY380" s="86"/>
      <c r="AZ380" s="272"/>
      <c r="BA380" s="31"/>
      <c r="BB380" s="31"/>
      <c r="BC380" s="43"/>
      <c r="BD380" s="229"/>
      <c r="BE380" s="208"/>
      <c r="BF380" s="16"/>
      <c r="BG380" s="1436">
        <f>BK380*(1+BL380)</f>
        <v>1.2978000000000012E-6</v>
      </c>
      <c r="BH380" s="1437">
        <f>BK380*(1+BM380)</f>
        <v>1.2978000000000012E-6</v>
      </c>
      <c r="BI380" s="50">
        <v>1990</v>
      </c>
      <c r="BJ380" s="31"/>
      <c r="BK380" s="765">
        <f>+Q380/1000</f>
        <v>2.5956E-5</v>
      </c>
      <c r="BL380" s="395">
        <v>-0.95</v>
      </c>
      <c r="BM380" s="443">
        <f>BL380</f>
        <v>-0.95</v>
      </c>
      <c r="BN380" s="208"/>
      <c r="BO380" s="16"/>
      <c r="BP380" s="635"/>
      <c r="BQ380" s="636"/>
      <c r="BR380" s="50"/>
      <c r="BS380" s="31"/>
      <c r="BT380" s="33"/>
      <c r="BU380" s="399"/>
      <c r="BV380" s="618"/>
      <c r="BW380" s="141"/>
      <c r="BX380" s="311"/>
      <c r="BY380" s="137"/>
    </row>
    <row r="381" spans="1:77" ht="15" customHeight="1" x14ac:dyDescent="0.2">
      <c r="A381" s="55" t="s">
        <v>2</v>
      </c>
      <c r="B381" s="107"/>
      <c r="C381" s="637" t="s">
        <v>488</v>
      </c>
      <c r="D381" s="544">
        <v>398</v>
      </c>
      <c r="E381" s="487" t="s">
        <v>2112</v>
      </c>
      <c r="F381" s="572"/>
      <c r="G381" s="60"/>
      <c r="H381" s="61"/>
      <c r="I381" s="608">
        <v>2001</v>
      </c>
      <c r="J381" s="62"/>
      <c r="K381" s="62">
        <v>1.3109999999999999</v>
      </c>
      <c r="L381" s="571"/>
      <c r="M381" s="62"/>
      <c r="N381" s="355"/>
      <c r="O381" s="1040"/>
      <c r="P381" s="62"/>
      <c r="Q381" s="355"/>
      <c r="R381" s="1040"/>
      <c r="S381" s="62"/>
      <c r="T381" s="355"/>
      <c r="U381" s="62"/>
      <c r="V381" s="62"/>
      <c r="W381" s="633">
        <f>AA381*(1+AB381)</f>
        <v>9.1769999999999981E-4</v>
      </c>
      <c r="X381" s="634">
        <f>AA381*(1+AC381)</f>
        <v>9.1769999999999981E-4</v>
      </c>
      <c r="Y381" s="50"/>
      <c r="Z381" s="31"/>
      <c r="AA381" s="564">
        <f>+K381/1000</f>
        <v>1.3109999999999999E-3</v>
      </c>
      <c r="AB381" s="395">
        <v>-0.3</v>
      </c>
      <c r="AC381" s="443">
        <f>AB381</f>
        <v>-0.3</v>
      </c>
      <c r="AD381" s="16"/>
      <c r="AE381" s="16"/>
      <c r="AF381" s="170"/>
      <c r="AG381" s="86"/>
      <c r="AH381" s="272"/>
      <c r="AI381" s="31"/>
      <c r="AJ381" s="31"/>
      <c r="AK381" s="156"/>
      <c r="AL381" s="284"/>
      <c r="AM381" s="208"/>
      <c r="AN381" s="16"/>
      <c r="AO381" s="388"/>
      <c r="AP381" s="389"/>
      <c r="AQ381" s="390"/>
      <c r="AR381" s="433"/>
      <c r="AS381" s="31"/>
      <c r="AT381" s="156"/>
      <c r="AU381" s="284"/>
      <c r="AV381" s="16"/>
      <c r="AW381" s="16"/>
      <c r="AX381" s="170"/>
      <c r="AY381" s="86"/>
      <c r="AZ381" s="272"/>
      <c r="BA381" s="31"/>
      <c r="BB381" s="31"/>
      <c r="BC381" s="43"/>
      <c r="BD381" s="229"/>
      <c r="BE381" s="208"/>
      <c r="BF381" s="16"/>
      <c r="BG381" s="170"/>
      <c r="BH381" s="86"/>
      <c r="BI381" s="272"/>
      <c r="BJ381" s="31"/>
      <c r="BK381" s="31"/>
      <c r="BL381" s="43"/>
      <c r="BM381" s="229"/>
      <c r="BN381" s="208"/>
      <c r="BO381" s="16"/>
      <c r="BP381" s="635">
        <f>BT381*(1+BU381)</f>
        <v>2.6219999999999992E-4</v>
      </c>
      <c r="BQ381" s="636">
        <f>BT381*(1+BV381)</f>
        <v>2.6219999999999992E-4</v>
      </c>
      <c r="BR381" s="50">
        <v>2003</v>
      </c>
      <c r="BS381" s="31"/>
      <c r="BT381" s="33">
        <f>+K381/1000</f>
        <v>1.3109999999999999E-3</v>
      </c>
      <c r="BU381" s="43">
        <v>-0.8</v>
      </c>
      <c r="BV381" s="209">
        <f>BU381</f>
        <v>-0.8</v>
      </c>
      <c r="BW381" s="141"/>
      <c r="BX381" s="311"/>
      <c r="BY381" s="137"/>
    </row>
    <row r="382" spans="1:77" ht="15" customHeight="1" x14ac:dyDescent="0.2">
      <c r="A382" s="56" t="s">
        <v>46</v>
      </c>
      <c r="B382" s="56" t="s">
        <v>1606</v>
      </c>
      <c r="C382" s="637"/>
      <c r="D382" s="544">
        <v>151125.47500000001</v>
      </c>
      <c r="E382" s="95" t="s">
        <v>3192</v>
      </c>
      <c r="F382" s="362">
        <v>1994</v>
      </c>
      <c r="G382" s="62">
        <v>53.8</v>
      </c>
      <c r="H382" s="69">
        <v>45.9</v>
      </c>
      <c r="I382" s="74"/>
      <c r="J382" s="68">
        <f>59.06785+1.8793*21+0.03885*310</f>
        <v>110.57665</v>
      </c>
      <c r="K382" s="69">
        <f>J382-18.20551</f>
        <v>92.371139999999997</v>
      </c>
      <c r="L382" s="436">
        <v>2011</v>
      </c>
      <c r="M382" s="68"/>
      <c r="N382" s="471">
        <v>64</v>
      </c>
      <c r="O382" s="1037"/>
      <c r="P382" s="68"/>
      <c r="Q382" s="471"/>
      <c r="R382" s="1037"/>
      <c r="S382" s="68"/>
      <c r="T382" s="471"/>
      <c r="U382" s="68"/>
      <c r="V382" s="68"/>
      <c r="W382" s="19"/>
      <c r="X382" s="20"/>
      <c r="Y382" s="145"/>
      <c r="Z382" s="38"/>
      <c r="AA382" s="145"/>
      <c r="AB382" s="80"/>
      <c r="AC382" s="209"/>
      <c r="AD382" s="16"/>
      <c r="AE382" s="16"/>
      <c r="AF382" s="136"/>
      <c r="AG382" s="59"/>
      <c r="AH382" s="77"/>
      <c r="AI382" s="38"/>
      <c r="AJ382" s="38"/>
      <c r="AK382" s="80"/>
      <c r="AL382" s="215"/>
      <c r="AM382" s="456">
        <f>AS382/0.69</f>
        <v>0.33913043478260874</v>
      </c>
      <c r="AN382" s="387"/>
      <c r="AO382" s="454">
        <f>AS382*(1+AT382)+AM382-AS382</f>
        <v>0.32743043478260869</v>
      </c>
      <c r="AP382" s="439">
        <f>AS382*(1+AU382)+AM382-AS382</f>
        <v>0.30403043478260872</v>
      </c>
      <c r="AQ382" s="440">
        <v>2030</v>
      </c>
      <c r="AR382" s="441"/>
      <c r="AS382" s="424">
        <v>0.23400000000000001</v>
      </c>
      <c r="AT382" s="292">
        <v>-0.05</v>
      </c>
      <c r="AU382" s="293">
        <v>-0.15</v>
      </c>
      <c r="AV382" s="16"/>
      <c r="AW382" s="16"/>
      <c r="AX382" s="19"/>
      <c r="AY382" s="20"/>
      <c r="AZ382" s="77"/>
      <c r="BA382" s="38"/>
      <c r="BB382" s="145"/>
      <c r="BC382" s="80"/>
      <c r="BD382" s="75"/>
      <c r="BE382" s="208"/>
      <c r="BF382" s="16"/>
      <c r="BG382" s="19"/>
      <c r="BH382" s="20"/>
      <c r="BI382" s="77"/>
      <c r="BJ382" s="38"/>
      <c r="BK382" s="145"/>
      <c r="BL382" s="80"/>
      <c r="BM382" s="75"/>
      <c r="BN382" s="208"/>
      <c r="BO382" s="16"/>
      <c r="BP382" s="19"/>
      <c r="BQ382" s="20"/>
      <c r="BR382" s="32"/>
      <c r="BS382" s="38"/>
      <c r="BT382" s="145"/>
      <c r="BU382" s="27"/>
      <c r="BV382" s="220"/>
      <c r="BX382" s="321"/>
      <c r="BY382" s="38"/>
    </row>
    <row r="383" spans="1:77" ht="15" customHeight="1" x14ac:dyDescent="0.2">
      <c r="A383" s="107" t="s">
        <v>158</v>
      </c>
      <c r="B383" s="56" t="s">
        <v>1606</v>
      </c>
      <c r="C383" s="637"/>
      <c r="D383" s="544">
        <v>716.93899999999996</v>
      </c>
      <c r="E383" s="107" t="s">
        <v>3250</v>
      </c>
      <c r="F383" s="362">
        <v>1994</v>
      </c>
      <c r="G383" s="62">
        <v>2.2999999999999998</v>
      </c>
      <c r="H383" s="69">
        <v>1.3</v>
      </c>
      <c r="I383" s="74">
        <v>2000</v>
      </c>
      <c r="J383" s="68">
        <v>-4.7500400000000003</v>
      </c>
      <c r="K383" s="69">
        <v>1.559566</v>
      </c>
      <c r="L383" s="74"/>
      <c r="M383" s="68"/>
      <c r="N383" s="356"/>
      <c r="O383" s="923"/>
      <c r="P383" s="68"/>
      <c r="Q383" s="356"/>
      <c r="R383" s="923"/>
      <c r="S383" s="68"/>
      <c r="T383" s="356"/>
      <c r="U383" s="68"/>
      <c r="V383" s="68"/>
      <c r="W383" s="19"/>
      <c r="X383" s="20"/>
      <c r="Y383" s="145"/>
      <c r="Z383" s="38"/>
      <c r="AA383" s="145"/>
      <c r="AB383" s="80"/>
      <c r="AC383" s="209"/>
      <c r="AD383" s="16"/>
      <c r="AE383" s="16"/>
      <c r="AF383" s="539">
        <v>0</v>
      </c>
      <c r="AG383" s="483">
        <v>0</v>
      </c>
      <c r="AH383" s="440"/>
      <c r="AI383" s="441"/>
      <c r="AJ383" s="453"/>
      <c r="AK383" s="292"/>
      <c r="AL383" s="293"/>
      <c r="AM383" s="456"/>
      <c r="AN383" s="387"/>
      <c r="AO383" s="539">
        <v>0</v>
      </c>
      <c r="AP383" s="483">
        <v>0</v>
      </c>
      <c r="AQ383" s="77"/>
      <c r="AR383" s="38"/>
      <c r="AS383" s="145"/>
      <c r="AT383" s="292">
        <v>-1</v>
      </c>
      <c r="AU383" s="293">
        <v>-1</v>
      </c>
      <c r="AV383" s="16"/>
      <c r="AW383" s="16"/>
      <c r="AX383" s="19"/>
      <c r="AY383" s="20"/>
      <c r="AZ383" s="77"/>
      <c r="BA383" s="38"/>
      <c r="BB383" s="145"/>
      <c r="BC383" s="80"/>
      <c r="BD383" s="75"/>
      <c r="BE383" s="208"/>
      <c r="BF383" s="16"/>
      <c r="BG383" s="19"/>
      <c r="BH383" s="20"/>
      <c r="BI383" s="77"/>
      <c r="BJ383" s="38"/>
      <c r="BK383" s="145"/>
      <c r="BL383" s="80"/>
      <c r="BM383" s="75"/>
      <c r="BN383" s="208"/>
      <c r="BO383" s="16"/>
      <c r="BP383" s="19"/>
      <c r="BQ383" s="20"/>
      <c r="BR383" s="32"/>
      <c r="BS383" s="38"/>
      <c r="BT383" s="145"/>
      <c r="BU383" s="27"/>
      <c r="BV383" s="220"/>
      <c r="BX383" s="321"/>
      <c r="BY383" s="38"/>
    </row>
    <row r="384" spans="1:77" ht="15" customHeight="1" x14ac:dyDescent="0.2">
      <c r="A384" s="56" t="s">
        <v>52</v>
      </c>
      <c r="B384" s="56" t="s">
        <v>1606</v>
      </c>
      <c r="C384" s="637"/>
      <c r="D384" s="544">
        <v>400.56900000000002</v>
      </c>
      <c r="E384" s="95" t="s">
        <v>3193</v>
      </c>
      <c r="F384" s="547"/>
      <c r="G384" s="93">
        <v>18.366769999999999</v>
      </c>
      <c r="H384" s="346">
        <f>G384</f>
        <v>18.366769999999999</v>
      </c>
      <c r="I384" s="565"/>
      <c r="J384" s="93">
        <v>10.968959999999999</v>
      </c>
      <c r="K384" s="346">
        <f>J384</f>
        <v>10.968959999999999</v>
      </c>
      <c r="L384" s="13"/>
      <c r="M384" s="93">
        <f>N384-2.7364</f>
        <v>7.4228100000000001</v>
      </c>
      <c r="N384" s="378">
        <v>10.15921</v>
      </c>
      <c r="O384" s="923">
        <v>2014</v>
      </c>
      <c r="P384" s="93">
        <f>Q384-2.8398</f>
        <v>8.3523099999999992</v>
      </c>
      <c r="Q384" s="378">
        <v>11.19211</v>
      </c>
      <c r="R384" s="923"/>
      <c r="S384" s="72">
        <v>11.6</v>
      </c>
      <c r="T384" s="378"/>
      <c r="U384" s="68"/>
      <c r="V384" s="68"/>
      <c r="W384" s="19"/>
      <c r="X384" s="20"/>
      <c r="Y384" s="145"/>
      <c r="Z384" s="38"/>
      <c r="AA384" s="145"/>
      <c r="AB384" s="80"/>
      <c r="AC384" s="209"/>
      <c r="AD384" s="16"/>
      <c r="AE384" s="16"/>
      <c r="AF384" s="136"/>
      <c r="AG384" s="59"/>
      <c r="AH384" s="77"/>
      <c r="AI384" s="38"/>
      <c r="AJ384" s="145"/>
      <c r="AK384" s="80"/>
      <c r="AL384" s="215"/>
      <c r="AM384" s="1343">
        <v>2.9499999999999998E-2</v>
      </c>
      <c r="AN384" s="713"/>
      <c r="AO384" s="1323">
        <f>AR384*(1+AT384)</f>
        <v>2.3599999999999999E-2</v>
      </c>
      <c r="AP384" s="1322">
        <f>AR384*(1+AU384)</f>
        <v>2.3599999999999999E-2</v>
      </c>
      <c r="AQ384" s="262">
        <v>2030</v>
      </c>
      <c r="AR384" s="1324">
        <f>AM384</f>
        <v>2.9499999999999998E-2</v>
      </c>
      <c r="AS384" s="541"/>
      <c r="AT384" s="1325">
        <v>-0.2</v>
      </c>
      <c r="AU384" s="1326">
        <f>AT384</f>
        <v>-0.2</v>
      </c>
      <c r="AV384" s="16"/>
      <c r="AW384" s="16"/>
      <c r="AX384" s="19"/>
      <c r="AY384" s="20"/>
      <c r="AZ384" s="77"/>
      <c r="BA384" s="38"/>
      <c r="BB384" s="145"/>
      <c r="BC384" s="80"/>
      <c r="BD384" s="75"/>
      <c r="BE384" s="208"/>
      <c r="BF384" s="16"/>
      <c r="BG384" s="19"/>
      <c r="BH384" s="20"/>
      <c r="BI384" s="77"/>
      <c r="BJ384" s="38"/>
      <c r="BK384" s="145"/>
      <c r="BL384" s="80"/>
      <c r="BM384" s="75"/>
      <c r="BN384" s="208"/>
      <c r="BO384" s="16"/>
      <c r="BP384" s="19"/>
      <c r="BQ384" s="20"/>
      <c r="BR384" s="32"/>
      <c r="BS384" s="38"/>
      <c r="BT384" s="145"/>
      <c r="BU384" s="27"/>
      <c r="BV384" s="220"/>
      <c r="BX384" s="321"/>
      <c r="BY384" s="38"/>
    </row>
    <row r="385" spans="1:77" ht="15" customHeight="1" x14ac:dyDescent="0.2">
      <c r="A385" s="573" t="s">
        <v>53</v>
      </c>
      <c r="B385" s="56" t="s">
        <v>1606</v>
      </c>
      <c r="C385" s="637"/>
      <c r="D385" s="544">
        <v>14364.931</v>
      </c>
      <c r="E385" s="95" t="s">
        <v>3194</v>
      </c>
      <c r="F385" s="373">
        <v>1994</v>
      </c>
      <c r="G385" s="121">
        <v>42.450279999999999</v>
      </c>
      <c r="H385" s="346">
        <f>G385-27.01862</f>
        <v>15.431660000000001</v>
      </c>
      <c r="I385" s="114"/>
      <c r="J385" s="93">
        <v>47.968350000000001</v>
      </c>
      <c r="K385" s="346">
        <f>J385-27.01862</f>
        <v>20.949730000000002</v>
      </c>
      <c r="L385" s="114"/>
      <c r="M385" s="93">
        <v>157.31182000000001</v>
      </c>
      <c r="N385" s="93">
        <f>M385-131.01124</f>
        <v>26.300580000000025</v>
      </c>
      <c r="O385" s="1038"/>
      <c r="P385" s="93">
        <v>161.12547000000001</v>
      </c>
      <c r="Q385" s="93">
        <f>P385-131.01124</f>
        <v>30.11423000000002</v>
      </c>
      <c r="R385" s="1399">
        <v>2016</v>
      </c>
      <c r="S385" s="72">
        <v>125.1</v>
      </c>
      <c r="T385" s="1308">
        <v>48.8</v>
      </c>
      <c r="U385" s="68"/>
      <c r="V385" s="68"/>
      <c r="W385" s="19"/>
      <c r="X385" s="20"/>
      <c r="Y385" s="145"/>
      <c r="Z385" s="38"/>
      <c r="AA385" s="145"/>
      <c r="AB385" s="80"/>
      <c r="AC385" s="209"/>
      <c r="AD385" s="16"/>
      <c r="AE385" s="16"/>
      <c r="AF385" s="136"/>
      <c r="AG385" s="59"/>
      <c r="AH385" s="77"/>
      <c r="AI385" s="38"/>
      <c r="AJ385" s="145"/>
      <c r="AK385" s="80"/>
      <c r="AL385" s="215"/>
      <c r="AM385" s="1343">
        <v>0.15490000000000001</v>
      </c>
      <c r="AN385" s="1322">
        <v>7.8700000000000006E-2</v>
      </c>
      <c r="AO385" s="1323">
        <f>AR385*(1+AT385)</f>
        <v>9.0306700000000004E-2</v>
      </c>
      <c r="AP385" s="1322">
        <f>AR385*(1+AU385)</f>
        <v>9.0306700000000004E-2</v>
      </c>
      <c r="AQ385" s="262">
        <v>2030</v>
      </c>
      <c r="AR385" s="1324">
        <f>+AM385</f>
        <v>0.15490000000000001</v>
      </c>
      <c r="AS385" s="1340"/>
      <c r="AT385" s="1345">
        <v>-0.41699999999999998</v>
      </c>
      <c r="AU385" s="1346">
        <f>AT385</f>
        <v>-0.41699999999999998</v>
      </c>
      <c r="AV385" s="16"/>
      <c r="AW385" s="16"/>
      <c r="AX385" s="19"/>
      <c r="AY385" s="20"/>
      <c r="AZ385" s="77"/>
      <c r="BA385" s="38"/>
      <c r="BB385" s="145"/>
      <c r="BC385" s="80"/>
      <c r="BD385" s="75"/>
      <c r="BE385" s="208"/>
      <c r="BF385" s="16"/>
      <c r="BG385" s="19"/>
      <c r="BH385" s="20"/>
      <c r="BI385" s="77"/>
      <c r="BJ385" s="38"/>
      <c r="BK385" s="145"/>
      <c r="BL385" s="80"/>
      <c r="BM385" s="75"/>
      <c r="BN385" s="208"/>
      <c r="BO385" s="16"/>
      <c r="BP385" s="19"/>
      <c r="BQ385" s="20"/>
      <c r="BR385" s="32"/>
      <c r="BS385" s="38"/>
      <c r="BT385" s="145"/>
      <c r="BU385" s="27"/>
      <c r="BV385" s="220"/>
      <c r="BX385" s="321"/>
      <c r="BY385" s="38"/>
    </row>
    <row r="386" spans="1:77" ht="15" customHeight="1" x14ac:dyDescent="0.2">
      <c r="A386" s="56" t="s">
        <v>1607</v>
      </c>
      <c r="B386" s="56" t="s">
        <v>1606</v>
      </c>
      <c r="C386" s="637"/>
      <c r="D386" s="544">
        <v>1359821.4650000001</v>
      </c>
      <c r="E386" s="95" t="s">
        <v>3299</v>
      </c>
      <c r="F386" s="362">
        <v>1994</v>
      </c>
      <c r="G386" s="68">
        <f>3650.138+35.26</f>
        <v>3685.3980000000001</v>
      </c>
      <c r="H386" s="61">
        <f>4057.617+35.729</f>
        <v>4093.346</v>
      </c>
      <c r="I386" s="67"/>
      <c r="J386" s="68">
        <f>7046.29+41.565+1.803</f>
        <v>7089.6579999999994</v>
      </c>
      <c r="K386" s="62">
        <f>7467.09+41.565+1.803</f>
        <v>7510.4579999999996</v>
      </c>
      <c r="L386" s="67">
        <v>2012</v>
      </c>
      <c r="M386" s="68">
        <f>11320+42.711+0.978</f>
        <v>11363.688999999998</v>
      </c>
      <c r="N386" s="355">
        <f>11896+43.176+0.978</f>
        <v>11940.153999999999</v>
      </c>
      <c r="O386" s="362"/>
      <c r="P386" s="68"/>
      <c r="Q386" s="355"/>
      <c r="R386" s="362"/>
      <c r="S386" s="68"/>
      <c r="T386" s="355"/>
      <c r="U386" s="68"/>
      <c r="V386" s="61"/>
      <c r="W386" s="124"/>
      <c r="X386" s="125"/>
      <c r="Y386" s="53"/>
      <c r="Z386" s="53"/>
      <c r="AA386" s="126"/>
      <c r="AB386" s="399"/>
      <c r="AC386" s="618"/>
      <c r="AD386" s="168"/>
      <c r="AE386" s="168"/>
      <c r="AF386" s="264"/>
      <c r="AG386" s="265"/>
      <c r="AH386" s="276"/>
      <c r="AI386" s="53"/>
      <c r="AJ386" s="126"/>
      <c r="AK386" s="294"/>
      <c r="AL386" s="295"/>
      <c r="AM386" s="210"/>
      <c r="AN386" s="168"/>
      <c r="AO386" s="1524">
        <v>14.1</v>
      </c>
      <c r="AP386" s="1525">
        <v>13.8</v>
      </c>
      <c r="AQ386" s="423"/>
      <c r="AR386" s="53"/>
      <c r="AS386" s="843"/>
      <c r="AT386" s="294"/>
      <c r="AU386" s="295"/>
      <c r="AV386" s="168"/>
      <c r="AW386" s="168"/>
      <c r="AX386" s="264"/>
      <c r="AY386" s="265"/>
      <c r="AZ386" s="276"/>
      <c r="BA386" s="53"/>
      <c r="BB386" s="48"/>
      <c r="BC386" s="82"/>
      <c r="BD386" s="232"/>
      <c r="BE386" s="210"/>
      <c r="BF386" s="168"/>
      <c r="BG386" s="264"/>
      <c r="BH386" s="265"/>
      <c r="BI386" s="276"/>
      <c r="BJ386" s="53"/>
      <c r="BK386" s="48"/>
      <c r="BL386" s="82"/>
      <c r="BM386" s="232"/>
      <c r="BN386" s="210"/>
      <c r="BO386" s="168"/>
      <c r="BP386" s="173"/>
      <c r="BQ386" s="174"/>
      <c r="BR386" s="53"/>
      <c r="BS386" s="53"/>
      <c r="BT386" s="48"/>
      <c r="BU386" s="82"/>
      <c r="BV386" s="217"/>
      <c r="BW386" s="141" t="s">
        <v>3300</v>
      </c>
      <c r="BX386" s="312"/>
      <c r="BY386" s="139"/>
    </row>
    <row r="387" spans="1:77" ht="15" customHeight="1" x14ac:dyDescent="0.2">
      <c r="A387" s="56" t="s">
        <v>1607</v>
      </c>
      <c r="B387" s="56"/>
      <c r="C387" s="637" t="s">
        <v>2745</v>
      </c>
      <c r="D387" s="544"/>
      <c r="E387" s="107" t="s">
        <v>2748</v>
      </c>
      <c r="F387" s="603"/>
      <c r="G387" s="68"/>
      <c r="H387" s="61"/>
      <c r="I387" s="608"/>
      <c r="J387" s="68"/>
      <c r="K387" s="62"/>
      <c r="L387" s="67"/>
      <c r="M387" s="68"/>
      <c r="N387" s="355"/>
      <c r="O387" s="362"/>
      <c r="P387" s="68"/>
      <c r="Q387" s="355"/>
      <c r="R387" s="362"/>
      <c r="S387" s="68"/>
      <c r="T387" s="355"/>
      <c r="U387" s="68"/>
      <c r="V387" s="62"/>
      <c r="W387" s="124"/>
      <c r="X387" s="125"/>
      <c r="Y387" s="53"/>
      <c r="Z387" s="53"/>
      <c r="AA387" s="126"/>
      <c r="AB387" s="399"/>
      <c r="AC387" s="618"/>
      <c r="AD387" s="168"/>
      <c r="AE387" s="168"/>
      <c r="AF387" s="264"/>
      <c r="AG387" s="265"/>
      <c r="AH387" s="276"/>
      <c r="AI387" s="53"/>
      <c r="AJ387" s="126"/>
      <c r="AK387" s="294"/>
      <c r="AL387" s="295"/>
      <c r="AM387" s="210"/>
      <c r="AN387" s="168"/>
      <c r="AO387" s="1059"/>
      <c r="AP387" s="465"/>
      <c r="AQ387" s="423"/>
      <c r="AR387" s="53"/>
      <c r="AS387" s="843"/>
      <c r="AT387" s="294"/>
      <c r="AU387" s="295"/>
      <c r="AV387" s="168"/>
      <c r="AW387" s="168"/>
      <c r="AX387" s="264"/>
      <c r="AY387" s="265"/>
      <c r="AZ387" s="276"/>
      <c r="BA387" s="53"/>
      <c r="BB387" s="48"/>
      <c r="BC387" s="82"/>
      <c r="BD387" s="232"/>
      <c r="BE387" s="210"/>
      <c r="BF387" s="168"/>
      <c r="BG387" s="264"/>
      <c r="BH387" s="265"/>
      <c r="BI387" s="276"/>
      <c r="BJ387" s="53"/>
      <c r="BK387" s="48"/>
      <c r="BL387" s="82"/>
      <c r="BM387" s="232"/>
      <c r="BN387" s="210"/>
      <c r="BO387" s="168"/>
      <c r="BP387" s="173"/>
      <c r="BQ387" s="174"/>
      <c r="BR387" s="53"/>
      <c r="BS387" s="53"/>
      <c r="BT387" s="48"/>
      <c r="BU387" s="82"/>
      <c r="BV387" s="217"/>
      <c r="BW387" s="142"/>
      <c r="BX387" s="311"/>
      <c r="BY387" s="139"/>
    </row>
    <row r="388" spans="1:77" ht="15" customHeight="1" x14ac:dyDescent="0.2">
      <c r="A388" s="56" t="s">
        <v>1607</v>
      </c>
      <c r="B388" s="56"/>
      <c r="C388" s="637" t="s">
        <v>2769</v>
      </c>
      <c r="D388" s="544"/>
      <c r="E388" s="107" t="s">
        <v>2763</v>
      </c>
      <c r="F388" s="603"/>
      <c r="G388" s="68"/>
      <c r="H388" s="61"/>
      <c r="I388" s="608"/>
      <c r="J388" s="68"/>
      <c r="K388" s="62"/>
      <c r="L388" s="67"/>
      <c r="M388" s="68"/>
      <c r="N388" s="355"/>
      <c r="O388" s="362"/>
      <c r="P388" s="68"/>
      <c r="Q388" s="355"/>
      <c r="R388" s="362"/>
      <c r="S388" s="68"/>
      <c r="T388" s="355"/>
      <c r="U388" s="68"/>
      <c r="V388" s="62"/>
      <c r="W388" s="124"/>
      <c r="X388" s="125"/>
      <c r="Y388" s="53"/>
      <c r="Z388" s="53"/>
      <c r="AA388" s="126"/>
      <c r="AB388" s="399"/>
      <c r="AC388" s="618"/>
      <c r="AD388" s="168"/>
      <c r="AE388" s="168"/>
      <c r="AF388" s="264"/>
      <c r="AG388" s="265"/>
      <c r="AH388" s="276"/>
      <c r="AI388" s="53"/>
      <c r="AJ388" s="126"/>
      <c r="AK388" s="294"/>
      <c r="AL388" s="295"/>
      <c r="AM388" s="210"/>
      <c r="AN388" s="168"/>
      <c r="AO388" s="1059"/>
      <c r="AP388" s="465"/>
      <c r="AQ388" s="423"/>
      <c r="AR388" s="53"/>
      <c r="AS388" s="843"/>
      <c r="AT388" s="294"/>
      <c r="AU388" s="295"/>
      <c r="AV388" s="168"/>
      <c r="AW388" s="168"/>
      <c r="AX388" s="264"/>
      <c r="AY388" s="265"/>
      <c r="AZ388" s="276"/>
      <c r="BA388" s="53"/>
      <c r="BB388" s="48"/>
      <c r="BC388" s="82"/>
      <c r="BD388" s="232"/>
      <c r="BE388" s="210"/>
      <c r="BF388" s="168"/>
      <c r="BG388" s="264"/>
      <c r="BH388" s="265"/>
      <c r="BI388" s="276"/>
      <c r="BJ388" s="53"/>
      <c r="BK388" s="48"/>
      <c r="BL388" s="82"/>
      <c r="BM388" s="232"/>
      <c r="BN388" s="210"/>
      <c r="BO388" s="168"/>
      <c r="BP388" s="173"/>
      <c r="BQ388" s="174"/>
      <c r="BR388" s="53"/>
      <c r="BS388" s="53"/>
      <c r="BT388" s="48"/>
      <c r="BU388" s="82"/>
      <c r="BV388" s="217"/>
      <c r="BW388" s="142"/>
      <c r="BX388" s="311"/>
      <c r="BY388" s="139"/>
    </row>
    <row r="389" spans="1:77" ht="15" customHeight="1" x14ac:dyDescent="0.2">
      <c r="A389" s="56" t="s">
        <v>1607</v>
      </c>
      <c r="B389" s="56"/>
      <c r="C389" s="637" t="s">
        <v>2771</v>
      </c>
      <c r="D389" s="544"/>
      <c r="E389" s="107" t="s">
        <v>2770</v>
      </c>
      <c r="F389" s="603"/>
      <c r="G389" s="68"/>
      <c r="H389" s="61"/>
      <c r="I389" s="608"/>
      <c r="J389" s="68"/>
      <c r="K389" s="62"/>
      <c r="L389" s="67"/>
      <c r="M389" s="68"/>
      <c r="N389" s="355"/>
      <c r="O389" s="362"/>
      <c r="P389" s="68"/>
      <c r="Q389" s="355"/>
      <c r="R389" s="362"/>
      <c r="S389" s="68"/>
      <c r="T389" s="355"/>
      <c r="U389" s="68"/>
      <c r="V389" s="62"/>
      <c r="W389" s="124"/>
      <c r="X389" s="125"/>
      <c r="Y389" s="53"/>
      <c r="Z389" s="53"/>
      <c r="AA389" s="126"/>
      <c r="AB389" s="399"/>
      <c r="AC389" s="618"/>
      <c r="AD389" s="168"/>
      <c r="AE389" s="168"/>
      <c r="AF389" s="264"/>
      <c r="AG389" s="265"/>
      <c r="AH389" s="276"/>
      <c r="AI389" s="53"/>
      <c r="AJ389" s="126"/>
      <c r="AK389" s="294"/>
      <c r="AL389" s="295"/>
      <c r="AM389" s="210"/>
      <c r="AN389" s="168"/>
      <c r="AO389" s="1059"/>
      <c r="AP389" s="465"/>
      <c r="AQ389" s="423"/>
      <c r="AR389" s="53"/>
      <c r="AS389" s="843"/>
      <c r="AT389" s="294"/>
      <c r="AU389" s="295"/>
      <c r="AV389" s="168"/>
      <c r="AW389" s="168"/>
      <c r="AX389" s="264"/>
      <c r="AY389" s="265"/>
      <c r="AZ389" s="276"/>
      <c r="BA389" s="53"/>
      <c r="BB389" s="48"/>
      <c r="BC389" s="82"/>
      <c r="BD389" s="232"/>
      <c r="BE389" s="210"/>
      <c r="BF389" s="168"/>
      <c r="BG389" s="264"/>
      <c r="BH389" s="265"/>
      <c r="BI389" s="276"/>
      <c r="BJ389" s="53"/>
      <c r="BK389" s="48"/>
      <c r="BL389" s="82"/>
      <c r="BM389" s="232"/>
      <c r="BN389" s="210"/>
      <c r="BO389" s="168"/>
      <c r="BP389" s="173"/>
      <c r="BQ389" s="174"/>
      <c r="BR389" s="53"/>
      <c r="BS389" s="53"/>
      <c r="BT389" s="48"/>
      <c r="BU389" s="82"/>
      <c r="BV389" s="217"/>
      <c r="BW389" s="142"/>
      <c r="BX389" s="311"/>
      <c r="BY389" s="139"/>
    </row>
    <row r="390" spans="1:77" ht="15" customHeight="1" x14ac:dyDescent="0.2">
      <c r="A390" s="56" t="s">
        <v>1607</v>
      </c>
      <c r="B390" s="56"/>
      <c r="C390" s="637" t="s">
        <v>2766</v>
      </c>
      <c r="D390" s="544"/>
      <c r="E390" s="107" t="s">
        <v>2763</v>
      </c>
      <c r="F390" s="603"/>
      <c r="G390" s="68"/>
      <c r="H390" s="61"/>
      <c r="I390" s="608"/>
      <c r="J390" s="68"/>
      <c r="K390" s="62"/>
      <c r="L390" s="67"/>
      <c r="M390" s="68"/>
      <c r="N390" s="355"/>
      <c r="O390" s="362"/>
      <c r="P390" s="68"/>
      <c r="Q390" s="355"/>
      <c r="R390" s="362"/>
      <c r="S390" s="68"/>
      <c r="T390" s="355"/>
      <c r="U390" s="68"/>
      <c r="V390" s="62"/>
      <c r="W390" s="124"/>
      <c r="X390" s="125"/>
      <c r="Y390" s="53"/>
      <c r="Z390" s="53"/>
      <c r="AA390" s="126"/>
      <c r="AB390" s="399"/>
      <c r="AC390" s="618"/>
      <c r="AD390" s="168"/>
      <c r="AE390" s="168"/>
      <c r="AF390" s="264"/>
      <c r="AG390" s="265"/>
      <c r="AH390" s="276"/>
      <c r="AI390" s="53"/>
      <c r="AJ390" s="126"/>
      <c r="AK390" s="294"/>
      <c r="AL390" s="295"/>
      <c r="AM390" s="210"/>
      <c r="AN390" s="168"/>
      <c r="AO390" s="1059"/>
      <c r="AP390" s="465"/>
      <c r="AQ390" s="423"/>
      <c r="AR390" s="53"/>
      <c r="AS390" s="843"/>
      <c r="AT390" s="294"/>
      <c r="AU390" s="295"/>
      <c r="AV390" s="168"/>
      <c r="AW390" s="168"/>
      <c r="AX390" s="264"/>
      <c r="AY390" s="265"/>
      <c r="AZ390" s="276"/>
      <c r="BA390" s="53"/>
      <c r="BB390" s="48"/>
      <c r="BC390" s="82"/>
      <c r="BD390" s="232"/>
      <c r="BE390" s="210"/>
      <c r="BF390" s="168"/>
      <c r="BG390" s="264"/>
      <c r="BH390" s="265"/>
      <c r="BI390" s="276"/>
      <c r="BJ390" s="53"/>
      <c r="BK390" s="48"/>
      <c r="BL390" s="82"/>
      <c r="BM390" s="232"/>
      <c r="BN390" s="210"/>
      <c r="BO390" s="168"/>
      <c r="BP390" s="173"/>
      <c r="BQ390" s="174"/>
      <c r="BR390" s="53"/>
      <c r="BS390" s="53"/>
      <c r="BT390" s="48"/>
      <c r="BU390" s="82"/>
      <c r="BV390" s="217"/>
      <c r="BW390" s="142"/>
      <c r="BX390" s="311"/>
      <c r="BY390" s="139"/>
    </row>
    <row r="391" spans="1:77" ht="15" customHeight="1" x14ac:dyDescent="0.2">
      <c r="A391" s="56" t="s">
        <v>1607</v>
      </c>
      <c r="B391" s="56"/>
      <c r="C391" s="637" t="s">
        <v>2746</v>
      </c>
      <c r="D391" s="544"/>
      <c r="E391" s="107" t="s">
        <v>2748</v>
      </c>
      <c r="F391" s="603"/>
      <c r="G391" s="68"/>
      <c r="H391" s="61"/>
      <c r="I391" s="608"/>
      <c r="J391" s="68"/>
      <c r="K391" s="62"/>
      <c r="L391" s="67"/>
      <c r="M391" s="68"/>
      <c r="N391" s="355"/>
      <c r="O391" s="362"/>
      <c r="P391" s="68"/>
      <c r="Q391" s="355"/>
      <c r="R391" s="362"/>
      <c r="S391" s="68"/>
      <c r="T391" s="355"/>
      <c r="U391" s="68"/>
      <c r="V391" s="62"/>
      <c r="W391" s="124"/>
      <c r="X391" s="125"/>
      <c r="Y391" s="53"/>
      <c r="Z391" s="53"/>
      <c r="AA391" s="126"/>
      <c r="AB391" s="399"/>
      <c r="AC391" s="618"/>
      <c r="AD391" s="168"/>
      <c r="AE391" s="168"/>
      <c r="AF391" s="264"/>
      <c r="AG391" s="265"/>
      <c r="AH391" s="276"/>
      <c r="AI391" s="53"/>
      <c r="AJ391" s="126"/>
      <c r="AK391" s="294"/>
      <c r="AL391" s="295"/>
      <c r="AM391" s="210"/>
      <c r="AN391" s="168"/>
      <c r="AO391" s="1059"/>
      <c r="AP391" s="465"/>
      <c r="AQ391" s="423"/>
      <c r="AR391" s="53"/>
      <c r="AS391" s="843"/>
      <c r="AT391" s="294"/>
      <c r="AU391" s="295"/>
      <c r="AV391" s="168"/>
      <c r="AW391" s="168"/>
      <c r="AX391" s="264"/>
      <c r="AY391" s="265"/>
      <c r="AZ391" s="276"/>
      <c r="BA391" s="53"/>
      <c r="BB391" s="48"/>
      <c r="BC391" s="82"/>
      <c r="BD391" s="232"/>
      <c r="BE391" s="210"/>
      <c r="BF391" s="168"/>
      <c r="BG391" s="264"/>
      <c r="BH391" s="265"/>
      <c r="BI391" s="276"/>
      <c r="BJ391" s="53"/>
      <c r="BK391" s="48"/>
      <c r="BL391" s="82"/>
      <c r="BM391" s="232"/>
      <c r="BN391" s="210"/>
      <c r="BO391" s="168"/>
      <c r="BP391" s="173"/>
      <c r="BQ391" s="174"/>
      <c r="BR391" s="53"/>
      <c r="BS391" s="53"/>
      <c r="BT391" s="48"/>
      <c r="BU391" s="82"/>
      <c r="BV391" s="217"/>
      <c r="BW391" s="142"/>
      <c r="BX391" s="311"/>
      <c r="BY391" s="139"/>
    </row>
    <row r="392" spans="1:77" ht="15" customHeight="1" x14ac:dyDescent="0.2">
      <c r="A392" s="56" t="s">
        <v>1607</v>
      </c>
      <c r="B392" s="56"/>
      <c r="C392" s="637" t="s">
        <v>2758</v>
      </c>
      <c r="D392" s="544"/>
      <c r="E392" s="107" t="s">
        <v>2757</v>
      </c>
      <c r="F392" s="603"/>
      <c r="G392" s="68"/>
      <c r="H392" s="61"/>
      <c r="I392" s="608"/>
      <c r="J392" s="68"/>
      <c r="K392" s="62"/>
      <c r="L392" s="67"/>
      <c r="M392" s="68"/>
      <c r="N392" s="355"/>
      <c r="O392" s="362"/>
      <c r="P392" s="68"/>
      <c r="Q392" s="355"/>
      <c r="R392" s="362"/>
      <c r="S392" s="68"/>
      <c r="T392" s="355"/>
      <c r="U392" s="68"/>
      <c r="V392" s="62"/>
      <c r="W392" s="124"/>
      <c r="X392" s="125"/>
      <c r="Y392" s="53"/>
      <c r="Z392" s="53"/>
      <c r="AA392" s="126"/>
      <c r="AB392" s="399"/>
      <c r="AC392" s="618"/>
      <c r="AD392" s="168"/>
      <c r="AE392" s="168"/>
      <c r="AF392" s="264"/>
      <c r="AG392" s="265"/>
      <c r="AH392" s="276"/>
      <c r="AI392" s="53"/>
      <c r="AJ392" s="126"/>
      <c r="AK392" s="294"/>
      <c r="AL392" s="295"/>
      <c r="AM392" s="210"/>
      <c r="AN392" s="168"/>
      <c r="AO392" s="1059"/>
      <c r="AP392" s="465"/>
      <c r="AQ392" s="423"/>
      <c r="AR392" s="53"/>
      <c r="AS392" s="843"/>
      <c r="AT392" s="294"/>
      <c r="AU392" s="295"/>
      <c r="AV392" s="168"/>
      <c r="AW392" s="168"/>
      <c r="AX392" s="264"/>
      <c r="AY392" s="265"/>
      <c r="AZ392" s="276"/>
      <c r="BA392" s="53"/>
      <c r="BB392" s="48"/>
      <c r="BC392" s="82"/>
      <c r="BD392" s="232"/>
      <c r="BE392" s="210"/>
      <c r="BF392" s="168"/>
      <c r="BG392" s="264"/>
      <c r="BH392" s="265"/>
      <c r="BI392" s="276"/>
      <c r="BJ392" s="53"/>
      <c r="BK392" s="48"/>
      <c r="BL392" s="82"/>
      <c r="BM392" s="232"/>
      <c r="BN392" s="210"/>
      <c r="BO392" s="168"/>
      <c r="BP392" s="173"/>
      <c r="BQ392" s="174"/>
      <c r="BR392" s="53"/>
      <c r="BS392" s="53"/>
      <c r="BT392" s="48"/>
      <c r="BU392" s="82"/>
      <c r="BV392" s="217"/>
      <c r="BW392" s="142"/>
      <c r="BX392" s="311"/>
      <c r="BY392" s="139"/>
    </row>
    <row r="393" spans="1:77" ht="15" customHeight="1" x14ac:dyDescent="0.2">
      <c r="A393" s="56" t="s">
        <v>1607</v>
      </c>
      <c r="B393" s="56"/>
      <c r="C393" s="637" t="s">
        <v>2765</v>
      </c>
      <c r="D393" s="544"/>
      <c r="E393" s="107" t="s">
        <v>2763</v>
      </c>
      <c r="F393" s="603"/>
      <c r="G393" s="68"/>
      <c r="H393" s="61"/>
      <c r="I393" s="608"/>
      <c r="J393" s="68"/>
      <c r="K393" s="62"/>
      <c r="L393" s="67"/>
      <c r="M393" s="68"/>
      <c r="N393" s="355"/>
      <c r="O393" s="362"/>
      <c r="P393" s="68"/>
      <c r="Q393" s="355"/>
      <c r="R393" s="362"/>
      <c r="S393" s="68"/>
      <c r="T393" s="355"/>
      <c r="U393" s="68"/>
      <c r="V393" s="62"/>
      <c r="W393" s="124"/>
      <c r="X393" s="125"/>
      <c r="Y393" s="53"/>
      <c r="Z393" s="53"/>
      <c r="AA393" s="126"/>
      <c r="AB393" s="399"/>
      <c r="AC393" s="618"/>
      <c r="AD393" s="168"/>
      <c r="AE393" s="168"/>
      <c r="AF393" s="264"/>
      <c r="AG393" s="265"/>
      <c r="AH393" s="276"/>
      <c r="AI393" s="53"/>
      <c r="AJ393" s="126"/>
      <c r="AK393" s="294"/>
      <c r="AL393" s="295"/>
      <c r="AM393" s="210"/>
      <c r="AN393" s="168"/>
      <c r="AO393" s="1059"/>
      <c r="AP393" s="465"/>
      <c r="AQ393" s="423"/>
      <c r="AR393" s="53"/>
      <c r="AS393" s="843"/>
      <c r="AT393" s="294"/>
      <c r="AU393" s="295"/>
      <c r="AV393" s="168"/>
      <c r="AW393" s="168"/>
      <c r="AX393" s="264"/>
      <c r="AY393" s="265"/>
      <c r="AZ393" s="276"/>
      <c r="BA393" s="53"/>
      <c r="BB393" s="48"/>
      <c r="BC393" s="82"/>
      <c r="BD393" s="232"/>
      <c r="BE393" s="210"/>
      <c r="BF393" s="168"/>
      <c r="BG393" s="264"/>
      <c r="BH393" s="265"/>
      <c r="BI393" s="276"/>
      <c r="BJ393" s="53"/>
      <c r="BK393" s="48"/>
      <c r="BL393" s="82"/>
      <c r="BM393" s="232"/>
      <c r="BN393" s="210"/>
      <c r="BO393" s="168"/>
      <c r="BP393" s="173"/>
      <c r="BQ393" s="174"/>
      <c r="BR393" s="53"/>
      <c r="BS393" s="53"/>
      <c r="BT393" s="48"/>
      <c r="BU393" s="82"/>
      <c r="BV393" s="217"/>
      <c r="BW393" s="142"/>
      <c r="BX393" s="311"/>
      <c r="BY393" s="139"/>
    </row>
    <row r="394" spans="1:77" ht="15" customHeight="1" x14ac:dyDescent="0.2">
      <c r="A394" s="56" t="s">
        <v>1607</v>
      </c>
      <c r="B394" s="56"/>
      <c r="C394" s="637" t="s">
        <v>2762</v>
      </c>
      <c r="D394" s="544"/>
      <c r="E394" s="107" t="s">
        <v>2763</v>
      </c>
      <c r="F394" s="603"/>
      <c r="G394" s="68"/>
      <c r="H394" s="61"/>
      <c r="I394" s="608"/>
      <c r="J394" s="68"/>
      <c r="K394" s="62"/>
      <c r="L394" s="67"/>
      <c r="M394" s="68"/>
      <c r="N394" s="355"/>
      <c r="O394" s="362"/>
      <c r="P394" s="68"/>
      <c r="Q394" s="355"/>
      <c r="R394" s="362"/>
      <c r="S394" s="68"/>
      <c r="T394" s="355"/>
      <c r="U394" s="68"/>
      <c r="V394" s="62"/>
      <c r="W394" s="124"/>
      <c r="X394" s="125"/>
      <c r="Y394" s="53"/>
      <c r="Z394" s="53"/>
      <c r="AA394" s="126"/>
      <c r="AB394" s="399"/>
      <c r="AC394" s="618"/>
      <c r="AD394" s="168"/>
      <c r="AE394" s="168"/>
      <c r="AF394" s="264"/>
      <c r="AG394" s="265"/>
      <c r="AH394" s="276"/>
      <c r="AI394" s="53"/>
      <c r="AJ394" s="126"/>
      <c r="AK394" s="294"/>
      <c r="AL394" s="295"/>
      <c r="AM394" s="210"/>
      <c r="AN394" s="168"/>
      <c r="AO394" s="1059"/>
      <c r="AP394" s="465"/>
      <c r="AQ394" s="423"/>
      <c r="AR394" s="53"/>
      <c r="AS394" s="843"/>
      <c r="AT394" s="294"/>
      <c r="AU394" s="295"/>
      <c r="AV394" s="168"/>
      <c r="AW394" s="168"/>
      <c r="AX394" s="264"/>
      <c r="AY394" s="265"/>
      <c r="AZ394" s="276"/>
      <c r="BA394" s="53"/>
      <c r="BB394" s="48"/>
      <c r="BC394" s="82"/>
      <c r="BD394" s="232"/>
      <c r="BE394" s="210"/>
      <c r="BF394" s="168"/>
      <c r="BG394" s="264"/>
      <c r="BH394" s="265"/>
      <c r="BI394" s="276"/>
      <c r="BJ394" s="53"/>
      <c r="BK394" s="48"/>
      <c r="BL394" s="82"/>
      <c r="BM394" s="232"/>
      <c r="BN394" s="210"/>
      <c r="BO394" s="168"/>
      <c r="BP394" s="173"/>
      <c r="BQ394" s="174"/>
      <c r="BR394" s="53"/>
      <c r="BS394" s="53"/>
      <c r="BT394" s="48"/>
      <c r="BU394" s="82"/>
      <c r="BV394" s="217"/>
      <c r="BW394" s="142"/>
      <c r="BX394" s="311"/>
      <c r="BY394" s="139"/>
    </row>
    <row r="395" spans="1:77" ht="15" customHeight="1" x14ac:dyDescent="0.2">
      <c r="A395" s="56" t="s">
        <v>1607</v>
      </c>
      <c r="B395" s="56"/>
      <c r="C395" s="637" t="s">
        <v>2219</v>
      </c>
      <c r="D395" s="544"/>
      <c r="E395" s="107" t="s">
        <v>387</v>
      </c>
      <c r="F395" s="603"/>
      <c r="G395" s="68"/>
      <c r="H395" s="61"/>
      <c r="I395" s="608"/>
      <c r="J395" s="68"/>
      <c r="K395" s="62">
        <v>42.1</v>
      </c>
      <c r="L395" s="67"/>
      <c r="M395" s="68"/>
      <c r="N395" s="355">
        <v>40.799999999999997</v>
      </c>
      <c r="O395" s="362">
        <v>2016</v>
      </c>
      <c r="P395" s="68"/>
      <c r="Q395" s="355">
        <v>42.7</v>
      </c>
      <c r="R395" s="362">
        <v>2016</v>
      </c>
      <c r="S395" s="68"/>
      <c r="T395" s="355">
        <v>42.7</v>
      </c>
      <c r="U395" s="68"/>
      <c r="V395" s="62"/>
      <c r="W395" s="124"/>
      <c r="X395" s="125"/>
      <c r="Y395" s="53"/>
      <c r="Z395" s="53"/>
      <c r="AA395" s="126"/>
      <c r="AB395" s="399"/>
      <c r="AC395" s="618"/>
      <c r="AD395" s="168"/>
      <c r="AE395" s="168"/>
      <c r="AF395" s="264"/>
      <c r="AG395" s="265"/>
      <c r="AH395" s="276"/>
      <c r="AI395" s="53"/>
      <c r="AJ395" s="126"/>
      <c r="AK395" s="294"/>
      <c r="AL395" s="295"/>
      <c r="AM395" s="210"/>
      <c r="AN395" s="168"/>
      <c r="AO395" s="635">
        <f>AS395*(1+AT395)</f>
        <v>1.4734999999999998E-2</v>
      </c>
      <c r="AP395" s="636">
        <f>AS395*(1+AU395)</f>
        <v>1.4734999999999998E-2</v>
      </c>
      <c r="AQ395" s="666">
        <v>2005</v>
      </c>
      <c r="AR395" s="158"/>
      <c r="AS395" s="641">
        <f>+K395/1000</f>
        <v>4.2099999999999999E-2</v>
      </c>
      <c r="AT395" s="399">
        <v>-0.65</v>
      </c>
      <c r="AU395" s="618">
        <f>AT395</f>
        <v>-0.65</v>
      </c>
      <c r="AV395" s="168"/>
      <c r="AW395" s="168"/>
      <c r="AX395" s="264"/>
      <c r="AY395" s="265"/>
      <c r="AZ395" s="276"/>
      <c r="BA395" s="53"/>
      <c r="BB395" s="48"/>
      <c r="BC395" s="82"/>
      <c r="BD395" s="232"/>
      <c r="BE395" s="210"/>
      <c r="BF395" s="168"/>
      <c r="BG395" s="264"/>
      <c r="BH395" s="265"/>
      <c r="BI395" s="276"/>
      <c r="BJ395" s="53"/>
      <c r="BK395" s="48"/>
      <c r="BL395" s="82"/>
      <c r="BM395" s="232"/>
      <c r="BN395" s="210"/>
      <c r="BO395" s="168"/>
      <c r="BP395" s="173"/>
      <c r="BQ395" s="174"/>
      <c r="BR395" s="53"/>
      <c r="BS395" s="53"/>
      <c r="BT395" s="48"/>
      <c r="BU395" s="82"/>
      <c r="BV395" s="217"/>
      <c r="BW395" s="142"/>
      <c r="BX395" s="312"/>
      <c r="BY395" s="139"/>
    </row>
    <row r="396" spans="1:77" ht="15" customHeight="1" x14ac:dyDescent="0.2">
      <c r="A396" s="56" t="s">
        <v>1607</v>
      </c>
      <c r="B396" s="56"/>
      <c r="C396" s="637" t="s">
        <v>2760</v>
      </c>
      <c r="D396" s="544"/>
      <c r="E396" s="107" t="s">
        <v>2761</v>
      </c>
      <c r="F396" s="603"/>
      <c r="G396" s="68"/>
      <c r="H396" s="61"/>
      <c r="I396" s="608"/>
      <c r="J396" s="68"/>
      <c r="K396" s="62"/>
      <c r="L396" s="67"/>
      <c r="M396" s="68"/>
      <c r="N396" s="355"/>
      <c r="O396" s="362"/>
      <c r="P396" s="68"/>
      <c r="Q396" s="355"/>
      <c r="R396" s="362"/>
      <c r="S396" s="68"/>
      <c r="T396" s="355"/>
      <c r="U396" s="68"/>
      <c r="V396" s="62"/>
      <c r="W396" s="124"/>
      <c r="X396" s="125"/>
      <c r="Y396" s="53"/>
      <c r="Z396" s="53"/>
      <c r="AA396" s="126"/>
      <c r="AB396" s="399"/>
      <c r="AC396" s="618"/>
      <c r="AD396" s="168"/>
      <c r="AE396" s="168"/>
      <c r="AF396" s="264"/>
      <c r="AG396" s="265"/>
      <c r="AH396" s="276"/>
      <c r="AI396" s="53"/>
      <c r="AJ396" s="126"/>
      <c r="AK396" s="294"/>
      <c r="AL396" s="295"/>
      <c r="AM396" s="210"/>
      <c r="AN396" s="168"/>
      <c r="AO396" s="1059"/>
      <c r="AP396" s="465"/>
      <c r="AQ396" s="423"/>
      <c r="AR396" s="53"/>
      <c r="AS396" s="843"/>
      <c r="AT396" s="294"/>
      <c r="AU396" s="295"/>
      <c r="AV396" s="168"/>
      <c r="AW396" s="168"/>
      <c r="AX396" s="264"/>
      <c r="AY396" s="265"/>
      <c r="AZ396" s="276"/>
      <c r="BA396" s="53"/>
      <c r="BB396" s="48"/>
      <c r="BC396" s="82"/>
      <c r="BD396" s="232"/>
      <c r="BE396" s="210"/>
      <c r="BF396" s="168"/>
      <c r="BG396" s="264"/>
      <c r="BH396" s="265"/>
      <c r="BI396" s="276"/>
      <c r="BJ396" s="53"/>
      <c r="BK396" s="48"/>
      <c r="BL396" s="82"/>
      <c r="BM396" s="232"/>
      <c r="BN396" s="210"/>
      <c r="BO396" s="168"/>
      <c r="BP396" s="173"/>
      <c r="BQ396" s="174"/>
      <c r="BR396" s="53"/>
      <c r="BS396" s="53"/>
      <c r="BT396" s="48"/>
      <c r="BU396" s="82"/>
      <c r="BV396" s="217"/>
      <c r="BW396" s="142"/>
      <c r="BX396" s="311"/>
      <c r="BY396" s="139"/>
    </row>
    <row r="397" spans="1:77" ht="15" customHeight="1" x14ac:dyDescent="0.2">
      <c r="A397" s="56" t="s">
        <v>1607</v>
      </c>
      <c r="B397" s="56"/>
      <c r="C397" s="637" t="s">
        <v>2759</v>
      </c>
      <c r="D397" s="544"/>
      <c r="E397" s="107" t="s">
        <v>2757</v>
      </c>
      <c r="F397" s="603"/>
      <c r="G397" s="68"/>
      <c r="H397" s="61"/>
      <c r="I397" s="608"/>
      <c r="J397" s="68"/>
      <c r="K397" s="62"/>
      <c r="L397" s="67"/>
      <c r="M397" s="68"/>
      <c r="N397" s="355"/>
      <c r="O397" s="362"/>
      <c r="P397" s="68"/>
      <c r="Q397" s="355"/>
      <c r="R397" s="362"/>
      <c r="S397" s="68"/>
      <c r="T397" s="355"/>
      <c r="U397" s="68"/>
      <c r="V397" s="62"/>
      <c r="W397" s="124"/>
      <c r="X397" s="125"/>
      <c r="Y397" s="53"/>
      <c r="Z397" s="53"/>
      <c r="AA397" s="126"/>
      <c r="AB397" s="399"/>
      <c r="AC397" s="618"/>
      <c r="AD397" s="168"/>
      <c r="AE397" s="168"/>
      <c r="AF397" s="264"/>
      <c r="AG397" s="265"/>
      <c r="AH397" s="276"/>
      <c r="AI397" s="53"/>
      <c r="AJ397" s="126"/>
      <c r="AK397" s="294"/>
      <c r="AL397" s="295"/>
      <c r="AM397" s="210"/>
      <c r="AN397" s="168"/>
      <c r="AO397" s="1059"/>
      <c r="AP397" s="465"/>
      <c r="AQ397" s="423"/>
      <c r="AR397" s="53"/>
      <c r="AS397" s="843"/>
      <c r="AT397" s="294"/>
      <c r="AU397" s="295"/>
      <c r="AV397" s="168"/>
      <c r="AW397" s="168"/>
      <c r="AX397" s="264"/>
      <c r="AY397" s="265"/>
      <c r="AZ397" s="276"/>
      <c r="BA397" s="53"/>
      <c r="BB397" s="48"/>
      <c r="BC397" s="82"/>
      <c r="BD397" s="232"/>
      <c r="BE397" s="210"/>
      <c r="BF397" s="168"/>
      <c r="BG397" s="264"/>
      <c r="BH397" s="265"/>
      <c r="BI397" s="276"/>
      <c r="BJ397" s="53"/>
      <c r="BK397" s="48"/>
      <c r="BL397" s="82"/>
      <c r="BM397" s="232"/>
      <c r="BN397" s="210"/>
      <c r="BO397" s="168"/>
      <c r="BP397" s="173"/>
      <c r="BQ397" s="174"/>
      <c r="BR397" s="53"/>
      <c r="BS397" s="53"/>
      <c r="BT397" s="48"/>
      <c r="BU397" s="82"/>
      <c r="BV397" s="217"/>
      <c r="BW397" s="142"/>
      <c r="BX397" s="311"/>
      <c r="BY397" s="139"/>
    </row>
    <row r="398" spans="1:77" ht="15" customHeight="1" x14ac:dyDescent="0.2">
      <c r="A398" s="56" t="s">
        <v>1607</v>
      </c>
      <c r="B398" s="56"/>
      <c r="C398" s="637" t="s">
        <v>2772</v>
      </c>
      <c r="D398" s="544"/>
      <c r="E398" s="107" t="s">
        <v>2770</v>
      </c>
      <c r="F398" s="603"/>
      <c r="G398" s="68"/>
      <c r="H398" s="61"/>
      <c r="I398" s="608"/>
      <c r="J398" s="68"/>
      <c r="K398" s="62"/>
      <c r="L398" s="67"/>
      <c r="M398" s="68"/>
      <c r="N398" s="355"/>
      <c r="O398" s="362"/>
      <c r="P398" s="68"/>
      <c r="Q398" s="355"/>
      <c r="R398" s="362"/>
      <c r="S398" s="68"/>
      <c r="T398" s="355"/>
      <c r="U398" s="68"/>
      <c r="V398" s="62"/>
      <c r="W398" s="124"/>
      <c r="X398" s="125"/>
      <c r="Y398" s="53"/>
      <c r="Z398" s="53"/>
      <c r="AA398" s="126"/>
      <c r="AB398" s="399"/>
      <c r="AC398" s="618"/>
      <c r="AD398" s="168"/>
      <c r="AE398" s="168"/>
      <c r="AF398" s="264"/>
      <c r="AG398" s="265"/>
      <c r="AH398" s="276"/>
      <c r="AI398" s="53"/>
      <c r="AJ398" s="126"/>
      <c r="AK398" s="294"/>
      <c r="AL398" s="295"/>
      <c r="AM398" s="210"/>
      <c r="AN398" s="168"/>
      <c r="AO398" s="1059"/>
      <c r="AP398" s="465"/>
      <c r="AQ398" s="423"/>
      <c r="AR398" s="53"/>
      <c r="AS398" s="843"/>
      <c r="AT398" s="294"/>
      <c r="AU398" s="295"/>
      <c r="AV398" s="168"/>
      <c r="AW398" s="168"/>
      <c r="AX398" s="264"/>
      <c r="AY398" s="265"/>
      <c r="AZ398" s="276"/>
      <c r="BA398" s="53"/>
      <c r="BB398" s="48"/>
      <c r="BC398" s="82"/>
      <c r="BD398" s="232"/>
      <c r="BE398" s="210"/>
      <c r="BF398" s="168"/>
      <c r="BG398" s="264"/>
      <c r="BH398" s="265"/>
      <c r="BI398" s="276"/>
      <c r="BJ398" s="53"/>
      <c r="BK398" s="48"/>
      <c r="BL398" s="82"/>
      <c r="BM398" s="232"/>
      <c r="BN398" s="210"/>
      <c r="BO398" s="168"/>
      <c r="BP398" s="173"/>
      <c r="BQ398" s="174"/>
      <c r="BR398" s="53"/>
      <c r="BS398" s="53"/>
      <c r="BT398" s="48"/>
      <c r="BU398" s="82"/>
      <c r="BV398" s="217"/>
      <c r="BW398" s="142"/>
      <c r="BX398" s="311"/>
      <c r="BY398" s="139"/>
    </row>
    <row r="399" spans="1:77" ht="15" customHeight="1" x14ac:dyDescent="0.2">
      <c r="A399" s="56" t="s">
        <v>1607</v>
      </c>
      <c r="B399" s="56"/>
      <c r="C399" s="637" t="s">
        <v>2756</v>
      </c>
      <c r="D399" s="544"/>
      <c r="E399" s="107" t="s">
        <v>2757</v>
      </c>
      <c r="F399" s="603"/>
      <c r="G399" s="68"/>
      <c r="H399" s="61"/>
      <c r="I399" s="608"/>
      <c r="J399" s="68"/>
      <c r="K399" s="62"/>
      <c r="L399" s="67"/>
      <c r="M399" s="68"/>
      <c r="N399" s="355"/>
      <c r="O399" s="362"/>
      <c r="P399" s="68"/>
      <c r="Q399" s="355"/>
      <c r="R399" s="362"/>
      <c r="S399" s="68"/>
      <c r="T399" s="355"/>
      <c r="U399" s="68"/>
      <c r="V399" s="62"/>
      <c r="W399" s="124"/>
      <c r="X399" s="125"/>
      <c r="Y399" s="53"/>
      <c r="Z399" s="53"/>
      <c r="AA399" s="126"/>
      <c r="AB399" s="399"/>
      <c r="AC399" s="618"/>
      <c r="AD399" s="168"/>
      <c r="AE399" s="168"/>
      <c r="AF399" s="264"/>
      <c r="AG399" s="265"/>
      <c r="AH399" s="276"/>
      <c r="AI399" s="53"/>
      <c r="AJ399" s="126"/>
      <c r="AK399" s="294"/>
      <c r="AL399" s="295"/>
      <c r="AM399" s="210"/>
      <c r="AN399" s="168"/>
      <c r="AO399" s="1059"/>
      <c r="AP399" s="465"/>
      <c r="AQ399" s="423"/>
      <c r="AR399" s="53"/>
      <c r="AS399" s="843"/>
      <c r="AT399" s="294"/>
      <c r="AU399" s="295"/>
      <c r="AV399" s="168"/>
      <c r="AW399" s="168"/>
      <c r="AX399" s="264"/>
      <c r="AY399" s="265"/>
      <c r="AZ399" s="276"/>
      <c r="BA399" s="53"/>
      <c r="BB399" s="48"/>
      <c r="BC399" s="82"/>
      <c r="BD399" s="232"/>
      <c r="BE399" s="210"/>
      <c r="BF399" s="168"/>
      <c r="BG399" s="264"/>
      <c r="BH399" s="265"/>
      <c r="BI399" s="276"/>
      <c r="BJ399" s="53"/>
      <c r="BK399" s="48"/>
      <c r="BL399" s="82"/>
      <c r="BM399" s="232"/>
      <c r="BN399" s="210"/>
      <c r="BO399" s="168"/>
      <c r="BP399" s="173"/>
      <c r="BQ399" s="174"/>
      <c r="BR399" s="53"/>
      <c r="BS399" s="53"/>
      <c r="BT399" s="48"/>
      <c r="BU399" s="82"/>
      <c r="BV399" s="217"/>
      <c r="BW399" s="142"/>
      <c r="BX399" s="311"/>
      <c r="BY399" s="139"/>
    </row>
    <row r="400" spans="1:77" ht="15" customHeight="1" x14ac:dyDescent="0.2">
      <c r="A400" s="56" t="s">
        <v>1607</v>
      </c>
      <c r="B400" s="56"/>
      <c r="C400" s="637" t="s">
        <v>2749</v>
      </c>
      <c r="D400" s="544"/>
      <c r="E400" s="107" t="s">
        <v>2774</v>
      </c>
      <c r="F400" s="603"/>
      <c r="G400" s="68"/>
      <c r="H400" s="61"/>
      <c r="I400" s="608"/>
      <c r="J400" s="68"/>
      <c r="K400" s="62"/>
      <c r="L400" s="67"/>
      <c r="M400" s="68"/>
      <c r="N400" s="355"/>
      <c r="O400" s="362"/>
      <c r="P400" s="68"/>
      <c r="Q400" s="355"/>
      <c r="R400" s="362"/>
      <c r="S400" s="68"/>
      <c r="T400" s="355"/>
      <c r="U400" s="68"/>
      <c r="V400" s="62"/>
      <c r="W400" s="124"/>
      <c r="X400" s="125"/>
      <c r="Y400" s="53"/>
      <c r="Z400" s="53"/>
      <c r="AA400" s="126"/>
      <c r="AB400" s="399"/>
      <c r="AC400" s="618"/>
      <c r="AD400" s="168"/>
      <c r="AE400" s="168"/>
      <c r="AF400" s="264"/>
      <c r="AG400" s="265"/>
      <c r="AH400" s="276"/>
      <c r="AI400" s="53"/>
      <c r="AJ400" s="126"/>
      <c r="AK400" s="294"/>
      <c r="AL400" s="295"/>
      <c r="AM400" s="210"/>
      <c r="AN400" s="168"/>
      <c r="AO400" s="1059"/>
      <c r="AP400" s="465"/>
      <c r="AQ400" s="423"/>
      <c r="AR400" s="53"/>
      <c r="AS400" s="843"/>
      <c r="AT400" s="294"/>
      <c r="AU400" s="295"/>
      <c r="AV400" s="168"/>
      <c r="AW400" s="168"/>
      <c r="AX400" s="264"/>
      <c r="AY400" s="265"/>
      <c r="AZ400" s="276"/>
      <c r="BA400" s="53"/>
      <c r="BB400" s="48"/>
      <c r="BC400" s="82"/>
      <c r="BD400" s="232"/>
      <c r="BE400" s="210"/>
      <c r="BF400" s="168"/>
      <c r="BG400" s="264"/>
      <c r="BH400" s="265"/>
      <c r="BI400" s="276"/>
      <c r="BJ400" s="53"/>
      <c r="BK400" s="48"/>
      <c r="BL400" s="82"/>
      <c r="BM400" s="232"/>
      <c r="BN400" s="210"/>
      <c r="BO400" s="168"/>
      <c r="BP400" s="173"/>
      <c r="BQ400" s="174"/>
      <c r="BR400" s="53"/>
      <c r="BS400" s="53"/>
      <c r="BT400" s="48"/>
      <c r="BU400" s="82"/>
      <c r="BV400" s="217"/>
      <c r="BW400" s="142"/>
      <c r="BX400" s="311"/>
      <c r="BY400" s="139"/>
    </row>
    <row r="401" spans="1:77" ht="15" customHeight="1" x14ac:dyDescent="0.2">
      <c r="A401" s="56" t="s">
        <v>1607</v>
      </c>
      <c r="B401" s="56"/>
      <c r="C401" s="637" t="s">
        <v>2754</v>
      </c>
      <c r="D401" s="544"/>
      <c r="E401" s="107" t="s">
        <v>2748</v>
      </c>
      <c r="F401" s="603"/>
      <c r="G401" s="68"/>
      <c r="H401" s="61"/>
      <c r="I401" s="608"/>
      <c r="J401" s="68"/>
      <c r="K401" s="62"/>
      <c r="L401" s="67"/>
      <c r="M401" s="68"/>
      <c r="N401" s="355"/>
      <c r="O401" s="362"/>
      <c r="P401" s="68"/>
      <c r="Q401" s="355"/>
      <c r="R401" s="362"/>
      <c r="S401" s="68"/>
      <c r="T401" s="355"/>
      <c r="U401" s="68"/>
      <c r="V401" s="62"/>
      <c r="W401" s="124"/>
      <c r="X401" s="125"/>
      <c r="Y401" s="53"/>
      <c r="Z401" s="53"/>
      <c r="AA401" s="126"/>
      <c r="AB401" s="399"/>
      <c r="AC401" s="618"/>
      <c r="AD401" s="168"/>
      <c r="AE401" s="168"/>
      <c r="AF401" s="264"/>
      <c r="AG401" s="265"/>
      <c r="AH401" s="276"/>
      <c r="AI401" s="53"/>
      <c r="AJ401" s="126"/>
      <c r="AK401" s="294"/>
      <c r="AL401" s="295"/>
      <c r="AM401" s="210"/>
      <c r="AN401" s="168"/>
      <c r="AO401" s="1059"/>
      <c r="AP401" s="465"/>
      <c r="AQ401" s="423"/>
      <c r="AR401" s="53"/>
      <c r="AS401" s="843"/>
      <c r="AT401" s="294"/>
      <c r="AU401" s="295"/>
      <c r="AV401" s="168"/>
      <c r="AW401" s="168"/>
      <c r="AX401" s="264"/>
      <c r="AY401" s="265"/>
      <c r="AZ401" s="276"/>
      <c r="BA401" s="53"/>
      <c r="BB401" s="48"/>
      <c r="BC401" s="82"/>
      <c r="BD401" s="232"/>
      <c r="BE401" s="210"/>
      <c r="BF401" s="168"/>
      <c r="BG401" s="264"/>
      <c r="BH401" s="265"/>
      <c r="BI401" s="276"/>
      <c r="BJ401" s="53"/>
      <c r="BK401" s="48"/>
      <c r="BL401" s="82"/>
      <c r="BM401" s="232"/>
      <c r="BN401" s="210"/>
      <c r="BO401" s="168"/>
      <c r="BP401" s="173"/>
      <c r="BQ401" s="174"/>
      <c r="BR401" s="53"/>
      <c r="BS401" s="53"/>
      <c r="BT401" s="48"/>
      <c r="BU401" s="82"/>
      <c r="BV401" s="217"/>
      <c r="BW401" s="142"/>
      <c r="BX401" s="311"/>
      <c r="BY401" s="139"/>
    </row>
    <row r="402" spans="1:77" ht="15" customHeight="1" x14ac:dyDescent="0.2">
      <c r="A402" s="56" t="s">
        <v>1607</v>
      </c>
      <c r="B402" s="56"/>
      <c r="C402" s="637" t="s">
        <v>2208</v>
      </c>
      <c r="D402" s="544">
        <v>13000</v>
      </c>
      <c r="E402" s="107" t="s">
        <v>2747</v>
      </c>
      <c r="F402" s="603"/>
      <c r="G402" s="68"/>
      <c r="H402" s="61"/>
      <c r="I402" s="608"/>
      <c r="J402" s="68"/>
      <c r="K402" s="62"/>
      <c r="L402" s="67"/>
      <c r="M402" s="68"/>
      <c r="N402" s="355">
        <v>80</v>
      </c>
      <c r="O402" s="362"/>
      <c r="P402" s="68"/>
      <c r="Q402" s="355">
        <f>N402*(1-0.21)</f>
        <v>63.2</v>
      </c>
      <c r="R402" s="362"/>
      <c r="S402" s="68"/>
      <c r="T402" s="355"/>
      <c r="U402" s="68"/>
      <c r="V402" s="62"/>
      <c r="W402" s="124"/>
      <c r="X402" s="125"/>
      <c r="Y402" s="53"/>
      <c r="Z402" s="53"/>
      <c r="AA402" s="126"/>
      <c r="AB402" s="399"/>
      <c r="AC402" s="618"/>
      <c r="AD402" s="168"/>
      <c r="AE402" s="168"/>
      <c r="AF402" s="264"/>
      <c r="AG402" s="265"/>
      <c r="AH402" s="276"/>
      <c r="AI402" s="53"/>
      <c r="AJ402" s="126"/>
      <c r="AK402" s="294"/>
      <c r="AL402" s="295"/>
      <c r="AM402" s="210"/>
      <c r="AN402" s="168"/>
      <c r="AO402" s="1059" t="s">
        <v>2525</v>
      </c>
      <c r="AP402" s="465"/>
      <c r="AQ402" s="423"/>
      <c r="AR402" s="53"/>
      <c r="AS402" s="843"/>
      <c r="AT402" s="294"/>
      <c r="AU402" s="295"/>
      <c r="AV402" s="168"/>
      <c r="AW402" s="168"/>
      <c r="AX402" s="264"/>
      <c r="AY402" s="265"/>
      <c r="AZ402" s="276"/>
      <c r="BA402" s="53"/>
      <c r="BB402" s="48"/>
      <c r="BC402" s="82"/>
      <c r="BD402" s="232"/>
      <c r="BE402" s="210"/>
      <c r="BF402" s="168"/>
      <c r="BG402" s="264"/>
      <c r="BH402" s="265"/>
      <c r="BI402" s="276"/>
      <c r="BJ402" s="53"/>
      <c r="BK402" s="48"/>
      <c r="BL402" s="82"/>
      <c r="BM402" s="232"/>
      <c r="BN402" s="210"/>
      <c r="BO402" s="168"/>
      <c r="BP402" s="173"/>
      <c r="BQ402" s="174"/>
      <c r="BR402" s="53"/>
      <c r="BS402" s="53"/>
      <c r="BT402" s="48"/>
      <c r="BU402" s="82"/>
      <c r="BV402" s="217"/>
      <c r="BW402" s="142"/>
      <c r="BX402" s="311" t="s">
        <v>2209</v>
      </c>
      <c r="BY402" s="139"/>
    </row>
    <row r="403" spans="1:77" ht="15" customHeight="1" x14ac:dyDescent="0.2">
      <c r="A403" s="56" t="s">
        <v>1607</v>
      </c>
      <c r="B403" s="56"/>
      <c r="C403" s="637" t="s">
        <v>2764</v>
      </c>
      <c r="D403" s="544"/>
      <c r="E403" s="107" t="s">
        <v>2763</v>
      </c>
      <c r="F403" s="603"/>
      <c r="G403" s="68"/>
      <c r="H403" s="61"/>
      <c r="I403" s="608"/>
      <c r="J403" s="68"/>
      <c r="K403" s="62"/>
      <c r="L403" s="67"/>
      <c r="M403" s="68"/>
      <c r="N403" s="355"/>
      <c r="O403" s="362"/>
      <c r="P403" s="68"/>
      <c r="Q403" s="355"/>
      <c r="R403" s="362"/>
      <c r="S403" s="68"/>
      <c r="T403" s="355"/>
      <c r="U403" s="68"/>
      <c r="V403" s="62"/>
      <c r="W403" s="124"/>
      <c r="X403" s="125"/>
      <c r="Y403" s="53"/>
      <c r="Z403" s="53"/>
      <c r="AA403" s="126"/>
      <c r="AB403" s="399"/>
      <c r="AC403" s="618"/>
      <c r="AD403" s="168"/>
      <c r="AE403" s="168"/>
      <c r="AF403" s="264"/>
      <c r="AG403" s="265"/>
      <c r="AH403" s="276"/>
      <c r="AI403" s="53"/>
      <c r="AJ403" s="126"/>
      <c r="AK403" s="294"/>
      <c r="AL403" s="295"/>
      <c r="AM403" s="210"/>
      <c r="AN403" s="168"/>
      <c r="AO403" s="1059"/>
      <c r="AP403" s="465"/>
      <c r="AQ403" s="423"/>
      <c r="AR403" s="53"/>
      <c r="AS403" s="843"/>
      <c r="AT403" s="294"/>
      <c r="AU403" s="295"/>
      <c r="AV403" s="168"/>
      <c r="AW403" s="168"/>
      <c r="AX403" s="264"/>
      <c r="AY403" s="265"/>
      <c r="AZ403" s="276"/>
      <c r="BA403" s="53"/>
      <c r="BB403" s="48"/>
      <c r="BC403" s="82"/>
      <c r="BD403" s="232"/>
      <c r="BE403" s="210"/>
      <c r="BF403" s="168"/>
      <c r="BG403" s="264"/>
      <c r="BH403" s="265"/>
      <c r="BI403" s="276"/>
      <c r="BJ403" s="53"/>
      <c r="BK403" s="48"/>
      <c r="BL403" s="82"/>
      <c r="BM403" s="232"/>
      <c r="BN403" s="210"/>
      <c r="BO403" s="168"/>
      <c r="BP403" s="173"/>
      <c r="BQ403" s="174"/>
      <c r="BR403" s="53"/>
      <c r="BS403" s="53"/>
      <c r="BT403" s="48"/>
      <c r="BU403" s="82"/>
      <c r="BV403" s="217"/>
      <c r="BW403" s="142"/>
      <c r="BX403" s="311"/>
      <c r="BY403" s="139"/>
    </row>
    <row r="404" spans="1:77" ht="15" customHeight="1" x14ac:dyDescent="0.2">
      <c r="A404" s="56" t="s">
        <v>1607</v>
      </c>
      <c r="B404" s="56"/>
      <c r="C404" s="637" t="s">
        <v>2752</v>
      </c>
      <c r="D404" s="544"/>
      <c r="E404" s="107" t="s">
        <v>2748</v>
      </c>
      <c r="F404" s="603"/>
      <c r="G404" s="68"/>
      <c r="H404" s="61"/>
      <c r="I404" s="608"/>
      <c r="J404" s="68"/>
      <c r="K404" s="62"/>
      <c r="L404" s="67"/>
      <c r="M404" s="68"/>
      <c r="N404" s="355"/>
      <c r="O404" s="362"/>
      <c r="P404" s="68"/>
      <c r="Q404" s="355"/>
      <c r="R404" s="362"/>
      <c r="S404" s="68"/>
      <c r="T404" s="355"/>
      <c r="U404" s="68"/>
      <c r="V404" s="62"/>
      <c r="W404" s="124"/>
      <c r="X404" s="125"/>
      <c r="Y404" s="53"/>
      <c r="Z404" s="53"/>
      <c r="AA404" s="126"/>
      <c r="AB404" s="399"/>
      <c r="AC404" s="618"/>
      <c r="AD404" s="168"/>
      <c r="AE404" s="168"/>
      <c r="AF404" s="264"/>
      <c r="AG404" s="265"/>
      <c r="AH404" s="276"/>
      <c r="AI404" s="53"/>
      <c r="AJ404" s="126"/>
      <c r="AK404" s="294"/>
      <c r="AL404" s="295"/>
      <c r="AM404" s="210"/>
      <c r="AN404" s="168"/>
      <c r="AO404" s="1059"/>
      <c r="AP404" s="465"/>
      <c r="AQ404" s="423"/>
      <c r="AR404" s="53"/>
      <c r="AS404" s="843"/>
      <c r="AT404" s="294"/>
      <c r="AU404" s="295"/>
      <c r="AV404" s="168"/>
      <c r="AW404" s="168"/>
      <c r="AX404" s="264"/>
      <c r="AY404" s="265"/>
      <c r="AZ404" s="276"/>
      <c r="BA404" s="53"/>
      <c r="BB404" s="48"/>
      <c r="BC404" s="82"/>
      <c r="BD404" s="232"/>
      <c r="BE404" s="210"/>
      <c r="BF404" s="168"/>
      <c r="BG404" s="264"/>
      <c r="BH404" s="265"/>
      <c r="BI404" s="276"/>
      <c r="BJ404" s="53"/>
      <c r="BK404" s="48"/>
      <c r="BL404" s="82"/>
      <c r="BM404" s="232"/>
      <c r="BN404" s="210"/>
      <c r="BO404" s="168"/>
      <c r="BP404" s="173"/>
      <c r="BQ404" s="174"/>
      <c r="BR404" s="53"/>
      <c r="BS404" s="53"/>
      <c r="BT404" s="48"/>
      <c r="BU404" s="82"/>
      <c r="BV404" s="217"/>
      <c r="BW404" s="142"/>
      <c r="BX404" s="311"/>
      <c r="BY404" s="139"/>
    </row>
    <row r="405" spans="1:77" ht="15" customHeight="1" x14ac:dyDescent="0.2">
      <c r="A405" s="56" t="s">
        <v>1607</v>
      </c>
      <c r="B405" s="56"/>
      <c r="C405" s="637" t="s">
        <v>2768</v>
      </c>
      <c r="D405" s="544"/>
      <c r="E405" s="107" t="s">
        <v>2763</v>
      </c>
      <c r="F405" s="603"/>
      <c r="G405" s="68"/>
      <c r="H405" s="61"/>
      <c r="I405" s="608"/>
      <c r="J405" s="68"/>
      <c r="K405" s="62"/>
      <c r="L405" s="67"/>
      <c r="M405" s="68"/>
      <c r="N405" s="355"/>
      <c r="O405" s="362"/>
      <c r="P405" s="68"/>
      <c r="Q405" s="355"/>
      <c r="R405" s="362"/>
      <c r="S405" s="68"/>
      <c r="T405" s="355"/>
      <c r="U405" s="68"/>
      <c r="V405" s="62"/>
      <c r="W405" s="124"/>
      <c r="X405" s="125"/>
      <c r="Y405" s="53"/>
      <c r="Z405" s="53"/>
      <c r="AA405" s="126"/>
      <c r="AB405" s="399"/>
      <c r="AC405" s="618"/>
      <c r="AD405" s="168"/>
      <c r="AE405" s="168"/>
      <c r="AF405" s="264"/>
      <c r="AG405" s="265"/>
      <c r="AH405" s="276"/>
      <c r="AI405" s="53"/>
      <c r="AJ405" s="126"/>
      <c r="AK405" s="294"/>
      <c r="AL405" s="295"/>
      <c r="AM405" s="210"/>
      <c r="AN405" s="168"/>
      <c r="AO405" s="1059"/>
      <c r="AP405" s="465"/>
      <c r="AQ405" s="423"/>
      <c r="AR405" s="53"/>
      <c r="AS405" s="843"/>
      <c r="AT405" s="294"/>
      <c r="AU405" s="295"/>
      <c r="AV405" s="168"/>
      <c r="AW405" s="168"/>
      <c r="AX405" s="264"/>
      <c r="AY405" s="265"/>
      <c r="AZ405" s="276"/>
      <c r="BA405" s="53"/>
      <c r="BB405" s="48"/>
      <c r="BC405" s="82"/>
      <c r="BD405" s="232"/>
      <c r="BE405" s="210"/>
      <c r="BF405" s="168"/>
      <c r="BG405" s="264"/>
      <c r="BH405" s="265"/>
      <c r="BI405" s="276"/>
      <c r="BJ405" s="53"/>
      <c r="BK405" s="48"/>
      <c r="BL405" s="82"/>
      <c r="BM405" s="232"/>
      <c r="BN405" s="210"/>
      <c r="BO405" s="168"/>
      <c r="BP405" s="173"/>
      <c r="BQ405" s="174"/>
      <c r="BR405" s="53"/>
      <c r="BS405" s="53"/>
      <c r="BT405" s="48"/>
      <c r="BU405" s="82"/>
      <c r="BV405" s="217"/>
      <c r="BW405" s="142"/>
      <c r="BX405" s="311"/>
      <c r="BY405" s="139"/>
    </row>
    <row r="406" spans="1:77" ht="15" customHeight="1" x14ac:dyDescent="0.2">
      <c r="A406" s="56" t="s">
        <v>1607</v>
      </c>
      <c r="B406" s="56"/>
      <c r="C406" s="637" t="s">
        <v>2750</v>
      </c>
      <c r="D406" s="544"/>
      <c r="E406" s="107" t="s">
        <v>2773</v>
      </c>
      <c r="F406" s="603"/>
      <c r="G406" s="68"/>
      <c r="H406" s="61"/>
      <c r="I406" s="608"/>
      <c r="J406" s="68"/>
      <c r="K406" s="62"/>
      <c r="L406" s="67"/>
      <c r="M406" s="68"/>
      <c r="N406" s="355"/>
      <c r="O406" s="362"/>
      <c r="P406" s="68"/>
      <c r="Q406" s="355"/>
      <c r="R406" s="362"/>
      <c r="S406" s="68"/>
      <c r="T406" s="355"/>
      <c r="U406" s="68"/>
      <c r="V406" s="62"/>
      <c r="W406" s="124"/>
      <c r="X406" s="125"/>
      <c r="Y406" s="53"/>
      <c r="Z406" s="53"/>
      <c r="AA406" s="126"/>
      <c r="AB406" s="399"/>
      <c r="AC406" s="618"/>
      <c r="AD406" s="168"/>
      <c r="AE406" s="168"/>
      <c r="AF406" s="264"/>
      <c r="AG406" s="265"/>
      <c r="AH406" s="276"/>
      <c r="AI406" s="53"/>
      <c r="AJ406" s="126"/>
      <c r="AK406" s="294"/>
      <c r="AL406" s="295"/>
      <c r="AM406" s="210"/>
      <c r="AN406" s="168"/>
      <c r="AO406" s="1059"/>
      <c r="AP406" s="465"/>
      <c r="AQ406" s="423"/>
      <c r="AR406" s="53"/>
      <c r="AS406" s="843"/>
      <c r="AT406" s="294"/>
      <c r="AU406" s="295"/>
      <c r="AV406" s="168"/>
      <c r="AW406" s="168"/>
      <c r="AX406" s="264"/>
      <c r="AY406" s="265"/>
      <c r="AZ406" s="276"/>
      <c r="BA406" s="53"/>
      <c r="BB406" s="48"/>
      <c r="BC406" s="82"/>
      <c r="BD406" s="232"/>
      <c r="BE406" s="210"/>
      <c r="BF406" s="168"/>
      <c r="BG406" s="264"/>
      <c r="BH406" s="265"/>
      <c r="BI406" s="276"/>
      <c r="BJ406" s="53"/>
      <c r="BK406" s="48"/>
      <c r="BL406" s="82"/>
      <c r="BM406" s="232"/>
      <c r="BN406" s="210"/>
      <c r="BO406" s="168"/>
      <c r="BP406" s="173"/>
      <c r="BQ406" s="174"/>
      <c r="BR406" s="53"/>
      <c r="BS406" s="53"/>
      <c r="BT406" s="48"/>
      <c r="BU406" s="82"/>
      <c r="BV406" s="217"/>
      <c r="BW406" s="142"/>
      <c r="BX406" s="311"/>
      <c r="BY406" s="139"/>
    </row>
    <row r="407" spans="1:77" ht="15" customHeight="1" x14ac:dyDescent="0.2">
      <c r="A407" s="56" t="s">
        <v>1607</v>
      </c>
      <c r="B407" s="56"/>
      <c r="C407" s="637" t="s">
        <v>2750</v>
      </c>
      <c r="D407" s="544"/>
      <c r="E407" s="107" t="s">
        <v>2748</v>
      </c>
      <c r="F407" s="603"/>
      <c r="G407" s="68"/>
      <c r="H407" s="61"/>
      <c r="I407" s="608"/>
      <c r="J407" s="68"/>
      <c r="K407" s="62"/>
      <c r="L407" s="67"/>
      <c r="M407" s="68"/>
      <c r="N407" s="355"/>
      <c r="O407" s="362"/>
      <c r="P407" s="68"/>
      <c r="Q407" s="355"/>
      <c r="R407" s="362"/>
      <c r="S407" s="68"/>
      <c r="T407" s="355"/>
      <c r="U407" s="68"/>
      <c r="V407" s="62"/>
      <c r="W407" s="124"/>
      <c r="X407" s="125"/>
      <c r="Y407" s="53"/>
      <c r="Z407" s="53"/>
      <c r="AA407" s="126"/>
      <c r="AB407" s="399"/>
      <c r="AC407" s="618"/>
      <c r="AD407" s="168"/>
      <c r="AE407" s="168"/>
      <c r="AF407" s="264"/>
      <c r="AG407" s="265"/>
      <c r="AH407" s="276"/>
      <c r="AI407" s="53"/>
      <c r="AJ407" s="126"/>
      <c r="AK407" s="294"/>
      <c r="AL407" s="295"/>
      <c r="AM407" s="210"/>
      <c r="AN407" s="168"/>
      <c r="AO407" s="1059"/>
      <c r="AP407" s="465"/>
      <c r="AQ407" s="423"/>
      <c r="AR407" s="53"/>
      <c r="AS407" s="843"/>
      <c r="AT407" s="294"/>
      <c r="AU407" s="295"/>
      <c r="AV407" s="168"/>
      <c r="AW407" s="168"/>
      <c r="AX407" s="264"/>
      <c r="AY407" s="265"/>
      <c r="AZ407" s="276"/>
      <c r="BA407" s="53"/>
      <c r="BB407" s="48"/>
      <c r="BC407" s="82"/>
      <c r="BD407" s="232"/>
      <c r="BE407" s="210"/>
      <c r="BF407" s="168"/>
      <c r="BG407" s="264"/>
      <c r="BH407" s="265"/>
      <c r="BI407" s="276"/>
      <c r="BJ407" s="53"/>
      <c r="BK407" s="48"/>
      <c r="BL407" s="82"/>
      <c r="BM407" s="232"/>
      <c r="BN407" s="210"/>
      <c r="BO407" s="168"/>
      <c r="BP407" s="173"/>
      <c r="BQ407" s="174"/>
      <c r="BR407" s="53"/>
      <c r="BS407" s="53"/>
      <c r="BT407" s="48"/>
      <c r="BU407" s="82"/>
      <c r="BV407" s="217"/>
      <c r="BW407" s="142"/>
      <c r="BX407" s="311"/>
      <c r="BY407" s="139"/>
    </row>
    <row r="408" spans="1:77" ht="15" customHeight="1" x14ac:dyDescent="0.2">
      <c r="A408" s="56" t="s">
        <v>1607</v>
      </c>
      <c r="B408" s="56"/>
      <c r="C408" s="637" t="s">
        <v>2751</v>
      </c>
      <c r="D408" s="544"/>
      <c r="E408" s="107" t="s">
        <v>2755</v>
      </c>
      <c r="F408" s="603"/>
      <c r="G408" s="68"/>
      <c r="H408" s="61"/>
      <c r="I408" s="608"/>
      <c r="J408" s="68"/>
      <c r="K408" s="62"/>
      <c r="L408" s="67"/>
      <c r="M408" s="68"/>
      <c r="N408" s="355"/>
      <c r="O408" s="362"/>
      <c r="P408" s="68"/>
      <c r="Q408" s="355"/>
      <c r="R408" s="362"/>
      <c r="S408" s="68"/>
      <c r="T408" s="355"/>
      <c r="U408" s="68"/>
      <c r="V408" s="62"/>
      <c r="W408" s="124"/>
      <c r="X408" s="125"/>
      <c r="Y408" s="53"/>
      <c r="Z408" s="53"/>
      <c r="AA408" s="126"/>
      <c r="AB408" s="399"/>
      <c r="AC408" s="618"/>
      <c r="AD408" s="168"/>
      <c r="AE408" s="168"/>
      <c r="AF408" s="264"/>
      <c r="AG408" s="265"/>
      <c r="AH408" s="276"/>
      <c r="AI408" s="53"/>
      <c r="AJ408" s="126"/>
      <c r="AK408" s="294"/>
      <c r="AL408" s="295"/>
      <c r="AM408" s="210"/>
      <c r="AN408" s="168"/>
      <c r="AO408" s="1059"/>
      <c r="AP408" s="465"/>
      <c r="AQ408" s="423"/>
      <c r="AR408" s="53"/>
      <c r="AS408" s="843"/>
      <c r="AT408" s="294"/>
      <c r="AU408" s="295"/>
      <c r="AV408" s="168"/>
      <c r="AW408" s="168"/>
      <c r="AX408" s="264"/>
      <c r="AY408" s="265"/>
      <c r="AZ408" s="276"/>
      <c r="BA408" s="53"/>
      <c r="BB408" s="48"/>
      <c r="BC408" s="82"/>
      <c r="BD408" s="232"/>
      <c r="BE408" s="210"/>
      <c r="BF408" s="168"/>
      <c r="BG408" s="264"/>
      <c r="BH408" s="265"/>
      <c r="BI408" s="276"/>
      <c r="BJ408" s="53"/>
      <c r="BK408" s="48"/>
      <c r="BL408" s="82"/>
      <c r="BM408" s="232"/>
      <c r="BN408" s="210"/>
      <c r="BO408" s="168"/>
      <c r="BP408" s="173"/>
      <c r="BQ408" s="174"/>
      <c r="BR408" s="53"/>
      <c r="BS408" s="53"/>
      <c r="BT408" s="48"/>
      <c r="BU408" s="82"/>
      <c r="BV408" s="217"/>
      <c r="BW408" s="142"/>
      <c r="BX408" s="311"/>
      <c r="BY408" s="139"/>
    </row>
    <row r="409" spans="1:77" ht="15" customHeight="1" x14ac:dyDescent="0.2">
      <c r="A409" s="56" t="s">
        <v>1607</v>
      </c>
      <c r="B409" s="56"/>
      <c r="C409" s="637" t="s">
        <v>2753</v>
      </c>
      <c r="D409" s="544"/>
      <c r="E409" s="107" t="s">
        <v>2748</v>
      </c>
      <c r="F409" s="603"/>
      <c r="G409" s="68"/>
      <c r="H409" s="61"/>
      <c r="I409" s="608"/>
      <c r="J409" s="68"/>
      <c r="K409" s="62"/>
      <c r="L409" s="67"/>
      <c r="M409" s="68"/>
      <c r="N409" s="355"/>
      <c r="O409" s="362"/>
      <c r="P409" s="68"/>
      <c r="Q409" s="355"/>
      <c r="R409" s="362"/>
      <c r="S409" s="68"/>
      <c r="T409" s="355"/>
      <c r="U409" s="68"/>
      <c r="V409" s="62"/>
      <c r="W409" s="124"/>
      <c r="X409" s="125"/>
      <c r="Y409" s="53"/>
      <c r="Z409" s="53"/>
      <c r="AA409" s="126"/>
      <c r="AB409" s="399"/>
      <c r="AC409" s="618"/>
      <c r="AD409" s="168"/>
      <c r="AE409" s="168"/>
      <c r="AF409" s="264"/>
      <c r="AG409" s="265"/>
      <c r="AH409" s="276"/>
      <c r="AI409" s="53"/>
      <c r="AJ409" s="126"/>
      <c r="AK409" s="294"/>
      <c r="AL409" s="295"/>
      <c r="AM409" s="210"/>
      <c r="AN409" s="168"/>
      <c r="AO409" s="1059"/>
      <c r="AP409" s="465"/>
      <c r="AQ409" s="423"/>
      <c r="AR409" s="53"/>
      <c r="AS409" s="843"/>
      <c r="AT409" s="294"/>
      <c r="AU409" s="295"/>
      <c r="AV409" s="168"/>
      <c r="AW409" s="168"/>
      <c r="AX409" s="264"/>
      <c r="AY409" s="265"/>
      <c r="AZ409" s="276"/>
      <c r="BA409" s="53"/>
      <c r="BB409" s="48"/>
      <c r="BC409" s="82"/>
      <c r="BD409" s="232"/>
      <c r="BE409" s="210"/>
      <c r="BF409" s="168"/>
      <c r="BG409" s="264"/>
      <c r="BH409" s="265"/>
      <c r="BI409" s="276"/>
      <c r="BJ409" s="53"/>
      <c r="BK409" s="48"/>
      <c r="BL409" s="82"/>
      <c r="BM409" s="232"/>
      <c r="BN409" s="210"/>
      <c r="BO409" s="168"/>
      <c r="BP409" s="173"/>
      <c r="BQ409" s="174"/>
      <c r="BR409" s="53"/>
      <c r="BS409" s="53"/>
      <c r="BT409" s="48"/>
      <c r="BU409" s="82"/>
      <c r="BV409" s="217"/>
      <c r="BW409" s="142"/>
      <c r="BX409" s="311"/>
      <c r="BY409" s="139"/>
    </row>
    <row r="410" spans="1:77" ht="15" customHeight="1" x14ac:dyDescent="0.2">
      <c r="A410" s="56" t="s">
        <v>1607</v>
      </c>
      <c r="B410" s="56"/>
      <c r="C410" s="637" t="s">
        <v>2767</v>
      </c>
      <c r="D410" s="544"/>
      <c r="E410" s="107" t="s">
        <v>2763</v>
      </c>
      <c r="F410" s="603"/>
      <c r="G410" s="68"/>
      <c r="H410" s="61"/>
      <c r="I410" s="608"/>
      <c r="J410" s="68"/>
      <c r="K410" s="62"/>
      <c r="L410" s="67"/>
      <c r="M410" s="68"/>
      <c r="N410" s="355"/>
      <c r="O410" s="362"/>
      <c r="P410" s="68"/>
      <c r="Q410" s="355"/>
      <c r="R410" s="362"/>
      <c r="S410" s="68"/>
      <c r="T410" s="355"/>
      <c r="U410" s="68"/>
      <c r="V410" s="62"/>
      <c r="W410" s="124"/>
      <c r="X410" s="125"/>
      <c r="Y410" s="53"/>
      <c r="Z410" s="53"/>
      <c r="AA410" s="126"/>
      <c r="AB410" s="399"/>
      <c r="AC410" s="618"/>
      <c r="AD410" s="168"/>
      <c r="AE410" s="168"/>
      <c r="AF410" s="264"/>
      <c r="AG410" s="265"/>
      <c r="AH410" s="276"/>
      <c r="AI410" s="53"/>
      <c r="AJ410" s="126"/>
      <c r="AK410" s="294"/>
      <c r="AL410" s="295"/>
      <c r="AM410" s="210"/>
      <c r="AN410" s="168"/>
      <c r="AO410" s="1059"/>
      <c r="AP410" s="465"/>
      <c r="AQ410" s="423"/>
      <c r="AR410" s="53"/>
      <c r="AS410" s="843"/>
      <c r="AT410" s="294"/>
      <c r="AU410" s="295"/>
      <c r="AV410" s="168"/>
      <c r="AW410" s="168"/>
      <c r="AX410" s="264"/>
      <c r="AY410" s="265"/>
      <c r="AZ410" s="276"/>
      <c r="BA410" s="53"/>
      <c r="BB410" s="48"/>
      <c r="BC410" s="82"/>
      <c r="BD410" s="232"/>
      <c r="BE410" s="210"/>
      <c r="BF410" s="168"/>
      <c r="BG410" s="264"/>
      <c r="BH410" s="265"/>
      <c r="BI410" s="276"/>
      <c r="BJ410" s="53"/>
      <c r="BK410" s="48"/>
      <c r="BL410" s="82"/>
      <c r="BM410" s="232"/>
      <c r="BN410" s="210"/>
      <c r="BO410" s="168"/>
      <c r="BP410" s="173"/>
      <c r="BQ410" s="174"/>
      <c r="BR410" s="53"/>
      <c r="BS410" s="53"/>
      <c r="BT410" s="48"/>
      <c r="BU410" s="82"/>
      <c r="BV410" s="217"/>
      <c r="BW410" s="142"/>
      <c r="BX410" s="311"/>
      <c r="BY410" s="139"/>
    </row>
    <row r="411" spans="1:77" ht="15" customHeight="1" x14ac:dyDescent="0.2">
      <c r="A411" s="107" t="s">
        <v>187</v>
      </c>
      <c r="B411" s="56" t="s">
        <v>1606</v>
      </c>
      <c r="C411" s="637"/>
      <c r="D411" s="544">
        <v>20.283999999999999</v>
      </c>
      <c r="E411" s="95" t="s">
        <v>2954</v>
      </c>
      <c r="F411" s="373">
        <v>1994</v>
      </c>
      <c r="G411" s="672">
        <f>H411</f>
        <v>4.3150000000000001E-2</v>
      </c>
      <c r="H411" s="1292">
        <v>4.3150000000000001E-2</v>
      </c>
      <c r="I411" s="114">
        <v>2007</v>
      </c>
      <c r="J411" s="511">
        <f>+K411</f>
        <v>7.0800000000000002E-2</v>
      </c>
      <c r="K411" s="1254">
        <v>7.0800000000000002E-2</v>
      </c>
      <c r="L411" s="114"/>
      <c r="M411" s="1330">
        <v>7.1999999999999995E-2</v>
      </c>
      <c r="N411" s="1330">
        <f>+M411</f>
        <v>7.1999999999999995E-2</v>
      </c>
      <c r="O411" s="1038">
        <v>2014</v>
      </c>
      <c r="P411" s="511">
        <v>7.7600000000000002E-2</v>
      </c>
      <c r="Q411" s="1362">
        <f>+P411</f>
        <v>7.7600000000000002E-2</v>
      </c>
      <c r="R411" s="923"/>
      <c r="S411" s="68"/>
      <c r="T411" s="356"/>
      <c r="U411" s="68"/>
      <c r="V411" s="68"/>
      <c r="W411" s="19"/>
      <c r="X411" s="20"/>
      <c r="Y411" s="145"/>
      <c r="Z411" s="38"/>
      <c r="AA411" s="145"/>
      <c r="AB411" s="80"/>
      <c r="AC411" s="209"/>
      <c r="AD411" s="16"/>
      <c r="AE411" s="16"/>
      <c r="AF411" s="136"/>
      <c r="AG411" s="59"/>
      <c r="AH411" s="77"/>
      <c r="AI411" s="38"/>
      <c r="AJ411" s="145"/>
      <c r="AK411" s="80"/>
      <c r="AL411" s="215"/>
      <c r="AM411" s="208"/>
      <c r="AN411" s="16"/>
      <c r="AO411" s="1548" t="s">
        <v>329</v>
      </c>
      <c r="AP411" s="1549"/>
      <c r="AQ411" s="440">
        <v>2006</v>
      </c>
      <c r="AR411" s="38"/>
      <c r="AS411" s="145"/>
      <c r="AT411" s="80"/>
      <c r="AU411" s="215"/>
      <c r="AV411" s="16"/>
      <c r="AW411" s="16"/>
      <c r="AX411" s="19"/>
      <c r="AY411" s="20"/>
      <c r="AZ411" s="77"/>
      <c r="BA411" s="38"/>
      <c r="BB411" s="145"/>
      <c r="BC411" s="80"/>
      <c r="BD411" s="75"/>
      <c r="BE411" s="208"/>
      <c r="BF411" s="16"/>
      <c r="BG411" s="19"/>
      <c r="BH411" s="20"/>
      <c r="BI411" s="77"/>
      <c r="BJ411" s="38"/>
      <c r="BK411" s="145"/>
      <c r="BL411" s="80"/>
      <c r="BM411" s="75"/>
      <c r="BN411" s="208"/>
      <c r="BO411" s="16"/>
      <c r="BP411" s="19"/>
      <c r="BQ411" s="20"/>
      <c r="BR411" s="32"/>
      <c r="BS411" s="38"/>
      <c r="BT411" s="145"/>
      <c r="BU411" s="27"/>
      <c r="BV411" s="220"/>
      <c r="BX411" s="321" t="s">
        <v>328</v>
      </c>
      <c r="BY411" s="38"/>
    </row>
    <row r="412" spans="1:77" ht="15" customHeight="1" x14ac:dyDescent="0.2">
      <c r="A412" s="579" t="s">
        <v>159</v>
      </c>
      <c r="B412" s="56" t="s">
        <v>1606</v>
      </c>
      <c r="C412" s="637"/>
      <c r="D412" s="544">
        <v>860.55899999999997</v>
      </c>
      <c r="E412" s="95" t="s">
        <v>3195</v>
      </c>
      <c r="F412" s="373">
        <v>1994</v>
      </c>
      <c r="G412" s="121">
        <v>-6.31027</v>
      </c>
      <c r="H412" s="346">
        <f>G412+7.7016</f>
        <v>1.39133</v>
      </c>
      <c r="I412" s="114">
        <v>2006</v>
      </c>
      <c r="J412" s="93">
        <v>2.7</v>
      </c>
      <c r="K412" s="346">
        <f>J412-0.31</f>
        <v>2.39</v>
      </c>
      <c r="L412" s="114"/>
      <c r="M412" s="93">
        <v>3</v>
      </c>
      <c r="N412" s="93">
        <f>M412-0.76</f>
        <v>2.2400000000000002</v>
      </c>
      <c r="O412" s="1038">
        <v>2011</v>
      </c>
      <c r="P412" s="93">
        <v>2.6549999999999998</v>
      </c>
      <c r="Q412" s="378">
        <f>P412-0.56</f>
        <v>2.0949999999999998</v>
      </c>
      <c r="R412" s="923"/>
      <c r="S412" s="68"/>
      <c r="T412" s="356"/>
      <c r="U412" s="68"/>
      <c r="V412" s="68"/>
      <c r="W412" s="19"/>
      <c r="X412" s="20"/>
      <c r="Y412" s="145"/>
      <c r="Z412" s="38"/>
      <c r="AA412" s="145"/>
      <c r="AB412" s="80"/>
      <c r="AC412" s="209"/>
      <c r="AD412" s="16"/>
      <c r="AE412" s="16"/>
      <c r="AF412" s="136"/>
      <c r="AG412" s="59"/>
      <c r="AH412" s="77"/>
      <c r="AI412" s="38"/>
      <c r="AJ412" s="145"/>
      <c r="AK412" s="80"/>
      <c r="AL412" s="215"/>
      <c r="AM412" s="207"/>
      <c r="AN412" s="1336">
        <v>2.3410000000000002E-3</v>
      </c>
      <c r="AO412" s="1407">
        <f>AS412*(1+AT412)</f>
        <v>2.1069000000000001E-3</v>
      </c>
      <c r="AP412" s="1336">
        <f>AS412*(1+AU412)</f>
        <v>1.6387000000000001E-3</v>
      </c>
      <c r="AQ412" s="1408">
        <v>2030</v>
      </c>
      <c r="AR412" s="1364"/>
      <c r="AS412" s="1339">
        <f>+AN412</f>
        <v>2.3410000000000002E-3</v>
      </c>
      <c r="AT412" s="1409">
        <v>-0.1</v>
      </c>
      <c r="AU412" s="1410">
        <v>-0.3</v>
      </c>
      <c r="AV412" s="16"/>
      <c r="AW412" s="16"/>
      <c r="AX412" s="19"/>
      <c r="AY412" s="20"/>
      <c r="AZ412" s="77"/>
      <c r="BA412" s="38"/>
      <c r="BB412" s="145"/>
      <c r="BC412" s="80"/>
      <c r="BD412" s="75"/>
      <c r="BE412" s="208"/>
      <c r="BF412" s="16"/>
      <c r="BG412" s="19"/>
      <c r="BH412" s="20"/>
      <c r="BI412" s="77"/>
      <c r="BJ412" s="38"/>
      <c r="BK412" s="145"/>
      <c r="BL412" s="80"/>
      <c r="BM412" s="75"/>
      <c r="BN412" s="208"/>
      <c r="BO412" s="16"/>
      <c r="BP412" s="19"/>
      <c r="BQ412" s="20"/>
      <c r="BR412" s="32"/>
      <c r="BS412" s="38"/>
      <c r="BT412" s="145"/>
      <c r="BU412" s="27"/>
      <c r="BV412" s="220"/>
      <c r="BX412" s="139" t="s">
        <v>322</v>
      </c>
      <c r="BY412" s="38"/>
    </row>
    <row r="413" spans="1:77" ht="15" customHeight="1" x14ac:dyDescent="0.2">
      <c r="A413" s="56" t="s">
        <v>74</v>
      </c>
      <c r="B413" s="56" t="s">
        <v>1606</v>
      </c>
      <c r="C413" s="637"/>
      <c r="D413" s="544">
        <v>1205624.648</v>
      </c>
      <c r="E413" s="95" t="s">
        <v>2955</v>
      </c>
      <c r="F413" s="373">
        <v>1994</v>
      </c>
      <c r="G413" s="121">
        <v>1228.5401400000001</v>
      </c>
      <c r="H413" s="346">
        <v>1214.248</v>
      </c>
      <c r="I413" s="1316"/>
      <c r="J413" s="121">
        <v>1771.66202</v>
      </c>
      <c r="K413" s="93">
        <v>1946.6840199999999</v>
      </c>
      <c r="L413" s="1316"/>
      <c r="M413" s="121">
        <v>2687.5</v>
      </c>
      <c r="N413" s="93">
        <v>2709.1</v>
      </c>
      <c r="O413" s="373">
        <v>2014</v>
      </c>
      <c r="P413" s="121">
        <v>2306.2954300000001</v>
      </c>
      <c r="Q413" s="378">
        <v>2607.48812</v>
      </c>
      <c r="R413" s="603"/>
      <c r="S413" s="62"/>
      <c r="T413" s="356"/>
      <c r="U413" s="62">
        <v>4089.1</v>
      </c>
      <c r="V413" s="69">
        <v>4109.6000000000004</v>
      </c>
      <c r="W413" s="23">
        <f>Z413*(1+AB413)</f>
        <v>3.8846449999999999</v>
      </c>
      <c r="X413" s="24">
        <f>Z413*(1+AC413)</f>
        <v>3.7619720000000005</v>
      </c>
      <c r="Y413" s="53">
        <v>2020</v>
      </c>
      <c r="Z413" s="36">
        <f>U413/1000</f>
        <v>4.0891000000000002</v>
      </c>
      <c r="AA413" s="631"/>
      <c r="AB413" s="399">
        <v>-0.05</v>
      </c>
      <c r="AC413" s="618">
        <v>-0.08</v>
      </c>
      <c r="AD413" s="168"/>
      <c r="AE413" s="168"/>
      <c r="AF413" s="267"/>
      <c r="AG413" s="268"/>
      <c r="AH413" s="277"/>
      <c r="AI413" s="36"/>
      <c r="AJ413" s="48"/>
      <c r="AK413" s="294"/>
      <c r="AL413" s="295"/>
      <c r="AM413" s="239"/>
      <c r="AN413" s="168"/>
      <c r="AO413" s="267">
        <f>5.4-0.5</f>
        <v>4.9000000000000004</v>
      </c>
      <c r="AP413" s="268">
        <f>5.1-0.5</f>
        <v>4.5999999999999996</v>
      </c>
      <c r="AQ413" s="277">
        <v>2030</v>
      </c>
      <c r="AR413" s="36"/>
      <c r="AS413" s="48"/>
      <c r="AT413" s="294"/>
      <c r="AU413" s="295"/>
      <c r="AV413" s="168"/>
      <c r="AW413" s="168"/>
      <c r="AX413" s="267"/>
      <c r="AY413" s="268"/>
      <c r="AZ413" s="277"/>
      <c r="BA413" s="36"/>
      <c r="BB413" s="48"/>
      <c r="BC413" s="82"/>
      <c r="BD413" s="232"/>
      <c r="BE413" s="210"/>
      <c r="BF413" s="168"/>
      <c r="BG413" s="267"/>
      <c r="BH413" s="268"/>
      <c r="BI413" s="277"/>
      <c r="BJ413" s="36"/>
      <c r="BK413" s="48"/>
      <c r="BL413" s="82"/>
      <c r="BM413" s="232"/>
      <c r="BN413" s="210"/>
      <c r="BO413" s="168"/>
      <c r="BP413" s="124"/>
      <c r="BQ413" s="125"/>
      <c r="BR413" s="53"/>
      <c r="BS413" s="36"/>
      <c r="BT413" s="48"/>
      <c r="BU413" s="82"/>
      <c r="BV413" s="217"/>
      <c r="BW413" s="301" t="s">
        <v>221</v>
      </c>
      <c r="BX413" s="139"/>
      <c r="BY413" s="139" t="s">
        <v>221</v>
      </c>
    </row>
    <row r="414" spans="1:77" ht="15" customHeight="1" x14ac:dyDescent="0.2">
      <c r="A414" s="56" t="s">
        <v>74</v>
      </c>
      <c r="B414" s="56"/>
      <c r="C414" s="637" t="s">
        <v>3167</v>
      </c>
      <c r="D414" s="544">
        <v>7920</v>
      </c>
      <c r="E414" s="95" t="s">
        <v>387</v>
      </c>
      <c r="F414" s="373"/>
      <c r="G414" s="121"/>
      <c r="H414" s="346"/>
      <c r="I414" s="1316"/>
      <c r="J414" s="121"/>
      <c r="K414" s="93"/>
      <c r="L414" s="1316"/>
      <c r="M414" s="121"/>
      <c r="N414" s="93"/>
      <c r="O414" s="373"/>
      <c r="P414" s="121"/>
      <c r="Q414" s="378">
        <v>19.3</v>
      </c>
      <c r="R414" s="603"/>
      <c r="S414" s="62"/>
      <c r="T414" s="356"/>
      <c r="U414" s="62"/>
      <c r="V414" s="69"/>
      <c r="W414" s="23"/>
      <c r="X414" s="24"/>
      <c r="Y414" s="53"/>
      <c r="Z414" s="36"/>
      <c r="AA414" s="631"/>
      <c r="AB414" s="399"/>
      <c r="AC414" s="618"/>
      <c r="AD414" s="168"/>
      <c r="AE414" s="168"/>
      <c r="AF414" s="267"/>
      <c r="AG414" s="268"/>
      <c r="AH414" s="277"/>
      <c r="AI414" s="36"/>
      <c r="AJ414" s="48"/>
      <c r="AK414" s="294"/>
      <c r="AL414" s="295"/>
      <c r="AM414" s="239"/>
      <c r="AN414" s="168"/>
      <c r="AO414" s="409">
        <f>AS414*(1+AT414)</f>
        <v>9.6500000000000006E-3</v>
      </c>
      <c r="AP414" s="713">
        <f>AS414*(1+AU414)</f>
        <v>9.6500000000000006E-3</v>
      </c>
      <c r="AQ414" s="666">
        <v>2015</v>
      </c>
      <c r="AR414" s="158"/>
      <c r="AS414" s="714">
        <f>+Q414/1000</f>
        <v>1.9300000000000001E-2</v>
      </c>
      <c r="AT414" s="399">
        <v>-0.5</v>
      </c>
      <c r="AU414" s="618">
        <f>AT414</f>
        <v>-0.5</v>
      </c>
      <c r="AV414" s="168"/>
      <c r="AW414" s="168"/>
      <c r="AX414" s="267"/>
      <c r="AY414" s="268"/>
      <c r="AZ414" s="277"/>
      <c r="BA414" s="36"/>
      <c r="BB414" s="48"/>
      <c r="BC414" s="82"/>
      <c r="BD414" s="232"/>
      <c r="BE414" s="210"/>
      <c r="BF414" s="168"/>
      <c r="BG414" s="267"/>
      <c r="BH414" s="268"/>
      <c r="BI414" s="277"/>
      <c r="BJ414" s="36"/>
      <c r="BK414" s="48"/>
      <c r="BL414" s="82"/>
      <c r="BM414" s="232"/>
      <c r="BN414" s="210"/>
      <c r="BO414" s="168"/>
      <c r="BP414" s="124"/>
      <c r="BQ414" s="125"/>
      <c r="BR414" s="53"/>
      <c r="BS414" s="36"/>
      <c r="BT414" s="48"/>
      <c r="BU414" s="82"/>
      <c r="BV414" s="217"/>
      <c r="BW414" s="301"/>
      <c r="BX414" s="139"/>
      <c r="BY414" s="139"/>
    </row>
    <row r="415" spans="1:77" ht="15" customHeight="1" x14ac:dyDescent="0.2">
      <c r="A415" s="56" t="s">
        <v>74</v>
      </c>
      <c r="B415" s="56"/>
      <c r="C415" s="637" t="s">
        <v>2733</v>
      </c>
      <c r="D415" s="544">
        <v>1432.7339999999999</v>
      </c>
      <c r="E415" s="107" t="s">
        <v>392</v>
      </c>
      <c r="F415" s="603"/>
      <c r="G415" s="62"/>
      <c r="H415" s="69"/>
      <c r="I415" s="608"/>
      <c r="J415" s="62"/>
      <c r="K415" s="68"/>
      <c r="L415" s="608">
        <v>2012</v>
      </c>
      <c r="M415" s="62"/>
      <c r="N415" s="356">
        <v>1.70438</v>
      </c>
      <c r="O415" s="603"/>
      <c r="P415" s="62"/>
      <c r="Q415" s="356">
        <v>1.8876850000000001</v>
      </c>
      <c r="R415" s="603"/>
      <c r="S415" s="62"/>
      <c r="T415" s="356"/>
      <c r="U415" s="62"/>
      <c r="V415" s="69"/>
      <c r="W415" s="19">
        <f>AA415*(1+AC415)</f>
        <v>1.2782849999999999E-3</v>
      </c>
      <c r="X415" s="20">
        <f>AA415*(1+AC415)</f>
        <v>1.2782849999999999E-3</v>
      </c>
      <c r="Y415" s="50">
        <v>2012</v>
      </c>
      <c r="Z415" s="50"/>
      <c r="AA415" s="31">
        <f>N415/1000</f>
        <v>1.7043799999999999E-3</v>
      </c>
      <c r="AB415" s="395">
        <v>-0.25</v>
      </c>
      <c r="AC415" s="443">
        <v>-0.25</v>
      </c>
      <c r="AD415" s="168"/>
      <c r="AE415" s="168"/>
      <c r="AF415" s="267"/>
      <c r="AG415" s="268"/>
      <c r="AH415" s="277"/>
      <c r="AI415" s="36"/>
      <c r="AJ415" s="48"/>
      <c r="AK415" s="294"/>
      <c r="AL415" s="295"/>
      <c r="AM415" s="239"/>
      <c r="AN415" s="168"/>
      <c r="AO415" s="267"/>
      <c r="AP415" s="268"/>
      <c r="AQ415" s="277"/>
      <c r="AR415" s="36"/>
      <c r="AS415" s="48"/>
      <c r="AT415" s="294"/>
      <c r="AU415" s="295"/>
      <c r="AV415" s="168"/>
      <c r="AW415" s="168"/>
      <c r="AX415" s="267"/>
      <c r="AY415" s="268"/>
      <c r="AZ415" s="277"/>
      <c r="BA415" s="36"/>
      <c r="BB415" s="48"/>
      <c r="BC415" s="82"/>
      <c r="BD415" s="232"/>
      <c r="BE415" s="210"/>
      <c r="BF415" s="168"/>
      <c r="BG415" s="267"/>
      <c r="BH415" s="268"/>
      <c r="BI415" s="277"/>
      <c r="BJ415" s="36"/>
      <c r="BK415" s="48"/>
      <c r="BL415" s="82"/>
      <c r="BM415" s="232"/>
      <c r="BN415" s="210"/>
      <c r="BO415" s="168"/>
      <c r="BP415" s="124"/>
      <c r="BQ415" s="125"/>
      <c r="BR415" s="53"/>
      <c r="BS415" s="36"/>
      <c r="BT415" s="48"/>
      <c r="BU415" s="82"/>
      <c r="BV415" s="217"/>
      <c r="BW415" s="301"/>
      <c r="BX415" s="139"/>
      <c r="BY415" s="139"/>
    </row>
    <row r="416" spans="1:77" ht="15" customHeight="1" x14ac:dyDescent="0.2">
      <c r="A416" s="56" t="s">
        <v>74</v>
      </c>
      <c r="B416" s="107" t="s">
        <v>2449</v>
      </c>
      <c r="C416" s="637"/>
      <c r="D416" s="544">
        <v>35100</v>
      </c>
      <c r="E416" s="107" t="s">
        <v>371</v>
      </c>
      <c r="F416" s="603"/>
      <c r="G416" s="62"/>
      <c r="H416" s="69"/>
      <c r="I416" s="608"/>
      <c r="J416" s="62"/>
      <c r="K416" s="68"/>
      <c r="L416" s="608"/>
      <c r="M416" s="62"/>
      <c r="N416" s="356"/>
      <c r="O416" s="603"/>
      <c r="P416" s="62"/>
      <c r="Q416" s="356"/>
      <c r="R416" s="603"/>
      <c r="S416" s="62"/>
      <c r="T416" s="356"/>
      <c r="U416" s="62"/>
      <c r="V416" s="69"/>
      <c r="W416" s="23"/>
      <c r="X416" s="24"/>
      <c r="Y416" s="53"/>
      <c r="Z416" s="36"/>
      <c r="AA416" s="631"/>
      <c r="AB416" s="399"/>
      <c r="AC416" s="618"/>
      <c r="AD416" s="168"/>
      <c r="AE416" s="168"/>
      <c r="AF416" s="267"/>
      <c r="AG416" s="268"/>
      <c r="AH416" s="277"/>
      <c r="AI416" s="36"/>
      <c r="AJ416" s="48"/>
      <c r="AK416" s="294"/>
      <c r="AL416" s="295"/>
      <c r="AM416" s="239"/>
      <c r="AN416" s="168"/>
      <c r="AO416" s="267"/>
      <c r="AP416" s="268"/>
      <c r="AQ416" s="277"/>
      <c r="AR416" s="36"/>
      <c r="AS416" s="48"/>
      <c r="AT416" s="294"/>
      <c r="AU416" s="295"/>
      <c r="AV416" s="168"/>
      <c r="AW416" s="168"/>
      <c r="AX416" s="267"/>
      <c r="AY416" s="268"/>
      <c r="AZ416" s="277"/>
      <c r="BA416" s="36"/>
      <c r="BB416" s="48"/>
      <c r="BC416" s="82"/>
      <c r="BD416" s="232"/>
      <c r="BE416" s="210"/>
      <c r="BF416" s="168"/>
      <c r="BG416" s="267"/>
      <c r="BH416" s="268"/>
      <c r="BI416" s="277"/>
      <c r="BJ416" s="36"/>
      <c r="BK416" s="48"/>
      <c r="BL416" s="82"/>
      <c r="BM416" s="232"/>
      <c r="BN416" s="210"/>
      <c r="BO416" s="168"/>
      <c r="BP416" s="124"/>
      <c r="BQ416" s="125"/>
      <c r="BR416" s="53"/>
      <c r="BS416" s="36"/>
      <c r="BT416" s="48"/>
      <c r="BU416" s="82">
        <v>-0.8</v>
      </c>
      <c r="BV416" s="217">
        <v>-0.95</v>
      </c>
      <c r="BW416" s="301"/>
      <c r="BX416" s="139"/>
      <c r="BY416" s="139"/>
    </row>
    <row r="417" spans="1:77" s="135" customFormat="1" ht="15" customHeight="1" x14ac:dyDescent="0.2">
      <c r="A417" s="108" t="s">
        <v>75</v>
      </c>
      <c r="B417" s="56" t="s">
        <v>1606</v>
      </c>
      <c r="C417" s="637"/>
      <c r="D417" s="544">
        <v>240676.48499999999</v>
      </c>
      <c r="E417" s="140" t="s">
        <v>3334</v>
      </c>
      <c r="F417" s="365"/>
      <c r="G417" s="99">
        <v>464.55299000000002</v>
      </c>
      <c r="H417" s="128">
        <v>266.81839000000002</v>
      </c>
      <c r="I417" s="98"/>
      <c r="J417" s="99">
        <v>1289.261</v>
      </c>
      <c r="K417" s="99">
        <f>J417-439.638-258.887</f>
        <v>590.7360000000001</v>
      </c>
      <c r="L417" s="98"/>
      <c r="M417" s="99">
        <v>1120.499</v>
      </c>
      <c r="N417" s="99">
        <f>M417-383.405-51.383</f>
        <v>685.71100000000001</v>
      </c>
      <c r="O417" s="365">
        <v>2014</v>
      </c>
      <c r="P417" s="99">
        <v>1844.37</v>
      </c>
      <c r="Q417" s="364">
        <f>P417-480.033-499.389</f>
        <v>864.94799999999998</v>
      </c>
      <c r="R417" s="374">
        <v>2019</v>
      </c>
      <c r="S417" s="104">
        <v>1845.067</v>
      </c>
      <c r="T417" s="1295">
        <f>S417-924.853</f>
        <v>920.21400000000006</v>
      </c>
      <c r="U417" s="99">
        <v>2950</v>
      </c>
      <c r="V417" s="128">
        <v>1200</v>
      </c>
      <c r="W417" s="129">
        <f>Z417*(1+AB417)</f>
        <v>2.1830000000000003</v>
      </c>
      <c r="X417" s="130">
        <f>Z417*(1+AC417)</f>
        <v>1.7405000000000004</v>
      </c>
      <c r="Y417" s="131">
        <v>2020</v>
      </c>
      <c r="Z417" s="132">
        <f>+U417/1000</f>
        <v>2.95</v>
      </c>
      <c r="AA417" s="632"/>
      <c r="AB417" s="401">
        <v>-0.26</v>
      </c>
      <c r="AC417" s="692">
        <v>-0.41</v>
      </c>
      <c r="AD417" s="281"/>
      <c r="AE417" s="168"/>
      <c r="AF417" s="269"/>
      <c r="AG417" s="270"/>
      <c r="AH417" s="278"/>
      <c r="AI417" s="132"/>
      <c r="AJ417" s="48"/>
      <c r="AK417" s="296"/>
      <c r="AL417" s="297"/>
      <c r="AM417" s="499">
        <f>2.881</f>
        <v>2.8809999999999998</v>
      </c>
      <c r="AN417" s="437"/>
      <c r="AO417" s="454">
        <f>AR417*(1+AT417)</f>
        <v>2.0455099999999997</v>
      </c>
      <c r="AP417" s="439">
        <f>AR417*(1+AU417)</f>
        <v>1.6997900000000001</v>
      </c>
      <c r="AQ417" s="479">
        <v>2030</v>
      </c>
      <c r="AR417" s="424">
        <f>+AM417</f>
        <v>2.8809999999999998</v>
      </c>
      <c r="AS417" s="424"/>
      <c r="AT417" s="292">
        <v>-0.28999999999999998</v>
      </c>
      <c r="AU417" s="284">
        <v>-0.41</v>
      </c>
      <c r="AV417" s="281"/>
      <c r="AW417" s="168"/>
      <c r="AX417" s="269"/>
      <c r="AY417" s="270"/>
      <c r="AZ417" s="278"/>
      <c r="BA417" s="132"/>
      <c r="BB417" s="48"/>
      <c r="BC417" s="134"/>
      <c r="BD417" s="233"/>
      <c r="BE417" s="218"/>
      <c r="BF417" s="168"/>
      <c r="BG417" s="269"/>
      <c r="BH417" s="270"/>
      <c r="BI417" s="278"/>
      <c r="BJ417" s="132"/>
      <c r="BK417" s="48"/>
      <c r="BL417" s="134"/>
      <c r="BM417" s="233"/>
      <c r="BN417" s="218"/>
      <c r="BO417" s="168"/>
      <c r="BP417" s="129"/>
      <c r="BQ417" s="130"/>
      <c r="BR417" s="131"/>
      <c r="BS417" s="132">
        <v>0.54</v>
      </c>
      <c r="BT417" s="48"/>
      <c r="BU417" s="134"/>
      <c r="BV417" s="219"/>
      <c r="BW417" s="141" t="s">
        <v>212</v>
      </c>
      <c r="BX417" s="311"/>
      <c r="BY417" s="139" t="s">
        <v>0</v>
      </c>
    </row>
    <row r="418" spans="1:77" s="135" customFormat="1" ht="15" customHeight="1" x14ac:dyDescent="0.2">
      <c r="A418" s="108" t="s">
        <v>75</v>
      </c>
      <c r="B418" s="107" t="s">
        <v>2450</v>
      </c>
      <c r="C418" s="637"/>
      <c r="D418" s="544">
        <v>3553</v>
      </c>
      <c r="E418" s="107" t="s">
        <v>371</v>
      </c>
      <c r="F418" s="604"/>
      <c r="G418" s="99"/>
      <c r="H418" s="128"/>
      <c r="I418" s="609"/>
      <c r="J418" s="99"/>
      <c r="K418" s="99"/>
      <c r="L418" s="609"/>
      <c r="M418" s="99"/>
      <c r="N418" s="364"/>
      <c r="O418" s="365"/>
      <c r="P418" s="99"/>
      <c r="Q418" s="364"/>
      <c r="R418" s="365"/>
      <c r="S418" s="99"/>
      <c r="T418" s="364"/>
      <c r="U418" s="99"/>
      <c r="V418" s="128"/>
      <c r="W418" s="129"/>
      <c r="X418" s="130"/>
      <c r="Y418" s="131"/>
      <c r="Z418" s="132"/>
      <c r="AA418" s="632"/>
      <c r="AB418" s="401"/>
      <c r="AC418" s="692"/>
      <c r="AD418" s="281"/>
      <c r="AE418" s="168"/>
      <c r="AF418" s="269"/>
      <c r="AG418" s="270"/>
      <c r="AH418" s="278"/>
      <c r="AI418" s="132"/>
      <c r="AJ418" s="48"/>
      <c r="AK418" s="296"/>
      <c r="AL418" s="297"/>
      <c r="AM418" s="499"/>
      <c r="AN418" s="437"/>
      <c r="AO418" s="454"/>
      <c r="AP418" s="439"/>
      <c r="AQ418" s="479"/>
      <c r="AR418" s="424"/>
      <c r="AS418" s="424"/>
      <c r="AT418" s="292"/>
      <c r="AU418" s="284"/>
      <c r="AV418" s="281"/>
      <c r="AW418" s="168"/>
      <c r="AX418" s="269"/>
      <c r="AY418" s="270"/>
      <c r="AZ418" s="278"/>
      <c r="BA418" s="132"/>
      <c r="BB418" s="48"/>
      <c r="BC418" s="134"/>
      <c r="BD418" s="233"/>
      <c r="BE418" s="218"/>
      <c r="BF418" s="168"/>
      <c r="BG418" s="269"/>
      <c r="BH418" s="270"/>
      <c r="BI418" s="278"/>
      <c r="BJ418" s="132"/>
      <c r="BK418" s="48"/>
      <c r="BL418" s="134"/>
      <c r="BM418" s="233"/>
      <c r="BN418" s="218"/>
      <c r="BO418" s="168"/>
      <c r="BP418" s="129"/>
      <c r="BQ418" s="130"/>
      <c r="BR418" s="131"/>
      <c r="BS418" s="132"/>
      <c r="BT418" s="48"/>
      <c r="BU418" s="82">
        <v>-0.8</v>
      </c>
      <c r="BV418" s="217">
        <v>-0.95</v>
      </c>
      <c r="BW418" s="141"/>
      <c r="BX418" s="311"/>
      <c r="BY418" s="139"/>
    </row>
    <row r="419" spans="1:77" s="135" customFormat="1" ht="15" customHeight="1" x14ac:dyDescent="0.2">
      <c r="A419" s="108" t="s">
        <v>75</v>
      </c>
      <c r="B419" s="107" t="s">
        <v>2452</v>
      </c>
      <c r="C419" s="637"/>
      <c r="D419" s="544">
        <v>7450</v>
      </c>
      <c r="E419" s="107" t="s">
        <v>371</v>
      </c>
      <c r="F419" s="604"/>
      <c r="G419" s="99"/>
      <c r="H419" s="128"/>
      <c r="I419" s="609"/>
      <c r="J419" s="99"/>
      <c r="K419" s="99"/>
      <c r="L419" s="609"/>
      <c r="M419" s="99"/>
      <c r="N419" s="364"/>
      <c r="O419" s="365"/>
      <c r="P419" s="99"/>
      <c r="Q419" s="364"/>
      <c r="R419" s="365"/>
      <c r="S419" s="99"/>
      <c r="T419" s="364"/>
      <c r="U419" s="99"/>
      <c r="V419" s="128"/>
      <c r="W419" s="129"/>
      <c r="X419" s="130"/>
      <c r="Y419" s="131"/>
      <c r="Z419" s="132"/>
      <c r="AA419" s="632"/>
      <c r="AB419" s="401"/>
      <c r="AC419" s="692"/>
      <c r="AD419" s="281"/>
      <c r="AE419" s="168"/>
      <c r="AF419" s="269"/>
      <c r="AG419" s="270"/>
      <c r="AH419" s="278"/>
      <c r="AI419" s="132"/>
      <c r="AJ419" s="48"/>
      <c r="AK419" s="296"/>
      <c r="AL419" s="297"/>
      <c r="AM419" s="499"/>
      <c r="AN419" s="437"/>
      <c r="AO419" s="454"/>
      <c r="AP419" s="439"/>
      <c r="AQ419" s="479"/>
      <c r="AR419" s="424"/>
      <c r="AS419" s="424"/>
      <c r="AT419" s="292"/>
      <c r="AU419" s="284"/>
      <c r="AV419" s="281"/>
      <c r="AW419" s="168"/>
      <c r="AX419" s="269"/>
      <c r="AY419" s="270"/>
      <c r="AZ419" s="278"/>
      <c r="BA419" s="132"/>
      <c r="BB419" s="48"/>
      <c r="BC419" s="134"/>
      <c r="BD419" s="233"/>
      <c r="BE419" s="218"/>
      <c r="BF419" s="168"/>
      <c r="BG419" s="269"/>
      <c r="BH419" s="270"/>
      <c r="BI419" s="278"/>
      <c r="BJ419" s="132"/>
      <c r="BK419" s="48"/>
      <c r="BL419" s="134"/>
      <c r="BM419" s="233"/>
      <c r="BN419" s="218"/>
      <c r="BO419" s="168"/>
      <c r="BP419" s="129"/>
      <c r="BQ419" s="130"/>
      <c r="BR419" s="131"/>
      <c r="BS419" s="132"/>
      <c r="BT419" s="48"/>
      <c r="BU419" s="82">
        <v>-0.8</v>
      </c>
      <c r="BV419" s="217">
        <v>-0.95</v>
      </c>
      <c r="BW419" s="141"/>
      <c r="BX419" s="311"/>
      <c r="BY419" s="139"/>
    </row>
    <row r="420" spans="1:77" s="135" customFormat="1" ht="15" customHeight="1" x14ac:dyDescent="0.2">
      <c r="A420" s="108" t="s">
        <v>75</v>
      </c>
      <c r="B420" s="107" t="s">
        <v>2451</v>
      </c>
      <c r="C420" s="637"/>
      <c r="D420" s="544">
        <v>4396</v>
      </c>
      <c r="E420" s="107" t="s">
        <v>371</v>
      </c>
      <c r="F420" s="604"/>
      <c r="G420" s="99"/>
      <c r="H420" s="128"/>
      <c r="I420" s="609"/>
      <c r="J420" s="99"/>
      <c r="K420" s="99"/>
      <c r="L420" s="609"/>
      <c r="M420" s="99"/>
      <c r="N420" s="364"/>
      <c r="O420" s="365"/>
      <c r="P420" s="99"/>
      <c r="Q420" s="364"/>
      <c r="R420" s="365"/>
      <c r="S420" s="99"/>
      <c r="T420" s="364"/>
      <c r="U420" s="99"/>
      <c r="V420" s="128"/>
      <c r="W420" s="129"/>
      <c r="X420" s="130"/>
      <c r="Y420" s="131"/>
      <c r="Z420" s="132"/>
      <c r="AA420" s="632"/>
      <c r="AB420" s="401"/>
      <c r="AC420" s="692"/>
      <c r="AD420" s="281"/>
      <c r="AE420" s="168"/>
      <c r="AF420" s="269"/>
      <c r="AG420" s="270"/>
      <c r="AH420" s="278"/>
      <c r="AI420" s="132"/>
      <c r="AJ420" s="48"/>
      <c r="AK420" s="296"/>
      <c r="AL420" s="297"/>
      <c r="AM420" s="499"/>
      <c r="AN420" s="437"/>
      <c r="AO420" s="454"/>
      <c r="AP420" s="439"/>
      <c r="AQ420" s="479"/>
      <c r="AR420" s="424"/>
      <c r="AS420" s="424"/>
      <c r="AT420" s="292"/>
      <c r="AU420" s="284"/>
      <c r="AV420" s="281"/>
      <c r="AW420" s="168"/>
      <c r="AX420" s="269"/>
      <c r="AY420" s="270"/>
      <c r="AZ420" s="278"/>
      <c r="BA420" s="132"/>
      <c r="BB420" s="48"/>
      <c r="BC420" s="134"/>
      <c r="BD420" s="233"/>
      <c r="BE420" s="218"/>
      <c r="BF420" s="168"/>
      <c r="BG420" s="269"/>
      <c r="BH420" s="270"/>
      <c r="BI420" s="278"/>
      <c r="BJ420" s="132"/>
      <c r="BK420" s="48"/>
      <c r="BL420" s="134"/>
      <c r="BM420" s="233"/>
      <c r="BN420" s="218"/>
      <c r="BO420" s="168"/>
      <c r="BP420" s="129"/>
      <c r="BQ420" s="130"/>
      <c r="BR420" s="131"/>
      <c r="BS420" s="132"/>
      <c r="BT420" s="48"/>
      <c r="BU420" s="82">
        <v>-0.8</v>
      </c>
      <c r="BV420" s="217">
        <v>-0.95</v>
      </c>
      <c r="BW420" s="141"/>
      <c r="BX420" s="311"/>
      <c r="BY420" s="139"/>
    </row>
    <row r="421" spans="1:77" s="135" customFormat="1" ht="15" customHeight="1" x14ac:dyDescent="0.2">
      <c r="A421" s="108" t="s">
        <v>75</v>
      </c>
      <c r="B421" s="107"/>
      <c r="C421" s="637" t="s">
        <v>2520</v>
      </c>
      <c r="D421" s="544">
        <v>1048.6099999999999</v>
      </c>
      <c r="E421" s="107" t="s">
        <v>387</v>
      </c>
      <c r="F421" s="604"/>
      <c r="G421" s="99"/>
      <c r="H421" s="128"/>
      <c r="I421" s="609"/>
      <c r="J421" s="99"/>
      <c r="K421" s="99"/>
      <c r="L421" s="609"/>
      <c r="M421" s="99"/>
      <c r="N421" s="364">
        <v>2.6784599999999998</v>
      </c>
      <c r="O421" s="365">
        <v>2014</v>
      </c>
      <c r="P421" s="99"/>
      <c r="Q421" s="364">
        <v>2.1936420000000001</v>
      </c>
      <c r="R421" s="365"/>
      <c r="S421" s="99"/>
      <c r="T421" s="364"/>
      <c r="U421" s="99"/>
      <c r="V421" s="128"/>
      <c r="W421" s="129"/>
      <c r="X421" s="130"/>
      <c r="Y421" s="131"/>
      <c r="Z421" s="132"/>
      <c r="AA421" s="632"/>
      <c r="AB421" s="401"/>
      <c r="AC421" s="692"/>
      <c r="AD421" s="281"/>
      <c r="AE421" s="168"/>
      <c r="AF421" s="269"/>
      <c r="AG421" s="270"/>
      <c r="AH421" s="278"/>
      <c r="AI421" s="132"/>
      <c r="AJ421" s="48"/>
      <c r="AK421" s="296"/>
      <c r="AL421" s="297"/>
      <c r="AM421" s="499"/>
      <c r="AN421" s="437"/>
      <c r="AO421" s="635">
        <f>AS421*(1+AT421)</f>
        <v>1.7409989999999998E-3</v>
      </c>
      <c r="AP421" s="636">
        <f>AS421*(1+AU421)</f>
        <v>1.7409989999999998E-3</v>
      </c>
      <c r="AQ421" s="666">
        <v>2005</v>
      </c>
      <c r="AR421" s="158"/>
      <c r="AS421" s="641">
        <f>+N421/1000</f>
        <v>2.6784599999999997E-3</v>
      </c>
      <c r="AT421" s="399">
        <v>-0.35</v>
      </c>
      <c r="AU421" s="618">
        <f>AT421</f>
        <v>-0.35</v>
      </c>
      <c r="AV421" s="281"/>
      <c r="AW421" s="168"/>
      <c r="AX421" s="269"/>
      <c r="AY421" s="270"/>
      <c r="AZ421" s="278"/>
      <c r="BA421" s="132"/>
      <c r="BB421" s="48"/>
      <c r="BC421" s="134"/>
      <c r="BD421" s="233"/>
      <c r="BE421" s="218"/>
      <c r="BF421" s="168"/>
      <c r="BG421" s="269"/>
      <c r="BH421" s="270"/>
      <c r="BI421" s="278"/>
      <c r="BJ421" s="132"/>
      <c r="BK421" s="48"/>
      <c r="BL421" s="134"/>
      <c r="BM421" s="233"/>
      <c r="BN421" s="218"/>
      <c r="BO421" s="168"/>
      <c r="BP421" s="129"/>
      <c r="BQ421" s="130"/>
      <c r="BR421" s="131"/>
      <c r="BS421" s="132"/>
      <c r="BT421" s="48"/>
      <c r="BU421" s="82"/>
      <c r="BV421" s="217"/>
      <c r="BW421" s="141"/>
      <c r="BX421" s="311"/>
      <c r="BY421" s="139"/>
    </row>
    <row r="422" spans="1:77" s="135" customFormat="1" ht="15" customHeight="1" x14ac:dyDescent="0.2">
      <c r="A422" s="108" t="s">
        <v>75</v>
      </c>
      <c r="B422" s="108"/>
      <c r="C422" s="637" t="s">
        <v>552</v>
      </c>
      <c r="D422" s="544">
        <v>9341.7819999999992</v>
      </c>
      <c r="E422" s="127" t="s">
        <v>467</v>
      </c>
      <c r="F422" s="604"/>
      <c r="G422" s="99"/>
      <c r="H422" s="128"/>
      <c r="I422" s="609"/>
      <c r="J422" s="99"/>
      <c r="K422" s="99">
        <v>34.69</v>
      </c>
      <c r="L422" s="609"/>
      <c r="M422" s="99"/>
      <c r="N422" s="364"/>
      <c r="O422" s="365">
        <v>2014</v>
      </c>
      <c r="P422" s="99"/>
      <c r="Q422" s="364">
        <v>27.78</v>
      </c>
      <c r="R422" s="365"/>
      <c r="S422" s="99"/>
      <c r="T422" s="364"/>
      <c r="U422" s="99"/>
      <c r="V422" s="128"/>
      <c r="W422" s="129"/>
      <c r="X422" s="130"/>
      <c r="Y422" s="131"/>
      <c r="Z422" s="132"/>
      <c r="AA422" s="632"/>
      <c r="AB422" s="401"/>
      <c r="AC422" s="692"/>
      <c r="AD422" s="281"/>
      <c r="AE422" s="168"/>
      <c r="AF422" s="269"/>
      <c r="AG422" s="270"/>
      <c r="AH422" s="278"/>
      <c r="AI422" s="132"/>
      <c r="AJ422" s="48"/>
      <c r="AK422" s="296"/>
      <c r="AL422" s="297"/>
      <c r="AM422" s="499"/>
      <c r="AN422" s="511">
        <v>0.1138</v>
      </c>
      <c r="AO422" s="409">
        <f>AS422*(1+AT422)</f>
        <v>7.9659999999999995E-2</v>
      </c>
      <c r="AP422" s="713">
        <f>AS422*(1+AU422)</f>
        <v>7.9659999999999995E-2</v>
      </c>
      <c r="AQ422" s="666">
        <v>2005</v>
      </c>
      <c r="AR422" s="158"/>
      <c r="AS422" s="714">
        <f>AN422</f>
        <v>0.1138</v>
      </c>
      <c r="AT422" s="399">
        <v>-0.3</v>
      </c>
      <c r="AU422" s="618">
        <f>AT422</f>
        <v>-0.3</v>
      </c>
      <c r="AV422" s="281"/>
      <c r="AW422" s="168"/>
      <c r="AX422" s="269"/>
      <c r="AY422" s="270"/>
      <c r="AZ422" s="278"/>
      <c r="BA422" s="132"/>
      <c r="BB422" s="48"/>
      <c r="BC422" s="134"/>
      <c r="BD422" s="233"/>
      <c r="BE422" s="218"/>
      <c r="BF422" s="168"/>
      <c r="BG422" s="269"/>
      <c r="BH422" s="270"/>
      <c r="BI422" s="278"/>
      <c r="BJ422" s="132"/>
      <c r="BK422" s="48"/>
      <c r="BL422" s="134"/>
      <c r="BM422" s="233"/>
      <c r="BN422" s="218"/>
      <c r="BO422" s="168"/>
      <c r="BP422" s="129"/>
      <c r="BQ422" s="130"/>
      <c r="BR422" s="131"/>
      <c r="BS422" s="132"/>
      <c r="BT422" s="48"/>
      <c r="BU422" s="134"/>
      <c r="BV422" s="219"/>
      <c r="BW422" s="141"/>
      <c r="BX422" s="311"/>
      <c r="BY422" s="139"/>
    </row>
    <row r="423" spans="1:77" ht="15" customHeight="1" x14ac:dyDescent="0.2">
      <c r="A423" s="55" t="s">
        <v>25</v>
      </c>
      <c r="B423" s="56" t="s">
        <v>1606</v>
      </c>
      <c r="C423" s="637"/>
      <c r="D423" s="544">
        <v>97743</v>
      </c>
      <c r="E423" s="624" t="s">
        <v>3200</v>
      </c>
      <c r="F423" s="1098"/>
      <c r="G423" s="121">
        <v>1207.528</v>
      </c>
      <c r="H423" s="656">
        <v>1270.0029999999999</v>
      </c>
      <c r="I423" s="1296"/>
      <c r="J423" s="121">
        <v>1287.617</v>
      </c>
      <c r="K423" s="121">
        <v>1378.9570000000001</v>
      </c>
      <c r="L423" s="1296"/>
      <c r="M423" s="121">
        <v>1232.1849999999999</v>
      </c>
      <c r="N423" s="121">
        <v>1302.732</v>
      </c>
      <c r="O423" s="1048"/>
      <c r="P423" s="121">
        <v>1261.8925999999999</v>
      </c>
      <c r="Q423" s="915">
        <v>1321.4665299999999</v>
      </c>
      <c r="R423" s="1048">
        <v>2017</v>
      </c>
      <c r="S423" s="121">
        <v>1232.173</v>
      </c>
      <c r="T423" s="915">
        <v>1289.6310000000001</v>
      </c>
      <c r="U423" s="62">
        <v>1325</v>
      </c>
      <c r="V423" s="61">
        <v>1350</v>
      </c>
      <c r="W423" s="19">
        <f>AA423*(1+AC423)</f>
        <v>1.3265566340000001</v>
      </c>
      <c r="X423" s="20">
        <f>AA423*(1+AC423)</f>
        <v>1.3265566340000001</v>
      </c>
      <c r="Y423" s="50">
        <v>2005</v>
      </c>
      <c r="Z423" s="50"/>
      <c r="AA423" s="31">
        <f>K423/1000</f>
        <v>1.3789570000000002</v>
      </c>
      <c r="AB423" s="396">
        <v>-3.7999999999999999E-2</v>
      </c>
      <c r="AC423" s="693">
        <v>-3.7999999999999999E-2</v>
      </c>
      <c r="AD423" s="16"/>
      <c r="AE423" s="16"/>
      <c r="AF423" s="170"/>
      <c r="AG423" s="86"/>
      <c r="AH423" s="272"/>
      <c r="AI423" s="50"/>
      <c r="AJ423" s="31"/>
      <c r="AK423" s="157"/>
      <c r="AL423" s="285"/>
      <c r="AM423" s="208"/>
      <c r="AN423" s="16"/>
      <c r="AO423" s="1371">
        <f>+AR423*(1+AT423)</f>
        <v>1.04192</v>
      </c>
      <c r="AP423" s="1372">
        <f>+AR423*(1+AU423)</f>
        <v>1.04192</v>
      </c>
      <c r="AQ423" s="1373">
        <v>2013</v>
      </c>
      <c r="AR423" s="1507">
        <v>1.4079999999999999</v>
      </c>
      <c r="AS423" s="1375"/>
      <c r="AT423" s="1341">
        <v>-0.26</v>
      </c>
      <c r="AU423" s="694">
        <f>AT423</f>
        <v>-0.26</v>
      </c>
      <c r="AV423" s="16"/>
      <c r="AW423" s="16"/>
      <c r="AX423" s="170"/>
      <c r="AY423" s="86"/>
      <c r="AZ423" s="272"/>
      <c r="BA423" s="50"/>
      <c r="BB423" s="31"/>
      <c r="BC423" s="157"/>
      <c r="BD423" s="342"/>
      <c r="BE423" s="208"/>
      <c r="BF423" s="16"/>
      <c r="BG423" s="170"/>
      <c r="BH423" s="86"/>
      <c r="BI423" s="272"/>
      <c r="BJ423" s="50"/>
      <c r="BK423" s="31"/>
      <c r="BL423" s="157"/>
      <c r="BM423" s="342"/>
      <c r="BN423" s="208"/>
      <c r="BO423" s="16"/>
      <c r="BP423" s="170"/>
      <c r="BQ423" s="86"/>
      <c r="BR423" s="50"/>
      <c r="BS423" s="50"/>
      <c r="BT423" s="31"/>
      <c r="BU423" s="43">
        <v>-1</v>
      </c>
      <c r="BV423" s="209">
        <v>-1</v>
      </c>
      <c r="BW423" s="141" t="s">
        <v>258</v>
      </c>
      <c r="BX423" s="311"/>
      <c r="BY423" s="137" t="s">
        <v>252</v>
      </c>
    </row>
    <row r="424" spans="1:77" ht="15" customHeight="1" x14ac:dyDescent="0.2">
      <c r="A424" s="55" t="s">
        <v>25</v>
      </c>
      <c r="B424" s="56" t="s">
        <v>2740</v>
      </c>
      <c r="C424" s="637"/>
      <c r="D424" s="544">
        <v>7507.5529999999999</v>
      </c>
      <c r="E424" s="161" t="s">
        <v>392</v>
      </c>
      <c r="F424" s="604"/>
      <c r="G424" s="60"/>
      <c r="H424" s="61">
        <v>77.010999999999996</v>
      </c>
      <c r="I424" s="609"/>
      <c r="J424" s="121"/>
      <c r="K424" s="121"/>
      <c r="L424" s="609">
        <v>2012</v>
      </c>
      <c r="M424" s="62"/>
      <c r="N424" s="355">
        <v>73.971000000000004</v>
      </c>
      <c r="O424" s="604"/>
      <c r="P424" s="62"/>
      <c r="Q424" s="355"/>
      <c r="R424" s="604"/>
      <c r="S424" s="62"/>
      <c r="T424" s="355"/>
      <c r="U424" s="62"/>
      <c r="V424" s="62"/>
      <c r="W424" s="19">
        <f>AA424*(1+AC424)</f>
        <v>6.5459349999999999E-2</v>
      </c>
      <c r="X424" s="20">
        <f>AA424*(1+AC424)</f>
        <v>6.5459349999999999E-2</v>
      </c>
      <c r="Y424" s="50">
        <v>1990</v>
      </c>
      <c r="Z424" s="50"/>
      <c r="AA424" s="31">
        <f>H424/1000</f>
        <v>7.7010999999999996E-2</v>
      </c>
      <c r="AB424" s="395">
        <v>-0.15</v>
      </c>
      <c r="AC424" s="443">
        <f>AB424</f>
        <v>-0.15</v>
      </c>
      <c r="AD424" s="16"/>
      <c r="AE424" s="16"/>
      <c r="AF424" s="170"/>
      <c r="AG424" s="86"/>
      <c r="AH424" s="272"/>
      <c r="AI424" s="50"/>
      <c r="AJ424" s="31"/>
      <c r="AK424" s="157"/>
      <c r="AL424" s="285"/>
      <c r="AM424" s="208"/>
      <c r="AN424" s="16"/>
      <c r="AO424" s="388"/>
      <c r="AP424" s="389"/>
      <c r="AQ424" s="390"/>
      <c r="AR424" s="468"/>
      <c r="AS424" s="31"/>
      <c r="AT424" s="156"/>
      <c r="AU424" s="284"/>
      <c r="AV424" s="16"/>
      <c r="AW424" s="16"/>
      <c r="AX424" s="170"/>
      <c r="AY424" s="86"/>
      <c r="AZ424" s="272"/>
      <c r="BA424" s="50"/>
      <c r="BB424" s="31"/>
      <c r="BC424" s="157"/>
      <c r="BD424" s="342"/>
      <c r="BE424" s="208"/>
      <c r="BF424" s="16"/>
      <c r="BG424" s="170"/>
      <c r="BH424" s="86"/>
      <c r="BI424" s="272"/>
      <c r="BJ424" s="50"/>
      <c r="BK424" s="31"/>
      <c r="BL424" s="157"/>
      <c r="BM424" s="342"/>
      <c r="BN424" s="208"/>
      <c r="BO424" s="16"/>
      <c r="BP424" s="170"/>
      <c r="BQ424" s="86"/>
      <c r="BR424" s="50"/>
      <c r="BS424" s="50"/>
      <c r="BT424" s="31"/>
      <c r="BU424" s="43"/>
      <c r="BV424" s="209"/>
      <c r="BW424" s="141"/>
      <c r="BX424" s="311"/>
      <c r="BY424" s="137"/>
    </row>
    <row r="425" spans="1:77" ht="15" customHeight="1" x14ac:dyDescent="0.2">
      <c r="A425" s="55" t="s">
        <v>25</v>
      </c>
      <c r="B425" s="56" t="s">
        <v>2142</v>
      </c>
      <c r="C425" s="637"/>
      <c r="D425" s="544">
        <v>1992</v>
      </c>
      <c r="E425" s="161" t="s">
        <v>392</v>
      </c>
      <c r="F425" s="604"/>
      <c r="G425" s="60"/>
      <c r="H425" s="61"/>
      <c r="I425" s="609"/>
      <c r="J425" s="121"/>
      <c r="K425" s="121"/>
      <c r="L425" s="609"/>
      <c r="M425" s="62"/>
      <c r="N425" s="355"/>
      <c r="O425" s="604">
        <v>2012</v>
      </c>
      <c r="P425" s="62"/>
      <c r="Q425" s="355">
        <v>71.403999999999996</v>
      </c>
      <c r="R425" s="604"/>
      <c r="S425" s="62"/>
      <c r="T425" s="355"/>
      <c r="U425" s="62"/>
      <c r="V425" s="62"/>
      <c r="W425" s="19"/>
      <c r="X425" s="20"/>
      <c r="Y425" s="50"/>
      <c r="Z425" s="50"/>
      <c r="AA425" s="31"/>
      <c r="AB425" s="396"/>
      <c r="AC425" s="693"/>
      <c r="AD425" s="16"/>
      <c r="AE425" s="16"/>
      <c r="AF425" s="170"/>
      <c r="AG425" s="86"/>
      <c r="AH425" s="272"/>
      <c r="AI425" s="50"/>
      <c r="AJ425" s="31"/>
      <c r="AK425" s="157"/>
      <c r="AL425" s="285"/>
      <c r="AM425" s="208"/>
      <c r="AN425" s="16"/>
      <c r="AO425" s="388"/>
      <c r="AP425" s="389"/>
      <c r="AQ425" s="390"/>
      <c r="AR425" s="468"/>
      <c r="AS425" s="31"/>
      <c r="AT425" s="156"/>
      <c r="AU425" s="284"/>
      <c r="AV425" s="16"/>
      <c r="AW425" s="16"/>
      <c r="AX425" s="170"/>
      <c r="AY425" s="86"/>
      <c r="AZ425" s="272"/>
      <c r="BA425" s="50"/>
      <c r="BB425" s="31"/>
      <c r="BC425" s="157"/>
      <c r="BD425" s="342"/>
      <c r="BE425" s="208"/>
      <c r="BF425" s="16"/>
      <c r="BG425" s="170">
        <f>BK425*(1+BL425)</f>
        <v>1.4280799999999996E-2</v>
      </c>
      <c r="BH425" s="86">
        <f>BK425*(1+BM425)</f>
        <v>1.4280799999999996E-2</v>
      </c>
      <c r="BI425" s="272">
        <v>2012</v>
      </c>
      <c r="BJ425" s="50"/>
      <c r="BK425" s="31">
        <f>+Q425/1000</f>
        <v>7.1403999999999995E-2</v>
      </c>
      <c r="BL425" s="399">
        <v>-0.8</v>
      </c>
      <c r="BM425" s="652">
        <f>BL425</f>
        <v>-0.8</v>
      </c>
      <c r="BN425" s="208"/>
      <c r="BO425" s="16"/>
      <c r="BP425" s="170"/>
      <c r="BQ425" s="86"/>
      <c r="BR425" s="50"/>
      <c r="BS425" s="50"/>
      <c r="BT425" s="31"/>
      <c r="BU425" s="43"/>
      <c r="BV425" s="209"/>
      <c r="BW425" s="141"/>
      <c r="BX425" s="311"/>
      <c r="BY425" s="137"/>
    </row>
    <row r="426" spans="1:77" ht="15" customHeight="1" x14ac:dyDescent="0.2">
      <c r="A426" s="55" t="s">
        <v>25</v>
      </c>
      <c r="B426" s="107" t="s">
        <v>458</v>
      </c>
      <c r="C426" s="637"/>
      <c r="D426" s="544">
        <v>2000</v>
      </c>
      <c r="E426" s="161" t="s">
        <v>371</v>
      </c>
      <c r="F426" s="604"/>
      <c r="G426" s="60"/>
      <c r="H426" s="61"/>
      <c r="I426" s="609"/>
      <c r="J426" s="121"/>
      <c r="K426" s="121"/>
      <c r="L426" s="609">
        <v>2012</v>
      </c>
      <c r="M426" s="62"/>
      <c r="N426" s="355">
        <v>15.93</v>
      </c>
      <c r="O426" s="604"/>
      <c r="P426" s="62"/>
      <c r="Q426" s="355"/>
      <c r="R426" s="604"/>
      <c r="S426" s="62"/>
      <c r="T426" s="355"/>
      <c r="U426" s="62"/>
      <c r="V426" s="62"/>
      <c r="W426" s="19">
        <f>AA426*(1+AC426)</f>
        <v>1.2744E-2</v>
      </c>
      <c r="X426" s="20">
        <f>AA426*(1+AC426)</f>
        <v>1.2744E-2</v>
      </c>
      <c r="Y426" s="762">
        <v>2012</v>
      </c>
      <c r="Z426" s="50"/>
      <c r="AA426" s="31">
        <f>N426/1000</f>
        <v>1.593E-2</v>
      </c>
      <c r="AB426" s="395">
        <v>-0.2</v>
      </c>
      <c r="AC426" s="443">
        <f>AB426</f>
        <v>-0.2</v>
      </c>
      <c r="AD426" s="16"/>
      <c r="AE426" s="16"/>
      <c r="AF426" s="170"/>
      <c r="AG426" s="86"/>
      <c r="AH426" s="272"/>
      <c r="AI426" s="50"/>
      <c r="AJ426" s="31"/>
      <c r="AK426" s="157"/>
      <c r="AL426" s="285"/>
      <c r="AM426" s="208"/>
      <c r="AN426" s="16"/>
      <c r="AO426" s="388"/>
      <c r="AP426" s="389"/>
      <c r="AQ426" s="390"/>
      <c r="AR426" s="468"/>
      <c r="AS426" s="31"/>
      <c r="AT426" s="156"/>
      <c r="AU426" s="284"/>
      <c r="AV426" s="16"/>
      <c r="AW426" s="16"/>
      <c r="AX426" s="170"/>
      <c r="AY426" s="86"/>
      <c r="AZ426" s="272"/>
      <c r="BA426" s="50"/>
      <c r="BB426" s="31"/>
      <c r="BC426" s="157"/>
      <c r="BD426" s="342"/>
      <c r="BE426" s="208"/>
      <c r="BF426" s="16"/>
      <c r="BG426" s="170"/>
      <c r="BH426" s="86"/>
      <c r="BI426" s="272"/>
      <c r="BJ426" s="50"/>
      <c r="BK426" s="31"/>
      <c r="BL426" s="157"/>
      <c r="BM426" s="342"/>
      <c r="BN426" s="208"/>
      <c r="BO426" s="16"/>
      <c r="BP426" s="635">
        <f>BT426*(1+BU426)</f>
        <v>3.1859999999999992E-3</v>
      </c>
      <c r="BQ426" s="636">
        <f>BT426*(1+BV426)</f>
        <v>3.1859999999999992E-3</v>
      </c>
      <c r="BR426" s="762">
        <v>2012</v>
      </c>
      <c r="BS426" s="31"/>
      <c r="BT426" s="33">
        <f>+N426/1000</f>
        <v>1.593E-2</v>
      </c>
      <c r="BU426" s="43">
        <v>-0.8</v>
      </c>
      <c r="BV426" s="209">
        <f>BU426</f>
        <v>-0.8</v>
      </c>
      <c r="BW426" s="141"/>
      <c r="BX426" s="311"/>
      <c r="BY426" s="137"/>
    </row>
    <row r="427" spans="1:77" ht="15" customHeight="1" x14ac:dyDescent="0.2">
      <c r="A427" s="55" t="s">
        <v>25</v>
      </c>
      <c r="B427" s="107" t="s">
        <v>2734</v>
      </c>
      <c r="C427" s="637"/>
      <c r="D427" s="544">
        <v>2014.6079999999999</v>
      </c>
      <c r="E427" s="161" t="s">
        <v>392</v>
      </c>
      <c r="F427" s="604"/>
      <c r="G427" s="60"/>
      <c r="H427" s="61"/>
      <c r="I427" s="609">
        <v>2007</v>
      </c>
      <c r="J427" s="121"/>
      <c r="K427" s="121">
        <v>20.103000000000002</v>
      </c>
      <c r="L427" s="609"/>
      <c r="M427" s="62"/>
      <c r="N427" s="355"/>
      <c r="O427" s="604"/>
      <c r="P427" s="62"/>
      <c r="Q427" s="355"/>
      <c r="R427" s="604"/>
      <c r="S427" s="62"/>
      <c r="T427" s="355"/>
      <c r="U427" s="62"/>
      <c r="V427" s="62"/>
      <c r="W427" s="19">
        <f>AA427*(1+AC427)</f>
        <v>1.4474160000000002E-2</v>
      </c>
      <c r="X427" s="20">
        <f>AA427*(1+AC427)</f>
        <v>1.4474160000000002E-2</v>
      </c>
      <c r="Y427" s="762">
        <v>2007</v>
      </c>
      <c r="Z427" s="50"/>
      <c r="AA427" s="31">
        <f>K427/1000</f>
        <v>2.0103000000000003E-2</v>
      </c>
      <c r="AB427" s="395">
        <v>-0.28000000000000003</v>
      </c>
      <c r="AC427" s="443">
        <f>AB427</f>
        <v>-0.28000000000000003</v>
      </c>
      <c r="AD427" s="16"/>
      <c r="AE427" s="16"/>
      <c r="AF427" s="170"/>
      <c r="AG427" s="86"/>
      <c r="AH427" s="272"/>
      <c r="AI427" s="50"/>
      <c r="AJ427" s="31"/>
      <c r="AK427" s="157"/>
      <c r="AL427" s="285"/>
      <c r="AM427" s="208"/>
      <c r="AN427" s="16"/>
      <c r="AO427" s="388"/>
      <c r="AP427" s="389"/>
      <c r="AQ427" s="390"/>
      <c r="AR427" s="468"/>
      <c r="AS427" s="31"/>
      <c r="AT427" s="156"/>
      <c r="AU427" s="284"/>
      <c r="AV427" s="16"/>
      <c r="AW427" s="16"/>
      <c r="AX427" s="170"/>
      <c r="AY427" s="86"/>
      <c r="AZ427" s="272"/>
      <c r="BA427" s="50"/>
      <c r="BB427" s="31"/>
      <c r="BC427" s="157"/>
      <c r="BD427" s="342"/>
      <c r="BE427" s="208"/>
      <c r="BF427" s="16"/>
      <c r="BG427" s="170"/>
      <c r="BH427" s="86"/>
      <c r="BI427" s="272"/>
      <c r="BJ427" s="50"/>
      <c r="BK427" s="31"/>
      <c r="BL427" s="157"/>
      <c r="BM427" s="342"/>
      <c r="BN427" s="208"/>
      <c r="BO427" s="16"/>
      <c r="BP427" s="635"/>
      <c r="BQ427" s="636"/>
      <c r="BR427" s="762"/>
      <c r="BS427" s="31"/>
      <c r="BT427" s="33"/>
      <c r="BU427" s="43"/>
      <c r="BV427" s="209"/>
      <c r="BW427" s="141"/>
      <c r="BX427" s="311"/>
      <c r="BY427" s="137"/>
    </row>
    <row r="428" spans="1:77" ht="15" customHeight="1" x14ac:dyDescent="0.2">
      <c r="A428" s="55" t="s">
        <v>25</v>
      </c>
      <c r="B428" s="107" t="s">
        <v>2972</v>
      </c>
      <c r="C428" s="637" t="s">
        <v>612</v>
      </c>
      <c r="D428" s="1385">
        <v>1944</v>
      </c>
      <c r="E428" s="161" t="s">
        <v>2974</v>
      </c>
      <c r="F428" s="604"/>
      <c r="G428" s="60"/>
      <c r="H428" s="61"/>
      <c r="I428" s="609"/>
      <c r="J428" s="121"/>
      <c r="K428" s="121"/>
      <c r="L428" s="609">
        <v>2012</v>
      </c>
      <c r="M428" s="62"/>
      <c r="N428" s="355">
        <v>13.397</v>
      </c>
      <c r="O428" s="604"/>
      <c r="P428" s="62"/>
      <c r="Q428" s="355"/>
      <c r="R428" s="604"/>
      <c r="S428" s="62"/>
      <c r="T428" s="355"/>
      <c r="U428" s="62"/>
      <c r="V428" s="62"/>
      <c r="W428" s="19"/>
      <c r="X428" s="20"/>
      <c r="Y428" s="50"/>
      <c r="Z428" s="50"/>
      <c r="AA428" s="31"/>
      <c r="AB428" s="395"/>
      <c r="AC428" s="443"/>
      <c r="AD428" s="16"/>
      <c r="AE428" s="16"/>
      <c r="AF428" s="170"/>
      <c r="AG428" s="86"/>
      <c r="AH428" s="272"/>
      <c r="AI428" s="50"/>
      <c r="AJ428" s="31"/>
      <c r="AK428" s="157"/>
      <c r="AL428" s="285"/>
      <c r="AM428" s="208"/>
      <c r="AN428" s="16"/>
      <c r="AO428" s="635"/>
      <c r="AP428" s="636"/>
      <c r="AQ428" s="640"/>
      <c r="AR428" s="158"/>
      <c r="AS428" s="641"/>
      <c r="AT428" s="399"/>
      <c r="AU428" s="618"/>
      <c r="AV428" s="16"/>
      <c r="AW428" s="16"/>
      <c r="AX428" s="170"/>
      <c r="AY428" s="86"/>
      <c r="AZ428" s="272"/>
      <c r="BA428" s="50"/>
      <c r="BB428" s="31"/>
      <c r="BC428" s="157"/>
      <c r="BD428" s="342"/>
      <c r="BE428" s="208"/>
      <c r="BF428" s="16"/>
      <c r="BG428" s="170"/>
      <c r="BH428" s="86"/>
      <c r="BI428" s="272"/>
      <c r="BJ428" s="50"/>
      <c r="BK428" s="31"/>
      <c r="BL428" s="157"/>
      <c r="BM428" s="342"/>
      <c r="BN428" s="208"/>
      <c r="BO428" s="16"/>
      <c r="BP428" s="635">
        <f>BT428*(1+BU428)</f>
        <v>0</v>
      </c>
      <c r="BQ428" s="636">
        <f>BT428*(1+BV428)</f>
        <v>0</v>
      </c>
      <c r="BR428" s="50">
        <v>1990</v>
      </c>
      <c r="BS428" s="31"/>
      <c r="BT428" s="33">
        <f>+N428/1000</f>
        <v>1.3397000000000001E-2</v>
      </c>
      <c r="BU428" s="43">
        <v>-1</v>
      </c>
      <c r="BV428" s="209">
        <f>BU428</f>
        <v>-1</v>
      </c>
      <c r="BW428" s="141"/>
      <c r="BX428" s="1388" t="s">
        <v>3102</v>
      </c>
      <c r="BY428" s="137"/>
    </row>
    <row r="429" spans="1:77" ht="15" customHeight="1" x14ac:dyDescent="0.2">
      <c r="A429" s="55" t="s">
        <v>25</v>
      </c>
      <c r="B429" s="107" t="s">
        <v>477</v>
      </c>
      <c r="C429" s="637" t="s">
        <v>2973</v>
      </c>
      <c r="D429" s="1385">
        <v>5</v>
      </c>
      <c r="E429" s="161" t="s">
        <v>2975</v>
      </c>
      <c r="F429" s="604"/>
      <c r="G429" s="60"/>
      <c r="H429" s="61"/>
      <c r="I429" s="609"/>
      <c r="J429" s="121"/>
      <c r="K429" s="121"/>
      <c r="L429" s="609"/>
      <c r="M429" s="62"/>
      <c r="N429" s="355"/>
      <c r="O429" s="604"/>
      <c r="P429" s="62"/>
      <c r="Q429" s="355"/>
      <c r="R429" s="604"/>
      <c r="S429" s="62"/>
      <c r="T429" s="355"/>
      <c r="U429" s="62"/>
      <c r="V429" s="62"/>
      <c r="W429" s="19"/>
      <c r="X429" s="20"/>
      <c r="Y429" s="50"/>
      <c r="Z429" s="50"/>
      <c r="AA429" s="31"/>
      <c r="AB429" s="395"/>
      <c r="AC429" s="443"/>
      <c r="AD429" s="16"/>
      <c r="AE429" s="16"/>
      <c r="AF429" s="170"/>
      <c r="AG429" s="86"/>
      <c r="AH429" s="272"/>
      <c r="AI429" s="50"/>
      <c r="AJ429" s="31"/>
      <c r="AK429" s="157"/>
      <c r="AL429" s="285"/>
      <c r="AM429" s="208"/>
      <c r="AN429" s="16"/>
      <c r="AO429" s="635"/>
      <c r="AP429" s="636"/>
      <c r="AQ429" s="640"/>
      <c r="AR429" s="158"/>
      <c r="AS429" s="641"/>
      <c r="AT429" s="399"/>
      <c r="AU429" s="618"/>
      <c r="AV429" s="16"/>
      <c r="AW429" s="16"/>
      <c r="AX429" s="170"/>
      <c r="AY429" s="86"/>
      <c r="AZ429" s="272"/>
      <c r="BA429" s="50"/>
      <c r="BB429" s="31"/>
      <c r="BC429" s="157"/>
      <c r="BD429" s="342"/>
      <c r="BE429" s="208"/>
      <c r="BF429" s="16"/>
      <c r="BG429" s="170"/>
      <c r="BH429" s="86"/>
      <c r="BI429" s="272"/>
      <c r="BJ429" s="50"/>
      <c r="BK429" s="31"/>
      <c r="BL429" s="157"/>
      <c r="BM429" s="342"/>
      <c r="BN429" s="208"/>
      <c r="BO429" s="16"/>
      <c r="BP429" s="635">
        <v>0</v>
      </c>
      <c r="BQ429" s="636">
        <v>0</v>
      </c>
      <c r="BR429" s="50">
        <v>1990</v>
      </c>
      <c r="BS429" s="31"/>
      <c r="BT429" s="33"/>
      <c r="BU429" s="43">
        <v>-1</v>
      </c>
      <c r="BV429" s="209">
        <f t="shared" ref="BV429:BV476" si="301">BU429</f>
        <v>-1</v>
      </c>
      <c r="BW429" s="141"/>
      <c r="BX429" s="311"/>
      <c r="BY429" s="743" t="s">
        <v>2982</v>
      </c>
    </row>
    <row r="430" spans="1:77" ht="15" customHeight="1" x14ac:dyDescent="0.2">
      <c r="A430" s="55" t="s">
        <v>25</v>
      </c>
      <c r="B430" s="107" t="s">
        <v>477</v>
      </c>
      <c r="C430" s="637" t="s">
        <v>2976</v>
      </c>
      <c r="D430" s="1385">
        <v>9</v>
      </c>
      <c r="E430" s="161" t="s">
        <v>2975</v>
      </c>
      <c r="F430" s="604"/>
      <c r="G430" s="60"/>
      <c r="H430" s="61"/>
      <c r="I430" s="609"/>
      <c r="J430" s="121"/>
      <c r="K430" s="121"/>
      <c r="L430" s="609"/>
      <c r="M430" s="62"/>
      <c r="N430" s="355"/>
      <c r="O430" s="604"/>
      <c r="P430" s="62"/>
      <c r="Q430" s="355"/>
      <c r="R430" s="604"/>
      <c r="S430" s="62"/>
      <c r="T430" s="355"/>
      <c r="U430" s="62"/>
      <c r="V430" s="62"/>
      <c r="W430" s="19"/>
      <c r="X430" s="20"/>
      <c r="Y430" s="50"/>
      <c r="Z430" s="50"/>
      <c r="AA430" s="31"/>
      <c r="AB430" s="395"/>
      <c r="AC430" s="443"/>
      <c r="AD430" s="16"/>
      <c r="AE430" s="16"/>
      <c r="AF430" s="170"/>
      <c r="AG430" s="86"/>
      <c r="AH430" s="272"/>
      <c r="AI430" s="50"/>
      <c r="AJ430" s="31"/>
      <c r="AK430" s="157"/>
      <c r="AL430" s="285"/>
      <c r="AM430" s="208"/>
      <c r="AN430" s="16"/>
      <c r="AO430" s="635"/>
      <c r="AP430" s="636"/>
      <c r="AQ430" s="640"/>
      <c r="AR430" s="158"/>
      <c r="AS430" s="641"/>
      <c r="AT430" s="399"/>
      <c r="AU430" s="618"/>
      <c r="AV430" s="16"/>
      <c r="AW430" s="16"/>
      <c r="AX430" s="170"/>
      <c r="AY430" s="86"/>
      <c r="AZ430" s="272"/>
      <c r="BA430" s="50"/>
      <c r="BB430" s="31"/>
      <c r="BC430" s="157"/>
      <c r="BD430" s="342"/>
      <c r="BE430" s="208"/>
      <c r="BF430" s="16"/>
      <c r="BG430" s="170"/>
      <c r="BH430" s="86"/>
      <c r="BI430" s="272"/>
      <c r="BJ430" s="50"/>
      <c r="BK430" s="31"/>
      <c r="BL430" s="157"/>
      <c r="BM430" s="342"/>
      <c r="BN430" s="208"/>
      <c r="BO430" s="16"/>
      <c r="BP430" s="635">
        <v>0</v>
      </c>
      <c r="BQ430" s="636">
        <v>0</v>
      </c>
      <c r="BR430" s="50">
        <v>1990</v>
      </c>
      <c r="BS430" s="31"/>
      <c r="BT430" s="33"/>
      <c r="BU430" s="43">
        <v>-1</v>
      </c>
      <c r="BV430" s="209">
        <f t="shared" si="301"/>
        <v>-1</v>
      </c>
      <c r="BW430" s="141"/>
      <c r="BX430" s="311"/>
      <c r="BY430" s="743" t="s">
        <v>2982</v>
      </c>
    </row>
    <row r="431" spans="1:77" ht="15" customHeight="1" x14ac:dyDescent="0.2">
      <c r="A431" s="55" t="s">
        <v>25</v>
      </c>
      <c r="B431" s="107" t="s">
        <v>2979</v>
      </c>
      <c r="C431" s="637" t="s">
        <v>2977</v>
      </c>
      <c r="D431" s="1385">
        <v>51</v>
      </c>
      <c r="E431" s="161" t="s">
        <v>2975</v>
      </c>
      <c r="F431" s="604"/>
      <c r="G431" s="60"/>
      <c r="H431" s="61"/>
      <c r="I431" s="609"/>
      <c r="J431" s="121"/>
      <c r="K431" s="121"/>
      <c r="L431" s="609"/>
      <c r="M431" s="62"/>
      <c r="N431" s="355"/>
      <c r="O431" s="604"/>
      <c r="P431" s="62"/>
      <c r="Q431" s="355"/>
      <c r="R431" s="604"/>
      <c r="S431" s="62"/>
      <c r="T431" s="355"/>
      <c r="U431" s="62"/>
      <c r="V431" s="62"/>
      <c r="W431" s="19"/>
      <c r="X431" s="20"/>
      <c r="Y431" s="50"/>
      <c r="Z431" s="50"/>
      <c r="AA431" s="31"/>
      <c r="AB431" s="395"/>
      <c r="AC431" s="443"/>
      <c r="AD431" s="16"/>
      <c r="AE431" s="16"/>
      <c r="AF431" s="170"/>
      <c r="AG431" s="86"/>
      <c r="AH431" s="272"/>
      <c r="AI431" s="50"/>
      <c r="AJ431" s="31"/>
      <c r="AK431" s="157"/>
      <c r="AL431" s="285"/>
      <c r="AM431" s="208"/>
      <c r="AN431" s="16"/>
      <c r="AO431" s="635"/>
      <c r="AP431" s="636"/>
      <c r="AQ431" s="640"/>
      <c r="AR431" s="158"/>
      <c r="AS431" s="641"/>
      <c r="AT431" s="399"/>
      <c r="AU431" s="618"/>
      <c r="AV431" s="16"/>
      <c r="AW431" s="16"/>
      <c r="AX431" s="170"/>
      <c r="AY431" s="86"/>
      <c r="AZ431" s="272"/>
      <c r="BA431" s="50"/>
      <c r="BB431" s="31"/>
      <c r="BC431" s="157"/>
      <c r="BD431" s="342"/>
      <c r="BE431" s="208"/>
      <c r="BF431" s="16"/>
      <c r="BG431" s="170"/>
      <c r="BH431" s="86"/>
      <c r="BI431" s="272"/>
      <c r="BJ431" s="50"/>
      <c r="BK431" s="31"/>
      <c r="BL431" s="157"/>
      <c r="BM431" s="342"/>
      <c r="BN431" s="208"/>
      <c r="BO431" s="16"/>
      <c r="BP431" s="635">
        <v>0</v>
      </c>
      <c r="BQ431" s="636">
        <v>0</v>
      </c>
      <c r="BR431" s="50">
        <v>1990</v>
      </c>
      <c r="BS431" s="31"/>
      <c r="BT431" s="33"/>
      <c r="BU431" s="43">
        <v>-1</v>
      </c>
      <c r="BV431" s="209">
        <f t="shared" si="301"/>
        <v>-1</v>
      </c>
      <c r="BW431" s="141"/>
      <c r="BX431" s="311"/>
      <c r="BY431" s="743" t="s">
        <v>2982</v>
      </c>
    </row>
    <row r="432" spans="1:77" ht="15" customHeight="1" x14ac:dyDescent="0.2">
      <c r="A432" s="55" t="s">
        <v>25</v>
      </c>
      <c r="B432" s="107" t="s">
        <v>477</v>
      </c>
      <c r="C432" s="637" t="s">
        <v>2978</v>
      </c>
      <c r="D432" s="1385">
        <v>36</v>
      </c>
      <c r="E432" s="161" t="s">
        <v>2975</v>
      </c>
      <c r="F432" s="604"/>
      <c r="G432" s="60"/>
      <c r="H432" s="61"/>
      <c r="I432" s="609"/>
      <c r="J432" s="121"/>
      <c r="K432" s="121"/>
      <c r="L432" s="609"/>
      <c r="M432" s="62"/>
      <c r="N432" s="355"/>
      <c r="O432" s="604"/>
      <c r="P432" s="62"/>
      <c r="Q432" s="355"/>
      <c r="R432" s="604"/>
      <c r="S432" s="62"/>
      <c r="T432" s="355"/>
      <c r="U432" s="62"/>
      <c r="V432" s="62"/>
      <c r="W432" s="19"/>
      <c r="X432" s="20"/>
      <c r="Y432" s="50"/>
      <c r="Z432" s="50"/>
      <c r="AA432" s="31"/>
      <c r="AB432" s="395"/>
      <c r="AC432" s="443"/>
      <c r="AD432" s="16"/>
      <c r="AE432" s="16"/>
      <c r="AF432" s="170"/>
      <c r="AG432" s="86"/>
      <c r="AH432" s="272"/>
      <c r="AI432" s="50"/>
      <c r="AJ432" s="31"/>
      <c r="AK432" s="157"/>
      <c r="AL432" s="285"/>
      <c r="AM432" s="208"/>
      <c r="AN432" s="16"/>
      <c r="AO432" s="635"/>
      <c r="AP432" s="636"/>
      <c r="AQ432" s="640"/>
      <c r="AR432" s="158"/>
      <c r="AS432" s="641"/>
      <c r="AT432" s="399"/>
      <c r="AU432" s="618"/>
      <c r="AV432" s="16"/>
      <c r="AW432" s="16"/>
      <c r="AX432" s="170"/>
      <c r="AY432" s="86"/>
      <c r="AZ432" s="272"/>
      <c r="BA432" s="50"/>
      <c r="BB432" s="31"/>
      <c r="BC432" s="157"/>
      <c r="BD432" s="342"/>
      <c r="BE432" s="208"/>
      <c r="BF432" s="16"/>
      <c r="BG432" s="170"/>
      <c r="BH432" s="86"/>
      <c r="BI432" s="272"/>
      <c r="BJ432" s="50"/>
      <c r="BK432" s="31"/>
      <c r="BL432" s="157"/>
      <c r="BM432" s="342"/>
      <c r="BN432" s="208"/>
      <c r="BO432" s="16"/>
      <c r="BP432" s="635">
        <v>0</v>
      </c>
      <c r="BQ432" s="636">
        <v>0</v>
      </c>
      <c r="BR432" s="50">
        <v>1990</v>
      </c>
      <c r="BS432" s="31"/>
      <c r="BT432" s="33"/>
      <c r="BU432" s="43">
        <v>-1</v>
      </c>
      <c r="BV432" s="209">
        <f t="shared" si="301"/>
        <v>-1</v>
      </c>
      <c r="BW432" s="141"/>
      <c r="BX432" s="311"/>
      <c r="BY432" s="743" t="s">
        <v>2982</v>
      </c>
    </row>
    <row r="433" spans="1:77" ht="15" customHeight="1" x14ac:dyDescent="0.2">
      <c r="A433" s="55" t="s">
        <v>25</v>
      </c>
      <c r="B433" s="107" t="s">
        <v>477</v>
      </c>
      <c r="C433" s="637" t="s">
        <v>2980</v>
      </c>
      <c r="D433" s="1385">
        <v>28</v>
      </c>
      <c r="E433" s="161" t="s">
        <v>2975</v>
      </c>
      <c r="F433" s="604"/>
      <c r="G433" s="60"/>
      <c r="H433" s="61"/>
      <c r="I433" s="609"/>
      <c r="J433" s="121"/>
      <c r="K433" s="121"/>
      <c r="L433" s="609"/>
      <c r="M433" s="62"/>
      <c r="N433" s="355"/>
      <c r="O433" s="604"/>
      <c r="P433" s="62"/>
      <c r="Q433" s="355"/>
      <c r="R433" s="604"/>
      <c r="S433" s="62"/>
      <c r="T433" s="355"/>
      <c r="U433" s="62"/>
      <c r="V433" s="62"/>
      <c r="W433" s="19"/>
      <c r="X433" s="20"/>
      <c r="Y433" s="50"/>
      <c r="Z433" s="50"/>
      <c r="AA433" s="31"/>
      <c r="AB433" s="395"/>
      <c r="AC433" s="443"/>
      <c r="AD433" s="16"/>
      <c r="AE433" s="16"/>
      <c r="AF433" s="170"/>
      <c r="AG433" s="86"/>
      <c r="AH433" s="272"/>
      <c r="AI433" s="50"/>
      <c r="AJ433" s="31"/>
      <c r="AK433" s="157"/>
      <c r="AL433" s="285"/>
      <c r="AM433" s="208"/>
      <c r="AN433" s="16"/>
      <c r="AO433" s="635"/>
      <c r="AP433" s="636"/>
      <c r="AQ433" s="640"/>
      <c r="AR433" s="158"/>
      <c r="AS433" s="641"/>
      <c r="AT433" s="399"/>
      <c r="AU433" s="618"/>
      <c r="AV433" s="16"/>
      <c r="AW433" s="16"/>
      <c r="AX433" s="170"/>
      <c r="AY433" s="86"/>
      <c r="AZ433" s="272"/>
      <c r="BA433" s="50"/>
      <c r="BB433" s="31"/>
      <c r="BC433" s="157"/>
      <c r="BD433" s="342"/>
      <c r="BE433" s="208"/>
      <c r="BF433" s="16"/>
      <c r="BG433" s="170"/>
      <c r="BH433" s="86"/>
      <c r="BI433" s="272"/>
      <c r="BJ433" s="50"/>
      <c r="BK433" s="31"/>
      <c r="BL433" s="157"/>
      <c r="BM433" s="342"/>
      <c r="BN433" s="208"/>
      <c r="BO433" s="16"/>
      <c r="BP433" s="635">
        <v>0</v>
      </c>
      <c r="BQ433" s="636">
        <v>0</v>
      </c>
      <c r="BR433" s="50">
        <v>1990</v>
      </c>
      <c r="BS433" s="31"/>
      <c r="BT433" s="33"/>
      <c r="BU433" s="43">
        <v>-1</v>
      </c>
      <c r="BV433" s="209">
        <f t="shared" si="301"/>
        <v>-1</v>
      </c>
      <c r="BW433" s="141"/>
      <c r="BX433" s="311"/>
      <c r="BY433" s="743" t="s">
        <v>2982</v>
      </c>
    </row>
    <row r="434" spans="1:77" ht="15" customHeight="1" x14ac:dyDescent="0.2">
      <c r="A434" s="55" t="s">
        <v>25</v>
      </c>
      <c r="B434" s="107" t="s">
        <v>477</v>
      </c>
      <c r="C434" s="637" t="s">
        <v>2981</v>
      </c>
      <c r="D434" s="1385">
        <v>26</v>
      </c>
      <c r="E434" s="161" t="s">
        <v>2975</v>
      </c>
      <c r="F434" s="604"/>
      <c r="G434" s="60"/>
      <c r="H434" s="61"/>
      <c r="I434" s="609"/>
      <c r="J434" s="121"/>
      <c r="K434" s="121"/>
      <c r="L434" s="609"/>
      <c r="M434" s="62"/>
      <c r="N434" s="355"/>
      <c r="O434" s="604"/>
      <c r="P434" s="62"/>
      <c r="Q434" s="355"/>
      <c r="R434" s="604"/>
      <c r="S434" s="62"/>
      <c r="T434" s="355"/>
      <c r="U434" s="62"/>
      <c r="V434" s="62"/>
      <c r="W434" s="19"/>
      <c r="X434" s="20"/>
      <c r="Y434" s="50"/>
      <c r="Z434" s="50"/>
      <c r="AA434" s="31"/>
      <c r="AB434" s="395"/>
      <c r="AC434" s="443"/>
      <c r="AD434" s="16"/>
      <c r="AE434" s="16"/>
      <c r="AF434" s="170"/>
      <c r="AG434" s="86"/>
      <c r="AH434" s="272"/>
      <c r="AI434" s="50"/>
      <c r="AJ434" s="31"/>
      <c r="AK434" s="157"/>
      <c r="AL434" s="285"/>
      <c r="AM434" s="208"/>
      <c r="AN434" s="16"/>
      <c r="AO434" s="635"/>
      <c r="AP434" s="636"/>
      <c r="AQ434" s="640"/>
      <c r="AR434" s="158"/>
      <c r="AS434" s="641"/>
      <c r="AT434" s="399"/>
      <c r="AU434" s="618"/>
      <c r="AV434" s="16"/>
      <c r="AW434" s="16"/>
      <c r="AX434" s="170"/>
      <c r="AY434" s="86"/>
      <c r="AZ434" s="272"/>
      <c r="BA434" s="50"/>
      <c r="BB434" s="31"/>
      <c r="BC434" s="157"/>
      <c r="BD434" s="342"/>
      <c r="BE434" s="208"/>
      <c r="BF434" s="16"/>
      <c r="BG434" s="170"/>
      <c r="BH434" s="86"/>
      <c r="BI434" s="272"/>
      <c r="BJ434" s="50"/>
      <c r="BK434" s="31"/>
      <c r="BL434" s="157"/>
      <c r="BM434" s="342"/>
      <c r="BN434" s="208"/>
      <c r="BO434" s="16"/>
      <c r="BP434" s="635">
        <v>0</v>
      </c>
      <c r="BQ434" s="636">
        <v>0</v>
      </c>
      <c r="BR434" s="50">
        <v>1990</v>
      </c>
      <c r="BS434" s="31"/>
      <c r="BT434" s="33"/>
      <c r="BU434" s="43">
        <v>-1</v>
      </c>
      <c r="BV434" s="209">
        <f t="shared" si="301"/>
        <v>-1</v>
      </c>
      <c r="BW434" s="141"/>
      <c r="BX434" s="311"/>
      <c r="BY434" s="743" t="s">
        <v>2982</v>
      </c>
    </row>
    <row r="435" spans="1:77" ht="15" customHeight="1" x14ac:dyDescent="0.2">
      <c r="A435" s="55" t="s">
        <v>25</v>
      </c>
      <c r="B435" s="107" t="s">
        <v>477</v>
      </c>
      <c r="C435" s="637" t="s">
        <v>2983</v>
      </c>
      <c r="D435" s="1385">
        <v>6</v>
      </c>
      <c r="E435" s="161" t="s">
        <v>2975</v>
      </c>
      <c r="F435" s="604"/>
      <c r="G435" s="60"/>
      <c r="H435" s="61"/>
      <c r="I435" s="609"/>
      <c r="J435" s="121"/>
      <c r="K435" s="121"/>
      <c r="L435" s="609"/>
      <c r="M435" s="62"/>
      <c r="N435" s="355"/>
      <c r="O435" s="604"/>
      <c r="P435" s="62"/>
      <c r="Q435" s="355"/>
      <c r="R435" s="604"/>
      <c r="S435" s="62"/>
      <c r="T435" s="355"/>
      <c r="U435" s="62"/>
      <c r="V435" s="62"/>
      <c r="W435" s="19"/>
      <c r="X435" s="20"/>
      <c r="Y435" s="50"/>
      <c r="Z435" s="50"/>
      <c r="AA435" s="31"/>
      <c r="AB435" s="395"/>
      <c r="AC435" s="443"/>
      <c r="AD435" s="16"/>
      <c r="AE435" s="16"/>
      <c r="AF435" s="170"/>
      <c r="AG435" s="86"/>
      <c r="AH435" s="272"/>
      <c r="AI435" s="50"/>
      <c r="AJ435" s="31"/>
      <c r="AK435" s="157"/>
      <c r="AL435" s="285"/>
      <c r="AM435" s="208"/>
      <c r="AN435" s="16"/>
      <c r="AO435" s="635"/>
      <c r="AP435" s="636"/>
      <c r="AQ435" s="640"/>
      <c r="AR435" s="158"/>
      <c r="AS435" s="641"/>
      <c r="AT435" s="399"/>
      <c r="AU435" s="618"/>
      <c r="AV435" s="16"/>
      <c r="AW435" s="16"/>
      <c r="AX435" s="170"/>
      <c r="AY435" s="86"/>
      <c r="AZ435" s="272"/>
      <c r="BA435" s="50"/>
      <c r="BB435" s="31"/>
      <c r="BC435" s="157"/>
      <c r="BD435" s="342"/>
      <c r="BE435" s="208"/>
      <c r="BF435" s="16"/>
      <c r="BG435" s="170"/>
      <c r="BH435" s="86"/>
      <c r="BI435" s="272"/>
      <c r="BJ435" s="50"/>
      <c r="BK435" s="31"/>
      <c r="BL435" s="157"/>
      <c r="BM435" s="342"/>
      <c r="BN435" s="208"/>
      <c r="BO435" s="16"/>
      <c r="BP435" s="635">
        <v>0</v>
      </c>
      <c r="BQ435" s="636">
        <v>0</v>
      </c>
      <c r="BR435" s="50">
        <v>1990</v>
      </c>
      <c r="BS435" s="31"/>
      <c r="BT435" s="33"/>
      <c r="BU435" s="43">
        <v>-1</v>
      </c>
      <c r="BV435" s="209">
        <f t="shared" si="301"/>
        <v>-1</v>
      </c>
      <c r="BW435" s="141"/>
      <c r="BX435" s="311"/>
      <c r="BY435" s="137"/>
    </row>
    <row r="436" spans="1:77" ht="15" customHeight="1" x14ac:dyDescent="0.2">
      <c r="A436" s="55" t="s">
        <v>25</v>
      </c>
      <c r="B436" s="107" t="s">
        <v>477</v>
      </c>
      <c r="C436" s="637" t="s">
        <v>2984</v>
      </c>
      <c r="D436" s="1385">
        <v>8</v>
      </c>
      <c r="E436" s="161" t="s">
        <v>2975</v>
      </c>
      <c r="F436" s="604"/>
      <c r="G436" s="60"/>
      <c r="H436" s="61"/>
      <c r="I436" s="609"/>
      <c r="J436" s="121"/>
      <c r="K436" s="121"/>
      <c r="L436" s="609"/>
      <c r="M436" s="62"/>
      <c r="N436" s="355"/>
      <c r="O436" s="604"/>
      <c r="P436" s="62"/>
      <c r="Q436" s="355"/>
      <c r="R436" s="604"/>
      <c r="S436" s="62"/>
      <c r="T436" s="355"/>
      <c r="U436" s="62"/>
      <c r="V436" s="62"/>
      <c r="W436" s="19"/>
      <c r="X436" s="20"/>
      <c r="Y436" s="50"/>
      <c r="Z436" s="50"/>
      <c r="AA436" s="31"/>
      <c r="AB436" s="395"/>
      <c r="AC436" s="443"/>
      <c r="AD436" s="16"/>
      <c r="AE436" s="16"/>
      <c r="AF436" s="170"/>
      <c r="AG436" s="86"/>
      <c r="AH436" s="272"/>
      <c r="AI436" s="50"/>
      <c r="AJ436" s="31"/>
      <c r="AK436" s="157"/>
      <c r="AL436" s="285"/>
      <c r="AM436" s="208"/>
      <c r="AN436" s="16"/>
      <c r="AO436" s="635"/>
      <c r="AP436" s="636"/>
      <c r="AQ436" s="640"/>
      <c r="AR436" s="158"/>
      <c r="AS436" s="641"/>
      <c r="AT436" s="399"/>
      <c r="AU436" s="618"/>
      <c r="AV436" s="16"/>
      <c r="AW436" s="16"/>
      <c r="AX436" s="170"/>
      <c r="AY436" s="86"/>
      <c r="AZ436" s="272"/>
      <c r="BA436" s="50"/>
      <c r="BB436" s="31"/>
      <c r="BC436" s="157"/>
      <c r="BD436" s="342"/>
      <c r="BE436" s="208"/>
      <c r="BF436" s="16"/>
      <c r="BG436" s="170"/>
      <c r="BH436" s="86"/>
      <c r="BI436" s="272"/>
      <c r="BJ436" s="50"/>
      <c r="BK436" s="31"/>
      <c r="BL436" s="157"/>
      <c r="BM436" s="342"/>
      <c r="BN436" s="208"/>
      <c r="BO436" s="16"/>
      <c r="BP436" s="635">
        <v>0</v>
      </c>
      <c r="BQ436" s="636">
        <v>0</v>
      </c>
      <c r="BR436" s="50">
        <v>1990</v>
      </c>
      <c r="BS436" s="31"/>
      <c r="BT436" s="33"/>
      <c r="BU436" s="43">
        <v>-1</v>
      </c>
      <c r="BV436" s="209">
        <f t="shared" si="301"/>
        <v>-1</v>
      </c>
      <c r="BW436" s="141"/>
      <c r="BX436" s="311"/>
      <c r="BY436" s="137"/>
    </row>
    <row r="437" spans="1:77" ht="15" customHeight="1" x14ac:dyDescent="0.2">
      <c r="A437" s="55" t="s">
        <v>25</v>
      </c>
      <c r="B437" s="107" t="s">
        <v>477</v>
      </c>
      <c r="C437" s="637" t="s">
        <v>2985</v>
      </c>
      <c r="D437" s="1385">
        <v>9</v>
      </c>
      <c r="E437" s="161" t="s">
        <v>2975</v>
      </c>
      <c r="F437" s="604"/>
      <c r="G437" s="60"/>
      <c r="H437" s="61"/>
      <c r="I437" s="609"/>
      <c r="J437" s="121"/>
      <c r="K437" s="121"/>
      <c r="L437" s="609"/>
      <c r="M437" s="62"/>
      <c r="N437" s="355"/>
      <c r="O437" s="604"/>
      <c r="P437" s="62"/>
      <c r="Q437" s="355"/>
      <c r="R437" s="604"/>
      <c r="S437" s="62"/>
      <c r="T437" s="355"/>
      <c r="U437" s="62"/>
      <c r="V437" s="62"/>
      <c r="W437" s="19"/>
      <c r="X437" s="20"/>
      <c r="Y437" s="50"/>
      <c r="Z437" s="50"/>
      <c r="AA437" s="31"/>
      <c r="AB437" s="395"/>
      <c r="AC437" s="443"/>
      <c r="AD437" s="16"/>
      <c r="AE437" s="16"/>
      <c r="AF437" s="170"/>
      <c r="AG437" s="86"/>
      <c r="AH437" s="272"/>
      <c r="AI437" s="50"/>
      <c r="AJ437" s="31"/>
      <c r="AK437" s="157"/>
      <c r="AL437" s="285"/>
      <c r="AM437" s="208"/>
      <c r="AN437" s="16"/>
      <c r="AO437" s="635"/>
      <c r="AP437" s="636"/>
      <c r="AQ437" s="640"/>
      <c r="AR437" s="158"/>
      <c r="AS437" s="641"/>
      <c r="AT437" s="399"/>
      <c r="AU437" s="618"/>
      <c r="AV437" s="16"/>
      <c r="AW437" s="16"/>
      <c r="AX437" s="170"/>
      <c r="AY437" s="86"/>
      <c r="AZ437" s="272"/>
      <c r="BA437" s="50"/>
      <c r="BB437" s="31"/>
      <c r="BC437" s="157"/>
      <c r="BD437" s="342"/>
      <c r="BE437" s="208"/>
      <c r="BF437" s="16"/>
      <c r="BG437" s="170"/>
      <c r="BH437" s="86"/>
      <c r="BI437" s="272"/>
      <c r="BJ437" s="50"/>
      <c r="BK437" s="31"/>
      <c r="BL437" s="157"/>
      <c r="BM437" s="342"/>
      <c r="BN437" s="208"/>
      <c r="BO437" s="16"/>
      <c r="BP437" s="635">
        <v>0</v>
      </c>
      <c r="BQ437" s="636">
        <v>0</v>
      </c>
      <c r="BR437" s="50">
        <v>1990</v>
      </c>
      <c r="BS437" s="31"/>
      <c r="BT437" s="33"/>
      <c r="BU437" s="43">
        <v>-1</v>
      </c>
      <c r="BV437" s="209">
        <f t="shared" si="301"/>
        <v>-1</v>
      </c>
      <c r="BW437" s="141"/>
      <c r="BX437" s="311"/>
      <c r="BY437" s="137"/>
    </row>
    <row r="438" spans="1:77" ht="15" customHeight="1" x14ac:dyDescent="0.2">
      <c r="A438" s="55" t="s">
        <v>25</v>
      </c>
      <c r="B438" s="107" t="s">
        <v>477</v>
      </c>
      <c r="C438" s="637" t="s">
        <v>2986</v>
      </c>
      <c r="D438" s="1385">
        <v>4</v>
      </c>
      <c r="E438" s="161" t="s">
        <v>2975</v>
      </c>
      <c r="F438" s="604"/>
      <c r="G438" s="60"/>
      <c r="H438" s="61"/>
      <c r="I438" s="609"/>
      <c r="J438" s="121"/>
      <c r="K438" s="121"/>
      <c r="L438" s="609"/>
      <c r="M438" s="62"/>
      <c r="N438" s="355"/>
      <c r="O438" s="604"/>
      <c r="P438" s="62"/>
      <c r="Q438" s="355"/>
      <c r="R438" s="604"/>
      <c r="S438" s="62"/>
      <c r="T438" s="355"/>
      <c r="U438" s="62"/>
      <c r="V438" s="62"/>
      <c r="W438" s="19"/>
      <c r="X438" s="20"/>
      <c r="Y438" s="50"/>
      <c r="Z438" s="50"/>
      <c r="AA438" s="31"/>
      <c r="AB438" s="395"/>
      <c r="AC438" s="443"/>
      <c r="AD438" s="16"/>
      <c r="AE438" s="16"/>
      <c r="AF438" s="170"/>
      <c r="AG438" s="86"/>
      <c r="AH438" s="272"/>
      <c r="AI438" s="50"/>
      <c r="AJ438" s="31"/>
      <c r="AK438" s="157"/>
      <c r="AL438" s="285"/>
      <c r="AM438" s="208"/>
      <c r="AN438" s="16"/>
      <c r="AO438" s="635"/>
      <c r="AP438" s="636"/>
      <c r="AQ438" s="640"/>
      <c r="AR438" s="158"/>
      <c r="AS438" s="641"/>
      <c r="AT438" s="399"/>
      <c r="AU438" s="618"/>
      <c r="AV438" s="16"/>
      <c r="AW438" s="16"/>
      <c r="AX438" s="170"/>
      <c r="AY438" s="86"/>
      <c r="AZ438" s="272"/>
      <c r="BA438" s="50"/>
      <c r="BB438" s="31"/>
      <c r="BC438" s="157"/>
      <c r="BD438" s="342"/>
      <c r="BE438" s="208"/>
      <c r="BF438" s="16"/>
      <c r="BG438" s="170"/>
      <c r="BH438" s="86"/>
      <c r="BI438" s="272"/>
      <c r="BJ438" s="50"/>
      <c r="BK438" s="31"/>
      <c r="BL438" s="157"/>
      <c r="BM438" s="342"/>
      <c r="BN438" s="208"/>
      <c r="BO438" s="16"/>
      <c r="BP438" s="635">
        <v>0</v>
      </c>
      <c r="BQ438" s="636">
        <v>0</v>
      </c>
      <c r="BR438" s="50">
        <v>1990</v>
      </c>
      <c r="BS438" s="31"/>
      <c r="BT438" s="33"/>
      <c r="BU438" s="43">
        <v>-1</v>
      </c>
      <c r="BV438" s="209">
        <f t="shared" si="301"/>
        <v>-1</v>
      </c>
      <c r="BW438" s="141"/>
      <c r="BX438" s="311"/>
      <c r="BY438" s="137"/>
    </row>
    <row r="439" spans="1:77" ht="15" customHeight="1" x14ac:dyDescent="0.2">
      <c r="A439" s="55" t="s">
        <v>25</v>
      </c>
      <c r="B439" s="107" t="s">
        <v>477</v>
      </c>
      <c r="C439" s="637" t="s">
        <v>2987</v>
      </c>
      <c r="D439" s="1385">
        <v>6</v>
      </c>
      <c r="E439" s="161" t="s">
        <v>2975</v>
      </c>
      <c r="F439" s="604"/>
      <c r="G439" s="60"/>
      <c r="H439" s="61"/>
      <c r="I439" s="609"/>
      <c r="J439" s="121"/>
      <c r="K439" s="121"/>
      <c r="L439" s="609"/>
      <c r="M439" s="62"/>
      <c r="N439" s="355"/>
      <c r="O439" s="604"/>
      <c r="P439" s="62"/>
      <c r="Q439" s="355"/>
      <c r="R439" s="604"/>
      <c r="S439" s="62"/>
      <c r="T439" s="355"/>
      <c r="U439" s="62"/>
      <c r="V439" s="62"/>
      <c r="W439" s="19"/>
      <c r="X439" s="20"/>
      <c r="Y439" s="50"/>
      <c r="Z439" s="50"/>
      <c r="AA439" s="31"/>
      <c r="AB439" s="395"/>
      <c r="AC439" s="443"/>
      <c r="AD439" s="16"/>
      <c r="AE439" s="16"/>
      <c r="AF439" s="170"/>
      <c r="AG439" s="86"/>
      <c r="AH439" s="272"/>
      <c r="AI439" s="50"/>
      <c r="AJ439" s="31"/>
      <c r="AK439" s="157"/>
      <c r="AL439" s="285"/>
      <c r="AM439" s="208"/>
      <c r="AN439" s="16"/>
      <c r="AO439" s="635"/>
      <c r="AP439" s="636"/>
      <c r="AQ439" s="640"/>
      <c r="AR439" s="158"/>
      <c r="AS439" s="641"/>
      <c r="AT439" s="399"/>
      <c r="AU439" s="618"/>
      <c r="AV439" s="16"/>
      <c r="AW439" s="16"/>
      <c r="AX439" s="170"/>
      <c r="AY439" s="86"/>
      <c r="AZ439" s="272"/>
      <c r="BA439" s="50"/>
      <c r="BB439" s="31"/>
      <c r="BC439" s="157"/>
      <c r="BD439" s="342"/>
      <c r="BE439" s="208"/>
      <c r="BF439" s="16"/>
      <c r="BG439" s="170"/>
      <c r="BH439" s="86"/>
      <c r="BI439" s="272"/>
      <c r="BJ439" s="50"/>
      <c r="BK439" s="31"/>
      <c r="BL439" s="157"/>
      <c r="BM439" s="342"/>
      <c r="BN439" s="208"/>
      <c r="BO439" s="16"/>
      <c r="BP439" s="635">
        <v>0</v>
      </c>
      <c r="BQ439" s="636">
        <v>0</v>
      </c>
      <c r="BR439" s="50">
        <v>1990</v>
      </c>
      <c r="BS439" s="31"/>
      <c r="BT439" s="33"/>
      <c r="BU439" s="43">
        <v>-1</v>
      </c>
      <c r="BV439" s="209">
        <f t="shared" si="301"/>
        <v>-1</v>
      </c>
      <c r="BW439" s="141"/>
      <c r="BX439" s="311"/>
      <c r="BY439" s="137"/>
    </row>
    <row r="440" spans="1:77" ht="15" customHeight="1" x14ac:dyDescent="0.2">
      <c r="A440" s="55" t="s">
        <v>25</v>
      </c>
      <c r="B440" s="107" t="s">
        <v>477</v>
      </c>
      <c r="C440" s="637" t="s">
        <v>2988</v>
      </c>
      <c r="D440" s="1385">
        <v>17</v>
      </c>
      <c r="E440" s="161" t="s">
        <v>2975</v>
      </c>
      <c r="F440" s="604"/>
      <c r="G440" s="60"/>
      <c r="H440" s="61"/>
      <c r="I440" s="609"/>
      <c r="J440" s="121"/>
      <c r="K440" s="121"/>
      <c r="L440" s="609"/>
      <c r="M440" s="62"/>
      <c r="N440" s="355"/>
      <c r="O440" s="604"/>
      <c r="P440" s="62"/>
      <c r="Q440" s="355"/>
      <c r="R440" s="604"/>
      <c r="S440" s="62"/>
      <c r="T440" s="355"/>
      <c r="U440" s="62"/>
      <c r="V440" s="62"/>
      <c r="W440" s="19"/>
      <c r="X440" s="20"/>
      <c r="Y440" s="50"/>
      <c r="Z440" s="50"/>
      <c r="AA440" s="31"/>
      <c r="AB440" s="395"/>
      <c r="AC440" s="443"/>
      <c r="AD440" s="16"/>
      <c r="AE440" s="16"/>
      <c r="AF440" s="170"/>
      <c r="AG440" s="86"/>
      <c r="AH440" s="272"/>
      <c r="AI440" s="50"/>
      <c r="AJ440" s="31"/>
      <c r="AK440" s="157"/>
      <c r="AL440" s="285"/>
      <c r="AM440" s="208"/>
      <c r="AN440" s="16"/>
      <c r="AO440" s="635"/>
      <c r="AP440" s="636"/>
      <c r="AQ440" s="640"/>
      <c r="AR440" s="158"/>
      <c r="AS440" s="641"/>
      <c r="AT440" s="399"/>
      <c r="AU440" s="618"/>
      <c r="AV440" s="16"/>
      <c r="AW440" s="16"/>
      <c r="AX440" s="170"/>
      <c r="AY440" s="86"/>
      <c r="AZ440" s="272"/>
      <c r="BA440" s="50"/>
      <c r="BB440" s="31"/>
      <c r="BC440" s="157"/>
      <c r="BD440" s="342"/>
      <c r="BE440" s="208"/>
      <c r="BF440" s="16"/>
      <c r="BG440" s="170"/>
      <c r="BH440" s="86"/>
      <c r="BI440" s="272"/>
      <c r="BJ440" s="50"/>
      <c r="BK440" s="31"/>
      <c r="BL440" s="157"/>
      <c r="BM440" s="342"/>
      <c r="BN440" s="208"/>
      <c r="BO440" s="16"/>
      <c r="BP440" s="635">
        <v>0</v>
      </c>
      <c r="BQ440" s="636">
        <v>0</v>
      </c>
      <c r="BR440" s="50">
        <v>1990</v>
      </c>
      <c r="BS440" s="31"/>
      <c r="BT440" s="33"/>
      <c r="BU440" s="43">
        <v>-1</v>
      </c>
      <c r="BV440" s="209">
        <f t="shared" si="301"/>
        <v>-1</v>
      </c>
      <c r="BW440" s="141"/>
      <c r="BX440" s="311"/>
      <c r="BY440" s="137"/>
    </row>
    <row r="441" spans="1:77" ht="15" customHeight="1" x14ac:dyDescent="0.2">
      <c r="A441" s="55" t="s">
        <v>25</v>
      </c>
      <c r="B441" s="107" t="s">
        <v>477</v>
      </c>
      <c r="C441" s="637" t="s">
        <v>2989</v>
      </c>
      <c r="D441" s="1387">
        <v>13</v>
      </c>
      <c r="E441" s="161" t="s">
        <v>2975</v>
      </c>
      <c r="F441" s="604"/>
      <c r="G441" s="60"/>
      <c r="H441" s="61"/>
      <c r="I441" s="609"/>
      <c r="J441" s="121"/>
      <c r="K441" s="121"/>
      <c r="L441" s="609"/>
      <c r="M441" s="62"/>
      <c r="N441" s="355"/>
      <c r="O441" s="604"/>
      <c r="P441" s="62"/>
      <c r="Q441" s="355"/>
      <c r="R441" s="604"/>
      <c r="S441" s="62"/>
      <c r="T441" s="355"/>
      <c r="U441" s="62"/>
      <c r="V441" s="62"/>
      <c r="W441" s="19"/>
      <c r="X441" s="20"/>
      <c r="Y441" s="50"/>
      <c r="Z441" s="50"/>
      <c r="AA441" s="31"/>
      <c r="AB441" s="395"/>
      <c r="AC441" s="443"/>
      <c r="AD441" s="16"/>
      <c r="AE441" s="16"/>
      <c r="AF441" s="170"/>
      <c r="AG441" s="86"/>
      <c r="AH441" s="272"/>
      <c r="AI441" s="50"/>
      <c r="AJ441" s="31"/>
      <c r="AK441" s="157"/>
      <c r="AL441" s="285"/>
      <c r="AM441" s="208"/>
      <c r="AN441" s="16"/>
      <c r="AO441" s="635"/>
      <c r="AP441" s="636"/>
      <c r="AQ441" s="640"/>
      <c r="AR441" s="158"/>
      <c r="AS441" s="641"/>
      <c r="AT441" s="399"/>
      <c r="AU441" s="618"/>
      <c r="AV441" s="16"/>
      <c r="AW441" s="16"/>
      <c r="AX441" s="170"/>
      <c r="AY441" s="86"/>
      <c r="AZ441" s="272"/>
      <c r="BA441" s="50"/>
      <c r="BB441" s="31"/>
      <c r="BC441" s="157"/>
      <c r="BD441" s="342"/>
      <c r="BE441" s="208"/>
      <c r="BF441" s="16"/>
      <c r="BG441" s="170"/>
      <c r="BH441" s="86"/>
      <c r="BI441" s="272"/>
      <c r="BJ441" s="50"/>
      <c r="BK441" s="31"/>
      <c r="BL441" s="157"/>
      <c r="BM441" s="342"/>
      <c r="BN441" s="208"/>
      <c r="BO441" s="16"/>
      <c r="BP441" s="635">
        <v>0</v>
      </c>
      <c r="BQ441" s="636">
        <v>0</v>
      </c>
      <c r="BR441" s="50">
        <v>1990</v>
      </c>
      <c r="BS441" s="31"/>
      <c r="BT441" s="33"/>
      <c r="BU441" s="43">
        <v>-1</v>
      </c>
      <c r="BV441" s="209">
        <f t="shared" si="301"/>
        <v>-1</v>
      </c>
      <c r="BW441" s="141"/>
      <c r="BX441" s="311"/>
      <c r="BY441" s="137"/>
    </row>
    <row r="442" spans="1:77" ht="15" customHeight="1" x14ac:dyDescent="0.2">
      <c r="A442" s="55" t="s">
        <v>25</v>
      </c>
      <c r="B442" s="107" t="s">
        <v>2990</v>
      </c>
      <c r="C442" s="107" t="s">
        <v>2990</v>
      </c>
      <c r="D442" s="1387">
        <v>248</v>
      </c>
      <c r="E442" s="161" t="s">
        <v>2975</v>
      </c>
      <c r="F442" s="604"/>
      <c r="G442" s="60"/>
      <c r="H442" s="61"/>
      <c r="I442" s="609"/>
      <c r="J442" s="121"/>
      <c r="K442" s="121"/>
      <c r="L442" s="609"/>
      <c r="M442" s="62"/>
      <c r="N442" s="355"/>
      <c r="O442" s="604"/>
      <c r="P442" s="62"/>
      <c r="Q442" s="355"/>
      <c r="R442" s="604"/>
      <c r="S442" s="62"/>
      <c r="T442" s="355"/>
      <c r="U442" s="62"/>
      <c r="V442" s="62"/>
      <c r="W442" s="19"/>
      <c r="X442" s="20"/>
      <c r="Y442" s="50"/>
      <c r="Z442" s="50"/>
      <c r="AA442" s="31"/>
      <c r="AB442" s="395"/>
      <c r="AC442" s="443"/>
      <c r="AD442" s="16"/>
      <c r="AE442" s="16"/>
      <c r="AF442" s="170"/>
      <c r="AG442" s="86"/>
      <c r="AH442" s="272"/>
      <c r="AI442" s="50"/>
      <c r="AJ442" s="31"/>
      <c r="AK442" s="157"/>
      <c r="AL442" s="285"/>
      <c r="AM442" s="208"/>
      <c r="AN442" s="16"/>
      <c r="AO442" s="635"/>
      <c r="AP442" s="636"/>
      <c r="AQ442" s="640"/>
      <c r="AR442" s="158"/>
      <c r="AS442" s="641"/>
      <c r="AT442" s="399"/>
      <c r="AU442" s="618"/>
      <c r="AV442" s="16"/>
      <c r="AW442" s="16"/>
      <c r="AX442" s="170"/>
      <c r="AY442" s="86"/>
      <c r="AZ442" s="272"/>
      <c r="BA442" s="50"/>
      <c r="BB442" s="31"/>
      <c r="BC442" s="157"/>
      <c r="BD442" s="342"/>
      <c r="BE442" s="208"/>
      <c r="BF442" s="16"/>
      <c r="BG442" s="170"/>
      <c r="BH442" s="86"/>
      <c r="BI442" s="272"/>
      <c r="BJ442" s="50"/>
      <c r="BK442" s="31"/>
      <c r="BL442" s="157"/>
      <c r="BM442" s="342"/>
      <c r="BN442" s="208"/>
      <c r="BO442" s="16"/>
      <c r="BP442" s="635">
        <v>0</v>
      </c>
      <c r="BQ442" s="636">
        <v>0</v>
      </c>
      <c r="BR442" s="50">
        <v>1990</v>
      </c>
      <c r="BS442" s="31"/>
      <c r="BT442" s="33"/>
      <c r="BU442" s="43">
        <v>-1</v>
      </c>
      <c r="BV442" s="209">
        <f t="shared" si="301"/>
        <v>-1</v>
      </c>
      <c r="BW442" s="141"/>
      <c r="BX442" s="311"/>
      <c r="BY442" s="137"/>
    </row>
    <row r="443" spans="1:77" ht="15" customHeight="1" x14ac:dyDescent="0.2">
      <c r="A443" s="55" t="s">
        <v>25</v>
      </c>
      <c r="B443" s="107" t="s">
        <v>477</v>
      </c>
      <c r="C443" s="107" t="s">
        <v>2991</v>
      </c>
      <c r="D443" s="1387">
        <v>81</v>
      </c>
      <c r="E443" s="161" t="s">
        <v>2975</v>
      </c>
      <c r="F443" s="604"/>
      <c r="G443" s="60"/>
      <c r="H443" s="61"/>
      <c r="I443" s="609"/>
      <c r="J443" s="121"/>
      <c r="K443" s="121"/>
      <c r="L443" s="609"/>
      <c r="M443" s="62"/>
      <c r="N443" s="355"/>
      <c r="O443" s="604"/>
      <c r="P443" s="62"/>
      <c r="Q443" s="355"/>
      <c r="R443" s="604"/>
      <c r="S443" s="62"/>
      <c r="T443" s="355"/>
      <c r="U443" s="62"/>
      <c r="V443" s="62"/>
      <c r="W443" s="19"/>
      <c r="X443" s="20"/>
      <c r="Y443" s="50"/>
      <c r="Z443" s="50"/>
      <c r="AA443" s="31"/>
      <c r="AB443" s="395"/>
      <c r="AC443" s="443"/>
      <c r="AD443" s="16"/>
      <c r="AE443" s="16"/>
      <c r="AF443" s="170"/>
      <c r="AG443" s="86"/>
      <c r="AH443" s="272"/>
      <c r="AI443" s="50"/>
      <c r="AJ443" s="31"/>
      <c r="AK443" s="157"/>
      <c r="AL443" s="285"/>
      <c r="AM443" s="208"/>
      <c r="AN443" s="16"/>
      <c r="AO443" s="635"/>
      <c r="AP443" s="636"/>
      <c r="AQ443" s="640"/>
      <c r="AR443" s="158"/>
      <c r="AS443" s="641"/>
      <c r="AT443" s="399"/>
      <c r="AU443" s="618"/>
      <c r="AV443" s="16"/>
      <c r="AW443" s="16"/>
      <c r="AX443" s="170"/>
      <c r="AY443" s="86"/>
      <c r="AZ443" s="272"/>
      <c r="BA443" s="50"/>
      <c r="BB443" s="31"/>
      <c r="BC443" s="157"/>
      <c r="BD443" s="342"/>
      <c r="BE443" s="208"/>
      <c r="BF443" s="16"/>
      <c r="BG443" s="170"/>
      <c r="BH443" s="86"/>
      <c r="BI443" s="272"/>
      <c r="BJ443" s="50"/>
      <c r="BK443" s="31"/>
      <c r="BL443" s="157"/>
      <c r="BM443" s="342"/>
      <c r="BN443" s="208"/>
      <c r="BO443" s="16"/>
      <c r="BP443" s="635">
        <v>0</v>
      </c>
      <c r="BQ443" s="636">
        <v>0</v>
      </c>
      <c r="BR443" s="50">
        <v>1990</v>
      </c>
      <c r="BS443" s="31"/>
      <c r="BT443" s="33"/>
      <c r="BU443" s="43">
        <v>-1</v>
      </c>
      <c r="BV443" s="209">
        <f t="shared" si="301"/>
        <v>-1</v>
      </c>
      <c r="BW443" s="141"/>
      <c r="BX443" s="311"/>
      <c r="BY443" s="137"/>
    </row>
    <row r="444" spans="1:77" ht="15" customHeight="1" x14ac:dyDescent="0.2">
      <c r="A444" s="55" t="s">
        <v>25</v>
      </c>
      <c r="B444" s="107" t="s">
        <v>477</v>
      </c>
      <c r="C444" s="107" t="s">
        <v>2992</v>
      </c>
      <c r="D444" s="1387">
        <v>58</v>
      </c>
      <c r="E444" s="161" t="s">
        <v>2975</v>
      </c>
      <c r="F444" s="604"/>
      <c r="G444" s="60"/>
      <c r="H444" s="61"/>
      <c r="I444" s="609"/>
      <c r="J444" s="121"/>
      <c r="K444" s="121"/>
      <c r="L444" s="609"/>
      <c r="M444" s="62"/>
      <c r="N444" s="355"/>
      <c r="O444" s="604"/>
      <c r="P444" s="62"/>
      <c r="Q444" s="355"/>
      <c r="R444" s="604"/>
      <c r="S444" s="62"/>
      <c r="T444" s="355"/>
      <c r="U444" s="62"/>
      <c r="V444" s="62"/>
      <c r="W444" s="19"/>
      <c r="X444" s="20"/>
      <c r="Y444" s="50"/>
      <c r="Z444" s="50"/>
      <c r="AA444" s="31"/>
      <c r="AB444" s="395"/>
      <c r="AC444" s="443"/>
      <c r="AD444" s="16"/>
      <c r="AE444" s="16"/>
      <c r="AF444" s="170"/>
      <c r="AG444" s="86"/>
      <c r="AH444" s="272"/>
      <c r="AI444" s="50"/>
      <c r="AJ444" s="31"/>
      <c r="AK444" s="157"/>
      <c r="AL444" s="285"/>
      <c r="AM444" s="208"/>
      <c r="AN444" s="16"/>
      <c r="AO444" s="635"/>
      <c r="AP444" s="636"/>
      <c r="AQ444" s="640"/>
      <c r="AR444" s="158"/>
      <c r="AS444" s="641"/>
      <c r="AT444" s="399"/>
      <c r="AU444" s="618"/>
      <c r="AV444" s="16"/>
      <c r="AW444" s="16"/>
      <c r="AX444" s="170"/>
      <c r="AY444" s="86"/>
      <c r="AZ444" s="272"/>
      <c r="BA444" s="50"/>
      <c r="BB444" s="31"/>
      <c r="BC444" s="157"/>
      <c r="BD444" s="342"/>
      <c r="BE444" s="208"/>
      <c r="BF444" s="16"/>
      <c r="BG444" s="170"/>
      <c r="BH444" s="86"/>
      <c r="BI444" s="272"/>
      <c r="BJ444" s="50"/>
      <c r="BK444" s="31"/>
      <c r="BL444" s="157"/>
      <c r="BM444" s="342"/>
      <c r="BN444" s="208"/>
      <c r="BO444" s="16"/>
      <c r="BP444" s="635">
        <v>0</v>
      </c>
      <c r="BQ444" s="636">
        <v>0</v>
      </c>
      <c r="BR444" s="50">
        <v>1990</v>
      </c>
      <c r="BS444" s="31"/>
      <c r="BT444" s="33"/>
      <c r="BU444" s="43">
        <v>-1</v>
      </c>
      <c r="BV444" s="209">
        <f t="shared" si="301"/>
        <v>-1</v>
      </c>
      <c r="BW444" s="141"/>
      <c r="BX444" s="311"/>
      <c r="BY444" s="137"/>
    </row>
    <row r="445" spans="1:77" ht="15" customHeight="1" x14ac:dyDescent="0.2">
      <c r="A445" s="55" t="s">
        <v>25</v>
      </c>
      <c r="B445" s="107" t="s">
        <v>477</v>
      </c>
      <c r="C445" s="107" t="s">
        <v>2993</v>
      </c>
      <c r="D445" s="1387">
        <v>10</v>
      </c>
      <c r="E445" s="161" t="s">
        <v>2975</v>
      </c>
      <c r="F445" s="604"/>
      <c r="G445" s="60"/>
      <c r="H445" s="61"/>
      <c r="I445" s="609"/>
      <c r="J445" s="121"/>
      <c r="K445" s="121"/>
      <c r="L445" s="609"/>
      <c r="M445" s="62"/>
      <c r="N445" s="355"/>
      <c r="O445" s="604"/>
      <c r="P445" s="62"/>
      <c r="Q445" s="355"/>
      <c r="R445" s="604"/>
      <c r="S445" s="62"/>
      <c r="T445" s="355"/>
      <c r="U445" s="62"/>
      <c r="V445" s="62"/>
      <c r="W445" s="19"/>
      <c r="X445" s="20"/>
      <c r="Y445" s="50"/>
      <c r="Z445" s="50"/>
      <c r="AA445" s="31"/>
      <c r="AB445" s="395"/>
      <c r="AC445" s="443"/>
      <c r="AD445" s="16"/>
      <c r="AE445" s="16"/>
      <c r="AF445" s="170"/>
      <c r="AG445" s="86"/>
      <c r="AH445" s="272"/>
      <c r="AI445" s="50"/>
      <c r="AJ445" s="31"/>
      <c r="AK445" s="157"/>
      <c r="AL445" s="285"/>
      <c r="AM445" s="208"/>
      <c r="AN445" s="16"/>
      <c r="AO445" s="635"/>
      <c r="AP445" s="636"/>
      <c r="AQ445" s="640"/>
      <c r="AR445" s="158"/>
      <c r="AS445" s="641"/>
      <c r="AT445" s="399"/>
      <c r="AU445" s="618"/>
      <c r="AV445" s="16"/>
      <c r="AW445" s="16"/>
      <c r="AX445" s="170"/>
      <c r="AY445" s="86"/>
      <c r="AZ445" s="272"/>
      <c r="BA445" s="50"/>
      <c r="BB445" s="31"/>
      <c r="BC445" s="157"/>
      <c r="BD445" s="342"/>
      <c r="BE445" s="208"/>
      <c r="BF445" s="16"/>
      <c r="BG445" s="170"/>
      <c r="BH445" s="86"/>
      <c r="BI445" s="272"/>
      <c r="BJ445" s="50"/>
      <c r="BK445" s="31"/>
      <c r="BL445" s="157"/>
      <c r="BM445" s="342"/>
      <c r="BN445" s="208"/>
      <c r="BO445" s="16"/>
      <c r="BP445" s="635">
        <v>0</v>
      </c>
      <c r="BQ445" s="636">
        <v>0</v>
      </c>
      <c r="BR445" s="50">
        <v>1990</v>
      </c>
      <c r="BS445" s="31"/>
      <c r="BT445" s="33"/>
      <c r="BU445" s="43">
        <v>-1</v>
      </c>
      <c r="BV445" s="209">
        <f t="shared" si="301"/>
        <v>-1</v>
      </c>
      <c r="BW445" s="141"/>
      <c r="BX445" s="311"/>
      <c r="BY445" s="137"/>
    </row>
    <row r="446" spans="1:77" ht="15" customHeight="1" x14ac:dyDescent="0.2">
      <c r="A446" s="55" t="s">
        <v>25</v>
      </c>
      <c r="B446" s="107" t="s">
        <v>477</v>
      </c>
      <c r="C446" s="107" t="s">
        <v>2994</v>
      </c>
      <c r="D446" s="1387">
        <v>24</v>
      </c>
      <c r="E446" s="161" t="s">
        <v>2975</v>
      </c>
      <c r="F446" s="604"/>
      <c r="G446" s="60"/>
      <c r="H446" s="61"/>
      <c r="I446" s="609"/>
      <c r="J446" s="121"/>
      <c r="K446" s="121"/>
      <c r="L446" s="609"/>
      <c r="M446" s="62"/>
      <c r="N446" s="355"/>
      <c r="O446" s="604"/>
      <c r="P446" s="62"/>
      <c r="Q446" s="355"/>
      <c r="R446" s="604"/>
      <c r="S446" s="62"/>
      <c r="T446" s="355"/>
      <c r="U446" s="62"/>
      <c r="V446" s="62"/>
      <c r="W446" s="19"/>
      <c r="X446" s="20"/>
      <c r="Y446" s="50"/>
      <c r="Z446" s="50"/>
      <c r="AA446" s="31"/>
      <c r="AB446" s="395"/>
      <c r="AC446" s="443"/>
      <c r="AD446" s="16"/>
      <c r="AE446" s="16"/>
      <c r="AF446" s="170"/>
      <c r="AG446" s="86"/>
      <c r="AH446" s="272"/>
      <c r="AI446" s="50"/>
      <c r="AJ446" s="31"/>
      <c r="AK446" s="157"/>
      <c r="AL446" s="285"/>
      <c r="AM446" s="208"/>
      <c r="AN446" s="16"/>
      <c r="AO446" s="635"/>
      <c r="AP446" s="636"/>
      <c r="AQ446" s="640"/>
      <c r="AR446" s="158"/>
      <c r="AS446" s="641"/>
      <c r="AT446" s="399"/>
      <c r="AU446" s="618"/>
      <c r="AV446" s="16"/>
      <c r="AW446" s="16"/>
      <c r="AX446" s="170"/>
      <c r="AY446" s="86"/>
      <c r="AZ446" s="272"/>
      <c r="BA446" s="50"/>
      <c r="BB446" s="31"/>
      <c r="BC446" s="157"/>
      <c r="BD446" s="342"/>
      <c r="BE446" s="208"/>
      <c r="BF446" s="16"/>
      <c r="BG446" s="170"/>
      <c r="BH446" s="86"/>
      <c r="BI446" s="272"/>
      <c r="BJ446" s="50"/>
      <c r="BK446" s="31"/>
      <c r="BL446" s="157"/>
      <c r="BM446" s="342"/>
      <c r="BN446" s="208"/>
      <c r="BO446" s="16"/>
      <c r="BP446" s="635">
        <v>0</v>
      </c>
      <c r="BQ446" s="636">
        <v>0</v>
      </c>
      <c r="BR446" s="50">
        <v>1990</v>
      </c>
      <c r="BS446" s="31"/>
      <c r="BT446" s="33"/>
      <c r="BU446" s="43">
        <v>-1</v>
      </c>
      <c r="BV446" s="209">
        <f t="shared" si="301"/>
        <v>-1</v>
      </c>
      <c r="BW446" s="141"/>
      <c r="BX446" s="311"/>
      <c r="BY446" s="137"/>
    </row>
    <row r="447" spans="1:77" ht="15" customHeight="1" x14ac:dyDescent="0.2">
      <c r="A447" s="55" t="s">
        <v>25</v>
      </c>
      <c r="B447" s="107" t="s">
        <v>477</v>
      </c>
      <c r="C447" s="107" t="s">
        <v>2995</v>
      </c>
      <c r="D447" s="1387">
        <v>21</v>
      </c>
      <c r="E447" s="161" t="s">
        <v>2975</v>
      </c>
      <c r="F447" s="604"/>
      <c r="G447" s="60"/>
      <c r="H447" s="61"/>
      <c r="I447" s="609"/>
      <c r="J447" s="121"/>
      <c r="K447" s="121"/>
      <c r="L447" s="609"/>
      <c r="M447" s="62"/>
      <c r="N447" s="355"/>
      <c r="O447" s="604"/>
      <c r="P447" s="62"/>
      <c r="Q447" s="355"/>
      <c r="R447" s="604"/>
      <c r="S447" s="62"/>
      <c r="T447" s="355"/>
      <c r="U447" s="62"/>
      <c r="V447" s="62"/>
      <c r="W447" s="19"/>
      <c r="X447" s="20"/>
      <c r="Y447" s="50"/>
      <c r="Z447" s="50"/>
      <c r="AA447" s="31"/>
      <c r="AB447" s="395"/>
      <c r="AC447" s="443"/>
      <c r="AD447" s="16"/>
      <c r="AE447" s="16"/>
      <c r="AF447" s="170"/>
      <c r="AG447" s="86"/>
      <c r="AH447" s="272"/>
      <c r="AI447" s="50"/>
      <c r="AJ447" s="31"/>
      <c r="AK447" s="157"/>
      <c r="AL447" s="285"/>
      <c r="AM447" s="208"/>
      <c r="AN447" s="16"/>
      <c r="AO447" s="635"/>
      <c r="AP447" s="636"/>
      <c r="AQ447" s="640"/>
      <c r="AR447" s="158"/>
      <c r="AS447" s="641"/>
      <c r="AT447" s="399"/>
      <c r="AU447" s="618"/>
      <c r="AV447" s="16"/>
      <c r="AW447" s="16"/>
      <c r="AX447" s="170"/>
      <c r="AY447" s="86"/>
      <c r="AZ447" s="272"/>
      <c r="BA447" s="50"/>
      <c r="BB447" s="31"/>
      <c r="BC447" s="157"/>
      <c r="BD447" s="342"/>
      <c r="BE447" s="208"/>
      <c r="BF447" s="16"/>
      <c r="BG447" s="170"/>
      <c r="BH447" s="86"/>
      <c r="BI447" s="272"/>
      <c r="BJ447" s="50"/>
      <c r="BK447" s="31"/>
      <c r="BL447" s="157"/>
      <c r="BM447" s="342"/>
      <c r="BN447" s="208"/>
      <c r="BO447" s="16"/>
      <c r="BP447" s="635">
        <v>0</v>
      </c>
      <c r="BQ447" s="636">
        <v>0</v>
      </c>
      <c r="BR447" s="50">
        <v>1990</v>
      </c>
      <c r="BS447" s="31"/>
      <c r="BT447" s="33"/>
      <c r="BU447" s="43">
        <v>-1</v>
      </c>
      <c r="BV447" s="209">
        <f t="shared" si="301"/>
        <v>-1</v>
      </c>
      <c r="BW447" s="141"/>
      <c r="BX447" s="311"/>
      <c r="BY447" s="137"/>
    </row>
    <row r="448" spans="1:77" ht="15" customHeight="1" x14ac:dyDescent="0.2">
      <c r="A448" s="55" t="s">
        <v>25</v>
      </c>
      <c r="B448" s="107" t="s">
        <v>2142</v>
      </c>
      <c r="C448" s="107" t="s">
        <v>599</v>
      </c>
      <c r="D448" s="1387">
        <v>340</v>
      </c>
      <c r="E448" s="161" t="s">
        <v>2975</v>
      </c>
      <c r="F448" s="604"/>
      <c r="G448" s="60"/>
      <c r="H448" s="61"/>
      <c r="I448" s="609"/>
      <c r="J448" s="121"/>
      <c r="K448" s="121"/>
      <c r="L448" s="609"/>
      <c r="M448" s="62"/>
      <c r="N448" s="355"/>
      <c r="O448" s="604"/>
      <c r="P448" s="62"/>
      <c r="Q448" s="355"/>
      <c r="R448" s="604"/>
      <c r="S448" s="62"/>
      <c r="T448" s="355"/>
      <c r="U448" s="62"/>
      <c r="V448" s="62"/>
      <c r="W448" s="19"/>
      <c r="X448" s="20"/>
      <c r="Y448" s="50"/>
      <c r="Z448" s="50"/>
      <c r="AA448" s="31"/>
      <c r="AB448" s="395"/>
      <c r="AC448" s="443"/>
      <c r="AD448" s="16"/>
      <c r="AE448" s="16"/>
      <c r="AF448" s="170"/>
      <c r="AG448" s="86"/>
      <c r="AH448" s="272"/>
      <c r="AI448" s="50"/>
      <c r="AJ448" s="31"/>
      <c r="AK448" s="157"/>
      <c r="AL448" s="285"/>
      <c r="AM448" s="208"/>
      <c r="AN448" s="16"/>
      <c r="AO448" s="635"/>
      <c r="AP448" s="636"/>
      <c r="AQ448" s="640"/>
      <c r="AR448" s="158"/>
      <c r="AS448" s="641"/>
      <c r="AT448" s="399"/>
      <c r="AU448" s="618"/>
      <c r="AV448" s="16"/>
      <c r="AW448" s="16"/>
      <c r="AX448" s="170"/>
      <c r="AY448" s="86"/>
      <c r="AZ448" s="272"/>
      <c r="BA448" s="50"/>
      <c r="BB448" s="31"/>
      <c r="BC448" s="157"/>
      <c r="BD448" s="342"/>
      <c r="BE448" s="208"/>
      <c r="BF448" s="16"/>
      <c r="BG448" s="170"/>
      <c r="BH448" s="86"/>
      <c r="BI448" s="272"/>
      <c r="BJ448" s="50"/>
      <c r="BK448" s="31"/>
      <c r="BL448" s="157"/>
      <c r="BM448" s="342"/>
      <c r="BN448" s="208"/>
      <c r="BO448" s="16"/>
      <c r="BP448" s="635">
        <v>0</v>
      </c>
      <c r="BQ448" s="636">
        <v>0</v>
      </c>
      <c r="BR448" s="50">
        <v>1990</v>
      </c>
      <c r="BS448" s="31"/>
      <c r="BT448" s="33"/>
      <c r="BU448" s="43">
        <v>-1</v>
      </c>
      <c r="BV448" s="209">
        <f t="shared" si="301"/>
        <v>-1</v>
      </c>
      <c r="BW448" s="141"/>
      <c r="BX448" s="311"/>
      <c r="BY448" s="137"/>
    </row>
    <row r="449" spans="1:77" ht="15" customHeight="1" x14ac:dyDescent="0.2">
      <c r="A449" s="55" t="s">
        <v>25</v>
      </c>
      <c r="B449" s="107" t="s">
        <v>477</v>
      </c>
      <c r="C449" s="107" t="s">
        <v>2996</v>
      </c>
      <c r="D449" s="1387">
        <v>10</v>
      </c>
      <c r="E449" s="161" t="s">
        <v>2975</v>
      </c>
      <c r="F449" s="604"/>
      <c r="G449" s="60"/>
      <c r="H449" s="61"/>
      <c r="I449" s="609"/>
      <c r="J449" s="121"/>
      <c r="K449" s="121"/>
      <c r="L449" s="609"/>
      <c r="M449" s="62"/>
      <c r="N449" s="355"/>
      <c r="O449" s="604"/>
      <c r="P449" s="62"/>
      <c r="Q449" s="355"/>
      <c r="R449" s="604"/>
      <c r="S449" s="62"/>
      <c r="T449" s="355"/>
      <c r="U449" s="62"/>
      <c r="V449" s="62"/>
      <c r="W449" s="19"/>
      <c r="X449" s="20"/>
      <c r="Y449" s="50"/>
      <c r="Z449" s="50"/>
      <c r="AA449" s="31"/>
      <c r="AB449" s="395"/>
      <c r="AC449" s="443"/>
      <c r="AD449" s="16"/>
      <c r="AE449" s="16"/>
      <c r="AF449" s="170"/>
      <c r="AG449" s="86"/>
      <c r="AH449" s="272"/>
      <c r="AI449" s="50"/>
      <c r="AJ449" s="31"/>
      <c r="AK449" s="157"/>
      <c r="AL449" s="285"/>
      <c r="AM449" s="208"/>
      <c r="AN449" s="16"/>
      <c r="AO449" s="635"/>
      <c r="AP449" s="636"/>
      <c r="AQ449" s="640"/>
      <c r="AR449" s="158"/>
      <c r="AS449" s="641"/>
      <c r="AT449" s="399"/>
      <c r="AU449" s="618"/>
      <c r="AV449" s="16"/>
      <c r="AW449" s="16"/>
      <c r="AX449" s="170"/>
      <c r="AY449" s="86"/>
      <c r="AZ449" s="272"/>
      <c r="BA449" s="50"/>
      <c r="BB449" s="31"/>
      <c r="BC449" s="157"/>
      <c r="BD449" s="342"/>
      <c r="BE449" s="208"/>
      <c r="BF449" s="16"/>
      <c r="BG449" s="170"/>
      <c r="BH449" s="86"/>
      <c r="BI449" s="272"/>
      <c r="BJ449" s="50"/>
      <c r="BK449" s="31"/>
      <c r="BL449" s="157"/>
      <c r="BM449" s="342"/>
      <c r="BN449" s="208"/>
      <c r="BO449" s="16"/>
      <c r="BP449" s="635">
        <v>0</v>
      </c>
      <c r="BQ449" s="636">
        <v>0</v>
      </c>
      <c r="BR449" s="50">
        <v>1990</v>
      </c>
      <c r="BS449" s="31"/>
      <c r="BT449" s="33"/>
      <c r="BU449" s="43">
        <v>-1</v>
      </c>
      <c r="BV449" s="209">
        <f t="shared" si="301"/>
        <v>-1</v>
      </c>
      <c r="BW449" s="141"/>
      <c r="BX449" s="311"/>
      <c r="BY449" s="137"/>
    </row>
    <row r="450" spans="1:77" ht="15" customHeight="1" x14ac:dyDescent="0.2">
      <c r="A450" s="55" t="s">
        <v>25</v>
      </c>
      <c r="B450" s="107" t="s">
        <v>477</v>
      </c>
      <c r="C450" s="107" t="s">
        <v>2997</v>
      </c>
      <c r="D450" s="1387">
        <v>17</v>
      </c>
      <c r="E450" s="161" t="s">
        <v>2975</v>
      </c>
      <c r="F450" s="604"/>
      <c r="G450" s="60"/>
      <c r="H450" s="61"/>
      <c r="I450" s="609"/>
      <c r="J450" s="121"/>
      <c r="K450" s="121"/>
      <c r="L450" s="609"/>
      <c r="M450" s="62"/>
      <c r="N450" s="355"/>
      <c r="O450" s="604"/>
      <c r="P450" s="62"/>
      <c r="Q450" s="355"/>
      <c r="R450" s="604"/>
      <c r="S450" s="62"/>
      <c r="T450" s="355"/>
      <c r="U450" s="62"/>
      <c r="V450" s="62"/>
      <c r="W450" s="19"/>
      <c r="X450" s="20"/>
      <c r="Y450" s="50"/>
      <c r="Z450" s="50"/>
      <c r="AA450" s="31"/>
      <c r="AB450" s="395"/>
      <c r="AC450" s="443"/>
      <c r="AD450" s="16"/>
      <c r="AE450" s="16"/>
      <c r="AF450" s="170"/>
      <c r="AG450" s="86"/>
      <c r="AH450" s="272"/>
      <c r="AI450" s="50"/>
      <c r="AJ450" s="31"/>
      <c r="AK450" s="157"/>
      <c r="AL450" s="285"/>
      <c r="AM450" s="208"/>
      <c r="AN450" s="16"/>
      <c r="AO450" s="635"/>
      <c r="AP450" s="636"/>
      <c r="AQ450" s="640"/>
      <c r="AR450" s="158"/>
      <c r="AS450" s="641"/>
      <c r="AT450" s="399"/>
      <c r="AU450" s="618"/>
      <c r="AV450" s="16"/>
      <c r="AW450" s="16"/>
      <c r="AX450" s="170"/>
      <c r="AY450" s="86"/>
      <c r="AZ450" s="272"/>
      <c r="BA450" s="50"/>
      <c r="BB450" s="31"/>
      <c r="BC450" s="157"/>
      <c r="BD450" s="342"/>
      <c r="BE450" s="208"/>
      <c r="BF450" s="16"/>
      <c r="BG450" s="170"/>
      <c r="BH450" s="86"/>
      <c r="BI450" s="272"/>
      <c r="BJ450" s="50"/>
      <c r="BK450" s="31"/>
      <c r="BL450" s="157"/>
      <c r="BM450" s="342"/>
      <c r="BN450" s="208"/>
      <c r="BO450" s="16"/>
      <c r="BP450" s="635">
        <v>0</v>
      </c>
      <c r="BQ450" s="636">
        <v>0</v>
      </c>
      <c r="BR450" s="50">
        <v>1990</v>
      </c>
      <c r="BS450" s="31"/>
      <c r="BT450" s="33"/>
      <c r="BU450" s="43">
        <v>-1</v>
      </c>
      <c r="BV450" s="209">
        <f t="shared" si="301"/>
        <v>-1</v>
      </c>
      <c r="BW450" s="141"/>
      <c r="BX450" s="311"/>
      <c r="BY450" s="137"/>
    </row>
    <row r="451" spans="1:77" ht="15" customHeight="1" x14ac:dyDescent="0.2">
      <c r="A451" s="55" t="s">
        <v>25</v>
      </c>
      <c r="B451" s="107" t="s">
        <v>2998</v>
      </c>
      <c r="C451" s="107" t="s">
        <v>2999</v>
      </c>
      <c r="D451" s="1387">
        <v>27</v>
      </c>
      <c r="E451" s="161" t="s">
        <v>2975</v>
      </c>
      <c r="F451" s="604"/>
      <c r="G451" s="60"/>
      <c r="H451" s="61"/>
      <c r="I451" s="609"/>
      <c r="J451" s="121"/>
      <c r="K451" s="121"/>
      <c r="L451" s="609"/>
      <c r="M451" s="62"/>
      <c r="N451" s="355"/>
      <c r="O451" s="604"/>
      <c r="P451" s="62"/>
      <c r="Q451" s="355"/>
      <c r="R451" s="604"/>
      <c r="S451" s="62"/>
      <c r="T451" s="355"/>
      <c r="U451" s="62"/>
      <c r="V451" s="62"/>
      <c r="W451" s="19"/>
      <c r="X451" s="20"/>
      <c r="Y451" s="50"/>
      <c r="Z451" s="50"/>
      <c r="AA451" s="31"/>
      <c r="AB451" s="395"/>
      <c r="AC451" s="443"/>
      <c r="AD451" s="16"/>
      <c r="AE451" s="16"/>
      <c r="AF451" s="170"/>
      <c r="AG451" s="86"/>
      <c r="AH451" s="272"/>
      <c r="AI451" s="50"/>
      <c r="AJ451" s="31"/>
      <c r="AK451" s="157"/>
      <c r="AL451" s="285"/>
      <c r="AM451" s="208"/>
      <c r="AN451" s="16"/>
      <c r="AO451" s="635"/>
      <c r="AP451" s="636"/>
      <c r="AQ451" s="640"/>
      <c r="AR451" s="158"/>
      <c r="AS451" s="641"/>
      <c r="AT451" s="399"/>
      <c r="AU451" s="618"/>
      <c r="AV451" s="16"/>
      <c r="AW451" s="16"/>
      <c r="AX451" s="170"/>
      <c r="AY451" s="86"/>
      <c r="AZ451" s="272"/>
      <c r="BA451" s="50"/>
      <c r="BB451" s="31"/>
      <c r="BC451" s="157"/>
      <c r="BD451" s="342"/>
      <c r="BE451" s="208"/>
      <c r="BF451" s="16"/>
      <c r="BG451" s="170"/>
      <c r="BH451" s="86"/>
      <c r="BI451" s="272"/>
      <c r="BJ451" s="50"/>
      <c r="BK451" s="31"/>
      <c r="BL451" s="157"/>
      <c r="BM451" s="342"/>
      <c r="BN451" s="208"/>
      <c r="BO451" s="16"/>
      <c r="BP451" s="635">
        <v>0</v>
      </c>
      <c r="BQ451" s="636">
        <v>0</v>
      </c>
      <c r="BR451" s="50">
        <v>1990</v>
      </c>
      <c r="BS451" s="31"/>
      <c r="BT451" s="33"/>
      <c r="BU451" s="43">
        <v>-1</v>
      </c>
      <c r="BV451" s="209">
        <f t="shared" si="301"/>
        <v>-1</v>
      </c>
      <c r="BW451" s="141"/>
      <c r="BX451" s="311"/>
      <c r="BY451" s="137"/>
    </row>
    <row r="452" spans="1:77" ht="15" customHeight="1" x14ac:dyDescent="0.2">
      <c r="A452" s="55" t="s">
        <v>25</v>
      </c>
      <c r="B452" s="107" t="s">
        <v>477</v>
      </c>
      <c r="C452" s="107" t="s">
        <v>3000</v>
      </c>
      <c r="D452" s="1387">
        <v>140</v>
      </c>
      <c r="E452" s="161" t="s">
        <v>2975</v>
      </c>
      <c r="F452" s="604"/>
      <c r="G452" s="60"/>
      <c r="H452" s="61"/>
      <c r="I452" s="609"/>
      <c r="J452" s="121"/>
      <c r="K452" s="121"/>
      <c r="L452" s="609"/>
      <c r="M452" s="62"/>
      <c r="N452" s="355"/>
      <c r="O452" s="604"/>
      <c r="P452" s="62"/>
      <c r="Q452" s="355"/>
      <c r="R452" s="604"/>
      <c r="S452" s="62"/>
      <c r="T452" s="355"/>
      <c r="U452" s="62"/>
      <c r="V452" s="62"/>
      <c r="W452" s="19"/>
      <c r="X452" s="20"/>
      <c r="Y452" s="50"/>
      <c r="Z452" s="50"/>
      <c r="AA452" s="31"/>
      <c r="AB452" s="395"/>
      <c r="AC452" s="443"/>
      <c r="AD452" s="16"/>
      <c r="AE452" s="16"/>
      <c r="AF452" s="170"/>
      <c r="AG452" s="86"/>
      <c r="AH452" s="272"/>
      <c r="AI452" s="50"/>
      <c r="AJ452" s="31"/>
      <c r="AK452" s="157"/>
      <c r="AL452" s="285"/>
      <c r="AM452" s="208"/>
      <c r="AN452" s="16"/>
      <c r="AO452" s="635"/>
      <c r="AP452" s="636"/>
      <c r="AQ452" s="640"/>
      <c r="AR452" s="158"/>
      <c r="AS452" s="641"/>
      <c r="AT452" s="399"/>
      <c r="AU452" s="618"/>
      <c r="AV452" s="16"/>
      <c r="AW452" s="16"/>
      <c r="AX452" s="170"/>
      <c r="AY452" s="86"/>
      <c r="AZ452" s="272"/>
      <c r="BA452" s="50"/>
      <c r="BB452" s="31"/>
      <c r="BC452" s="157"/>
      <c r="BD452" s="342"/>
      <c r="BE452" s="208"/>
      <c r="BF452" s="16"/>
      <c r="BG452" s="170"/>
      <c r="BH452" s="86"/>
      <c r="BI452" s="272"/>
      <c r="BJ452" s="50"/>
      <c r="BK452" s="31"/>
      <c r="BL452" s="157"/>
      <c r="BM452" s="342"/>
      <c r="BN452" s="208"/>
      <c r="BO452" s="16"/>
      <c r="BP452" s="635">
        <v>0</v>
      </c>
      <c r="BQ452" s="636">
        <v>0</v>
      </c>
      <c r="BR452" s="50">
        <v>1990</v>
      </c>
      <c r="BS452" s="31"/>
      <c r="BT452" s="33"/>
      <c r="BU452" s="43">
        <v>-1</v>
      </c>
      <c r="BV452" s="209">
        <f t="shared" si="301"/>
        <v>-1</v>
      </c>
      <c r="BW452" s="141"/>
      <c r="BX452" s="311"/>
      <c r="BY452" s="137"/>
    </row>
    <row r="453" spans="1:77" ht="15" customHeight="1" x14ac:dyDescent="0.2">
      <c r="A453" s="55" t="s">
        <v>25</v>
      </c>
      <c r="B453" s="107" t="s">
        <v>477</v>
      </c>
      <c r="C453" s="637" t="s">
        <v>3001</v>
      </c>
      <c r="D453" s="1387">
        <v>140</v>
      </c>
      <c r="E453" s="161" t="s">
        <v>2975</v>
      </c>
      <c r="F453" s="604"/>
      <c r="G453" s="60"/>
      <c r="H453" s="61"/>
      <c r="I453" s="609"/>
      <c r="J453" s="121"/>
      <c r="K453" s="121"/>
      <c r="L453" s="609"/>
      <c r="M453" s="62"/>
      <c r="N453" s="355"/>
      <c r="O453" s="604"/>
      <c r="P453" s="62"/>
      <c r="Q453" s="355"/>
      <c r="R453" s="604"/>
      <c r="S453" s="62"/>
      <c r="T453" s="355"/>
      <c r="U453" s="62"/>
      <c r="V453" s="62"/>
      <c r="W453" s="19"/>
      <c r="X453" s="20"/>
      <c r="Y453" s="50"/>
      <c r="Z453" s="50"/>
      <c r="AA453" s="31"/>
      <c r="AB453" s="395"/>
      <c r="AC453" s="443"/>
      <c r="AD453" s="16"/>
      <c r="AE453" s="16"/>
      <c r="AF453" s="170"/>
      <c r="AG453" s="86"/>
      <c r="AH453" s="272"/>
      <c r="AI453" s="50"/>
      <c r="AJ453" s="31"/>
      <c r="AK453" s="157"/>
      <c r="AL453" s="285"/>
      <c r="AM453" s="208"/>
      <c r="AN453" s="16"/>
      <c r="AO453" s="635"/>
      <c r="AP453" s="636"/>
      <c r="AQ453" s="640"/>
      <c r="AR453" s="158"/>
      <c r="AS453" s="641"/>
      <c r="AT453" s="399"/>
      <c r="AU453" s="618"/>
      <c r="AV453" s="16"/>
      <c r="AW453" s="16"/>
      <c r="AX453" s="170"/>
      <c r="AY453" s="86"/>
      <c r="AZ453" s="272"/>
      <c r="BA453" s="50"/>
      <c r="BB453" s="31"/>
      <c r="BC453" s="157"/>
      <c r="BD453" s="342"/>
      <c r="BE453" s="208"/>
      <c r="BF453" s="16"/>
      <c r="BG453" s="170"/>
      <c r="BH453" s="86"/>
      <c r="BI453" s="272"/>
      <c r="BJ453" s="50"/>
      <c r="BK453" s="31"/>
      <c r="BL453" s="157"/>
      <c r="BM453" s="342"/>
      <c r="BN453" s="208"/>
      <c r="BO453" s="16"/>
      <c r="BP453" s="635">
        <v>0</v>
      </c>
      <c r="BQ453" s="636">
        <v>0</v>
      </c>
      <c r="BR453" s="50">
        <v>1990</v>
      </c>
      <c r="BS453" s="31"/>
      <c r="BT453" s="33"/>
      <c r="BU453" s="43">
        <v>-1</v>
      </c>
      <c r="BV453" s="209">
        <f t="shared" si="301"/>
        <v>-1</v>
      </c>
      <c r="BW453" s="141"/>
      <c r="BX453" s="311"/>
      <c r="BY453" s="137"/>
    </row>
    <row r="454" spans="1:77" ht="15" customHeight="1" x14ac:dyDescent="0.2">
      <c r="A454" s="55" t="s">
        <v>25</v>
      </c>
      <c r="B454" s="107" t="s">
        <v>477</v>
      </c>
      <c r="C454" s="637" t="s">
        <v>3002</v>
      </c>
      <c r="D454" s="1387">
        <v>51</v>
      </c>
      <c r="E454" s="161" t="s">
        <v>2975</v>
      </c>
      <c r="F454" s="604"/>
      <c r="G454" s="60"/>
      <c r="H454" s="61"/>
      <c r="I454" s="609"/>
      <c r="J454" s="121"/>
      <c r="K454" s="121"/>
      <c r="L454" s="609"/>
      <c r="M454" s="62"/>
      <c r="N454" s="355"/>
      <c r="O454" s="604"/>
      <c r="P454" s="62"/>
      <c r="Q454" s="355"/>
      <c r="R454" s="604"/>
      <c r="S454" s="62"/>
      <c r="T454" s="355"/>
      <c r="U454" s="62"/>
      <c r="V454" s="62"/>
      <c r="W454" s="19"/>
      <c r="X454" s="20"/>
      <c r="Y454" s="50"/>
      <c r="Z454" s="50"/>
      <c r="AA454" s="31"/>
      <c r="AB454" s="395"/>
      <c r="AC454" s="443"/>
      <c r="AD454" s="16"/>
      <c r="AE454" s="16"/>
      <c r="AF454" s="170"/>
      <c r="AG454" s="86"/>
      <c r="AH454" s="272"/>
      <c r="AI454" s="50"/>
      <c r="AJ454" s="31"/>
      <c r="AK454" s="157"/>
      <c r="AL454" s="285"/>
      <c r="AM454" s="208"/>
      <c r="AN454" s="16"/>
      <c r="AO454" s="635"/>
      <c r="AP454" s="636"/>
      <c r="AQ454" s="640"/>
      <c r="AR454" s="158"/>
      <c r="AS454" s="641"/>
      <c r="AT454" s="399"/>
      <c r="AU454" s="618"/>
      <c r="AV454" s="16"/>
      <c r="AW454" s="16"/>
      <c r="AX454" s="170"/>
      <c r="AY454" s="86"/>
      <c r="AZ454" s="272"/>
      <c r="BA454" s="50"/>
      <c r="BB454" s="31"/>
      <c r="BC454" s="157"/>
      <c r="BD454" s="342"/>
      <c r="BE454" s="208"/>
      <c r="BF454" s="16"/>
      <c r="BG454" s="170"/>
      <c r="BH454" s="86"/>
      <c r="BI454" s="272"/>
      <c r="BJ454" s="50"/>
      <c r="BK454" s="31"/>
      <c r="BL454" s="157"/>
      <c r="BM454" s="342"/>
      <c r="BN454" s="208"/>
      <c r="BO454" s="16"/>
      <c r="BP454" s="635">
        <v>0</v>
      </c>
      <c r="BQ454" s="636">
        <v>0</v>
      </c>
      <c r="BR454" s="50">
        <v>1990</v>
      </c>
      <c r="BS454" s="31"/>
      <c r="BT454" s="33"/>
      <c r="BU454" s="43">
        <v>-1</v>
      </c>
      <c r="BV454" s="209">
        <f t="shared" si="301"/>
        <v>-1</v>
      </c>
      <c r="BW454" s="141"/>
      <c r="BX454" s="311"/>
      <c r="BY454" s="137"/>
    </row>
    <row r="455" spans="1:77" ht="15" customHeight="1" x14ac:dyDescent="0.2">
      <c r="A455" s="55" t="s">
        <v>25</v>
      </c>
      <c r="B455" s="107" t="s">
        <v>477</v>
      </c>
      <c r="C455" s="637" t="s">
        <v>3003</v>
      </c>
      <c r="D455" s="1387">
        <v>63</v>
      </c>
      <c r="E455" s="161" t="s">
        <v>2975</v>
      </c>
      <c r="F455" s="604"/>
      <c r="G455" s="60"/>
      <c r="H455" s="61"/>
      <c r="I455" s="609"/>
      <c r="J455" s="121"/>
      <c r="K455" s="121"/>
      <c r="L455" s="609"/>
      <c r="M455" s="62"/>
      <c r="N455" s="355"/>
      <c r="O455" s="604"/>
      <c r="P455" s="62"/>
      <c r="Q455" s="355"/>
      <c r="R455" s="604"/>
      <c r="S455" s="62"/>
      <c r="T455" s="355"/>
      <c r="U455" s="62"/>
      <c r="V455" s="62"/>
      <c r="W455" s="19"/>
      <c r="X455" s="20"/>
      <c r="Y455" s="50"/>
      <c r="Z455" s="50"/>
      <c r="AA455" s="31"/>
      <c r="AB455" s="395"/>
      <c r="AC455" s="443"/>
      <c r="AD455" s="16"/>
      <c r="AE455" s="16"/>
      <c r="AF455" s="170"/>
      <c r="AG455" s="86"/>
      <c r="AH455" s="272"/>
      <c r="AI455" s="50"/>
      <c r="AJ455" s="31"/>
      <c r="AK455" s="157"/>
      <c r="AL455" s="285"/>
      <c r="AM455" s="208"/>
      <c r="AN455" s="16"/>
      <c r="AO455" s="635"/>
      <c r="AP455" s="636"/>
      <c r="AQ455" s="640"/>
      <c r="AR455" s="158"/>
      <c r="AS455" s="641"/>
      <c r="AT455" s="399"/>
      <c r="AU455" s="618"/>
      <c r="AV455" s="16"/>
      <c r="AW455" s="16"/>
      <c r="AX455" s="170"/>
      <c r="AY455" s="86"/>
      <c r="AZ455" s="272"/>
      <c r="BA455" s="50"/>
      <c r="BB455" s="31"/>
      <c r="BC455" s="157"/>
      <c r="BD455" s="342"/>
      <c r="BE455" s="208"/>
      <c r="BF455" s="16"/>
      <c r="BG455" s="170"/>
      <c r="BH455" s="86"/>
      <c r="BI455" s="272"/>
      <c r="BJ455" s="50"/>
      <c r="BK455" s="31"/>
      <c r="BL455" s="157"/>
      <c r="BM455" s="342"/>
      <c r="BN455" s="208"/>
      <c r="BO455" s="16"/>
      <c r="BP455" s="635">
        <v>0</v>
      </c>
      <c r="BQ455" s="636">
        <v>0</v>
      </c>
      <c r="BR455" s="50">
        <v>1990</v>
      </c>
      <c r="BS455" s="31"/>
      <c r="BT455" s="33"/>
      <c r="BU455" s="43">
        <v>-1</v>
      </c>
      <c r="BV455" s="209">
        <f t="shared" si="301"/>
        <v>-1</v>
      </c>
      <c r="BW455" s="141"/>
      <c r="BX455" s="311"/>
      <c r="BY455" s="137"/>
    </row>
    <row r="456" spans="1:77" ht="15" customHeight="1" x14ac:dyDescent="0.2">
      <c r="A456" s="55" t="s">
        <v>25</v>
      </c>
      <c r="B456" s="107" t="s">
        <v>477</v>
      </c>
      <c r="C456" s="637" t="s">
        <v>3004</v>
      </c>
      <c r="D456" s="1387">
        <v>29</v>
      </c>
      <c r="E456" s="161" t="s">
        <v>2975</v>
      </c>
      <c r="F456" s="604"/>
      <c r="G456" s="60"/>
      <c r="H456" s="61"/>
      <c r="I456" s="609"/>
      <c r="J456" s="121"/>
      <c r="K456" s="121"/>
      <c r="L456" s="609"/>
      <c r="M456" s="62"/>
      <c r="N456" s="355"/>
      <c r="O456" s="604"/>
      <c r="P456" s="62"/>
      <c r="Q456" s="355"/>
      <c r="R456" s="604"/>
      <c r="S456" s="62"/>
      <c r="T456" s="355"/>
      <c r="U456" s="62"/>
      <c r="V456" s="62"/>
      <c r="W456" s="19"/>
      <c r="X456" s="20"/>
      <c r="Y456" s="50"/>
      <c r="Z456" s="50"/>
      <c r="AA456" s="31"/>
      <c r="AB456" s="395"/>
      <c r="AC456" s="443"/>
      <c r="AD456" s="16"/>
      <c r="AE456" s="16"/>
      <c r="AF456" s="170"/>
      <c r="AG456" s="86"/>
      <c r="AH456" s="272"/>
      <c r="AI456" s="50"/>
      <c r="AJ456" s="31"/>
      <c r="AK456" s="157"/>
      <c r="AL456" s="285"/>
      <c r="AM456" s="208"/>
      <c r="AN456" s="16"/>
      <c r="AO456" s="635"/>
      <c r="AP456" s="636"/>
      <c r="AQ456" s="640"/>
      <c r="AR456" s="158"/>
      <c r="AS456" s="641"/>
      <c r="AT456" s="399"/>
      <c r="AU456" s="618"/>
      <c r="AV456" s="16"/>
      <c r="AW456" s="16"/>
      <c r="AX456" s="170"/>
      <c r="AY456" s="86"/>
      <c r="AZ456" s="272"/>
      <c r="BA456" s="50"/>
      <c r="BB456" s="31"/>
      <c r="BC456" s="157"/>
      <c r="BD456" s="342"/>
      <c r="BE456" s="208"/>
      <c r="BF456" s="16"/>
      <c r="BG456" s="170"/>
      <c r="BH456" s="86"/>
      <c r="BI456" s="272"/>
      <c r="BJ456" s="50"/>
      <c r="BK456" s="31"/>
      <c r="BL456" s="157"/>
      <c r="BM456" s="342"/>
      <c r="BN456" s="208"/>
      <c r="BO456" s="16"/>
      <c r="BP456" s="635">
        <v>0</v>
      </c>
      <c r="BQ456" s="636">
        <v>0</v>
      </c>
      <c r="BR456" s="50">
        <v>1990</v>
      </c>
      <c r="BS456" s="31"/>
      <c r="BT456" s="33"/>
      <c r="BU456" s="43">
        <v>-1</v>
      </c>
      <c r="BV456" s="209">
        <f t="shared" si="301"/>
        <v>-1</v>
      </c>
      <c r="BW456" s="141"/>
      <c r="BX456" s="311"/>
      <c r="BY456" s="137"/>
    </row>
    <row r="457" spans="1:77" ht="15" customHeight="1" x14ac:dyDescent="0.2">
      <c r="A457" s="55" t="s">
        <v>25</v>
      </c>
      <c r="B457" s="107" t="s">
        <v>477</v>
      </c>
      <c r="C457" s="637" t="s">
        <v>3005</v>
      </c>
      <c r="D457" s="1387">
        <v>44</v>
      </c>
      <c r="E457" s="161" t="s">
        <v>2975</v>
      </c>
      <c r="F457" s="604"/>
      <c r="G457" s="60"/>
      <c r="H457" s="61"/>
      <c r="I457" s="609"/>
      <c r="J457" s="121"/>
      <c r="K457" s="121"/>
      <c r="L457" s="609"/>
      <c r="M457" s="62"/>
      <c r="N457" s="355"/>
      <c r="O457" s="604"/>
      <c r="P457" s="62"/>
      <c r="Q457" s="355"/>
      <c r="R457" s="604"/>
      <c r="S457" s="62"/>
      <c r="T457" s="355"/>
      <c r="U457" s="62"/>
      <c r="V457" s="62"/>
      <c r="W457" s="19"/>
      <c r="X457" s="20"/>
      <c r="Y457" s="50"/>
      <c r="Z457" s="50"/>
      <c r="AA457" s="31"/>
      <c r="AB457" s="395"/>
      <c r="AC457" s="443"/>
      <c r="AD457" s="16"/>
      <c r="AE457" s="16"/>
      <c r="AF457" s="170"/>
      <c r="AG457" s="86"/>
      <c r="AH457" s="272"/>
      <c r="AI457" s="50"/>
      <c r="AJ457" s="31"/>
      <c r="AK457" s="157"/>
      <c r="AL457" s="285"/>
      <c r="AM457" s="208"/>
      <c r="AN457" s="16"/>
      <c r="AO457" s="635"/>
      <c r="AP457" s="636"/>
      <c r="AQ457" s="640"/>
      <c r="AR457" s="158"/>
      <c r="AS457" s="641"/>
      <c r="AT457" s="399"/>
      <c r="AU457" s="618"/>
      <c r="AV457" s="16"/>
      <c r="AW457" s="16"/>
      <c r="AX457" s="170"/>
      <c r="AY457" s="86"/>
      <c r="AZ457" s="272"/>
      <c r="BA457" s="50"/>
      <c r="BB457" s="31"/>
      <c r="BC457" s="157"/>
      <c r="BD457" s="342"/>
      <c r="BE457" s="208"/>
      <c r="BF457" s="16"/>
      <c r="BG457" s="170"/>
      <c r="BH457" s="86"/>
      <c r="BI457" s="272"/>
      <c r="BJ457" s="50"/>
      <c r="BK457" s="31"/>
      <c r="BL457" s="157"/>
      <c r="BM457" s="342"/>
      <c r="BN457" s="208"/>
      <c r="BO457" s="16"/>
      <c r="BP457" s="635">
        <v>0</v>
      </c>
      <c r="BQ457" s="636">
        <v>0</v>
      </c>
      <c r="BR457" s="50">
        <v>1990</v>
      </c>
      <c r="BS457" s="31"/>
      <c r="BT457" s="33"/>
      <c r="BU457" s="43">
        <v>-1</v>
      </c>
      <c r="BV457" s="209">
        <f t="shared" si="301"/>
        <v>-1</v>
      </c>
      <c r="BW457" s="141"/>
      <c r="BX457" s="311"/>
      <c r="BY457" s="137"/>
    </row>
    <row r="458" spans="1:77" ht="15" customHeight="1" x14ac:dyDescent="0.2">
      <c r="A458" s="55" t="s">
        <v>25</v>
      </c>
      <c r="B458" s="107" t="s">
        <v>477</v>
      </c>
      <c r="C458" s="637" t="s">
        <v>3006</v>
      </c>
      <c r="D458" s="1387">
        <v>110</v>
      </c>
      <c r="E458" s="161" t="s">
        <v>2975</v>
      </c>
      <c r="F458" s="604"/>
      <c r="G458" s="60"/>
      <c r="H458" s="61"/>
      <c r="I458" s="609"/>
      <c r="J458" s="121"/>
      <c r="K458" s="121"/>
      <c r="L458" s="609"/>
      <c r="M458" s="62"/>
      <c r="N458" s="355"/>
      <c r="O458" s="604"/>
      <c r="P458" s="62"/>
      <c r="Q458" s="355"/>
      <c r="R458" s="604"/>
      <c r="S458" s="62"/>
      <c r="T458" s="355"/>
      <c r="U458" s="62"/>
      <c r="V458" s="62"/>
      <c r="W458" s="19"/>
      <c r="X458" s="20"/>
      <c r="Y458" s="50"/>
      <c r="Z458" s="50"/>
      <c r="AA458" s="31"/>
      <c r="AB458" s="395"/>
      <c r="AC458" s="443"/>
      <c r="AD458" s="16"/>
      <c r="AE458" s="16"/>
      <c r="AF458" s="170"/>
      <c r="AG458" s="86"/>
      <c r="AH458" s="272"/>
      <c r="AI458" s="50"/>
      <c r="AJ458" s="31"/>
      <c r="AK458" s="157"/>
      <c r="AL458" s="285"/>
      <c r="AM458" s="208"/>
      <c r="AN458" s="16"/>
      <c r="AO458" s="635"/>
      <c r="AP458" s="636"/>
      <c r="AQ458" s="640"/>
      <c r="AR458" s="158"/>
      <c r="AS458" s="641"/>
      <c r="AT458" s="399"/>
      <c r="AU458" s="618"/>
      <c r="AV458" s="16"/>
      <c r="AW458" s="16"/>
      <c r="AX458" s="170"/>
      <c r="AY458" s="86"/>
      <c r="AZ458" s="272"/>
      <c r="BA458" s="50"/>
      <c r="BB458" s="31"/>
      <c r="BC458" s="157"/>
      <c r="BD458" s="342"/>
      <c r="BE458" s="208"/>
      <c r="BF458" s="16"/>
      <c r="BG458" s="170"/>
      <c r="BH458" s="86"/>
      <c r="BI458" s="272"/>
      <c r="BJ458" s="50"/>
      <c r="BK458" s="31"/>
      <c r="BL458" s="157"/>
      <c r="BM458" s="342"/>
      <c r="BN458" s="208"/>
      <c r="BO458" s="16"/>
      <c r="BP458" s="635">
        <v>0</v>
      </c>
      <c r="BQ458" s="636">
        <v>0</v>
      </c>
      <c r="BR458" s="50">
        <v>1990</v>
      </c>
      <c r="BS458" s="31"/>
      <c r="BT458" s="33"/>
      <c r="BU458" s="43">
        <v>-1</v>
      </c>
      <c r="BV458" s="209">
        <f t="shared" si="301"/>
        <v>-1</v>
      </c>
      <c r="BW458" s="141"/>
      <c r="BX458" s="311"/>
      <c r="BY458" s="137"/>
    </row>
    <row r="459" spans="1:77" ht="15" customHeight="1" x14ac:dyDescent="0.2">
      <c r="A459" s="55" t="s">
        <v>25</v>
      </c>
      <c r="B459" s="107" t="s">
        <v>477</v>
      </c>
      <c r="C459" s="637" t="s">
        <v>3007</v>
      </c>
      <c r="D459" s="1387">
        <v>84</v>
      </c>
      <c r="E459" s="161" t="s">
        <v>2975</v>
      </c>
      <c r="F459" s="604"/>
      <c r="G459" s="60"/>
      <c r="H459" s="61"/>
      <c r="I459" s="609"/>
      <c r="J459" s="121"/>
      <c r="K459" s="121"/>
      <c r="L459" s="609"/>
      <c r="M459" s="62"/>
      <c r="N459" s="355"/>
      <c r="O459" s="604"/>
      <c r="P459" s="62"/>
      <c r="Q459" s="355"/>
      <c r="R459" s="604"/>
      <c r="S459" s="62"/>
      <c r="T459" s="355"/>
      <c r="U459" s="62"/>
      <c r="V459" s="62"/>
      <c r="W459" s="19"/>
      <c r="X459" s="20"/>
      <c r="Y459" s="50"/>
      <c r="Z459" s="50"/>
      <c r="AA459" s="31"/>
      <c r="AB459" s="395"/>
      <c r="AC459" s="443"/>
      <c r="AD459" s="16"/>
      <c r="AE459" s="16"/>
      <c r="AF459" s="170"/>
      <c r="AG459" s="86"/>
      <c r="AH459" s="272"/>
      <c r="AI459" s="50"/>
      <c r="AJ459" s="31"/>
      <c r="AK459" s="157"/>
      <c r="AL459" s="285"/>
      <c r="AM459" s="208"/>
      <c r="AN459" s="16"/>
      <c r="AO459" s="635"/>
      <c r="AP459" s="636"/>
      <c r="AQ459" s="640"/>
      <c r="AR459" s="158"/>
      <c r="AS459" s="641"/>
      <c r="AT459" s="399"/>
      <c r="AU459" s="618"/>
      <c r="AV459" s="16"/>
      <c r="AW459" s="16"/>
      <c r="AX459" s="170"/>
      <c r="AY459" s="86"/>
      <c r="AZ459" s="272"/>
      <c r="BA459" s="50"/>
      <c r="BB459" s="31"/>
      <c r="BC459" s="157"/>
      <c r="BD459" s="342"/>
      <c r="BE459" s="208"/>
      <c r="BF459" s="16"/>
      <c r="BG459" s="170"/>
      <c r="BH459" s="86"/>
      <c r="BI459" s="272"/>
      <c r="BJ459" s="50"/>
      <c r="BK459" s="31"/>
      <c r="BL459" s="157"/>
      <c r="BM459" s="342"/>
      <c r="BN459" s="208"/>
      <c r="BO459" s="16"/>
      <c r="BP459" s="635">
        <v>0</v>
      </c>
      <c r="BQ459" s="636">
        <v>0</v>
      </c>
      <c r="BR459" s="50">
        <v>1990</v>
      </c>
      <c r="BS459" s="31"/>
      <c r="BT459" s="33"/>
      <c r="BU459" s="43">
        <v>-1</v>
      </c>
      <c r="BV459" s="209">
        <f t="shared" si="301"/>
        <v>-1</v>
      </c>
      <c r="BW459" s="141"/>
      <c r="BX459" s="311"/>
      <c r="BY459" s="137"/>
    </row>
    <row r="460" spans="1:77" ht="15" customHeight="1" x14ac:dyDescent="0.2">
      <c r="A460" s="55" t="s">
        <v>25</v>
      </c>
      <c r="B460" s="107" t="s">
        <v>477</v>
      </c>
      <c r="C460" s="637" t="s">
        <v>3008</v>
      </c>
      <c r="D460" s="1387">
        <v>67</v>
      </c>
      <c r="E460" s="161" t="s">
        <v>2975</v>
      </c>
      <c r="F460" s="604"/>
      <c r="G460" s="60"/>
      <c r="H460" s="61"/>
      <c r="I460" s="609"/>
      <c r="J460" s="121"/>
      <c r="K460" s="121"/>
      <c r="L460" s="609"/>
      <c r="M460" s="62"/>
      <c r="N460" s="355"/>
      <c r="O460" s="604"/>
      <c r="P460" s="62"/>
      <c r="Q460" s="355"/>
      <c r="R460" s="604"/>
      <c r="S460" s="62"/>
      <c r="T460" s="355"/>
      <c r="U460" s="62"/>
      <c r="V460" s="62"/>
      <c r="W460" s="19"/>
      <c r="X460" s="20"/>
      <c r="Y460" s="50"/>
      <c r="Z460" s="50"/>
      <c r="AA460" s="31"/>
      <c r="AB460" s="395"/>
      <c r="AC460" s="443"/>
      <c r="AD460" s="16"/>
      <c r="AE460" s="16"/>
      <c r="AF460" s="170"/>
      <c r="AG460" s="86"/>
      <c r="AH460" s="272"/>
      <c r="AI460" s="50"/>
      <c r="AJ460" s="31"/>
      <c r="AK460" s="157"/>
      <c r="AL460" s="285"/>
      <c r="AM460" s="208"/>
      <c r="AN460" s="16"/>
      <c r="AO460" s="635"/>
      <c r="AP460" s="636"/>
      <c r="AQ460" s="640"/>
      <c r="AR460" s="158"/>
      <c r="AS460" s="641"/>
      <c r="AT460" s="399"/>
      <c r="AU460" s="618"/>
      <c r="AV460" s="16"/>
      <c r="AW460" s="16"/>
      <c r="AX460" s="170"/>
      <c r="AY460" s="86"/>
      <c r="AZ460" s="272"/>
      <c r="BA460" s="50"/>
      <c r="BB460" s="31"/>
      <c r="BC460" s="157"/>
      <c r="BD460" s="342"/>
      <c r="BE460" s="208"/>
      <c r="BF460" s="16"/>
      <c r="BG460" s="170"/>
      <c r="BH460" s="86"/>
      <c r="BI460" s="272"/>
      <c r="BJ460" s="50"/>
      <c r="BK460" s="31"/>
      <c r="BL460" s="157"/>
      <c r="BM460" s="342"/>
      <c r="BN460" s="208"/>
      <c r="BO460" s="16"/>
      <c r="BP460" s="635">
        <v>0</v>
      </c>
      <c r="BQ460" s="636">
        <v>0</v>
      </c>
      <c r="BR460" s="50">
        <v>1990</v>
      </c>
      <c r="BS460" s="31"/>
      <c r="BT460" s="33"/>
      <c r="BU460" s="43">
        <v>-1</v>
      </c>
      <c r="BV460" s="209">
        <f t="shared" si="301"/>
        <v>-1</v>
      </c>
      <c r="BW460" s="141"/>
      <c r="BX460" s="311"/>
      <c r="BY460" s="137"/>
    </row>
    <row r="461" spans="1:77" ht="15" customHeight="1" x14ac:dyDescent="0.2">
      <c r="A461" s="55" t="s">
        <v>25</v>
      </c>
      <c r="B461" s="107" t="s">
        <v>477</v>
      </c>
      <c r="C461" s="637" t="s">
        <v>3009</v>
      </c>
      <c r="D461" s="1387">
        <v>29</v>
      </c>
      <c r="E461" s="161" t="s">
        <v>2975</v>
      </c>
      <c r="F461" s="604"/>
      <c r="G461" s="60"/>
      <c r="H461" s="61"/>
      <c r="I461" s="609"/>
      <c r="J461" s="121"/>
      <c r="K461" s="121"/>
      <c r="L461" s="609"/>
      <c r="M461" s="62"/>
      <c r="N461" s="355"/>
      <c r="O461" s="604"/>
      <c r="P461" s="62"/>
      <c r="Q461" s="355"/>
      <c r="R461" s="604"/>
      <c r="S461" s="62"/>
      <c r="T461" s="355"/>
      <c r="U461" s="62"/>
      <c r="V461" s="62"/>
      <c r="W461" s="19"/>
      <c r="X461" s="20"/>
      <c r="Y461" s="50"/>
      <c r="Z461" s="50"/>
      <c r="AA461" s="31"/>
      <c r="AB461" s="395"/>
      <c r="AC461" s="443"/>
      <c r="AD461" s="16"/>
      <c r="AE461" s="16"/>
      <c r="AF461" s="170"/>
      <c r="AG461" s="86"/>
      <c r="AH461" s="272"/>
      <c r="AI461" s="50"/>
      <c r="AJ461" s="31"/>
      <c r="AK461" s="157"/>
      <c r="AL461" s="285"/>
      <c r="AM461" s="208"/>
      <c r="AN461" s="16"/>
      <c r="AO461" s="635"/>
      <c r="AP461" s="636"/>
      <c r="AQ461" s="640"/>
      <c r="AR461" s="158"/>
      <c r="AS461" s="641"/>
      <c r="AT461" s="399"/>
      <c r="AU461" s="618"/>
      <c r="AV461" s="16"/>
      <c r="AW461" s="16"/>
      <c r="AX461" s="170"/>
      <c r="AY461" s="86"/>
      <c r="AZ461" s="272"/>
      <c r="BA461" s="50"/>
      <c r="BB461" s="31"/>
      <c r="BC461" s="157"/>
      <c r="BD461" s="342"/>
      <c r="BE461" s="208"/>
      <c r="BF461" s="16"/>
      <c r="BG461" s="170"/>
      <c r="BH461" s="86"/>
      <c r="BI461" s="272"/>
      <c r="BJ461" s="50"/>
      <c r="BK461" s="31"/>
      <c r="BL461" s="157"/>
      <c r="BM461" s="342"/>
      <c r="BN461" s="208"/>
      <c r="BO461" s="16"/>
      <c r="BP461" s="635">
        <v>0</v>
      </c>
      <c r="BQ461" s="636">
        <v>0</v>
      </c>
      <c r="BR461" s="50">
        <v>1990</v>
      </c>
      <c r="BS461" s="31"/>
      <c r="BT461" s="33"/>
      <c r="BU461" s="43">
        <v>-1</v>
      </c>
      <c r="BV461" s="209">
        <f t="shared" si="301"/>
        <v>-1</v>
      </c>
      <c r="BW461" s="141"/>
      <c r="BX461" s="311"/>
      <c r="BY461" s="137"/>
    </row>
    <row r="462" spans="1:77" ht="15" customHeight="1" x14ac:dyDescent="0.2">
      <c r="A462" s="55" t="s">
        <v>25</v>
      </c>
      <c r="B462" s="107" t="s">
        <v>477</v>
      </c>
      <c r="C462" s="637" t="s">
        <v>3010</v>
      </c>
      <c r="D462" s="1387">
        <v>65</v>
      </c>
      <c r="E462" s="161" t="s">
        <v>2975</v>
      </c>
      <c r="F462" s="604"/>
      <c r="G462" s="60"/>
      <c r="H462" s="61"/>
      <c r="I462" s="609"/>
      <c r="J462" s="121"/>
      <c r="K462" s="121"/>
      <c r="L462" s="609"/>
      <c r="M462" s="62"/>
      <c r="N462" s="355"/>
      <c r="O462" s="604"/>
      <c r="P462" s="62"/>
      <c r="Q462" s="355"/>
      <c r="R462" s="604"/>
      <c r="S462" s="62"/>
      <c r="T462" s="355"/>
      <c r="U462" s="62"/>
      <c r="V462" s="62"/>
      <c r="W462" s="19"/>
      <c r="X462" s="20"/>
      <c r="Y462" s="50"/>
      <c r="Z462" s="50"/>
      <c r="AA462" s="31"/>
      <c r="AB462" s="395"/>
      <c r="AC462" s="443"/>
      <c r="AD462" s="16"/>
      <c r="AE462" s="16"/>
      <c r="AF462" s="170"/>
      <c r="AG462" s="86"/>
      <c r="AH462" s="272"/>
      <c r="AI462" s="50"/>
      <c r="AJ462" s="31"/>
      <c r="AK462" s="157"/>
      <c r="AL462" s="285"/>
      <c r="AM462" s="208"/>
      <c r="AN462" s="16"/>
      <c r="AO462" s="635"/>
      <c r="AP462" s="636"/>
      <c r="AQ462" s="640"/>
      <c r="AR462" s="158"/>
      <c r="AS462" s="641"/>
      <c r="AT462" s="399"/>
      <c r="AU462" s="618"/>
      <c r="AV462" s="16"/>
      <c r="AW462" s="16"/>
      <c r="AX462" s="170"/>
      <c r="AY462" s="86"/>
      <c r="AZ462" s="272"/>
      <c r="BA462" s="50"/>
      <c r="BB462" s="31"/>
      <c r="BC462" s="157"/>
      <c r="BD462" s="342"/>
      <c r="BE462" s="208"/>
      <c r="BF462" s="16"/>
      <c r="BG462" s="170"/>
      <c r="BH462" s="86"/>
      <c r="BI462" s="272"/>
      <c r="BJ462" s="50"/>
      <c r="BK462" s="31"/>
      <c r="BL462" s="157"/>
      <c r="BM462" s="342"/>
      <c r="BN462" s="208"/>
      <c r="BO462" s="16"/>
      <c r="BP462" s="635">
        <v>0</v>
      </c>
      <c r="BQ462" s="636">
        <v>0</v>
      </c>
      <c r="BR462" s="50">
        <v>1990</v>
      </c>
      <c r="BS462" s="31"/>
      <c r="BT462" s="33"/>
      <c r="BU462" s="43">
        <v>-1</v>
      </c>
      <c r="BV462" s="209">
        <f t="shared" si="301"/>
        <v>-1</v>
      </c>
      <c r="BW462" s="141"/>
      <c r="BX462" s="311"/>
      <c r="BY462" s="137"/>
    </row>
    <row r="463" spans="1:77" ht="15" customHeight="1" x14ac:dyDescent="0.2">
      <c r="A463" s="55" t="s">
        <v>25</v>
      </c>
      <c r="B463" s="107" t="s">
        <v>477</v>
      </c>
      <c r="C463" s="637" t="s">
        <v>3011</v>
      </c>
      <c r="D463" s="1387">
        <v>42</v>
      </c>
      <c r="E463" s="161" t="s">
        <v>2975</v>
      </c>
      <c r="F463" s="604"/>
      <c r="G463" s="60"/>
      <c r="H463" s="61"/>
      <c r="I463" s="609"/>
      <c r="J463" s="121"/>
      <c r="K463" s="121"/>
      <c r="L463" s="609"/>
      <c r="M463" s="62"/>
      <c r="N463" s="355"/>
      <c r="O463" s="604"/>
      <c r="P463" s="62"/>
      <c r="Q463" s="355"/>
      <c r="R463" s="604"/>
      <c r="S463" s="62"/>
      <c r="T463" s="355"/>
      <c r="U463" s="62"/>
      <c r="V463" s="62"/>
      <c r="W463" s="19"/>
      <c r="X463" s="20"/>
      <c r="Y463" s="50"/>
      <c r="Z463" s="50"/>
      <c r="AA463" s="31"/>
      <c r="AB463" s="395"/>
      <c r="AC463" s="443"/>
      <c r="AD463" s="16"/>
      <c r="AE463" s="16"/>
      <c r="AF463" s="170"/>
      <c r="AG463" s="86"/>
      <c r="AH463" s="272"/>
      <c r="AI463" s="50"/>
      <c r="AJ463" s="31"/>
      <c r="AK463" s="157"/>
      <c r="AL463" s="285"/>
      <c r="AM463" s="208"/>
      <c r="AN463" s="16"/>
      <c r="AO463" s="635"/>
      <c r="AP463" s="636"/>
      <c r="AQ463" s="640"/>
      <c r="AR463" s="158"/>
      <c r="AS463" s="641"/>
      <c r="AT463" s="399"/>
      <c r="AU463" s="618"/>
      <c r="AV463" s="16"/>
      <c r="AW463" s="16"/>
      <c r="AX463" s="170"/>
      <c r="AY463" s="86"/>
      <c r="AZ463" s="272"/>
      <c r="BA463" s="50"/>
      <c r="BB463" s="31"/>
      <c r="BC463" s="157"/>
      <c r="BD463" s="342"/>
      <c r="BE463" s="208"/>
      <c r="BF463" s="16"/>
      <c r="BG463" s="170"/>
      <c r="BH463" s="86"/>
      <c r="BI463" s="272"/>
      <c r="BJ463" s="50"/>
      <c r="BK463" s="31"/>
      <c r="BL463" s="157"/>
      <c r="BM463" s="342"/>
      <c r="BN463" s="208"/>
      <c r="BO463" s="16"/>
      <c r="BP463" s="635">
        <v>0</v>
      </c>
      <c r="BQ463" s="636">
        <v>0</v>
      </c>
      <c r="BR463" s="50">
        <v>1990</v>
      </c>
      <c r="BS463" s="31"/>
      <c r="BT463" s="33"/>
      <c r="BU463" s="43">
        <v>-1</v>
      </c>
      <c r="BV463" s="209">
        <f t="shared" si="301"/>
        <v>-1</v>
      </c>
      <c r="BW463" s="141"/>
      <c r="BX463" s="311"/>
      <c r="BY463" s="137"/>
    </row>
    <row r="464" spans="1:77" ht="15" customHeight="1" x14ac:dyDescent="0.2">
      <c r="A464" s="55" t="s">
        <v>25</v>
      </c>
      <c r="B464" s="107" t="s">
        <v>477</v>
      </c>
      <c r="C464" s="637" t="s">
        <v>3012</v>
      </c>
      <c r="D464" s="1387">
        <v>55</v>
      </c>
      <c r="E464" s="161" t="s">
        <v>2975</v>
      </c>
      <c r="F464" s="604"/>
      <c r="G464" s="60"/>
      <c r="H464" s="61"/>
      <c r="I464" s="609"/>
      <c r="J464" s="121"/>
      <c r="K464" s="121"/>
      <c r="L464" s="609"/>
      <c r="M464" s="62"/>
      <c r="N464" s="355"/>
      <c r="O464" s="604"/>
      <c r="P464" s="62"/>
      <c r="Q464" s="355"/>
      <c r="R464" s="604"/>
      <c r="S464" s="62"/>
      <c r="T464" s="355"/>
      <c r="U464" s="62"/>
      <c r="V464" s="62"/>
      <c r="W464" s="19"/>
      <c r="X464" s="20"/>
      <c r="Y464" s="50"/>
      <c r="Z464" s="50"/>
      <c r="AA464" s="31"/>
      <c r="AB464" s="395"/>
      <c r="AC464" s="443"/>
      <c r="AD464" s="16"/>
      <c r="AE464" s="16"/>
      <c r="AF464" s="170"/>
      <c r="AG464" s="86"/>
      <c r="AH464" s="272"/>
      <c r="AI464" s="50"/>
      <c r="AJ464" s="31"/>
      <c r="AK464" s="157"/>
      <c r="AL464" s="285"/>
      <c r="AM464" s="208"/>
      <c r="AN464" s="16"/>
      <c r="AO464" s="635"/>
      <c r="AP464" s="636"/>
      <c r="AQ464" s="640"/>
      <c r="AR464" s="158"/>
      <c r="AS464" s="641"/>
      <c r="AT464" s="399"/>
      <c r="AU464" s="618"/>
      <c r="AV464" s="16"/>
      <c r="AW464" s="16"/>
      <c r="AX464" s="170"/>
      <c r="AY464" s="86"/>
      <c r="AZ464" s="272"/>
      <c r="BA464" s="50"/>
      <c r="BB464" s="31"/>
      <c r="BC464" s="157"/>
      <c r="BD464" s="342"/>
      <c r="BE464" s="208"/>
      <c r="BF464" s="16"/>
      <c r="BG464" s="170"/>
      <c r="BH464" s="86"/>
      <c r="BI464" s="272"/>
      <c r="BJ464" s="50"/>
      <c r="BK464" s="31"/>
      <c r="BL464" s="157"/>
      <c r="BM464" s="342"/>
      <c r="BN464" s="208"/>
      <c r="BO464" s="16"/>
      <c r="BP464" s="635">
        <v>0</v>
      </c>
      <c r="BQ464" s="636">
        <v>0</v>
      </c>
      <c r="BR464" s="50">
        <v>1990</v>
      </c>
      <c r="BS464" s="31"/>
      <c r="BT464" s="33"/>
      <c r="BU464" s="43">
        <v>-1</v>
      </c>
      <c r="BV464" s="209">
        <f t="shared" si="301"/>
        <v>-1</v>
      </c>
      <c r="BW464" s="141"/>
      <c r="BX464" s="311"/>
      <c r="BY464" s="137"/>
    </row>
    <row r="465" spans="1:77" ht="15" customHeight="1" x14ac:dyDescent="0.2">
      <c r="A465" s="55" t="s">
        <v>25</v>
      </c>
      <c r="B465" s="107" t="s">
        <v>477</v>
      </c>
      <c r="C465" s="637" t="s">
        <v>3013</v>
      </c>
      <c r="D465" s="1387">
        <v>100</v>
      </c>
      <c r="E465" s="161" t="s">
        <v>2975</v>
      </c>
      <c r="F465" s="604"/>
      <c r="G465" s="60"/>
      <c r="H465" s="61"/>
      <c r="I465" s="609"/>
      <c r="J465" s="121"/>
      <c r="K465" s="121"/>
      <c r="L465" s="609"/>
      <c r="M465" s="62"/>
      <c r="N465" s="355"/>
      <c r="O465" s="604"/>
      <c r="P465" s="62"/>
      <c r="Q465" s="355"/>
      <c r="R465" s="604"/>
      <c r="S465" s="62"/>
      <c r="T465" s="355"/>
      <c r="U465" s="62"/>
      <c r="V465" s="62"/>
      <c r="W465" s="19"/>
      <c r="X465" s="20"/>
      <c r="Y465" s="50"/>
      <c r="Z465" s="50"/>
      <c r="AA465" s="31"/>
      <c r="AB465" s="395"/>
      <c r="AC465" s="443"/>
      <c r="AD465" s="16"/>
      <c r="AE465" s="16"/>
      <c r="AF465" s="170"/>
      <c r="AG465" s="86"/>
      <c r="AH465" s="272"/>
      <c r="AI465" s="50"/>
      <c r="AJ465" s="31"/>
      <c r="AK465" s="157"/>
      <c r="AL465" s="285"/>
      <c r="AM465" s="208"/>
      <c r="AN465" s="16"/>
      <c r="AO465" s="635"/>
      <c r="AP465" s="636"/>
      <c r="AQ465" s="640"/>
      <c r="AR465" s="158"/>
      <c r="AS465" s="641"/>
      <c r="AT465" s="399"/>
      <c r="AU465" s="618"/>
      <c r="AV465" s="16"/>
      <c r="AW465" s="16"/>
      <c r="AX465" s="170"/>
      <c r="AY465" s="86"/>
      <c r="AZ465" s="272"/>
      <c r="BA465" s="50"/>
      <c r="BB465" s="31"/>
      <c r="BC465" s="157"/>
      <c r="BD465" s="342"/>
      <c r="BE465" s="208"/>
      <c r="BF465" s="16"/>
      <c r="BG465" s="170"/>
      <c r="BH465" s="86"/>
      <c r="BI465" s="272"/>
      <c r="BJ465" s="50"/>
      <c r="BK465" s="31"/>
      <c r="BL465" s="157"/>
      <c r="BM465" s="342"/>
      <c r="BN465" s="208"/>
      <c r="BO465" s="16"/>
      <c r="BP465" s="635">
        <v>0</v>
      </c>
      <c r="BQ465" s="636">
        <v>0</v>
      </c>
      <c r="BR465" s="50">
        <v>1990</v>
      </c>
      <c r="BS465" s="31"/>
      <c r="BT465" s="33"/>
      <c r="BU465" s="43">
        <v>-1</v>
      </c>
      <c r="BV465" s="209">
        <f t="shared" si="301"/>
        <v>-1</v>
      </c>
      <c r="BW465" s="141"/>
      <c r="BX465" s="311"/>
      <c r="BY465" s="137"/>
    </row>
    <row r="466" spans="1:77" ht="15" customHeight="1" x14ac:dyDescent="0.2">
      <c r="A466" s="55" t="s">
        <v>25</v>
      </c>
      <c r="B466" s="107" t="s">
        <v>477</v>
      </c>
      <c r="C466" s="637" t="s">
        <v>3014</v>
      </c>
      <c r="D466" s="1387">
        <v>54</v>
      </c>
      <c r="E466" s="161" t="s">
        <v>2975</v>
      </c>
      <c r="F466" s="604"/>
      <c r="G466" s="60"/>
      <c r="H466" s="61"/>
      <c r="I466" s="609"/>
      <c r="J466" s="121"/>
      <c r="K466" s="121"/>
      <c r="L466" s="609"/>
      <c r="M466" s="62"/>
      <c r="N466" s="355"/>
      <c r="O466" s="604"/>
      <c r="P466" s="62"/>
      <c r="Q466" s="355"/>
      <c r="R466" s="604"/>
      <c r="S466" s="62"/>
      <c r="T466" s="355"/>
      <c r="U466" s="62"/>
      <c r="V466" s="62"/>
      <c r="W466" s="19"/>
      <c r="X466" s="20"/>
      <c r="Y466" s="50"/>
      <c r="Z466" s="50"/>
      <c r="AA466" s="31"/>
      <c r="AB466" s="395"/>
      <c r="AC466" s="443"/>
      <c r="AD466" s="16"/>
      <c r="AE466" s="16"/>
      <c r="AF466" s="170"/>
      <c r="AG466" s="86"/>
      <c r="AH466" s="272"/>
      <c r="AI466" s="50"/>
      <c r="AJ466" s="31"/>
      <c r="AK466" s="157"/>
      <c r="AL466" s="285"/>
      <c r="AM466" s="208"/>
      <c r="AN466" s="16"/>
      <c r="AO466" s="635"/>
      <c r="AP466" s="636"/>
      <c r="AQ466" s="640"/>
      <c r="AR466" s="158"/>
      <c r="AS466" s="641"/>
      <c r="AT466" s="399"/>
      <c r="AU466" s="618"/>
      <c r="AV466" s="16"/>
      <c r="AW466" s="16"/>
      <c r="AX466" s="170"/>
      <c r="AY466" s="86"/>
      <c r="AZ466" s="272"/>
      <c r="BA466" s="50"/>
      <c r="BB466" s="31"/>
      <c r="BC466" s="157"/>
      <c r="BD466" s="342"/>
      <c r="BE466" s="208"/>
      <c r="BF466" s="16"/>
      <c r="BG466" s="170"/>
      <c r="BH466" s="86"/>
      <c r="BI466" s="272"/>
      <c r="BJ466" s="50"/>
      <c r="BK466" s="31"/>
      <c r="BL466" s="157"/>
      <c r="BM466" s="342"/>
      <c r="BN466" s="208"/>
      <c r="BO466" s="16"/>
      <c r="BP466" s="635">
        <v>0</v>
      </c>
      <c r="BQ466" s="636">
        <v>0</v>
      </c>
      <c r="BR466" s="50">
        <v>1990</v>
      </c>
      <c r="BS466" s="31"/>
      <c r="BT466" s="33"/>
      <c r="BU466" s="43">
        <v>-1</v>
      </c>
      <c r="BV466" s="209">
        <f t="shared" si="301"/>
        <v>-1</v>
      </c>
      <c r="BW466" s="141"/>
      <c r="BX466" s="311"/>
      <c r="BY466" s="137"/>
    </row>
    <row r="467" spans="1:77" ht="15" customHeight="1" x14ac:dyDescent="0.2">
      <c r="A467" s="55" t="s">
        <v>25</v>
      </c>
      <c r="B467" s="107" t="s">
        <v>477</v>
      </c>
      <c r="C467" s="637" t="s">
        <v>3015</v>
      </c>
      <c r="D467" s="1387">
        <v>42</v>
      </c>
      <c r="E467" s="161" t="s">
        <v>2975</v>
      </c>
      <c r="F467" s="604"/>
      <c r="G467" s="60"/>
      <c r="H467" s="61"/>
      <c r="I467" s="609"/>
      <c r="J467" s="121"/>
      <c r="K467" s="121"/>
      <c r="L467" s="609"/>
      <c r="M467" s="62"/>
      <c r="N467" s="355"/>
      <c r="O467" s="604"/>
      <c r="P467" s="62"/>
      <c r="Q467" s="355"/>
      <c r="R467" s="604"/>
      <c r="S467" s="62"/>
      <c r="T467" s="355"/>
      <c r="U467" s="62"/>
      <c r="V467" s="62"/>
      <c r="W467" s="19"/>
      <c r="X467" s="20"/>
      <c r="Y467" s="50"/>
      <c r="Z467" s="50"/>
      <c r="AA467" s="31"/>
      <c r="AB467" s="395"/>
      <c r="AC467" s="443"/>
      <c r="AD467" s="16"/>
      <c r="AE467" s="16"/>
      <c r="AF467" s="170"/>
      <c r="AG467" s="86"/>
      <c r="AH467" s="272"/>
      <c r="AI467" s="50"/>
      <c r="AJ467" s="31"/>
      <c r="AK467" s="157"/>
      <c r="AL467" s="285"/>
      <c r="AM467" s="208"/>
      <c r="AN467" s="16"/>
      <c r="AO467" s="635"/>
      <c r="AP467" s="636"/>
      <c r="AQ467" s="640"/>
      <c r="AR467" s="158"/>
      <c r="AS467" s="641"/>
      <c r="AT467" s="399"/>
      <c r="AU467" s="618"/>
      <c r="AV467" s="16"/>
      <c r="AW467" s="16"/>
      <c r="AX467" s="170"/>
      <c r="AY467" s="86"/>
      <c r="AZ467" s="272"/>
      <c r="BA467" s="50"/>
      <c r="BB467" s="31"/>
      <c r="BC467" s="157"/>
      <c r="BD467" s="342"/>
      <c r="BE467" s="208"/>
      <c r="BF467" s="16"/>
      <c r="BG467" s="170"/>
      <c r="BH467" s="86"/>
      <c r="BI467" s="272"/>
      <c r="BJ467" s="50"/>
      <c r="BK467" s="31"/>
      <c r="BL467" s="157"/>
      <c r="BM467" s="342"/>
      <c r="BN467" s="208"/>
      <c r="BO467" s="16"/>
      <c r="BP467" s="635">
        <v>0</v>
      </c>
      <c r="BQ467" s="636">
        <v>0</v>
      </c>
      <c r="BR467" s="50">
        <v>1990</v>
      </c>
      <c r="BS467" s="31"/>
      <c r="BT467" s="33"/>
      <c r="BU467" s="43">
        <v>-1</v>
      </c>
      <c r="BV467" s="209">
        <f t="shared" si="301"/>
        <v>-1</v>
      </c>
      <c r="BW467" s="141"/>
      <c r="BX467" s="311"/>
      <c r="BY467" s="137"/>
    </row>
    <row r="468" spans="1:77" ht="15" customHeight="1" x14ac:dyDescent="0.2">
      <c r="A468" s="55" t="s">
        <v>25</v>
      </c>
      <c r="B468" s="107" t="s">
        <v>477</v>
      </c>
      <c r="C468" s="637" t="s">
        <v>3016</v>
      </c>
      <c r="D468" s="1387">
        <v>49</v>
      </c>
      <c r="E468" s="161" t="s">
        <v>2975</v>
      </c>
      <c r="F468" s="604"/>
      <c r="G468" s="60"/>
      <c r="H468" s="61"/>
      <c r="I468" s="609"/>
      <c r="J468" s="121"/>
      <c r="K468" s="121"/>
      <c r="L468" s="609"/>
      <c r="M468" s="62"/>
      <c r="N468" s="355"/>
      <c r="O468" s="604"/>
      <c r="P468" s="62"/>
      <c r="Q468" s="355"/>
      <c r="R468" s="604"/>
      <c r="S468" s="62"/>
      <c r="T468" s="355"/>
      <c r="U468" s="62"/>
      <c r="V468" s="62"/>
      <c r="W468" s="19"/>
      <c r="X468" s="20"/>
      <c r="Y468" s="50"/>
      <c r="Z468" s="50"/>
      <c r="AA468" s="31"/>
      <c r="AB468" s="395"/>
      <c r="AC468" s="443"/>
      <c r="AD468" s="16"/>
      <c r="AE468" s="16"/>
      <c r="AF468" s="170"/>
      <c r="AG468" s="86"/>
      <c r="AH468" s="272"/>
      <c r="AI468" s="50"/>
      <c r="AJ468" s="31"/>
      <c r="AK468" s="157"/>
      <c r="AL468" s="285"/>
      <c r="AM468" s="208"/>
      <c r="AN468" s="16"/>
      <c r="AO468" s="635"/>
      <c r="AP468" s="636"/>
      <c r="AQ468" s="640"/>
      <c r="AR468" s="158"/>
      <c r="AS468" s="641"/>
      <c r="AT468" s="399"/>
      <c r="AU468" s="618"/>
      <c r="AV468" s="16"/>
      <c r="AW468" s="16"/>
      <c r="AX468" s="170"/>
      <c r="AY468" s="86"/>
      <c r="AZ468" s="272"/>
      <c r="BA468" s="50"/>
      <c r="BB468" s="31"/>
      <c r="BC468" s="157"/>
      <c r="BD468" s="342"/>
      <c r="BE468" s="208"/>
      <c r="BF468" s="16"/>
      <c r="BG468" s="170"/>
      <c r="BH468" s="86"/>
      <c r="BI468" s="272"/>
      <c r="BJ468" s="50"/>
      <c r="BK468" s="31"/>
      <c r="BL468" s="157"/>
      <c r="BM468" s="342"/>
      <c r="BN468" s="208"/>
      <c r="BO468" s="16"/>
      <c r="BP468" s="635">
        <v>0</v>
      </c>
      <c r="BQ468" s="636">
        <v>0</v>
      </c>
      <c r="BR468" s="50">
        <v>1990</v>
      </c>
      <c r="BS468" s="31"/>
      <c r="BT468" s="33"/>
      <c r="BU468" s="43">
        <v>-1</v>
      </c>
      <c r="BV468" s="209">
        <f t="shared" si="301"/>
        <v>-1</v>
      </c>
      <c r="BW468" s="141"/>
      <c r="BX468" s="311"/>
      <c r="BY468" s="137"/>
    </row>
    <row r="469" spans="1:77" ht="15" customHeight="1" x14ac:dyDescent="0.2">
      <c r="A469" s="55" t="s">
        <v>25</v>
      </c>
      <c r="B469" s="107" t="s">
        <v>477</v>
      </c>
      <c r="C469" s="637" t="s">
        <v>3017</v>
      </c>
      <c r="D469" s="1387">
        <v>51</v>
      </c>
      <c r="E469" s="161" t="s">
        <v>2975</v>
      </c>
      <c r="F469" s="604"/>
      <c r="G469" s="60"/>
      <c r="H469" s="61"/>
      <c r="I469" s="609"/>
      <c r="J469" s="121"/>
      <c r="K469" s="121"/>
      <c r="L469" s="609"/>
      <c r="M469" s="62"/>
      <c r="N469" s="355"/>
      <c r="O469" s="604"/>
      <c r="P469" s="62"/>
      <c r="Q469" s="355"/>
      <c r="R469" s="604"/>
      <c r="S469" s="62"/>
      <c r="T469" s="355"/>
      <c r="U469" s="62"/>
      <c r="V469" s="62"/>
      <c r="W469" s="19"/>
      <c r="X469" s="20"/>
      <c r="Y469" s="50"/>
      <c r="Z469" s="50"/>
      <c r="AA469" s="31"/>
      <c r="AB469" s="395"/>
      <c r="AC469" s="443"/>
      <c r="AD469" s="16"/>
      <c r="AE469" s="16"/>
      <c r="AF469" s="170"/>
      <c r="AG469" s="86"/>
      <c r="AH469" s="272"/>
      <c r="AI469" s="50"/>
      <c r="AJ469" s="31"/>
      <c r="AK469" s="157"/>
      <c r="AL469" s="285"/>
      <c r="AM469" s="208"/>
      <c r="AN469" s="16"/>
      <c r="AO469" s="635"/>
      <c r="AP469" s="636"/>
      <c r="AQ469" s="640"/>
      <c r="AR469" s="158"/>
      <c r="AS469" s="641"/>
      <c r="AT469" s="399"/>
      <c r="AU469" s="618"/>
      <c r="AV469" s="16"/>
      <c r="AW469" s="16"/>
      <c r="AX469" s="170"/>
      <c r="AY469" s="86"/>
      <c r="AZ469" s="272"/>
      <c r="BA469" s="50"/>
      <c r="BB469" s="31"/>
      <c r="BC469" s="157"/>
      <c r="BD469" s="342"/>
      <c r="BE469" s="208"/>
      <c r="BF469" s="16"/>
      <c r="BG469" s="170"/>
      <c r="BH469" s="86"/>
      <c r="BI469" s="272"/>
      <c r="BJ469" s="50"/>
      <c r="BK469" s="31"/>
      <c r="BL469" s="157"/>
      <c r="BM469" s="342"/>
      <c r="BN469" s="208"/>
      <c r="BO469" s="16"/>
      <c r="BP469" s="635">
        <v>0</v>
      </c>
      <c r="BQ469" s="636">
        <v>0</v>
      </c>
      <c r="BR469" s="50">
        <v>1990</v>
      </c>
      <c r="BS469" s="31"/>
      <c r="BT469" s="33"/>
      <c r="BU469" s="43">
        <v>-1</v>
      </c>
      <c r="BV469" s="209">
        <f t="shared" si="301"/>
        <v>-1</v>
      </c>
      <c r="BW469" s="141"/>
      <c r="BX469" s="311"/>
      <c r="BY469" s="137"/>
    </row>
    <row r="470" spans="1:77" ht="15" customHeight="1" x14ac:dyDescent="0.2">
      <c r="A470" s="55" t="s">
        <v>25</v>
      </c>
      <c r="B470" s="107" t="s">
        <v>477</v>
      </c>
      <c r="C470" s="637" t="s">
        <v>2998</v>
      </c>
      <c r="D470" s="1387">
        <v>32</v>
      </c>
      <c r="E470" s="161" t="s">
        <v>2975</v>
      </c>
      <c r="F470" s="604"/>
      <c r="G470" s="60"/>
      <c r="H470" s="61"/>
      <c r="I470" s="609"/>
      <c r="J470" s="121"/>
      <c r="K470" s="121"/>
      <c r="L470" s="609"/>
      <c r="M470" s="62"/>
      <c r="N470" s="355"/>
      <c r="O470" s="604"/>
      <c r="P470" s="62"/>
      <c r="Q470" s="355"/>
      <c r="R470" s="604"/>
      <c r="S470" s="62"/>
      <c r="T470" s="355"/>
      <c r="U470" s="62"/>
      <c r="V470" s="62"/>
      <c r="W470" s="19"/>
      <c r="X470" s="20"/>
      <c r="Y470" s="50"/>
      <c r="Z470" s="50"/>
      <c r="AA470" s="31"/>
      <c r="AB470" s="395"/>
      <c r="AC470" s="443"/>
      <c r="AD470" s="16"/>
      <c r="AE470" s="16"/>
      <c r="AF470" s="170"/>
      <c r="AG470" s="86"/>
      <c r="AH470" s="272"/>
      <c r="AI470" s="50"/>
      <c r="AJ470" s="31"/>
      <c r="AK470" s="157"/>
      <c r="AL470" s="285"/>
      <c r="AM470" s="208"/>
      <c r="AN470" s="16"/>
      <c r="AO470" s="635"/>
      <c r="AP470" s="636"/>
      <c r="AQ470" s="640"/>
      <c r="AR470" s="158"/>
      <c r="AS470" s="641"/>
      <c r="AT470" s="399"/>
      <c r="AU470" s="618"/>
      <c r="AV470" s="16"/>
      <c r="AW470" s="16"/>
      <c r="AX470" s="170"/>
      <c r="AY470" s="86"/>
      <c r="AZ470" s="272"/>
      <c r="BA470" s="50"/>
      <c r="BB470" s="31"/>
      <c r="BC470" s="157"/>
      <c r="BD470" s="342"/>
      <c r="BE470" s="208"/>
      <c r="BF470" s="16"/>
      <c r="BG470" s="170"/>
      <c r="BH470" s="86"/>
      <c r="BI470" s="272"/>
      <c r="BJ470" s="50"/>
      <c r="BK470" s="31"/>
      <c r="BL470" s="157"/>
      <c r="BM470" s="342"/>
      <c r="BN470" s="208"/>
      <c r="BO470" s="16"/>
      <c r="BP470" s="635">
        <v>0</v>
      </c>
      <c r="BQ470" s="636">
        <v>0</v>
      </c>
      <c r="BR470" s="50">
        <v>1990</v>
      </c>
      <c r="BS470" s="31"/>
      <c r="BT470" s="33"/>
      <c r="BU470" s="43">
        <v>-1</v>
      </c>
      <c r="BV470" s="209">
        <f t="shared" si="301"/>
        <v>-1</v>
      </c>
      <c r="BW470" s="141"/>
      <c r="BX470" s="311"/>
      <c r="BY470" s="137"/>
    </row>
    <row r="471" spans="1:77" ht="15" customHeight="1" x14ac:dyDescent="0.2">
      <c r="A471" s="55" t="s">
        <v>25</v>
      </c>
      <c r="B471" s="107" t="s">
        <v>477</v>
      </c>
      <c r="C471" s="637" t="s">
        <v>3018</v>
      </c>
      <c r="D471" s="1387">
        <v>20</v>
      </c>
      <c r="E471" s="161" t="s">
        <v>2975</v>
      </c>
      <c r="F471" s="604"/>
      <c r="G471" s="60"/>
      <c r="H471" s="61"/>
      <c r="I471" s="609"/>
      <c r="J471" s="121"/>
      <c r="K471" s="121"/>
      <c r="L471" s="609"/>
      <c r="M471" s="62"/>
      <c r="N471" s="355"/>
      <c r="O471" s="604"/>
      <c r="P471" s="62"/>
      <c r="Q471" s="355"/>
      <c r="R471" s="604"/>
      <c r="S471" s="62"/>
      <c r="T471" s="355"/>
      <c r="U471" s="62"/>
      <c r="V471" s="62"/>
      <c r="W471" s="19"/>
      <c r="X471" s="20"/>
      <c r="Y471" s="50"/>
      <c r="Z471" s="50"/>
      <c r="AA471" s="31"/>
      <c r="AB471" s="395"/>
      <c r="AC471" s="443"/>
      <c r="AD471" s="16"/>
      <c r="AE471" s="16"/>
      <c r="AF471" s="170"/>
      <c r="AG471" s="86"/>
      <c r="AH471" s="272"/>
      <c r="AI471" s="50"/>
      <c r="AJ471" s="31"/>
      <c r="AK471" s="157"/>
      <c r="AL471" s="285"/>
      <c r="AM471" s="208"/>
      <c r="AN471" s="16"/>
      <c r="AO471" s="635"/>
      <c r="AP471" s="636"/>
      <c r="AQ471" s="640"/>
      <c r="AR471" s="158"/>
      <c r="AS471" s="641"/>
      <c r="AT471" s="399"/>
      <c r="AU471" s="618"/>
      <c r="AV471" s="16"/>
      <c r="AW471" s="16"/>
      <c r="AX471" s="170"/>
      <c r="AY471" s="86"/>
      <c r="AZ471" s="272"/>
      <c r="BA471" s="50"/>
      <c r="BB471" s="31"/>
      <c r="BC471" s="157"/>
      <c r="BD471" s="342"/>
      <c r="BE471" s="208"/>
      <c r="BF471" s="16"/>
      <c r="BG471" s="170"/>
      <c r="BH471" s="86"/>
      <c r="BI471" s="272"/>
      <c r="BJ471" s="50"/>
      <c r="BK471" s="31"/>
      <c r="BL471" s="157"/>
      <c r="BM471" s="342"/>
      <c r="BN471" s="208"/>
      <c r="BO471" s="16"/>
      <c r="BP471" s="635">
        <v>0</v>
      </c>
      <c r="BQ471" s="636">
        <v>0</v>
      </c>
      <c r="BR471" s="50">
        <v>1990</v>
      </c>
      <c r="BS471" s="31"/>
      <c r="BT471" s="33"/>
      <c r="BU471" s="43">
        <v>-1</v>
      </c>
      <c r="BV471" s="209">
        <f t="shared" si="301"/>
        <v>-1</v>
      </c>
      <c r="BW471" s="141"/>
      <c r="BX471" s="311"/>
      <c r="BY471" s="137"/>
    </row>
    <row r="472" spans="1:77" ht="15" customHeight="1" x14ac:dyDescent="0.2">
      <c r="A472" s="55" t="s">
        <v>25</v>
      </c>
      <c r="B472" s="107" t="s">
        <v>477</v>
      </c>
      <c r="C472" s="637" t="s">
        <v>3019</v>
      </c>
      <c r="D472" s="1387">
        <v>38</v>
      </c>
      <c r="E472" s="161" t="s">
        <v>2975</v>
      </c>
      <c r="F472" s="604"/>
      <c r="G472" s="60"/>
      <c r="H472" s="61"/>
      <c r="I472" s="609"/>
      <c r="J472" s="121"/>
      <c r="K472" s="121"/>
      <c r="L472" s="609"/>
      <c r="M472" s="62"/>
      <c r="N472" s="355"/>
      <c r="O472" s="604"/>
      <c r="P472" s="62"/>
      <c r="Q472" s="355"/>
      <c r="R472" s="604"/>
      <c r="S472" s="62"/>
      <c r="T472" s="355"/>
      <c r="U472" s="62"/>
      <c r="V472" s="62"/>
      <c r="W472" s="19"/>
      <c r="X472" s="20"/>
      <c r="Y472" s="50"/>
      <c r="Z472" s="50"/>
      <c r="AA472" s="31"/>
      <c r="AB472" s="395"/>
      <c r="AC472" s="443"/>
      <c r="AD472" s="16"/>
      <c r="AE472" s="16"/>
      <c r="AF472" s="170"/>
      <c r="AG472" s="86"/>
      <c r="AH472" s="272"/>
      <c r="AI472" s="50"/>
      <c r="AJ472" s="31"/>
      <c r="AK472" s="157"/>
      <c r="AL472" s="285"/>
      <c r="AM472" s="208"/>
      <c r="AN472" s="16"/>
      <c r="AO472" s="635"/>
      <c r="AP472" s="636"/>
      <c r="AQ472" s="640"/>
      <c r="AR472" s="158"/>
      <c r="AS472" s="641"/>
      <c r="AT472" s="399"/>
      <c r="AU472" s="618"/>
      <c r="AV472" s="16"/>
      <c r="AW472" s="16"/>
      <c r="AX472" s="170"/>
      <c r="AY472" s="86"/>
      <c r="AZ472" s="272"/>
      <c r="BA472" s="50"/>
      <c r="BB472" s="31"/>
      <c r="BC472" s="157"/>
      <c r="BD472" s="342"/>
      <c r="BE472" s="208"/>
      <c r="BF472" s="16"/>
      <c r="BG472" s="170"/>
      <c r="BH472" s="86"/>
      <c r="BI472" s="272"/>
      <c r="BJ472" s="50"/>
      <c r="BK472" s="31"/>
      <c r="BL472" s="157"/>
      <c r="BM472" s="342"/>
      <c r="BN472" s="208"/>
      <c r="BO472" s="16"/>
      <c r="BP472" s="635">
        <v>0</v>
      </c>
      <c r="BQ472" s="636">
        <v>0</v>
      </c>
      <c r="BR472" s="50">
        <v>1990</v>
      </c>
      <c r="BS472" s="31"/>
      <c r="BT472" s="33"/>
      <c r="BU472" s="43">
        <v>-1</v>
      </c>
      <c r="BV472" s="209">
        <f t="shared" si="301"/>
        <v>-1</v>
      </c>
      <c r="BW472" s="141"/>
      <c r="BX472" s="311"/>
      <c r="BY472" s="137"/>
    </row>
    <row r="473" spans="1:77" ht="15" customHeight="1" x14ac:dyDescent="0.2">
      <c r="A473" s="55" t="s">
        <v>25</v>
      </c>
      <c r="B473" s="107" t="s">
        <v>477</v>
      </c>
      <c r="C473" s="637" t="s">
        <v>3020</v>
      </c>
      <c r="D473" s="1387">
        <v>8</v>
      </c>
      <c r="E473" s="161" t="s">
        <v>2975</v>
      </c>
      <c r="F473" s="604"/>
      <c r="G473" s="60"/>
      <c r="H473" s="61"/>
      <c r="I473" s="609"/>
      <c r="J473" s="121"/>
      <c r="K473" s="121"/>
      <c r="L473" s="609"/>
      <c r="M473" s="62"/>
      <c r="N473" s="355"/>
      <c r="O473" s="604"/>
      <c r="P473" s="62"/>
      <c r="Q473" s="355"/>
      <c r="R473" s="604"/>
      <c r="S473" s="62"/>
      <c r="T473" s="355"/>
      <c r="U473" s="62"/>
      <c r="V473" s="62"/>
      <c r="W473" s="19"/>
      <c r="X473" s="20"/>
      <c r="Y473" s="50"/>
      <c r="Z473" s="50"/>
      <c r="AA473" s="31"/>
      <c r="AB473" s="395"/>
      <c r="AC473" s="443"/>
      <c r="AD473" s="16"/>
      <c r="AE473" s="16"/>
      <c r="AF473" s="170"/>
      <c r="AG473" s="86"/>
      <c r="AH473" s="272"/>
      <c r="AI473" s="50"/>
      <c r="AJ473" s="31"/>
      <c r="AK473" s="157"/>
      <c r="AL473" s="285"/>
      <c r="AM473" s="208"/>
      <c r="AN473" s="16"/>
      <c r="AO473" s="635"/>
      <c r="AP473" s="636"/>
      <c r="AQ473" s="640"/>
      <c r="AR473" s="158"/>
      <c r="AS473" s="641"/>
      <c r="AT473" s="399"/>
      <c r="AU473" s="618"/>
      <c r="AV473" s="16"/>
      <c r="AW473" s="16"/>
      <c r="AX473" s="170"/>
      <c r="AY473" s="86"/>
      <c r="AZ473" s="272"/>
      <c r="BA473" s="50"/>
      <c r="BB473" s="31"/>
      <c r="BC473" s="157"/>
      <c r="BD473" s="342"/>
      <c r="BE473" s="208"/>
      <c r="BF473" s="16"/>
      <c r="BG473" s="170"/>
      <c r="BH473" s="86"/>
      <c r="BI473" s="272"/>
      <c r="BJ473" s="50"/>
      <c r="BK473" s="31"/>
      <c r="BL473" s="157"/>
      <c r="BM473" s="342"/>
      <c r="BN473" s="208"/>
      <c r="BO473" s="16"/>
      <c r="BP473" s="635">
        <v>0</v>
      </c>
      <c r="BQ473" s="636">
        <v>0</v>
      </c>
      <c r="BR473" s="50">
        <v>1990</v>
      </c>
      <c r="BS473" s="31"/>
      <c r="BT473" s="33"/>
      <c r="BU473" s="43">
        <v>-1</v>
      </c>
      <c r="BV473" s="209">
        <f t="shared" si="301"/>
        <v>-1</v>
      </c>
      <c r="BW473" s="141"/>
      <c r="BX473" s="311"/>
      <c r="BY473" s="137"/>
    </row>
    <row r="474" spans="1:77" ht="15" customHeight="1" x14ac:dyDescent="0.2">
      <c r="A474" s="55" t="s">
        <v>25</v>
      </c>
      <c r="B474" s="107" t="s">
        <v>477</v>
      </c>
      <c r="C474" s="637" t="s">
        <v>611</v>
      </c>
      <c r="D474" s="544">
        <v>841</v>
      </c>
      <c r="E474" s="161" t="s">
        <v>2974</v>
      </c>
      <c r="F474" s="604"/>
      <c r="G474" s="60"/>
      <c r="H474" s="61"/>
      <c r="I474" s="609">
        <v>2009</v>
      </c>
      <c r="J474" s="121"/>
      <c r="K474" s="121">
        <v>7.3339999999999996</v>
      </c>
      <c r="L474" s="609"/>
      <c r="M474" s="62"/>
      <c r="N474" s="355"/>
      <c r="O474" s="604"/>
      <c r="P474" s="62"/>
      <c r="Q474" s="355"/>
      <c r="R474" s="604"/>
      <c r="S474" s="62"/>
      <c r="T474" s="355"/>
      <c r="U474" s="62"/>
      <c r="V474" s="62"/>
      <c r="W474" s="19"/>
      <c r="X474" s="20"/>
      <c r="Y474" s="50"/>
      <c r="Z474" s="50"/>
      <c r="AA474" s="31"/>
      <c r="AB474" s="395"/>
      <c r="AC474" s="443"/>
      <c r="AD474" s="16"/>
      <c r="AE474" s="16"/>
      <c r="AF474" s="170"/>
      <c r="AG474" s="86"/>
      <c r="AH474" s="272"/>
      <c r="AI474" s="50"/>
      <c r="AJ474" s="31"/>
      <c r="AK474" s="157"/>
      <c r="AL474" s="285"/>
      <c r="AM474" s="208"/>
      <c r="AN474" s="16"/>
      <c r="AO474" s="635"/>
      <c r="AP474" s="636"/>
      <c r="AQ474" s="640"/>
      <c r="AR474" s="158"/>
      <c r="AS474" s="641"/>
      <c r="AT474" s="399"/>
      <c r="AU474" s="618"/>
      <c r="AV474" s="16"/>
      <c r="AW474" s="16"/>
      <c r="AX474" s="170"/>
      <c r="AY474" s="86"/>
      <c r="AZ474" s="272"/>
      <c r="BA474" s="50"/>
      <c r="BB474" s="31"/>
      <c r="BC474" s="157"/>
      <c r="BD474" s="342"/>
      <c r="BE474" s="208"/>
      <c r="BF474" s="16"/>
      <c r="BG474" s="170"/>
      <c r="BH474" s="86"/>
      <c r="BI474" s="272"/>
      <c r="BJ474" s="50"/>
      <c r="BK474" s="31"/>
      <c r="BL474" s="157"/>
      <c r="BM474" s="342"/>
      <c r="BN474" s="208"/>
      <c r="BO474" s="16"/>
      <c r="BP474" s="635">
        <v>0</v>
      </c>
      <c r="BQ474" s="636">
        <v>0</v>
      </c>
      <c r="BR474" s="50">
        <v>1990</v>
      </c>
      <c r="BS474" s="31"/>
      <c r="BT474" s="33"/>
      <c r="BU474" s="43">
        <v>-1</v>
      </c>
      <c r="BV474" s="209">
        <f t="shared" ref="BV474:BV475" si="302">BU474</f>
        <v>-1</v>
      </c>
      <c r="BW474" s="141"/>
      <c r="BX474" s="311"/>
      <c r="BY474" s="137"/>
    </row>
    <row r="475" spans="1:77" ht="15" customHeight="1" x14ac:dyDescent="0.2">
      <c r="A475" s="55" t="s">
        <v>25</v>
      </c>
      <c r="B475" s="107" t="s">
        <v>3021</v>
      </c>
      <c r="C475" s="637" t="s">
        <v>3022</v>
      </c>
      <c r="D475" s="1387">
        <v>75</v>
      </c>
      <c r="E475" s="161" t="s">
        <v>2975</v>
      </c>
      <c r="F475" s="604"/>
      <c r="G475" s="60"/>
      <c r="H475" s="61"/>
      <c r="I475" s="609"/>
      <c r="J475" s="121"/>
      <c r="K475" s="121"/>
      <c r="L475" s="609"/>
      <c r="M475" s="62"/>
      <c r="N475" s="355"/>
      <c r="O475" s="604"/>
      <c r="P475" s="62"/>
      <c r="Q475" s="355"/>
      <c r="R475" s="604"/>
      <c r="S475" s="62"/>
      <c r="T475" s="355"/>
      <c r="U475" s="62"/>
      <c r="V475" s="62"/>
      <c r="W475" s="19"/>
      <c r="X475" s="20"/>
      <c r="Y475" s="50"/>
      <c r="Z475" s="50"/>
      <c r="AA475" s="31"/>
      <c r="AB475" s="395"/>
      <c r="AC475" s="443"/>
      <c r="AD475" s="16"/>
      <c r="AE475" s="16"/>
      <c r="AF475" s="170"/>
      <c r="AG475" s="86"/>
      <c r="AH475" s="272"/>
      <c r="AI475" s="50"/>
      <c r="AJ475" s="31"/>
      <c r="AK475" s="157"/>
      <c r="AL475" s="285"/>
      <c r="AM475" s="208"/>
      <c r="AN475" s="16"/>
      <c r="AO475" s="635"/>
      <c r="AP475" s="636"/>
      <c r="AQ475" s="640"/>
      <c r="AR475" s="158"/>
      <c r="AS475" s="641"/>
      <c r="AT475" s="399"/>
      <c r="AU475" s="618"/>
      <c r="AV475" s="16"/>
      <c r="AW475" s="16"/>
      <c r="AX475" s="170"/>
      <c r="AY475" s="86"/>
      <c r="AZ475" s="272"/>
      <c r="BA475" s="50"/>
      <c r="BB475" s="31"/>
      <c r="BC475" s="157"/>
      <c r="BD475" s="342"/>
      <c r="BE475" s="208"/>
      <c r="BF475" s="16"/>
      <c r="BG475" s="170"/>
      <c r="BH475" s="86"/>
      <c r="BI475" s="272"/>
      <c r="BJ475" s="50"/>
      <c r="BK475" s="31"/>
      <c r="BL475" s="157"/>
      <c r="BM475" s="342"/>
      <c r="BN475" s="208"/>
      <c r="BO475" s="16"/>
      <c r="BP475" s="635">
        <v>0</v>
      </c>
      <c r="BQ475" s="636">
        <v>0</v>
      </c>
      <c r="BR475" s="50">
        <v>1990</v>
      </c>
      <c r="BS475" s="31"/>
      <c r="BT475" s="33"/>
      <c r="BU475" s="43">
        <v>-1</v>
      </c>
      <c r="BV475" s="209">
        <f t="shared" si="302"/>
        <v>-1</v>
      </c>
      <c r="BW475" s="141"/>
      <c r="BX475" s="311"/>
      <c r="BY475" s="137"/>
    </row>
    <row r="476" spans="1:77" ht="15" customHeight="1" x14ac:dyDescent="0.2">
      <c r="A476" s="55" t="s">
        <v>25</v>
      </c>
      <c r="B476" s="107" t="s">
        <v>477</v>
      </c>
      <c r="C476" s="637" t="s">
        <v>3024</v>
      </c>
      <c r="D476" s="1387">
        <v>120</v>
      </c>
      <c r="E476" s="161" t="s">
        <v>2975</v>
      </c>
      <c r="F476" s="604"/>
      <c r="G476" s="60"/>
      <c r="H476" s="61"/>
      <c r="I476" s="609"/>
      <c r="J476" s="121"/>
      <c r="K476" s="121"/>
      <c r="L476" s="609"/>
      <c r="M476" s="62"/>
      <c r="N476" s="355"/>
      <c r="O476" s="604"/>
      <c r="P476" s="62"/>
      <c r="Q476" s="355"/>
      <c r="R476" s="604"/>
      <c r="S476" s="62"/>
      <c r="T476" s="355"/>
      <c r="U476" s="62"/>
      <c r="V476" s="62"/>
      <c r="W476" s="19"/>
      <c r="X476" s="20"/>
      <c r="Y476" s="50"/>
      <c r="Z476" s="50"/>
      <c r="AA476" s="31"/>
      <c r="AB476" s="395"/>
      <c r="AC476" s="443"/>
      <c r="AD476" s="16"/>
      <c r="AE476" s="16"/>
      <c r="AF476" s="170"/>
      <c r="AG476" s="86"/>
      <c r="AH476" s="272"/>
      <c r="AI476" s="50"/>
      <c r="AJ476" s="31"/>
      <c r="AK476" s="157"/>
      <c r="AL476" s="285"/>
      <c r="AM476" s="208"/>
      <c r="AN476" s="16"/>
      <c r="AO476" s="635"/>
      <c r="AP476" s="636"/>
      <c r="AQ476" s="640"/>
      <c r="AR476" s="158"/>
      <c r="AS476" s="641"/>
      <c r="AT476" s="399"/>
      <c r="AU476" s="618"/>
      <c r="AV476" s="16"/>
      <c r="AW476" s="16"/>
      <c r="AX476" s="170"/>
      <c r="AY476" s="86"/>
      <c r="AZ476" s="272"/>
      <c r="BA476" s="50"/>
      <c r="BB476" s="31"/>
      <c r="BC476" s="157"/>
      <c r="BD476" s="342"/>
      <c r="BE476" s="208"/>
      <c r="BF476" s="16"/>
      <c r="BG476" s="170"/>
      <c r="BH476" s="86"/>
      <c r="BI476" s="272"/>
      <c r="BJ476" s="50"/>
      <c r="BK476" s="31"/>
      <c r="BL476" s="157"/>
      <c r="BM476" s="342"/>
      <c r="BN476" s="208"/>
      <c r="BO476" s="16"/>
      <c r="BP476" s="635">
        <v>0</v>
      </c>
      <c r="BQ476" s="636">
        <v>0</v>
      </c>
      <c r="BR476" s="50">
        <v>1990</v>
      </c>
      <c r="BS476" s="31"/>
      <c r="BT476" s="33"/>
      <c r="BU476" s="43">
        <v>-1</v>
      </c>
      <c r="BV476" s="209">
        <f t="shared" si="301"/>
        <v>-1</v>
      </c>
      <c r="BW476" s="141"/>
      <c r="BX476" s="311"/>
      <c r="BY476" s="137"/>
    </row>
    <row r="477" spans="1:77" ht="15" customHeight="1" x14ac:dyDescent="0.2">
      <c r="A477" s="55" t="s">
        <v>25</v>
      </c>
      <c r="B477" s="107" t="s">
        <v>477</v>
      </c>
      <c r="C477" s="637" t="s">
        <v>3025</v>
      </c>
      <c r="D477" s="1387">
        <v>25</v>
      </c>
      <c r="E477" s="161" t="s">
        <v>2975</v>
      </c>
      <c r="F477" s="604"/>
      <c r="G477" s="60"/>
      <c r="H477" s="61"/>
      <c r="I477" s="609"/>
      <c r="J477" s="121"/>
      <c r="K477" s="121"/>
      <c r="L477" s="609"/>
      <c r="M477" s="62"/>
      <c r="N477" s="355"/>
      <c r="O477" s="604"/>
      <c r="P477" s="62"/>
      <c r="Q477" s="355"/>
      <c r="R477" s="604"/>
      <c r="S477" s="62"/>
      <c r="T477" s="355"/>
      <c r="U477" s="62"/>
      <c r="V477" s="62"/>
      <c r="W477" s="19"/>
      <c r="X477" s="20"/>
      <c r="Y477" s="50"/>
      <c r="Z477" s="50"/>
      <c r="AA477" s="31"/>
      <c r="AB477" s="395"/>
      <c r="AC477" s="443"/>
      <c r="AD477" s="16"/>
      <c r="AE477" s="16"/>
      <c r="AF477" s="170"/>
      <c r="AG477" s="86"/>
      <c r="AH477" s="272"/>
      <c r="AI477" s="50"/>
      <c r="AJ477" s="31"/>
      <c r="AK477" s="157"/>
      <c r="AL477" s="285"/>
      <c r="AM477" s="208"/>
      <c r="AN477" s="16"/>
      <c r="AO477" s="635"/>
      <c r="AP477" s="636"/>
      <c r="AQ477" s="640"/>
      <c r="AR477" s="158"/>
      <c r="AS477" s="641"/>
      <c r="AT477" s="399"/>
      <c r="AU477" s="618"/>
      <c r="AV477" s="16"/>
      <c r="AW477" s="16"/>
      <c r="AX477" s="170"/>
      <c r="AY477" s="86"/>
      <c r="AZ477" s="272"/>
      <c r="BA477" s="50"/>
      <c r="BB477" s="31"/>
      <c r="BC477" s="157"/>
      <c r="BD477" s="342"/>
      <c r="BE477" s="208"/>
      <c r="BF477" s="16"/>
      <c r="BG477" s="170"/>
      <c r="BH477" s="86"/>
      <c r="BI477" s="272"/>
      <c r="BJ477" s="50"/>
      <c r="BK477" s="31"/>
      <c r="BL477" s="157"/>
      <c r="BM477" s="342"/>
      <c r="BN477" s="208"/>
      <c r="BO477" s="16"/>
      <c r="BP477" s="635">
        <v>0</v>
      </c>
      <c r="BQ477" s="636">
        <v>0</v>
      </c>
      <c r="BR477" s="50">
        <v>1990</v>
      </c>
      <c r="BS477" s="31"/>
      <c r="BT477" s="33"/>
      <c r="BU477" s="43">
        <v>-1</v>
      </c>
      <c r="BV477" s="209">
        <f t="shared" ref="BV477:BV540" si="303">BU477</f>
        <v>-1</v>
      </c>
      <c r="BW477" s="141"/>
      <c r="BX477" s="311"/>
      <c r="BY477" s="137"/>
    </row>
    <row r="478" spans="1:77" ht="15" customHeight="1" x14ac:dyDescent="0.2">
      <c r="A478" s="55" t="s">
        <v>25</v>
      </c>
      <c r="B478" s="107" t="s">
        <v>477</v>
      </c>
      <c r="C478" s="637" t="s">
        <v>3023</v>
      </c>
      <c r="D478" s="1387">
        <v>24</v>
      </c>
      <c r="E478" s="161" t="s">
        <v>2975</v>
      </c>
      <c r="F478" s="604"/>
      <c r="G478" s="60"/>
      <c r="H478" s="61"/>
      <c r="I478" s="609"/>
      <c r="J478" s="121"/>
      <c r="K478" s="121"/>
      <c r="L478" s="609"/>
      <c r="M478" s="62"/>
      <c r="N478" s="355"/>
      <c r="O478" s="604"/>
      <c r="P478" s="62"/>
      <c r="Q478" s="355"/>
      <c r="R478" s="604"/>
      <c r="S478" s="62"/>
      <c r="T478" s="355"/>
      <c r="U478" s="62"/>
      <c r="V478" s="62"/>
      <c r="W478" s="19"/>
      <c r="X478" s="20"/>
      <c r="Y478" s="50"/>
      <c r="Z478" s="50"/>
      <c r="AA478" s="31"/>
      <c r="AB478" s="395"/>
      <c r="AC478" s="443"/>
      <c r="AD478" s="16"/>
      <c r="AE478" s="16"/>
      <c r="AF478" s="170"/>
      <c r="AG478" s="86"/>
      <c r="AH478" s="272"/>
      <c r="AI478" s="50"/>
      <c r="AJ478" s="31"/>
      <c r="AK478" s="157"/>
      <c r="AL478" s="285"/>
      <c r="AM478" s="208"/>
      <c r="AN478" s="16"/>
      <c r="AO478" s="635"/>
      <c r="AP478" s="636"/>
      <c r="AQ478" s="640"/>
      <c r="AR478" s="158"/>
      <c r="AS478" s="641"/>
      <c r="AT478" s="399"/>
      <c r="AU478" s="618"/>
      <c r="AV478" s="16"/>
      <c r="AW478" s="16"/>
      <c r="AX478" s="170"/>
      <c r="AY478" s="86"/>
      <c r="AZ478" s="272"/>
      <c r="BA478" s="50"/>
      <c r="BB478" s="31"/>
      <c r="BC478" s="157"/>
      <c r="BD478" s="342"/>
      <c r="BE478" s="208"/>
      <c r="BF478" s="16"/>
      <c r="BG478" s="170"/>
      <c r="BH478" s="86"/>
      <c r="BI478" s="272"/>
      <c r="BJ478" s="50"/>
      <c r="BK478" s="31"/>
      <c r="BL478" s="157"/>
      <c r="BM478" s="342"/>
      <c r="BN478" s="208"/>
      <c r="BO478" s="16"/>
      <c r="BP478" s="635">
        <v>0</v>
      </c>
      <c r="BQ478" s="636">
        <v>0</v>
      </c>
      <c r="BR478" s="50">
        <v>1990</v>
      </c>
      <c r="BS478" s="31"/>
      <c r="BT478" s="33"/>
      <c r="BU478" s="43">
        <v>-1</v>
      </c>
      <c r="BV478" s="209">
        <f t="shared" si="303"/>
        <v>-1</v>
      </c>
      <c r="BW478" s="141"/>
      <c r="BX478" s="311"/>
      <c r="BY478" s="137"/>
    </row>
    <row r="479" spans="1:77" ht="15" customHeight="1" x14ac:dyDescent="0.2">
      <c r="A479" s="55" t="s">
        <v>25</v>
      </c>
      <c r="B479" s="107" t="s">
        <v>477</v>
      </c>
      <c r="C479" s="637" t="s">
        <v>3026</v>
      </c>
      <c r="D479" s="1387">
        <v>17</v>
      </c>
      <c r="E479" s="161" t="s">
        <v>2975</v>
      </c>
      <c r="F479" s="604"/>
      <c r="G479" s="60"/>
      <c r="H479" s="61"/>
      <c r="I479" s="609"/>
      <c r="J479" s="121"/>
      <c r="K479" s="121"/>
      <c r="L479" s="609"/>
      <c r="M479" s="62"/>
      <c r="N479" s="355"/>
      <c r="O479" s="604"/>
      <c r="P479" s="62"/>
      <c r="Q479" s="355"/>
      <c r="R479" s="604"/>
      <c r="S479" s="62"/>
      <c r="T479" s="355"/>
      <c r="U479" s="62"/>
      <c r="V479" s="62"/>
      <c r="W479" s="19"/>
      <c r="X479" s="20"/>
      <c r="Y479" s="50"/>
      <c r="Z479" s="50"/>
      <c r="AA479" s="31"/>
      <c r="AB479" s="395"/>
      <c r="AC479" s="443"/>
      <c r="AD479" s="16"/>
      <c r="AE479" s="16"/>
      <c r="AF479" s="170"/>
      <c r="AG479" s="86"/>
      <c r="AH479" s="272"/>
      <c r="AI479" s="50"/>
      <c r="AJ479" s="31"/>
      <c r="AK479" s="157"/>
      <c r="AL479" s="285"/>
      <c r="AM479" s="208"/>
      <c r="AN479" s="16"/>
      <c r="AO479" s="635"/>
      <c r="AP479" s="636"/>
      <c r="AQ479" s="640"/>
      <c r="AR479" s="158"/>
      <c r="AS479" s="641"/>
      <c r="AT479" s="399"/>
      <c r="AU479" s="618"/>
      <c r="AV479" s="16"/>
      <c r="AW479" s="16"/>
      <c r="AX479" s="170"/>
      <c r="AY479" s="86"/>
      <c r="AZ479" s="272"/>
      <c r="BA479" s="50"/>
      <c r="BB479" s="31"/>
      <c r="BC479" s="157"/>
      <c r="BD479" s="342"/>
      <c r="BE479" s="208"/>
      <c r="BF479" s="16"/>
      <c r="BG479" s="170"/>
      <c r="BH479" s="86"/>
      <c r="BI479" s="272"/>
      <c r="BJ479" s="50"/>
      <c r="BK479" s="31"/>
      <c r="BL479" s="157"/>
      <c r="BM479" s="342"/>
      <c r="BN479" s="208"/>
      <c r="BO479" s="16"/>
      <c r="BP479" s="635">
        <v>0</v>
      </c>
      <c r="BQ479" s="636">
        <v>0</v>
      </c>
      <c r="BR479" s="50">
        <v>1990</v>
      </c>
      <c r="BS479" s="31"/>
      <c r="BT479" s="33"/>
      <c r="BU479" s="43">
        <v>-1</v>
      </c>
      <c r="BV479" s="209">
        <f t="shared" si="303"/>
        <v>-1</v>
      </c>
      <c r="BW479" s="141"/>
      <c r="BX479" s="311"/>
      <c r="BY479" s="137"/>
    </row>
    <row r="480" spans="1:77" ht="15" customHeight="1" x14ac:dyDescent="0.2">
      <c r="A480" s="55" t="s">
        <v>25</v>
      </c>
      <c r="B480" s="107" t="s">
        <v>2734</v>
      </c>
      <c r="C480" s="637" t="s">
        <v>3027</v>
      </c>
      <c r="D480" s="1387">
        <v>220</v>
      </c>
      <c r="E480" s="161" t="s">
        <v>2975</v>
      </c>
      <c r="F480" s="604"/>
      <c r="G480" s="60"/>
      <c r="H480" s="61"/>
      <c r="I480" s="609"/>
      <c r="J480" s="121"/>
      <c r="K480" s="121"/>
      <c r="L480" s="609"/>
      <c r="M480" s="62"/>
      <c r="N480" s="355"/>
      <c r="O480" s="604"/>
      <c r="P480" s="62"/>
      <c r="Q480" s="355"/>
      <c r="R480" s="604"/>
      <c r="S480" s="62"/>
      <c r="T480" s="355"/>
      <c r="U480" s="62"/>
      <c r="V480" s="62"/>
      <c r="W480" s="19"/>
      <c r="X480" s="20"/>
      <c r="Y480" s="50"/>
      <c r="Z480" s="50"/>
      <c r="AA480" s="31"/>
      <c r="AB480" s="395"/>
      <c r="AC480" s="443"/>
      <c r="AD480" s="16"/>
      <c r="AE480" s="16"/>
      <c r="AF480" s="170"/>
      <c r="AG480" s="86"/>
      <c r="AH480" s="272"/>
      <c r="AI480" s="50"/>
      <c r="AJ480" s="31"/>
      <c r="AK480" s="157"/>
      <c r="AL480" s="285"/>
      <c r="AM480" s="208"/>
      <c r="AN480" s="16"/>
      <c r="AO480" s="635"/>
      <c r="AP480" s="636"/>
      <c r="AQ480" s="640"/>
      <c r="AR480" s="158"/>
      <c r="AS480" s="641"/>
      <c r="AT480" s="399"/>
      <c r="AU480" s="618"/>
      <c r="AV480" s="16"/>
      <c r="AW480" s="16"/>
      <c r="AX480" s="170"/>
      <c r="AY480" s="86"/>
      <c r="AZ480" s="272"/>
      <c r="BA480" s="50"/>
      <c r="BB480" s="31"/>
      <c r="BC480" s="157"/>
      <c r="BD480" s="342"/>
      <c r="BE480" s="208"/>
      <c r="BF480" s="16"/>
      <c r="BG480" s="170"/>
      <c r="BH480" s="86"/>
      <c r="BI480" s="272"/>
      <c r="BJ480" s="50"/>
      <c r="BK480" s="31"/>
      <c r="BL480" s="157"/>
      <c r="BM480" s="342"/>
      <c r="BN480" s="208"/>
      <c r="BO480" s="16"/>
      <c r="BP480" s="635">
        <v>0</v>
      </c>
      <c r="BQ480" s="636">
        <v>0</v>
      </c>
      <c r="BR480" s="50">
        <v>1990</v>
      </c>
      <c r="BS480" s="31"/>
      <c r="BT480" s="33"/>
      <c r="BU480" s="43">
        <v>-1</v>
      </c>
      <c r="BV480" s="209">
        <f t="shared" si="303"/>
        <v>-1</v>
      </c>
      <c r="BW480" s="141"/>
      <c r="BX480" s="311"/>
      <c r="BY480" s="137"/>
    </row>
    <row r="481" spans="1:77" ht="15" customHeight="1" x14ac:dyDescent="0.2">
      <c r="A481" s="55" t="s">
        <v>25</v>
      </c>
      <c r="B481" s="107" t="s">
        <v>477</v>
      </c>
      <c r="C481" s="637" t="s">
        <v>3028</v>
      </c>
      <c r="D481" s="1387">
        <v>66</v>
      </c>
      <c r="E481" s="161" t="s">
        <v>2975</v>
      </c>
      <c r="F481" s="604"/>
      <c r="G481" s="60"/>
      <c r="H481" s="61"/>
      <c r="I481" s="609"/>
      <c r="J481" s="121"/>
      <c r="K481" s="121"/>
      <c r="L481" s="609"/>
      <c r="M481" s="62"/>
      <c r="N481" s="355"/>
      <c r="O481" s="604"/>
      <c r="P481" s="62"/>
      <c r="Q481" s="355"/>
      <c r="R481" s="604"/>
      <c r="S481" s="62"/>
      <c r="T481" s="355"/>
      <c r="U481" s="62"/>
      <c r="V481" s="62"/>
      <c r="W481" s="19"/>
      <c r="X481" s="20"/>
      <c r="Y481" s="50"/>
      <c r="Z481" s="50"/>
      <c r="AA481" s="31"/>
      <c r="AB481" s="395"/>
      <c r="AC481" s="443"/>
      <c r="AD481" s="16"/>
      <c r="AE481" s="16"/>
      <c r="AF481" s="170"/>
      <c r="AG481" s="86"/>
      <c r="AH481" s="272"/>
      <c r="AI481" s="50"/>
      <c r="AJ481" s="31"/>
      <c r="AK481" s="157"/>
      <c r="AL481" s="285"/>
      <c r="AM481" s="208"/>
      <c r="AN481" s="16"/>
      <c r="AO481" s="635"/>
      <c r="AP481" s="636"/>
      <c r="AQ481" s="640"/>
      <c r="AR481" s="158"/>
      <c r="AS481" s="641"/>
      <c r="AT481" s="399"/>
      <c r="AU481" s="618"/>
      <c r="AV481" s="16"/>
      <c r="AW481" s="16"/>
      <c r="AX481" s="170"/>
      <c r="AY481" s="86"/>
      <c r="AZ481" s="272"/>
      <c r="BA481" s="50"/>
      <c r="BB481" s="31"/>
      <c r="BC481" s="157"/>
      <c r="BD481" s="342"/>
      <c r="BE481" s="208"/>
      <c r="BF481" s="16"/>
      <c r="BG481" s="170"/>
      <c r="BH481" s="86"/>
      <c r="BI481" s="272"/>
      <c r="BJ481" s="50"/>
      <c r="BK481" s="31"/>
      <c r="BL481" s="157"/>
      <c r="BM481" s="342"/>
      <c r="BN481" s="208"/>
      <c r="BO481" s="16"/>
      <c r="BP481" s="635">
        <v>0</v>
      </c>
      <c r="BQ481" s="636">
        <v>0</v>
      </c>
      <c r="BR481" s="50">
        <v>1990</v>
      </c>
      <c r="BS481" s="31"/>
      <c r="BT481" s="33"/>
      <c r="BU481" s="43">
        <v>-1</v>
      </c>
      <c r="BV481" s="209">
        <f t="shared" si="303"/>
        <v>-1</v>
      </c>
      <c r="BW481" s="141"/>
      <c r="BX481" s="311"/>
      <c r="BY481" s="137"/>
    </row>
    <row r="482" spans="1:77" ht="15" customHeight="1" x14ac:dyDescent="0.2">
      <c r="A482" s="55" t="s">
        <v>25</v>
      </c>
      <c r="B482" s="107" t="s">
        <v>477</v>
      </c>
      <c r="C482" s="637" t="s">
        <v>3029</v>
      </c>
      <c r="D482" s="1387">
        <v>2</v>
      </c>
      <c r="E482" s="161" t="s">
        <v>2975</v>
      </c>
      <c r="F482" s="604"/>
      <c r="G482" s="60"/>
      <c r="H482" s="61"/>
      <c r="I482" s="609"/>
      <c r="J482" s="121"/>
      <c r="K482" s="121"/>
      <c r="L482" s="609"/>
      <c r="M482" s="62"/>
      <c r="N482" s="355"/>
      <c r="O482" s="604"/>
      <c r="P482" s="62"/>
      <c r="Q482" s="355"/>
      <c r="R482" s="604"/>
      <c r="S482" s="62"/>
      <c r="T482" s="355"/>
      <c r="U482" s="62"/>
      <c r="V482" s="62"/>
      <c r="W482" s="19"/>
      <c r="X482" s="20"/>
      <c r="Y482" s="50"/>
      <c r="Z482" s="50"/>
      <c r="AA482" s="31"/>
      <c r="AB482" s="395"/>
      <c r="AC482" s="443"/>
      <c r="AD482" s="16"/>
      <c r="AE482" s="16"/>
      <c r="AF482" s="170"/>
      <c r="AG482" s="86"/>
      <c r="AH482" s="272"/>
      <c r="AI482" s="50"/>
      <c r="AJ482" s="31"/>
      <c r="AK482" s="157"/>
      <c r="AL482" s="285"/>
      <c r="AM482" s="208"/>
      <c r="AN482" s="16"/>
      <c r="AO482" s="635"/>
      <c r="AP482" s="636"/>
      <c r="AQ482" s="640"/>
      <c r="AR482" s="158"/>
      <c r="AS482" s="641"/>
      <c r="AT482" s="399"/>
      <c r="AU482" s="618"/>
      <c r="AV482" s="16"/>
      <c r="AW482" s="16"/>
      <c r="AX482" s="170"/>
      <c r="AY482" s="86"/>
      <c r="AZ482" s="272"/>
      <c r="BA482" s="50"/>
      <c r="BB482" s="31"/>
      <c r="BC482" s="157"/>
      <c r="BD482" s="342"/>
      <c r="BE482" s="208"/>
      <c r="BF482" s="16"/>
      <c r="BG482" s="170"/>
      <c r="BH482" s="86"/>
      <c r="BI482" s="272"/>
      <c r="BJ482" s="50"/>
      <c r="BK482" s="31"/>
      <c r="BL482" s="157"/>
      <c r="BM482" s="342"/>
      <c r="BN482" s="208"/>
      <c r="BO482" s="16"/>
      <c r="BP482" s="635">
        <v>0</v>
      </c>
      <c r="BQ482" s="636">
        <v>0</v>
      </c>
      <c r="BR482" s="50">
        <v>1990</v>
      </c>
      <c r="BS482" s="31"/>
      <c r="BT482" s="33"/>
      <c r="BU482" s="43">
        <v>-1</v>
      </c>
      <c r="BV482" s="209">
        <f t="shared" si="303"/>
        <v>-1</v>
      </c>
      <c r="BW482" s="141"/>
      <c r="BX482" s="311"/>
      <c r="BY482" s="137"/>
    </row>
    <row r="483" spans="1:77" ht="15" customHeight="1" x14ac:dyDescent="0.2">
      <c r="A483" s="55" t="s">
        <v>25</v>
      </c>
      <c r="B483" s="107" t="s">
        <v>477</v>
      </c>
      <c r="C483" s="637" t="s">
        <v>3030</v>
      </c>
      <c r="D483" s="1387">
        <v>17</v>
      </c>
      <c r="E483" s="161" t="s">
        <v>2975</v>
      </c>
      <c r="F483" s="604"/>
      <c r="G483" s="60"/>
      <c r="H483" s="61"/>
      <c r="I483" s="609"/>
      <c r="J483" s="121"/>
      <c r="K483" s="121"/>
      <c r="L483" s="609"/>
      <c r="M483" s="62"/>
      <c r="N483" s="355"/>
      <c r="O483" s="604"/>
      <c r="P483" s="62"/>
      <c r="Q483" s="355"/>
      <c r="R483" s="604"/>
      <c r="S483" s="62"/>
      <c r="T483" s="355"/>
      <c r="U483" s="62"/>
      <c r="V483" s="62"/>
      <c r="W483" s="19"/>
      <c r="X483" s="20"/>
      <c r="Y483" s="50"/>
      <c r="Z483" s="50"/>
      <c r="AA483" s="31"/>
      <c r="AB483" s="395"/>
      <c r="AC483" s="443"/>
      <c r="AD483" s="16"/>
      <c r="AE483" s="16"/>
      <c r="AF483" s="170"/>
      <c r="AG483" s="86"/>
      <c r="AH483" s="272"/>
      <c r="AI483" s="50"/>
      <c r="AJ483" s="31"/>
      <c r="AK483" s="157"/>
      <c r="AL483" s="285"/>
      <c r="AM483" s="208"/>
      <c r="AN483" s="16"/>
      <c r="AO483" s="635"/>
      <c r="AP483" s="636"/>
      <c r="AQ483" s="640"/>
      <c r="AR483" s="158"/>
      <c r="AS483" s="641"/>
      <c r="AT483" s="399"/>
      <c r="AU483" s="618"/>
      <c r="AV483" s="16"/>
      <c r="AW483" s="16"/>
      <c r="AX483" s="170"/>
      <c r="AY483" s="86"/>
      <c r="AZ483" s="272"/>
      <c r="BA483" s="50"/>
      <c r="BB483" s="31"/>
      <c r="BC483" s="157"/>
      <c r="BD483" s="342"/>
      <c r="BE483" s="208"/>
      <c r="BF483" s="16"/>
      <c r="BG483" s="170"/>
      <c r="BH483" s="86"/>
      <c r="BI483" s="272"/>
      <c r="BJ483" s="50"/>
      <c r="BK483" s="31"/>
      <c r="BL483" s="157"/>
      <c r="BM483" s="342"/>
      <c r="BN483" s="208"/>
      <c r="BO483" s="16"/>
      <c r="BP483" s="635">
        <v>0</v>
      </c>
      <c r="BQ483" s="636">
        <v>0</v>
      </c>
      <c r="BR483" s="50">
        <v>1990</v>
      </c>
      <c r="BS483" s="31"/>
      <c r="BT483" s="33"/>
      <c r="BU483" s="43">
        <v>-1</v>
      </c>
      <c r="BV483" s="209">
        <f t="shared" si="303"/>
        <v>-1</v>
      </c>
      <c r="BW483" s="141"/>
      <c r="BX483" s="311"/>
      <c r="BY483" s="137"/>
    </row>
    <row r="484" spans="1:77" ht="15" customHeight="1" x14ac:dyDescent="0.2">
      <c r="A484" s="55" t="s">
        <v>25</v>
      </c>
      <c r="B484" s="107" t="s">
        <v>477</v>
      </c>
      <c r="C484" s="637" t="s">
        <v>3031</v>
      </c>
      <c r="D484" s="1387">
        <v>40</v>
      </c>
      <c r="E484" s="161" t="s">
        <v>2975</v>
      </c>
      <c r="F484" s="604"/>
      <c r="G484" s="60"/>
      <c r="H484" s="61"/>
      <c r="I484" s="609"/>
      <c r="J484" s="121"/>
      <c r="K484" s="121"/>
      <c r="L484" s="609"/>
      <c r="M484" s="62"/>
      <c r="N484" s="355"/>
      <c r="O484" s="604"/>
      <c r="P484" s="62"/>
      <c r="Q484" s="355"/>
      <c r="R484" s="604"/>
      <c r="S484" s="62"/>
      <c r="T484" s="355"/>
      <c r="U484" s="62"/>
      <c r="V484" s="62"/>
      <c r="W484" s="19"/>
      <c r="X484" s="20"/>
      <c r="Y484" s="50"/>
      <c r="Z484" s="50"/>
      <c r="AA484" s="31"/>
      <c r="AB484" s="395"/>
      <c r="AC484" s="443"/>
      <c r="AD484" s="16"/>
      <c r="AE484" s="16"/>
      <c r="AF484" s="170"/>
      <c r="AG484" s="86"/>
      <c r="AH484" s="272"/>
      <c r="AI484" s="50"/>
      <c r="AJ484" s="31"/>
      <c r="AK484" s="157"/>
      <c r="AL484" s="285"/>
      <c r="AM484" s="208"/>
      <c r="AN484" s="16"/>
      <c r="AO484" s="635"/>
      <c r="AP484" s="636"/>
      <c r="AQ484" s="640"/>
      <c r="AR484" s="158"/>
      <c r="AS484" s="641"/>
      <c r="AT484" s="399"/>
      <c r="AU484" s="618"/>
      <c r="AV484" s="16"/>
      <c r="AW484" s="16"/>
      <c r="AX484" s="170"/>
      <c r="AY484" s="86"/>
      <c r="AZ484" s="272"/>
      <c r="BA484" s="50"/>
      <c r="BB484" s="31"/>
      <c r="BC484" s="157"/>
      <c r="BD484" s="342"/>
      <c r="BE484" s="208"/>
      <c r="BF484" s="16"/>
      <c r="BG484" s="170"/>
      <c r="BH484" s="86"/>
      <c r="BI484" s="272"/>
      <c r="BJ484" s="50"/>
      <c r="BK484" s="31"/>
      <c r="BL484" s="157"/>
      <c r="BM484" s="342"/>
      <c r="BN484" s="208"/>
      <c r="BO484" s="16"/>
      <c r="BP484" s="635">
        <v>0</v>
      </c>
      <c r="BQ484" s="636">
        <v>0</v>
      </c>
      <c r="BR484" s="50">
        <v>1990</v>
      </c>
      <c r="BS484" s="31"/>
      <c r="BT484" s="33"/>
      <c r="BU484" s="43">
        <v>-1</v>
      </c>
      <c r="BV484" s="209">
        <f t="shared" si="303"/>
        <v>-1</v>
      </c>
      <c r="BW484" s="141"/>
      <c r="BX484" s="311"/>
      <c r="BY484" s="137"/>
    </row>
    <row r="485" spans="1:77" ht="15" customHeight="1" x14ac:dyDescent="0.2">
      <c r="A485" s="55" t="s">
        <v>25</v>
      </c>
      <c r="B485" s="637" t="s">
        <v>610</v>
      </c>
      <c r="C485" s="637" t="s">
        <v>610</v>
      </c>
      <c r="D485" s="544">
        <v>1260</v>
      </c>
      <c r="E485" s="161" t="s">
        <v>2974</v>
      </c>
      <c r="F485" s="604"/>
      <c r="G485" s="60"/>
      <c r="H485" s="61"/>
      <c r="I485" s="609"/>
      <c r="J485" s="121"/>
      <c r="K485" s="121"/>
      <c r="L485" s="609">
        <v>2011</v>
      </c>
      <c r="M485" s="62"/>
      <c r="N485" s="355">
        <v>5.3959999999999999</v>
      </c>
      <c r="O485" s="604"/>
      <c r="P485" s="62"/>
      <c r="Q485" s="355"/>
      <c r="R485" s="604"/>
      <c r="S485" s="62"/>
      <c r="T485" s="355"/>
      <c r="U485" s="62"/>
      <c r="V485" s="62"/>
      <c r="W485" s="19"/>
      <c r="X485" s="20"/>
      <c r="Y485" s="50"/>
      <c r="Z485" s="50"/>
      <c r="AA485" s="31"/>
      <c r="AB485" s="395"/>
      <c r="AC485" s="443"/>
      <c r="AD485" s="16"/>
      <c r="AE485" s="16"/>
      <c r="AF485" s="170"/>
      <c r="AG485" s="86"/>
      <c r="AH485" s="272"/>
      <c r="AI485" s="50"/>
      <c r="AJ485" s="31"/>
      <c r="AK485" s="157"/>
      <c r="AL485" s="285"/>
      <c r="AM485" s="208"/>
      <c r="AN485" s="16"/>
      <c r="AO485" s="635"/>
      <c r="AP485" s="636"/>
      <c r="AQ485" s="640"/>
      <c r="AR485" s="158"/>
      <c r="AS485" s="641"/>
      <c r="AT485" s="399"/>
      <c r="AU485" s="618"/>
      <c r="AV485" s="16"/>
      <c r="AW485" s="16"/>
      <c r="AX485" s="170"/>
      <c r="AY485" s="86"/>
      <c r="AZ485" s="272"/>
      <c r="BA485" s="50"/>
      <c r="BB485" s="31"/>
      <c r="BC485" s="157"/>
      <c r="BD485" s="342"/>
      <c r="BE485" s="208"/>
      <c r="BF485" s="16"/>
      <c r="BG485" s="170"/>
      <c r="BH485" s="86"/>
      <c r="BI485" s="272"/>
      <c r="BJ485" s="50"/>
      <c r="BK485" s="31"/>
      <c r="BL485" s="157"/>
      <c r="BM485" s="342"/>
      <c r="BN485" s="208"/>
      <c r="BO485" s="16"/>
      <c r="BP485" s="635">
        <v>0</v>
      </c>
      <c r="BQ485" s="636">
        <v>0</v>
      </c>
      <c r="BR485" s="50">
        <v>1990</v>
      </c>
      <c r="BS485" s="31"/>
      <c r="BT485" s="33"/>
      <c r="BU485" s="43">
        <v>-1</v>
      </c>
      <c r="BV485" s="209">
        <f t="shared" si="303"/>
        <v>-1</v>
      </c>
      <c r="BW485" s="141"/>
      <c r="BX485" s="311"/>
      <c r="BY485" s="137"/>
    </row>
    <row r="486" spans="1:77" ht="15" customHeight="1" x14ac:dyDescent="0.2">
      <c r="A486" s="55" t="s">
        <v>25</v>
      </c>
      <c r="B486" s="107" t="s">
        <v>477</v>
      </c>
      <c r="C486" s="637" t="s">
        <v>3032</v>
      </c>
      <c r="D486" s="1387">
        <v>64</v>
      </c>
      <c r="E486" s="161" t="s">
        <v>2975</v>
      </c>
      <c r="F486" s="604"/>
      <c r="G486" s="60"/>
      <c r="H486" s="61"/>
      <c r="I486" s="609"/>
      <c r="J486" s="121"/>
      <c r="K486" s="121"/>
      <c r="L486" s="609"/>
      <c r="M486" s="62"/>
      <c r="N486" s="355"/>
      <c r="O486" s="604"/>
      <c r="P486" s="62"/>
      <c r="Q486" s="355"/>
      <c r="R486" s="604"/>
      <c r="S486" s="62"/>
      <c r="T486" s="355"/>
      <c r="U486" s="62"/>
      <c r="V486" s="62"/>
      <c r="W486" s="19"/>
      <c r="X486" s="20"/>
      <c r="Y486" s="50"/>
      <c r="Z486" s="50"/>
      <c r="AA486" s="31"/>
      <c r="AB486" s="395"/>
      <c r="AC486" s="443"/>
      <c r="AD486" s="16"/>
      <c r="AE486" s="16"/>
      <c r="AF486" s="170"/>
      <c r="AG486" s="86"/>
      <c r="AH486" s="272"/>
      <c r="AI486" s="50"/>
      <c r="AJ486" s="31"/>
      <c r="AK486" s="157"/>
      <c r="AL486" s="285"/>
      <c r="AM486" s="208"/>
      <c r="AN486" s="16"/>
      <c r="AO486" s="635"/>
      <c r="AP486" s="636"/>
      <c r="AQ486" s="640"/>
      <c r="AR486" s="158"/>
      <c r="AS486" s="641"/>
      <c r="AT486" s="399"/>
      <c r="AU486" s="618"/>
      <c r="AV486" s="16"/>
      <c r="AW486" s="16"/>
      <c r="AX486" s="170"/>
      <c r="AY486" s="86"/>
      <c r="AZ486" s="272"/>
      <c r="BA486" s="50"/>
      <c r="BB486" s="31"/>
      <c r="BC486" s="157"/>
      <c r="BD486" s="342"/>
      <c r="BE486" s="208"/>
      <c r="BF486" s="16"/>
      <c r="BG486" s="170"/>
      <c r="BH486" s="86"/>
      <c r="BI486" s="272"/>
      <c r="BJ486" s="50"/>
      <c r="BK486" s="31"/>
      <c r="BL486" s="157"/>
      <c r="BM486" s="342"/>
      <c r="BN486" s="208"/>
      <c r="BO486" s="16"/>
      <c r="BP486" s="635">
        <v>0</v>
      </c>
      <c r="BQ486" s="636">
        <v>0</v>
      </c>
      <c r="BR486" s="50">
        <v>1990</v>
      </c>
      <c r="BS486" s="31"/>
      <c r="BT486" s="33"/>
      <c r="BU486" s="43">
        <v>-1</v>
      </c>
      <c r="BV486" s="209">
        <f t="shared" si="303"/>
        <v>-1</v>
      </c>
      <c r="BW486" s="141"/>
      <c r="BX486" s="311"/>
      <c r="BY486" s="137"/>
    </row>
    <row r="487" spans="1:77" ht="15" customHeight="1" x14ac:dyDescent="0.2">
      <c r="A487" s="55" t="s">
        <v>25</v>
      </c>
      <c r="B487" s="107" t="s">
        <v>477</v>
      </c>
      <c r="C487" s="637" t="s">
        <v>3033</v>
      </c>
      <c r="D487" s="1387">
        <v>340</v>
      </c>
      <c r="E487" s="161" t="s">
        <v>2975</v>
      </c>
      <c r="F487" s="604"/>
      <c r="G487" s="60"/>
      <c r="H487" s="61"/>
      <c r="I487" s="609"/>
      <c r="J487" s="121"/>
      <c r="K487" s="121"/>
      <c r="L487" s="609"/>
      <c r="M487" s="62"/>
      <c r="N487" s="355"/>
      <c r="O487" s="604"/>
      <c r="P487" s="62"/>
      <c r="Q487" s="355"/>
      <c r="R487" s="604"/>
      <c r="S487" s="62"/>
      <c r="T487" s="355"/>
      <c r="U487" s="62"/>
      <c r="V487" s="62"/>
      <c r="W487" s="19"/>
      <c r="X487" s="20"/>
      <c r="Y487" s="50"/>
      <c r="Z487" s="50"/>
      <c r="AA487" s="31"/>
      <c r="AB487" s="395"/>
      <c r="AC487" s="443"/>
      <c r="AD487" s="16"/>
      <c r="AE487" s="16"/>
      <c r="AF487" s="170"/>
      <c r="AG487" s="86"/>
      <c r="AH487" s="272"/>
      <c r="AI487" s="50"/>
      <c r="AJ487" s="31"/>
      <c r="AK487" s="157"/>
      <c r="AL487" s="285"/>
      <c r="AM487" s="208"/>
      <c r="AN487" s="16"/>
      <c r="AO487" s="635"/>
      <c r="AP487" s="636"/>
      <c r="AQ487" s="640"/>
      <c r="AR487" s="158"/>
      <c r="AS487" s="641"/>
      <c r="AT487" s="399"/>
      <c r="AU487" s="618"/>
      <c r="AV487" s="16"/>
      <c r="AW487" s="16"/>
      <c r="AX487" s="170"/>
      <c r="AY487" s="86"/>
      <c r="AZ487" s="272"/>
      <c r="BA487" s="50"/>
      <c r="BB487" s="31"/>
      <c r="BC487" s="157"/>
      <c r="BD487" s="342"/>
      <c r="BE487" s="208"/>
      <c r="BF487" s="16"/>
      <c r="BG487" s="170"/>
      <c r="BH487" s="86"/>
      <c r="BI487" s="272"/>
      <c r="BJ487" s="50"/>
      <c r="BK487" s="31"/>
      <c r="BL487" s="157"/>
      <c r="BM487" s="342"/>
      <c r="BN487" s="208"/>
      <c r="BO487" s="16"/>
      <c r="BP487" s="635">
        <v>0</v>
      </c>
      <c r="BQ487" s="636">
        <v>0</v>
      </c>
      <c r="BR487" s="50">
        <v>1990</v>
      </c>
      <c r="BS487" s="31"/>
      <c r="BT487" s="33"/>
      <c r="BU487" s="43">
        <v>-1</v>
      </c>
      <c r="BV487" s="209">
        <f t="shared" si="303"/>
        <v>-1</v>
      </c>
      <c r="BW487" s="141"/>
      <c r="BX487" s="311"/>
      <c r="BY487" s="137"/>
    </row>
    <row r="488" spans="1:77" ht="15" customHeight="1" x14ac:dyDescent="0.2">
      <c r="A488" s="55" t="s">
        <v>25</v>
      </c>
      <c r="B488" s="107" t="s">
        <v>3034</v>
      </c>
      <c r="C488" s="637" t="s">
        <v>3034</v>
      </c>
      <c r="D488" s="1387">
        <v>970</v>
      </c>
      <c r="E488" s="161" t="s">
        <v>2975</v>
      </c>
      <c r="F488" s="604"/>
      <c r="G488" s="60"/>
      <c r="H488" s="61"/>
      <c r="I488" s="609"/>
      <c r="J488" s="121"/>
      <c r="K488" s="121"/>
      <c r="L488" s="609"/>
      <c r="M488" s="62"/>
      <c r="N488" s="355"/>
      <c r="O488" s="604"/>
      <c r="P488" s="62"/>
      <c r="Q488" s="355"/>
      <c r="R488" s="604"/>
      <c r="S488" s="62"/>
      <c r="T488" s="355"/>
      <c r="U488" s="62"/>
      <c r="V488" s="62"/>
      <c r="W488" s="19"/>
      <c r="X488" s="20"/>
      <c r="Y488" s="50"/>
      <c r="Z488" s="50"/>
      <c r="AA488" s="31"/>
      <c r="AB488" s="395"/>
      <c r="AC488" s="443"/>
      <c r="AD488" s="16"/>
      <c r="AE488" s="16"/>
      <c r="AF488" s="170"/>
      <c r="AG488" s="86"/>
      <c r="AH488" s="272"/>
      <c r="AI488" s="50"/>
      <c r="AJ488" s="31"/>
      <c r="AK488" s="157"/>
      <c r="AL488" s="285"/>
      <c r="AM488" s="208"/>
      <c r="AN488" s="16"/>
      <c r="AO488" s="635"/>
      <c r="AP488" s="636"/>
      <c r="AQ488" s="640"/>
      <c r="AR488" s="158"/>
      <c r="AS488" s="641"/>
      <c r="AT488" s="399"/>
      <c r="AU488" s="618"/>
      <c r="AV488" s="16"/>
      <c r="AW488" s="16"/>
      <c r="AX488" s="170"/>
      <c r="AY488" s="86"/>
      <c r="AZ488" s="272"/>
      <c r="BA488" s="50"/>
      <c r="BB488" s="31"/>
      <c r="BC488" s="157"/>
      <c r="BD488" s="342"/>
      <c r="BE488" s="208"/>
      <c r="BF488" s="16"/>
      <c r="BG488" s="170"/>
      <c r="BH488" s="86"/>
      <c r="BI488" s="272"/>
      <c r="BJ488" s="50"/>
      <c r="BK488" s="31"/>
      <c r="BL488" s="157"/>
      <c r="BM488" s="342"/>
      <c r="BN488" s="208"/>
      <c r="BO488" s="16"/>
      <c r="BP488" s="635">
        <v>0</v>
      </c>
      <c r="BQ488" s="636">
        <v>0</v>
      </c>
      <c r="BR488" s="50">
        <v>1990</v>
      </c>
      <c r="BS488" s="31"/>
      <c r="BT488" s="33"/>
      <c r="BU488" s="43">
        <v>-1</v>
      </c>
      <c r="BV488" s="209">
        <f t="shared" si="303"/>
        <v>-1</v>
      </c>
      <c r="BW488" s="141"/>
      <c r="BX488" s="311"/>
      <c r="BY488" s="137"/>
    </row>
    <row r="489" spans="1:77" ht="15" customHeight="1" x14ac:dyDescent="0.2">
      <c r="A489" s="55" t="s">
        <v>25</v>
      </c>
      <c r="B489" s="107" t="s">
        <v>477</v>
      </c>
      <c r="C489" s="637" t="s">
        <v>2986</v>
      </c>
      <c r="D489" s="1387">
        <v>152</v>
      </c>
      <c r="E489" s="161" t="s">
        <v>2975</v>
      </c>
      <c r="F489" s="604"/>
      <c r="G489" s="60"/>
      <c r="H489" s="61"/>
      <c r="I489" s="609"/>
      <c r="J489" s="121"/>
      <c r="K489" s="121"/>
      <c r="L489" s="609"/>
      <c r="M489" s="62"/>
      <c r="N489" s="355"/>
      <c r="O489" s="604"/>
      <c r="P489" s="62"/>
      <c r="Q489" s="355"/>
      <c r="R489" s="604"/>
      <c r="S489" s="62"/>
      <c r="T489" s="355"/>
      <c r="U489" s="62"/>
      <c r="V489" s="62"/>
      <c r="W489" s="19"/>
      <c r="X489" s="20"/>
      <c r="Y489" s="50"/>
      <c r="Z489" s="50"/>
      <c r="AA489" s="31"/>
      <c r="AB489" s="395"/>
      <c r="AC489" s="443"/>
      <c r="AD489" s="16"/>
      <c r="AE489" s="16"/>
      <c r="AF489" s="170"/>
      <c r="AG489" s="86"/>
      <c r="AH489" s="272"/>
      <c r="AI489" s="50"/>
      <c r="AJ489" s="31"/>
      <c r="AK489" s="157"/>
      <c r="AL489" s="285"/>
      <c r="AM489" s="208"/>
      <c r="AN489" s="16"/>
      <c r="AO489" s="635"/>
      <c r="AP489" s="636"/>
      <c r="AQ489" s="640"/>
      <c r="AR489" s="158"/>
      <c r="AS489" s="641"/>
      <c r="AT489" s="399"/>
      <c r="AU489" s="618"/>
      <c r="AV489" s="16"/>
      <c r="AW489" s="16"/>
      <c r="AX489" s="170"/>
      <c r="AY489" s="86"/>
      <c r="AZ489" s="272"/>
      <c r="BA489" s="50"/>
      <c r="BB489" s="31"/>
      <c r="BC489" s="157"/>
      <c r="BD489" s="342"/>
      <c r="BE489" s="208"/>
      <c r="BF489" s="16"/>
      <c r="BG489" s="170"/>
      <c r="BH489" s="86"/>
      <c r="BI489" s="272"/>
      <c r="BJ489" s="50"/>
      <c r="BK489" s="31"/>
      <c r="BL489" s="157"/>
      <c r="BM489" s="342"/>
      <c r="BN489" s="208"/>
      <c r="BO489" s="16"/>
      <c r="BP489" s="635">
        <v>0</v>
      </c>
      <c r="BQ489" s="636">
        <v>0</v>
      </c>
      <c r="BR489" s="50">
        <v>1990</v>
      </c>
      <c r="BS489" s="31"/>
      <c r="BT489" s="33"/>
      <c r="BU489" s="43">
        <v>-1</v>
      </c>
      <c r="BV489" s="209">
        <f t="shared" si="303"/>
        <v>-1</v>
      </c>
      <c r="BW489" s="141"/>
      <c r="BX489" s="311"/>
      <c r="BY489" s="137"/>
    </row>
    <row r="490" spans="1:77" ht="15" customHeight="1" x14ac:dyDescent="0.2">
      <c r="A490" s="55" t="s">
        <v>25</v>
      </c>
      <c r="B490" s="107" t="s">
        <v>477</v>
      </c>
      <c r="C490" s="637" t="s">
        <v>3035</v>
      </c>
      <c r="D490" s="1387">
        <v>130</v>
      </c>
      <c r="E490" s="161" t="s">
        <v>2975</v>
      </c>
      <c r="F490" s="604"/>
      <c r="G490" s="60"/>
      <c r="H490" s="61"/>
      <c r="I490" s="609"/>
      <c r="J490" s="121"/>
      <c r="K490" s="121"/>
      <c r="L490" s="609"/>
      <c r="M490" s="62"/>
      <c r="N490" s="355"/>
      <c r="O490" s="604"/>
      <c r="P490" s="62"/>
      <c r="Q490" s="355"/>
      <c r="R490" s="604"/>
      <c r="S490" s="62"/>
      <c r="T490" s="355"/>
      <c r="U490" s="62"/>
      <c r="V490" s="62"/>
      <c r="W490" s="19"/>
      <c r="X490" s="20"/>
      <c r="Y490" s="50"/>
      <c r="Z490" s="50"/>
      <c r="AA490" s="31"/>
      <c r="AB490" s="395"/>
      <c r="AC490" s="443"/>
      <c r="AD490" s="16"/>
      <c r="AE490" s="16"/>
      <c r="AF490" s="170"/>
      <c r="AG490" s="86"/>
      <c r="AH490" s="272"/>
      <c r="AI490" s="50"/>
      <c r="AJ490" s="31"/>
      <c r="AK490" s="157"/>
      <c r="AL490" s="285"/>
      <c r="AM490" s="208"/>
      <c r="AN490" s="16"/>
      <c r="AO490" s="635"/>
      <c r="AP490" s="636"/>
      <c r="AQ490" s="640"/>
      <c r="AR490" s="158"/>
      <c r="AS490" s="641"/>
      <c r="AT490" s="399"/>
      <c r="AU490" s="618"/>
      <c r="AV490" s="16"/>
      <c r="AW490" s="16"/>
      <c r="AX490" s="170"/>
      <c r="AY490" s="86"/>
      <c r="AZ490" s="272"/>
      <c r="BA490" s="50"/>
      <c r="BB490" s="31"/>
      <c r="BC490" s="157"/>
      <c r="BD490" s="342"/>
      <c r="BE490" s="208"/>
      <c r="BF490" s="16"/>
      <c r="BG490" s="170"/>
      <c r="BH490" s="86"/>
      <c r="BI490" s="272"/>
      <c r="BJ490" s="50"/>
      <c r="BK490" s="31"/>
      <c r="BL490" s="157"/>
      <c r="BM490" s="342"/>
      <c r="BN490" s="208"/>
      <c r="BO490" s="16"/>
      <c r="BP490" s="635">
        <v>0</v>
      </c>
      <c r="BQ490" s="636">
        <v>0</v>
      </c>
      <c r="BR490" s="50">
        <v>1990</v>
      </c>
      <c r="BS490" s="31"/>
      <c r="BT490" s="33"/>
      <c r="BU490" s="43">
        <v>-1</v>
      </c>
      <c r="BV490" s="209">
        <f t="shared" si="303"/>
        <v>-1</v>
      </c>
      <c r="BW490" s="141"/>
      <c r="BX490" s="311"/>
      <c r="BY490" s="137"/>
    </row>
    <row r="491" spans="1:77" ht="15" customHeight="1" x14ac:dyDescent="0.2">
      <c r="A491" s="55" t="s">
        <v>25</v>
      </c>
      <c r="B491" s="107" t="s">
        <v>477</v>
      </c>
      <c r="C491" s="637" t="s">
        <v>3036</v>
      </c>
      <c r="D491" s="1387">
        <v>132</v>
      </c>
      <c r="E491" s="161" t="s">
        <v>2975</v>
      </c>
      <c r="F491" s="604"/>
      <c r="G491" s="60"/>
      <c r="H491" s="61"/>
      <c r="I491" s="609"/>
      <c r="J491" s="121"/>
      <c r="K491" s="121"/>
      <c r="L491" s="609"/>
      <c r="M491" s="62"/>
      <c r="N491" s="355"/>
      <c r="O491" s="604"/>
      <c r="P491" s="62"/>
      <c r="Q491" s="355"/>
      <c r="R491" s="604"/>
      <c r="S491" s="62"/>
      <c r="T491" s="355"/>
      <c r="U491" s="62"/>
      <c r="V491" s="62"/>
      <c r="W491" s="19"/>
      <c r="X491" s="20"/>
      <c r="Y491" s="50"/>
      <c r="Z491" s="50"/>
      <c r="AA491" s="31"/>
      <c r="AB491" s="395"/>
      <c r="AC491" s="443"/>
      <c r="AD491" s="16"/>
      <c r="AE491" s="16"/>
      <c r="AF491" s="170"/>
      <c r="AG491" s="86"/>
      <c r="AH491" s="272"/>
      <c r="AI491" s="50"/>
      <c r="AJ491" s="31"/>
      <c r="AK491" s="157"/>
      <c r="AL491" s="285"/>
      <c r="AM491" s="208"/>
      <c r="AN491" s="16"/>
      <c r="AO491" s="635"/>
      <c r="AP491" s="636"/>
      <c r="AQ491" s="640"/>
      <c r="AR491" s="158"/>
      <c r="AS491" s="641"/>
      <c r="AT491" s="399"/>
      <c r="AU491" s="618"/>
      <c r="AV491" s="16"/>
      <c r="AW491" s="16"/>
      <c r="AX491" s="170"/>
      <c r="AY491" s="86"/>
      <c r="AZ491" s="272"/>
      <c r="BA491" s="50"/>
      <c r="BB491" s="31"/>
      <c r="BC491" s="157"/>
      <c r="BD491" s="342"/>
      <c r="BE491" s="208"/>
      <c r="BF491" s="16"/>
      <c r="BG491" s="170"/>
      <c r="BH491" s="86"/>
      <c r="BI491" s="272"/>
      <c r="BJ491" s="50"/>
      <c r="BK491" s="31"/>
      <c r="BL491" s="157"/>
      <c r="BM491" s="342"/>
      <c r="BN491" s="208"/>
      <c r="BO491" s="16"/>
      <c r="BP491" s="635">
        <v>0</v>
      </c>
      <c r="BQ491" s="636">
        <v>0</v>
      </c>
      <c r="BR491" s="50">
        <v>1990</v>
      </c>
      <c r="BS491" s="31"/>
      <c r="BT491" s="33"/>
      <c r="BU491" s="43">
        <v>-1</v>
      </c>
      <c r="BV491" s="209">
        <f t="shared" si="303"/>
        <v>-1</v>
      </c>
      <c r="BW491" s="141"/>
      <c r="BX491" s="311"/>
      <c r="BY491" s="137"/>
    </row>
    <row r="492" spans="1:77" ht="15" customHeight="1" x14ac:dyDescent="0.2">
      <c r="A492" s="55" t="s">
        <v>25</v>
      </c>
      <c r="B492" s="107" t="s">
        <v>477</v>
      </c>
      <c r="C492" s="637" t="s">
        <v>3037</v>
      </c>
      <c r="D492" s="1387">
        <v>171</v>
      </c>
      <c r="E492" s="161" t="s">
        <v>2975</v>
      </c>
      <c r="F492" s="604"/>
      <c r="G492" s="60"/>
      <c r="H492" s="61"/>
      <c r="I492" s="609"/>
      <c r="J492" s="121"/>
      <c r="K492" s="121"/>
      <c r="L492" s="609"/>
      <c r="M492" s="62"/>
      <c r="N492" s="355"/>
      <c r="O492" s="604"/>
      <c r="P492" s="62"/>
      <c r="Q492" s="355"/>
      <c r="R492" s="604"/>
      <c r="S492" s="62"/>
      <c r="T492" s="355"/>
      <c r="U492" s="62"/>
      <c r="V492" s="62"/>
      <c r="W492" s="19"/>
      <c r="X492" s="20"/>
      <c r="Y492" s="50"/>
      <c r="Z492" s="50"/>
      <c r="AA492" s="31"/>
      <c r="AB492" s="395"/>
      <c r="AC492" s="443"/>
      <c r="AD492" s="16"/>
      <c r="AE492" s="16"/>
      <c r="AF492" s="170"/>
      <c r="AG492" s="86"/>
      <c r="AH492" s="272"/>
      <c r="AI492" s="50"/>
      <c r="AJ492" s="31"/>
      <c r="AK492" s="157"/>
      <c r="AL492" s="285"/>
      <c r="AM492" s="208"/>
      <c r="AN492" s="16"/>
      <c r="AO492" s="635"/>
      <c r="AP492" s="636"/>
      <c r="AQ492" s="640"/>
      <c r="AR492" s="158"/>
      <c r="AS492" s="641"/>
      <c r="AT492" s="399"/>
      <c r="AU492" s="618"/>
      <c r="AV492" s="16"/>
      <c r="AW492" s="16"/>
      <c r="AX492" s="170"/>
      <c r="AY492" s="86"/>
      <c r="AZ492" s="272"/>
      <c r="BA492" s="50"/>
      <c r="BB492" s="31"/>
      <c r="BC492" s="157"/>
      <c r="BD492" s="342"/>
      <c r="BE492" s="208"/>
      <c r="BF492" s="16"/>
      <c r="BG492" s="170"/>
      <c r="BH492" s="86"/>
      <c r="BI492" s="272"/>
      <c r="BJ492" s="50"/>
      <c r="BK492" s="31"/>
      <c r="BL492" s="157"/>
      <c r="BM492" s="342"/>
      <c r="BN492" s="208"/>
      <c r="BO492" s="16"/>
      <c r="BP492" s="635">
        <v>0</v>
      </c>
      <c r="BQ492" s="636">
        <v>0</v>
      </c>
      <c r="BR492" s="50">
        <v>1990</v>
      </c>
      <c r="BS492" s="31"/>
      <c r="BT492" s="33"/>
      <c r="BU492" s="43">
        <v>-1</v>
      </c>
      <c r="BV492" s="209">
        <f t="shared" si="303"/>
        <v>-1</v>
      </c>
      <c r="BW492" s="141"/>
      <c r="BX492" s="311"/>
      <c r="BY492" s="137"/>
    </row>
    <row r="493" spans="1:77" ht="15" customHeight="1" x14ac:dyDescent="0.2">
      <c r="A493" s="55" t="s">
        <v>25</v>
      </c>
      <c r="B493" s="107" t="s">
        <v>477</v>
      </c>
      <c r="C493" s="637" t="s">
        <v>3038</v>
      </c>
      <c r="D493" s="1387">
        <v>90</v>
      </c>
      <c r="E493" s="161" t="s">
        <v>2975</v>
      </c>
      <c r="F493" s="604"/>
      <c r="G493" s="60"/>
      <c r="H493" s="61"/>
      <c r="I493" s="609"/>
      <c r="J493" s="121"/>
      <c r="K493" s="121"/>
      <c r="L493" s="609"/>
      <c r="M493" s="62"/>
      <c r="N493" s="355"/>
      <c r="O493" s="604"/>
      <c r="P493" s="62"/>
      <c r="Q493" s="355"/>
      <c r="R493" s="604"/>
      <c r="S493" s="62"/>
      <c r="T493" s="355"/>
      <c r="U493" s="62"/>
      <c r="V493" s="62"/>
      <c r="W493" s="19"/>
      <c r="X493" s="20"/>
      <c r="Y493" s="50"/>
      <c r="Z493" s="50"/>
      <c r="AA493" s="31"/>
      <c r="AB493" s="395"/>
      <c r="AC493" s="443"/>
      <c r="AD493" s="16"/>
      <c r="AE493" s="16"/>
      <c r="AF493" s="170"/>
      <c r="AG493" s="86"/>
      <c r="AH493" s="272"/>
      <c r="AI493" s="50"/>
      <c r="AJ493" s="31"/>
      <c r="AK493" s="157"/>
      <c r="AL493" s="285"/>
      <c r="AM493" s="208"/>
      <c r="AN493" s="16"/>
      <c r="AO493" s="635"/>
      <c r="AP493" s="636"/>
      <c r="AQ493" s="640"/>
      <c r="AR493" s="158"/>
      <c r="AS493" s="641"/>
      <c r="AT493" s="399"/>
      <c r="AU493" s="618"/>
      <c r="AV493" s="16"/>
      <c r="AW493" s="16"/>
      <c r="AX493" s="170"/>
      <c r="AY493" s="86"/>
      <c r="AZ493" s="272"/>
      <c r="BA493" s="50"/>
      <c r="BB493" s="31"/>
      <c r="BC493" s="157"/>
      <c r="BD493" s="342"/>
      <c r="BE493" s="208"/>
      <c r="BF493" s="16"/>
      <c r="BG493" s="170"/>
      <c r="BH493" s="86"/>
      <c r="BI493" s="272"/>
      <c r="BJ493" s="50"/>
      <c r="BK493" s="31"/>
      <c r="BL493" s="157"/>
      <c r="BM493" s="342"/>
      <c r="BN493" s="208"/>
      <c r="BO493" s="16"/>
      <c r="BP493" s="635">
        <v>0</v>
      </c>
      <c r="BQ493" s="636">
        <v>0</v>
      </c>
      <c r="BR493" s="50">
        <v>1990</v>
      </c>
      <c r="BS493" s="31"/>
      <c r="BT493" s="33"/>
      <c r="BU493" s="43">
        <v>-1</v>
      </c>
      <c r="BV493" s="209">
        <f t="shared" si="303"/>
        <v>-1</v>
      </c>
      <c r="BW493" s="141"/>
      <c r="BX493" s="311"/>
      <c r="BY493" s="137"/>
    </row>
    <row r="494" spans="1:77" ht="15" customHeight="1" x14ac:dyDescent="0.2">
      <c r="A494" s="55" t="s">
        <v>25</v>
      </c>
      <c r="B494" s="107" t="s">
        <v>477</v>
      </c>
      <c r="C494" s="637" t="s">
        <v>3039</v>
      </c>
      <c r="D494" s="1387">
        <v>52</v>
      </c>
      <c r="E494" s="161" t="s">
        <v>2975</v>
      </c>
      <c r="F494" s="604"/>
      <c r="G494" s="60"/>
      <c r="H494" s="61"/>
      <c r="I494" s="609"/>
      <c r="J494" s="121"/>
      <c r="K494" s="121"/>
      <c r="L494" s="609"/>
      <c r="M494" s="62"/>
      <c r="N494" s="355"/>
      <c r="O494" s="604"/>
      <c r="P494" s="62"/>
      <c r="Q494" s="355"/>
      <c r="R494" s="604"/>
      <c r="S494" s="62"/>
      <c r="T494" s="355"/>
      <c r="U494" s="62"/>
      <c r="V494" s="62"/>
      <c r="W494" s="19"/>
      <c r="X494" s="20"/>
      <c r="Y494" s="50"/>
      <c r="Z494" s="50"/>
      <c r="AA494" s="31"/>
      <c r="AB494" s="395"/>
      <c r="AC494" s="443"/>
      <c r="AD494" s="16"/>
      <c r="AE494" s="16"/>
      <c r="AF494" s="170"/>
      <c r="AG494" s="86"/>
      <c r="AH494" s="272"/>
      <c r="AI494" s="50"/>
      <c r="AJ494" s="31"/>
      <c r="AK494" s="157"/>
      <c r="AL494" s="285"/>
      <c r="AM494" s="208"/>
      <c r="AN494" s="16"/>
      <c r="AO494" s="635"/>
      <c r="AP494" s="636"/>
      <c r="AQ494" s="640"/>
      <c r="AR494" s="158"/>
      <c r="AS494" s="641"/>
      <c r="AT494" s="399"/>
      <c r="AU494" s="618"/>
      <c r="AV494" s="16"/>
      <c r="AW494" s="16"/>
      <c r="AX494" s="170"/>
      <c r="AY494" s="86"/>
      <c r="AZ494" s="272"/>
      <c r="BA494" s="50"/>
      <c r="BB494" s="31"/>
      <c r="BC494" s="157"/>
      <c r="BD494" s="342"/>
      <c r="BE494" s="208"/>
      <c r="BF494" s="16"/>
      <c r="BG494" s="170"/>
      <c r="BH494" s="86"/>
      <c r="BI494" s="272"/>
      <c r="BJ494" s="50"/>
      <c r="BK494" s="31"/>
      <c r="BL494" s="157"/>
      <c r="BM494" s="342"/>
      <c r="BN494" s="208"/>
      <c r="BO494" s="16"/>
      <c r="BP494" s="635">
        <v>0</v>
      </c>
      <c r="BQ494" s="636">
        <v>0</v>
      </c>
      <c r="BR494" s="50">
        <v>1990</v>
      </c>
      <c r="BS494" s="31"/>
      <c r="BT494" s="33"/>
      <c r="BU494" s="43">
        <v>-1</v>
      </c>
      <c r="BV494" s="209">
        <f t="shared" si="303"/>
        <v>-1</v>
      </c>
      <c r="BW494" s="141"/>
      <c r="BX494" s="311"/>
      <c r="BY494" s="137"/>
    </row>
    <row r="495" spans="1:77" ht="15" customHeight="1" x14ac:dyDescent="0.2">
      <c r="A495" s="55" t="s">
        <v>25</v>
      </c>
      <c r="B495" s="107" t="s">
        <v>424</v>
      </c>
      <c r="C495" s="637" t="s">
        <v>424</v>
      </c>
      <c r="D495" s="544">
        <v>13951.636</v>
      </c>
      <c r="E495" s="161" t="s">
        <v>2105</v>
      </c>
      <c r="F495" s="604"/>
      <c r="G495" s="60"/>
      <c r="H495" s="61"/>
      <c r="I495" s="609">
        <v>2000</v>
      </c>
      <c r="J495" s="121"/>
      <c r="K495" s="121">
        <v>62.2</v>
      </c>
      <c r="L495" s="609">
        <v>2011</v>
      </c>
      <c r="M495" s="62"/>
      <c r="N495" s="355">
        <v>64.77</v>
      </c>
      <c r="O495" s="604">
        <v>2013</v>
      </c>
      <c r="P495" s="62"/>
      <c r="Q495" s="355">
        <v>70.733402999999996</v>
      </c>
      <c r="R495" s="604"/>
      <c r="S495" s="62"/>
      <c r="T495" s="355"/>
      <c r="U495" s="62"/>
      <c r="V495" s="62"/>
      <c r="W495" s="19">
        <f>AA495*(1+AC495)</f>
        <v>4.6650000000000004E-2</v>
      </c>
      <c r="X495" s="20">
        <f>AA495*(1+AC495)</f>
        <v>4.6650000000000004E-2</v>
      </c>
      <c r="Y495" s="50">
        <v>2000</v>
      </c>
      <c r="Z495" s="50"/>
      <c r="AA495" s="31">
        <f>K495/1000</f>
        <v>6.2200000000000005E-2</v>
      </c>
      <c r="AB495" s="395">
        <v>-0.25</v>
      </c>
      <c r="AC495" s="443">
        <f>AB495</f>
        <v>-0.25</v>
      </c>
      <c r="AD495" s="16"/>
      <c r="AE495" s="16"/>
      <c r="AF495" s="170"/>
      <c r="AG495" s="86"/>
      <c r="AH495" s="272"/>
      <c r="AI495" s="50"/>
      <c r="AJ495" s="31"/>
      <c r="AK495" s="157"/>
      <c r="AL495" s="285"/>
      <c r="AM495" s="208"/>
      <c r="AN495" s="16"/>
      <c r="AO495" s="409">
        <f>AS495*(1+AT495)</f>
        <v>3.1100000000000003E-2</v>
      </c>
      <c r="AP495" s="713">
        <f>AS495*(1+AU495)</f>
        <v>3.1100000000000003E-2</v>
      </c>
      <c r="AQ495" s="666">
        <v>2005</v>
      </c>
      <c r="AR495" s="158"/>
      <c r="AS495" s="714">
        <f>+K495/1000</f>
        <v>6.2200000000000005E-2</v>
      </c>
      <c r="AT495" s="399">
        <v>-0.5</v>
      </c>
      <c r="AU495" s="618">
        <f>AT495</f>
        <v>-0.5</v>
      </c>
      <c r="AV495" s="16"/>
      <c r="AW495" s="16"/>
      <c r="AX495" s="170"/>
      <c r="AY495" s="86"/>
      <c r="AZ495" s="272"/>
      <c r="BA495" s="50"/>
      <c r="BB495" s="31"/>
      <c r="BC495" s="157"/>
      <c r="BD495" s="342"/>
      <c r="BE495" s="208"/>
      <c r="BF495" s="16"/>
      <c r="BG495" s="170"/>
      <c r="BH495" s="86"/>
      <c r="BI495" s="272"/>
      <c r="BJ495" s="50"/>
      <c r="BK495" s="31"/>
      <c r="BL495" s="157"/>
      <c r="BM495" s="342"/>
      <c r="BN495" s="208"/>
      <c r="BO495" s="16"/>
      <c r="BP495" s="635">
        <v>0</v>
      </c>
      <c r="BQ495" s="636">
        <v>0</v>
      </c>
      <c r="BR495" s="50">
        <v>1990</v>
      </c>
      <c r="BS495" s="31"/>
      <c r="BT495" s="33"/>
      <c r="BU495" s="43">
        <v>-1</v>
      </c>
      <c r="BV495" s="209">
        <f t="shared" si="303"/>
        <v>-1</v>
      </c>
      <c r="BW495" s="141"/>
      <c r="BX495" s="311"/>
      <c r="BY495" s="137"/>
    </row>
    <row r="496" spans="1:77" ht="15" customHeight="1" x14ac:dyDescent="0.2">
      <c r="A496" s="55" t="s">
        <v>25</v>
      </c>
      <c r="B496" s="107" t="s">
        <v>477</v>
      </c>
      <c r="C496" s="637" t="s">
        <v>3040</v>
      </c>
      <c r="D496" s="1387">
        <v>922</v>
      </c>
      <c r="E496" s="161" t="s">
        <v>2975</v>
      </c>
      <c r="F496" s="604"/>
      <c r="G496" s="60"/>
      <c r="H496" s="61"/>
      <c r="I496" s="609"/>
      <c r="J496" s="121"/>
      <c r="K496" s="121"/>
      <c r="L496" s="609"/>
      <c r="M496" s="62"/>
      <c r="N496" s="355"/>
      <c r="O496" s="604"/>
      <c r="P496" s="62"/>
      <c r="Q496" s="355"/>
      <c r="R496" s="604"/>
      <c r="S496" s="62"/>
      <c r="T496" s="355"/>
      <c r="U496" s="62"/>
      <c r="V496" s="62"/>
      <c r="W496" s="19"/>
      <c r="X496" s="20"/>
      <c r="Y496" s="50"/>
      <c r="Z496" s="50"/>
      <c r="AA496" s="31"/>
      <c r="AB496" s="395"/>
      <c r="AC496" s="443"/>
      <c r="AD496" s="16"/>
      <c r="AE496" s="16"/>
      <c r="AF496" s="170"/>
      <c r="AG496" s="86"/>
      <c r="AH496" s="272"/>
      <c r="AI496" s="50"/>
      <c r="AJ496" s="31"/>
      <c r="AK496" s="157"/>
      <c r="AL496" s="285"/>
      <c r="AM496" s="208"/>
      <c r="AN496" s="16"/>
      <c r="AO496" s="635"/>
      <c r="AP496" s="636"/>
      <c r="AQ496" s="640"/>
      <c r="AR496" s="158"/>
      <c r="AS496" s="641"/>
      <c r="AT496" s="399"/>
      <c r="AU496" s="618"/>
      <c r="AV496" s="16"/>
      <c r="AW496" s="16"/>
      <c r="AX496" s="170"/>
      <c r="AY496" s="86"/>
      <c r="AZ496" s="272"/>
      <c r="BA496" s="50"/>
      <c r="BB496" s="31"/>
      <c r="BC496" s="157"/>
      <c r="BD496" s="342"/>
      <c r="BE496" s="208"/>
      <c r="BF496" s="16"/>
      <c r="BG496" s="170"/>
      <c r="BH496" s="86"/>
      <c r="BI496" s="272"/>
      <c r="BJ496" s="50"/>
      <c r="BK496" s="31"/>
      <c r="BL496" s="157"/>
      <c r="BM496" s="342"/>
      <c r="BN496" s="208"/>
      <c r="BO496" s="16"/>
      <c r="BP496" s="635">
        <v>0</v>
      </c>
      <c r="BQ496" s="636">
        <v>0</v>
      </c>
      <c r="BR496" s="50">
        <v>1990</v>
      </c>
      <c r="BS496" s="31"/>
      <c r="BT496" s="33"/>
      <c r="BU496" s="43">
        <v>-1</v>
      </c>
      <c r="BV496" s="209">
        <f t="shared" si="303"/>
        <v>-1</v>
      </c>
      <c r="BW496" s="141"/>
      <c r="BX496" s="311"/>
      <c r="BY496" s="137"/>
    </row>
    <row r="497" spans="1:77" ht="15" customHeight="1" x14ac:dyDescent="0.2">
      <c r="A497" s="55" t="s">
        <v>25</v>
      </c>
      <c r="B497" s="107" t="s">
        <v>477</v>
      </c>
      <c r="C497" s="637" t="s">
        <v>3041</v>
      </c>
      <c r="D497" s="1387">
        <v>440</v>
      </c>
      <c r="E497" s="161" t="s">
        <v>2975</v>
      </c>
      <c r="F497" s="604"/>
      <c r="G497" s="60"/>
      <c r="H497" s="61"/>
      <c r="I497" s="609"/>
      <c r="J497" s="121"/>
      <c r="K497" s="121"/>
      <c r="L497" s="609"/>
      <c r="M497" s="62"/>
      <c r="N497" s="355"/>
      <c r="O497" s="604"/>
      <c r="P497" s="62"/>
      <c r="Q497" s="355"/>
      <c r="R497" s="604"/>
      <c r="S497" s="62"/>
      <c r="T497" s="355"/>
      <c r="U497" s="62"/>
      <c r="V497" s="62"/>
      <c r="W497" s="19"/>
      <c r="X497" s="20"/>
      <c r="Y497" s="50"/>
      <c r="Z497" s="50"/>
      <c r="AA497" s="31"/>
      <c r="AB497" s="395"/>
      <c r="AC497" s="443"/>
      <c r="AD497" s="16"/>
      <c r="AE497" s="16"/>
      <c r="AF497" s="170"/>
      <c r="AG497" s="86"/>
      <c r="AH497" s="272"/>
      <c r="AI497" s="50"/>
      <c r="AJ497" s="31"/>
      <c r="AK497" s="157"/>
      <c r="AL497" s="285"/>
      <c r="AM497" s="208"/>
      <c r="AN497" s="16"/>
      <c r="AO497" s="635"/>
      <c r="AP497" s="636"/>
      <c r="AQ497" s="640"/>
      <c r="AR497" s="158"/>
      <c r="AS497" s="641"/>
      <c r="AT497" s="399"/>
      <c r="AU497" s="618"/>
      <c r="AV497" s="16"/>
      <c r="AW497" s="16"/>
      <c r="AX497" s="170"/>
      <c r="AY497" s="86"/>
      <c r="AZ497" s="272"/>
      <c r="BA497" s="50"/>
      <c r="BB497" s="31"/>
      <c r="BC497" s="157"/>
      <c r="BD497" s="342"/>
      <c r="BE497" s="208"/>
      <c r="BF497" s="16"/>
      <c r="BG497" s="170"/>
      <c r="BH497" s="86"/>
      <c r="BI497" s="272"/>
      <c r="BJ497" s="50"/>
      <c r="BK497" s="31"/>
      <c r="BL497" s="157"/>
      <c r="BM497" s="342"/>
      <c r="BN497" s="208"/>
      <c r="BO497" s="16"/>
      <c r="BP497" s="635">
        <v>0</v>
      </c>
      <c r="BQ497" s="636">
        <v>0</v>
      </c>
      <c r="BR497" s="50">
        <v>1990</v>
      </c>
      <c r="BS497" s="31"/>
      <c r="BT497" s="33"/>
      <c r="BU497" s="43">
        <v>-1</v>
      </c>
      <c r="BV497" s="209">
        <f t="shared" si="303"/>
        <v>-1</v>
      </c>
      <c r="BW497" s="141"/>
      <c r="BX497" s="311"/>
      <c r="BY497" s="137"/>
    </row>
    <row r="498" spans="1:77" ht="15" customHeight="1" x14ac:dyDescent="0.2">
      <c r="A498" s="55" t="s">
        <v>25</v>
      </c>
      <c r="B498" s="107" t="s">
        <v>477</v>
      </c>
      <c r="C498" s="637" t="s">
        <v>3042</v>
      </c>
      <c r="D498" s="1387">
        <v>150</v>
      </c>
      <c r="E498" s="161" t="s">
        <v>2975</v>
      </c>
      <c r="F498" s="604"/>
      <c r="G498" s="60"/>
      <c r="H498" s="61"/>
      <c r="I498" s="609"/>
      <c r="J498" s="121"/>
      <c r="K498" s="121"/>
      <c r="L498" s="609"/>
      <c r="M498" s="62"/>
      <c r="N498" s="355"/>
      <c r="O498" s="604"/>
      <c r="P498" s="62"/>
      <c r="Q498" s="355"/>
      <c r="R498" s="604"/>
      <c r="S498" s="62"/>
      <c r="T498" s="355"/>
      <c r="U498" s="62"/>
      <c r="V498" s="62"/>
      <c r="W498" s="19"/>
      <c r="X498" s="20"/>
      <c r="Y498" s="50"/>
      <c r="Z498" s="50"/>
      <c r="AA498" s="31"/>
      <c r="AB498" s="395"/>
      <c r="AC498" s="443"/>
      <c r="AD498" s="16"/>
      <c r="AE498" s="16"/>
      <c r="AF498" s="170"/>
      <c r="AG498" s="86"/>
      <c r="AH498" s="272"/>
      <c r="AI498" s="50"/>
      <c r="AJ498" s="31"/>
      <c r="AK498" s="157"/>
      <c r="AL498" s="285"/>
      <c r="AM498" s="208"/>
      <c r="AN498" s="16"/>
      <c r="AO498" s="635"/>
      <c r="AP498" s="636"/>
      <c r="AQ498" s="640"/>
      <c r="AR498" s="158"/>
      <c r="AS498" s="641"/>
      <c r="AT498" s="399"/>
      <c r="AU498" s="618"/>
      <c r="AV498" s="16"/>
      <c r="AW498" s="16"/>
      <c r="AX498" s="170"/>
      <c r="AY498" s="86"/>
      <c r="AZ498" s="272"/>
      <c r="BA498" s="50"/>
      <c r="BB498" s="31"/>
      <c r="BC498" s="157"/>
      <c r="BD498" s="342"/>
      <c r="BE498" s="208"/>
      <c r="BF498" s="16"/>
      <c r="BG498" s="170"/>
      <c r="BH498" s="86"/>
      <c r="BI498" s="272"/>
      <c r="BJ498" s="50"/>
      <c r="BK498" s="31"/>
      <c r="BL498" s="157"/>
      <c r="BM498" s="342"/>
      <c r="BN498" s="208"/>
      <c r="BO498" s="16"/>
      <c r="BP498" s="635">
        <v>0</v>
      </c>
      <c r="BQ498" s="636">
        <v>0</v>
      </c>
      <c r="BR498" s="50">
        <v>1990</v>
      </c>
      <c r="BS498" s="31"/>
      <c r="BT498" s="33"/>
      <c r="BU498" s="43">
        <v>-1</v>
      </c>
      <c r="BV498" s="209">
        <f t="shared" si="303"/>
        <v>-1</v>
      </c>
      <c r="BW498" s="141"/>
      <c r="BX498" s="311"/>
      <c r="BY498" s="137"/>
    </row>
    <row r="499" spans="1:77" ht="15" customHeight="1" x14ac:dyDescent="0.2">
      <c r="A499" s="55" t="s">
        <v>25</v>
      </c>
      <c r="B499" s="107" t="s">
        <v>3043</v>
      </c>
      <c r="C499" s="637" t="s">
        <v>370</v>
      </c>
      <c r="D499" s="544">
        <v>3753.7710000000002</v>
      </c>
      <c r="E499" s="161" t="s">
        <v>3044</v>
      </c>
      <c r="F499" s="604"/>
      <c r="G499" s="60"/>
      <c r="H499" s="61"/>
      <c r="I499" s="609"/>
      <c r="J499" s="121"/>
      <c r="K499" s="121">
        <v>19.54</v>
      </c>
      <c r="L499" s="609"/>
      <c r="M499" s="62"/>
      <c r="N499" s="355">
        <v>19.3</v>
      </c>
      <c r="O499" s="604">
        <v>2013</v>
      </c>
      <c r="P499" s="62"/>
      <c r="Q499" s="355">
        <v>21.59</v>
      </c>
      <c r="R499" s="604"/>
      <c r="S499" s="62"/>
      <c r="T499" s="355"/>
      <c r="U499" s="62"/>
      <c r="V499" s="62"/>
      <c r="W499" s="19">
        <f>AA499*(1+AC499)</f>
        <v>1.6413599999999997E-2</v>
      </c>
      <c r="X499" s="20">
        <f>AA499*(1+AC499)</f>
        <v>1.6413599999999997E-2</v>
      </c>
      <c r="Y499" s="50">
        <v>2005</v>
      </c>
      <c r="Z499" s="50"/>
      <c r="AA499" s="31">
        <f>K499/1000</f>
        <v>1.9539999999999998E-2</v>
      </c>
      <c r="AB499" s="395">
        <v>-0.16</v>
      </c>
      <c r="AC499" s="443">
        <f>AB499</f>
        <v>-0.16</v>
      </c>
      <c r="AD499" s="16"/>
      <c r="AE499" s="16"/>
      <c r="AF499" s="170"/>
      <c r="AG499" s="86"/>
      <c r="AH499" s="272"/>
      <c r="AI499" s="50"/>
      <c r="AJ499" s="31"/>
      <c r="AK499" s="157"/>
      <c r="AL499" s="285"/>
      <c r="AM499" s="208"/>
      <c r="AN499" s="16"/>
      <c r="AO499" s="635">
        <f>AS499*(1+AT499)</f>
        <v>1.5113E-2</v>
      </c>
      <c r="AP499" s="636">
        <f>AS499*(1+AU499)</f>
        <v>1.5113E-2</v>
      </c>
      <c r="AQ499" s="666">
        <v>2005</v>
      </c>
      <c r="AR499" s="158"/>
      <c r="AS499" s="641">
        <f>+Q499/1000</f>
        <v>2.1590000000000002E-2</v>
      </c>
      <c r="AT499" s="399">
        <v>-0.3</v>
      </c>
      <c r="AU499" s="618">
        <f>AT499</f>
        <v>-0.3</v>
      </c>
      <c r="AV499" s="16"/>
      <c r="AW499" s="16"/>
      <c r="AX499" s="170"/>
      <c r="AY499" s="86"/>
      <c r="AZ499" s="272"/>
      <c r="BA499" s="50"/>
      <c r="BB499" s="31"/>
      <c r="BC499" s="157"/>
      <c r="BD499" s="342"/>
      <c r="BE499" s="208"/>
      <c r="BF499" s="16"/>
      <c r="BG499" s="170"/>
      <c r="BH499" s="86"/>
      <c r="BI499" s="272"/>
      <c r="BJ499" s="50"/>
      <c r="BK499" s="31"/>
      <c r="BL499" s="157"/>
      <c r="BM499" s="342"/>
      <c r="BN499" s="208"/>
      <c r="BO499" s="16"/>
      <c r="BP499" s="635">
        <v>0</v>
      </c>
      <c r="BQ499" s="636">
        <v>0</v>
      </c>
      <c r="BR499" s="50">
        <v>1990</v>
      </c>
      <c r="BS499" s="31"/>
      <c r="BT499" s="33"/>
      <c r="BU499" s="43">
        <v>-1</v>
      </c>
      <c r="BV499" s="209">
        <f t="shared" si="303"/>
        <v>-1</v>
      </c>
      <c r="BW499" s="141"/>
      <c r="BX499" s="311"/>
      <c r="BY499" s="137"/>
    </row>
    <row r="500" spans="1:77" ht="15" customHeight="1" x14ac:dyDescent="0.2">
      <c r="A500" s="55" t="s">
        <v>25</v>
      </c>
      <c r="B500" s="107" t="s">
        <v>477</v>
      </c>
      <c r="C500" s="637" t="s">
        <v>3045</v>
      </c>
      <c r="D500" s="1387">
        <v>723</v>
      </c>
      <c r="E500" s="161" t="s">
        <v>2975</v>
      </c>
      <c r="F500" s="604"/>
      <c r="G500" s="60"/>
      <c r="H500" s="61"/>
      <c r="I500" s="609"/>
      <c r="J500" s="121"/>
      <c r="K500" s="121"/>
      <c r="L500" s="609"/>
      <c r="M500" s="62"/>
      <c r="N500" s="355"/>
      <c r="O500" s="604"/>
      <c r="P500" s="62"/>
      <c r="Q500" s="355"/>
      <c r="R500" s="604"/>
      <c r="S500" s="62"/>
      <c r="T500" s="355"/>
      <c r="U500" s="62"/>
      <c r="V500" s="62"/>
      <c r="W500" s="19"/>
      <c r="X500" s="20"/>
      <c r="Y500" s="50"/>
      <c r="Z500" s="50"/>
      <c r="AA500" s="31"/>
      <c r="AB500" s="395"/>
      <c r="AC500" s="443"/>
      <c r="AD500" s="16"/>
      <c r="AE500" s="16"/>
      <c r="AF500" s="170"/>
      <c r="AG500" s="86"/>
      <c r="AH500" s="272"/>
      <c r="AI500" s="50"/>
      <c r="AJ500" s="31"/>
      <c r="AK500" s="157"/>
      <c r="AL500" s="285"/>
      <c r="AM500" s="208"/>
      <c r="AN500" s="16"/>
      <c r="AO500" s="635"/>
      <c r="AP500" s="636"/>
      <c r="AQ500" s="640"/>
      <c r="AR500" s="158"/>
      <c r="AS500" s="641"/>
      <c r="AT500" s="399"/>
      <c r="AU500" s="618"/>
      <c r="AV500" s="16"/>
      <c r="AW500" s="16"/>
      <c r="AX500" s="170"/>
      <c r="AY500" s="86"/>
      <c r="AZ500" s="272"/>
      <c r="BA500" s="50"/>
      <c r="BB500" s="31"/>
      <c r="BC500" s="157"/>
      <c r="BD500" s="342"/>
      <c r="BE500" s="208"/>
      <c r="BF500" s="16"/>
      <c r="BG500" s="170"/>
      <c r="BH500" s="86"/>
      <c r="BI500" s="272"/>
      <c r="BJ500" s="50"/>
      <c r="BK500" s="31"/>
      <c r="BL500" s="157"/>
      <c r="BM500" s="342"/>
      <c r="BN500" s="208"/>
      <c r="BO500" s="16"/>
      <c r="BP500" s="635">
        <v>0</v>
      </c>
      <c r="BQ500" s="636">
        <v>0</v>
      </c>
      <c r="BR500" s="50">
        <v>1990</v>
      </c>
      <c r="BS500" s="31"/>
      <c r="BT500" s="33"/>
      <c r="BU500" s="43">
        <v>-1</v>
      </c>
      <c r="BV500" s="209">
        <f t="shared" si="303"/>
        <v>-1</v>
      </c>
      <c r="BW500" s="141"/>
      <c r="BX500" s="311"/>
      <c r="BY500" s="137"/>
    </row>
    <row r="501" spans="1:77" ht="15" customHeight="1" x14ac:dyDescent="0.2">
      <c r="A501" s="55" t="s">
        <v>25</v>
      </c>
      <c r="B501" s="107" t="s">
        <v>477</v>
      </c>
      <c r="C501" s="637" t="s">
        <v>3046</v>
      </c>
      <c r="D501" s="1387">
        <v>170</v>
      </c>
      <c r="E501" s="161" t="s">
        <v>2975</v>
      </c>
      <c r="F501" s="604"/>
      <c r="G501" s="60"/>
      <c r="H501" s="61"/>
      <c r="I501" s="609"/>
      <c r="J501" s="121"/>
      <c r="K501" s="121"/>
      <c r="L501" s="609"/>
      <c r="M501" s="62"/>
      <c r="N501" s="355"/>
      <c r="O501" s="604"/>
      <c r="P501" s="62"/>
      <c r="Q501" s="355"/>
      <c r="R501" s="604"/>
      <c r="S501" s="62"/>
      <c r="T501" s="355"/>
      <c r="U501" s="62"/>
      <c r="V501" s="62"/>
      <c r="W501" s="19"/>
      <c r="X501" s="20"/>
      <c r="Y501" s="50"/>
      <c r="Z501" s="50"/>
      <c r="AA501" s="31"/>
      <c r="AB501" s="395"/>
      <c r="AC501" s="443"/>
      <c r="AD501" s="16"/>
      <c r="AE501" s="16"/>
      <c r="AF501" s="170"/>
      <c r="AG501" s="86"/>
      <c r="AH501" s="272"/>
      <c r="AI501" s="50"/>
      <c r="AJ501" s="31"/>
      <c r="AK501" s="157"/>
      <c r="AL501" s="285"/>
      <c r="AM501" s="208"/>
      <c r="AN501" s="16"/>
      <c r="AO501" s="635"/>
      <c r="AP501" s="636"/>
      <c r="AQ501" s="640"/>
      <c r="AR501" s="158"/>
      <c r="AS501" s="641"/>
      <c r="AT501" s="399"/>
      <c r="AU501" s="618"/>
      <c r="AV501" s="16"/>
      <c r="AW501" s="16"/>
      <c r="AX501" s="170"/>
      <c r="AY501" s="86"/>
      <c r="AZ501" s="272"/>
      <c r="BA501" s="50"/>
      <c r="BB501" s="31"/>
      <c r="BC501" s="157"/>
      <c r="BD501" s="342"/>
      <c r="BE501" s="208"/>
      <c r="BF501" s="16"/>
      <c r="BG501" s="170"/>
      <c r="BH501" s="86"/>
      <c r="BI501" s="272"/>
      <c r="BJ501" s="50"/>
      <c r="BK501" s="31"/>
      <c r="BL501" s="157"/>
      <c r="BM501" s="342"/>
      <c r="BN501" s="208"/>
      <c r="BO501" s="16"/>
      <c r="BP501" s="635">
        <v>0</v>
      </c>
      <c r="BQ501" s="636">
        <v>0</v>
      </c>
      <c r="BR501" s="50">
        <v>1990</v>
      </c>
      <c r="BS501" s="31"/>
      <c r="BT501" s="33"/>
      <c r="BU501" s="43">
        <v>-1</v>
      </c>
      <c r="BV501" s="209">
        <f t="shared" si="303"/>
        <v>-1</v>
      </c>
      <c r="BW501" s="141"/>
      <c r="BX501" s="311"/>
      <c r="BY501" s="137"/>
    </row>
    <row r="502" spans="1:77" ht="15" customHeight="1" x14ac:dyDescent="0.2">
      <c r="A502" s="55" t="s">
        <v>25</v>
      </c>
      <c r="B502" s="107" t="s">
        <v>477</v>
      </c>
      <c r="C502" s="637" t="s">
        <v>3047</v>
      </c>
      <c r="D502" s="1387">
        <v>45</v>
      </c>
      <c r="E502" s="161" t="s">
        <v>2975</v>
      </c>
      <c r="F502" s="604"/>
      <c r="G502" s="60"/>
      <c r="H502" s="61"/>
      <c r="I502" s="609"/>
      <c r="J502" s="121"/>
      <c r="K502" s="121"/>
      <c r="L502" s="609"/>
      <c r="M502" s="62"/>
      <c r="N502" s="355"/>
      <c r="O502" s="604"/>
      <c r="P502" s="62"/>
      <c r="Q502" s="355"/>
      <c r="R502" s="604"/>
      <c r="S502" s="62"/>
      <c r="T502" s="355"/>
      <c r="U502" s="62"/>
      <c r="V502" s="62"/>
      <c r="W502" s="19"/>
      <c r="X502" s="20"/>
      <c r="Y502" s="50"/>
      <c r="Z502" s="50"/>
      <c r="AA502" s="31"/>
      <c r="AB502" s="395"/>
      <c r="AC502" s="443"/>
      <c r="AD502" s="16"/>
      <c r="AE502" s="16"/>
      <c r="AF502" s="170"/>
      <c r="AG502" s="86"/>
      <c r="AH502" s="272"/>
      <c r="AI502" s="50"/>
      <c r="AJ502" s="31"/>
      <c r="AK502" s="157"/>
      <c r="AL502" s="285"/>
      <c r="AM502" s="208"/>
      <c r="AN502" s="16"/>
      <c r="AO502" s="635"/>
      <c r="AP502" s="636"/>
      <c r="AQ502" s="640"/>
      <c r="AR502" s="158"/>
      <c r="AS502" s="641"/>
      <c r="AT502" s="399"/>
      <c r="AU502" s="618"/>
      <c r="AV502" s="16"/>
      <c r="AW502" s="16"/>
      <c r="AX502" s="170"/>
      <c r="AY502" s="86"/>
      <c r="AZ502" s="272"/>
      <c r="BA502" s="50"/>
      <c r="BB502" s="31"/>
      <c r="BC502" s="157"/>
      <c r="BD502" s="342"/>
      <c r="BE502" s="208"/>
      <c r="BF502" s="16"/>
      <c r="BG502" s="170"/>
      <c r="BH502" s="86"/>
      <c r="BI502" s="272"/>
      <c r="BJ502" s="50"/>
      <c r="BK502" s="31"/>
      <c r="BL502" s="157"/>
      <c r="BM502" s="342"/>
      <c r="BN502" s="208"/>
      <c r="BO502" s="16"/>
      <c r="BP502" s="635">
        <v>0</v>
      </c>
      <c r="BQ502" s="636">
        <v>0</v>
      </c>
      <c r="BR502" s="50">
        <v>1990</v>
      </c>
      <c r="BS502" s="31"/>
      <c r="BT502" s="33"/>
      <c r="BU502" s="43">
        <v>-1</v>
      </c>
      <c r="BV502" s="209">
        <f t="shared" si="303"/>
        <v>-1</v>
      </c>
      <c r="BW502" s="141"/>
      <c r="BX502" s="311"/>
      <c r="BY502" s="137"/>
    </row>
    <row r="503" spans="1:77" ht="15" customHeight="1" x14ac:dyDescent="0.2">
      <c r="A503" s="55" t="s">
        <v>25</v>
      </c>
      <c r="B503" s="107" t="s">
        <v>477</v>
      </c>
      <c r="C503" s="637" t="s">
        <v>3048</v>
      </c>
      <c r="D503" s="1387">
        <v>17</v>
      </c>
      <c r="E503" s="161" t="s">
        <v>2975</v>
      </c>
      <c r="F503" s="604"/>
      <c r="G503" s="60"/>
      <c r="H503" s="61"/>
      <c r="I503" s="609"/>
      <c r="J503" s="121"/>
      <c r="K503" s="121"/>
      <c r="L503" s="609"/>
      <c r="M503" s="62"/>
      <c r="N503" s="355"/>
      <c r="O503" s="604"/>
      <c r="P503" s="62"/>
      <c r="Q503" s="355"/>
      <c r="R503" s="604"/>
      <c r="S503" s="62"/>
      <c r="T503" s="355"/>
      <c r="U503" s="62"/>
      <c r="V503" s="62"/>
      <c r="W503" s="19"/>
      <c r="X503" s="20"/>
      <c r="Y503" s="50"/>
      <c r="Z503" s="50"/>
      <c r="AA503" s="31"/>
      <c r="AB503" s="395"/>
      <c r="AC503" s="443"/>
      <c r="AD503" s="16"/>
      <c r="AE503" s="16"/>
      <c r="AF503" s="170"/>
      <c r="AG503" s="86"/>
      <c r="AH503" s="272"/>
      <c r="AI503" s="50"/>
      <c r="AJ503" s="31"/>
      <c r="AK503" s="157"/>
      <c r="AL503" s="285"/>
      <c r="AM503" s="208"/>
      <c r="AN503" s="16"/>
      <c r="AO503" s="635"/>
      <c r="AP503" s="636"/>
      <c r="AQ503" s="640"/>
      <c r="AR503" s="158"/>
      <c r="AS503" s="641"/>
      <c r="AT503" s="399"/>
      <c r="AU503" s="618"/>
      <c r="AV503" s="16"/>
      <c r="AW503" s="16"/>
      <c r="AX503" s="170"/>
      <c r="AY503" s="86"/>
      <c r="AZ503" s="272"/>
      <c r="BA503" s="50"/>
      <c r="BB503" s="31"/>
      <c r="BC503" s="157"/>
      <c r="BD503" s="342"/>
      <c r="BE503" s="208"/>
      <c r="BF503" s="16"/>
      <c r="BG503" s="170"/>
      <c r="BH503" s="86"/>
      <c r="BI503" s="272"/>
      <c r="BJ503" s="50"/>
      <c r="BK503" s="31"/>
      <c r="BL503" s="157"/>
      <c r="BM503" s="342"/>
      <c r="BN503" s="208"/>
      <c r="BO503" s="16"/>
      <c r="BP503" s="635">
        <v>0</v>
      </c>
      <c r="BQ503" s="636">
        <v>0</v>
      </c>
      <c r="BR503" s="50">
        <v>1990</v>
      </c>
      <c r="BS503" s="31"/>
      <c r="BT503" s="33"/>
      <c r="BU503" s="43">
        <v>-1</v>
      </c>
      <c r="BV503" s="209">
        <f t="shared" si="303"/>
        <v>-1</v>
      </c>
      <c r="BW503" s="141"/>
      <c r="BX503" s="311"/>
      <c r="BY503" s="137"/>
    </row>
    <row r="504" spans="1:77" ht="15" customHeight="1" x14ac:dyDescent="0.2">
      <c r="A504" s="55" t="s">
        <v>25</v>
      </c>
      <c r="B504" s="107" t="s">
        <v>477</v>
      </c>
      <c r="C504" s="637" t="s">
        <v>597</v>
      </c>
      <c r="D504" s="544">
        <v>1462</v>
      </c>
      <c r="E504" s="161" t="s">
        <v>2974</v>
      </c>
      <c r="F504" s="604"/>
      <c r="G504" s="60"/>
      <c r="H504" s="61"/>
      <c r="I504" s="609"/>
      <c r="J504" s="121"/>
      <c r="K504" s="121"/>
      <c r="L504" s="609">
        <v>2011</v>
      </c>
      <c r="M504" s="62"/>
      <c r="N504" s="355">
        <v>23.882999999999999</v>
      </c>
      <c r="O504" s="604"/>
      <c r="P504" s="62"/>
      <c r="Q504" s="355"/>
      <c r="R504" s="604"/>
      <c r="S504" s="62"/>
      <c r="T504" s="355"/>
      <c r="U504" s="62"/>
      <c r="V504" s="62"/>
      <c r="W504" s="21">
        <f>AA504*(1+AC504)</f>
        <v>1.7912249999999998E-2</v>
      </c>
      <c r="X504" s="22">
        <f>AA504*(1+AC504)</f>
        <v>1.7912249999999998E-2</v>
      </c>
      <c r="Y504" s="50">
        <v>1990</v>
      </c>
      <c r="Z504" s="50"/>
      <c r="AA504" s="33">
        <f>N504/1000</f>
        <v>2.3882999999999998E-2</v>
      </c>
      <c r="AB504" s="395">
        <v>-0.25</v>
      </c>
      <c r="AC504" s="443">
        <f>AB504</f>
        <v>-0.25</v>
      </c>
      <c r="AD504" s="16"/>
      <c r="AE504" s="16"/>
      <c r="AF504" s="170"/>
      <c r="AG504" s="86"/>
      <c r="AH504" s="272"/>
      <c r="AI504" s="50"/>
      <c r="AJ504" s="31"/>
      <c r="AK504" s="157"/>
      <c r="AL504" s="285"/>
      <c r="AM504" s="208"/>
      <c r="AN504" s="16"/>
      <c r="AO504" s="635"/>
      <c r="AP504" s="636"/>
      <c r="AQ504" s="666"/>
      <c r="AR504" s="158"/>
      <c r="AS504" s="641"/>
      <c r="AT504" s="399"/>
      <c r="AU504" s="618"/>
      <c r="AV504" s="16"/>
      <c r="AW504" s="16"/>
      <c r="AX504" s="170"/>
      <c r="AY504" s="86"/>
      <c r="AZ504" s="272"/>
      <c r="BA504" s="50"/>
      <c r="BB504" s="31"/>
      <c r="BC504" s="157"/>
      <c r="BD504" s="342"/>
      <c r="BE504" s="208"/>
      <c r="BF504" s="16"/>
      <c r="BG504" s="170"/>
      <c r="BH504" s="86"/>
      <c r="BI504" s="272"/>
      <c r="BJ504" s="50"/>
      <c r="BK504" s="31"/>
      <c r="BL504" s="157"/>
      <c r="BM504" s="342"/>
      <c r="BN504" s="208"/>
      <c r="BO504" s="16"/>
      <c r="BP504" s="635">
        <v>0</v>
      </c>
      <c r="BQ504" s="636">
        <v>0</v>
      </c>
      <c r="BR504" s="50">
        <v>1990</v>
      </c>
      <c r="BS504" s="31"/>
      <c r="BT504" s="33"/>
      <c r="BU504" s="43">
        <v>-1</v>
      </c>
      <c r="BV504" s="209">
        <f t="shared" si="303"/>
        <v>-1</v>
      </c>
      <c r="BW504" s="141"/>
      <c r="BX504" s="311"/>
      <c r="BY504" s="743"/>
    </row>
    <row r="505" spans="1:77" ht="15" customHeight="1" x14ac:dyDescent="0.2">
      <c r="A505" s="55" t="s">
        <v>25</v>
      </c>
      <c r="B505" s="107" t="s">
        <v>477</v>
      </c>
      <c r="C505" s="637" t="s">
        <v>609</v>
      </c>
      <c r="D505" s="544">
        <v>195</v>
      </c>
      <c r="E505" s="161" t="s">
        <v>2974</v>
      </c>
      <c r="F505" s="604"/>
      <c r="G505" s="60"/>
      <c r="H505" s="61"/>
      <c r="I505" s="609"/>
      <c r="J505" s="121"/>
      <c r="K505" s="121"/>
      <c r="L505" s="609">
        <v>2009</v>
      </c>
      <c r="M505" s="62"/>
      <c r="N505" s="355">
        <v>1.0489999999999999</v>
      </c>
      <c r="O505" s="604"/>
      <c r="P505" s="62"/>
      <c r="Q505" s="355"/>
      <c r="R505" s="604"/>
      <c r="S505" s="62"/>
      <c r="T505" s="355"/>
      <c r="U505" s="62"/>
      <c r="V505" s="62"/>
      <c r="W505" s="19">
        <f>AA505*(1+AC505)</f>
        <v>7.8675000000000001E-4</v>
      </c>
      <c r="X505" s="20">
        <f>AA505*(1+AC505)</f>
        <v>7.8675000000000001E-4</v>
      </c>
      <c r="Y505" s="50">
        <v>2009</v>
      </c>
      <c r="Z505" s="50"/>
      <c r="AA505" s="31">
        <f>N505/1000</f>
        <v>1.049E-3</v>
      </c>
      <c r="AB505" s="395">
        <v>-0.25</v>
      </c>
      <c r="AC505" s="443">
        <f>AB505</f>
        <v>-0.25</v>
      </c>
      <c r="AD505" s="16"/>
      <c r="AE505" s="16"/>
      <c r="AF505" s="170"/>
      <c r="AG505" s="86"/>
      <c r="AH505" s="272"/>
      <c r="AI505" s="50"/>
      <c r="AJ505" s="31"/>
      <c r="AK505" s="157"/>
      <c r="AL505" s="285"/>
      <c r="AM505" s="208"/>
      <c r="AN505" s="16"/>
      <c r="AO505" s="635"/>
      <c r="AP505" s="636"/>
      <c r="AQ505" s="640"/>
      <c r="AR505" s="158"/>
      <c r="AS505" s="641"/>
      <c r="AT505" s="399"/>
      <c r="AU505" s="618"/>
      <c r="AV505" s="16"/>
      <c r="AW505" s="16"/>
      <c r="AX505" s="170"/>
      <c r="AY505" s="86"/>
      <c r="AZ505" s="272"/>
      <c r="BA505" s="50"/>
      <c r="BB505" s="31"/>
      <c r="BC505" s="157"/>
      <c r="BD505" s="342"/>
      <c r="BE505" s="208"/>
      <c r="BF505" s="16"/>
      <c r="BG505" s="170"/>
      <c r="BH505" s="86"/>
      <c r="BI505" s="272"/>
      <c r="BJ505" s="50"/>
      <c r="BK505" s="31"/>
      <c r="BL505" s="157"/>
      <c r="BM505" s="342"/>
      <c r="BN505" s="208"/>
      <c r="BO505" s="16"/>
      <c r="BP505" s="635">
        <v>0</v>
      </c>
      <c r="BQ505" s="636">
        <v>0</v>
      </c>
      <c r="BR505" s="50">
        <v>1990</v>
      </c>
      <c r="BS505" s="31"/>
      <c r="BT505" s="33"/>
      <c r="BU505" s="43">
        <v>-1</v>
      </c>
      <c r="BV505" s="209">
        <f t="shared" si="303"/>
        <v>-1</v>
      </c>
      <c r="BW505" s="141"/>
      <c r="BX505" s="311"/>
      <c r="BY505" s="137"/>
    </row>
    <row r="506" spans="1:77" ht="15" customHeight="1" x14ac:dyDescent="0.2">
      <c r="A506" s="55" t="s">
        <v>25</v>
      </c>
      <c r="B506" s="107" t="s">
        <v>608</v>
      </c>
      <c r="C506" s="107" t="s">
        <v>608</v>
      </c>
      <c r="D506" s="1387">
        <v>793</v>
      </c>
      <c r="E506" s="161" t="s">
        <v>2975</v>
      </c>
      <c r="F506" s="604"/>
      <c r="G506" s="60"/>
      <c r="H506" s="61"/>
      <c r="I506" s="609"/>
      <c r="J506" s="121"/>
      <c r="K506" s="121"/>
      <c r="L506" s="609"/>
      <c r="M506" s="62"/>
      <c r="N506" s="355"/>
      <c r="O506" s="604"/>
      <c r="P506" s="62"/>
      <c r="Q506" s="355"/>
      <c r="R506" s="604"/>
      <c r="S506" s="62"/>
      <c r="T506" s="355"/>
      <c r="U506" s="62"/>
      <c r="V506" s="62"/>
      <c r="W506" s="19"/>
      <c r="X506" s="20"/>
      <c r="Y506" s="50"/>
      <c r="Z506" s="50"/>
      <c r="AA506" s="31"/>
      <c r="AB506" s="395"/>
      <c r="AC506" s="443"/>
      <c r="AD506" s="16"/>
      <c r="AE506" s="16"/>
      <c r="AF506" s="170"/>
      <c r="AG506" s="86"/>
      <c r="AH506" s="272"/>
      <c r="AI506" s="50"/>
      <c r="AJ506" s="31"/>
      <c r="AK506" s="157"/>
      <c r="AL506" s="285"/>
      <c r="AM506" s="208"/>
      <c r="AN506" s="16"/>
      <c r="AO506" s="635"/>
      <c r="AP506" s="636"/>
      <c r="AQ506" s="640"/>
      <c r="AR506" s="158"/>
      <c r="AS506" s="641"/>
      <c r="AT506" s="399"/>
      <c r="AU506" s="618"/>
      <c r="AV506" s="16"/>
      <c r="AW506" s="16"/>
      <c r="AX506" s="170"/>
      <c r="AY506" s="86"/>
      <c r="AZ506" s="272"/>
      <c r="BA506" s="50"/>
      <c r="BB506" s="31"/>
      <c r="BC506" s="157"/>
      <c r="BD506" s="342"/>
      <c r="BE506" s="208"/>
      <c r="BF506" s="16"/>
      <c r="BG506" s="170"/>
      <c r="BH506" s="86"/>
      <c r="BI506" s="272"/>
      <c r="BJ506" s="50"/>
      <c r="BK506" s="31"/>
      <c r="BL506" s="157"/>
      <c r="BM506" s="342"/>
      <c r="BN506" s="208"/>
      <c r="BO506" s="16"/>
      <c r="BP506" s="635">
        <v>0</v>
      </c>
      <c r="BQ506" s="636">
        <v>0</v>
      </c>
      <c r="BR506" s="50">
        <v>1990</v>
      </c>
      <c r="BS506" s="31"/>
      <c r="BT506" s="33"/>
      <c r="BU506" s="43">
        <v>-1</v>
      </c>
      <c r="BV506" s="209">
        <f t="shared" si="303"/>
        <v>-1</v>
      </c>
      <c r="BW506" s="141"/>
      <c r="BX506" s="311"/>
      <c r="BY506" s="137"/>
    </row>
    <row r="507" spans="1:77" ht="15" customHeight="1" x14ac:dyDescent="0.2">
      <c r="A507" s="55" t="s">
        <v>25</v>
      </c>
      <c r="B507" s="107" t="s">
        <v>477</v>
      </c>
      <c r="C507" s="637" t="s">
        <v>3049</v>
      </c>
      <c r="D507" s="1387">
        <v>55</v>
      </c>
      <c r="E507" s="161" t="s">
        <v>2975</v>
      </c>
      <c r="F507" s="604"/>
      <c r="G507" s="60"/>
      <c r="H507" s="61"/>
      <c r="I507" s="609"/>
      <c r="J507" s="121"/>
      <c r="K507" s="121"/>
      <c r="L507" s="609"/>
      <c r="M507" s="62"/>
      <c r="N507" s="355"/>
      <c r="O507" s="604"/>
      <c r="P507" s="62"/>
      <c r="Q507" s="355"/>
      <c r="R507" s="604"/>
      <c r="S507" s="62"/>
      <c r="T507" s="355"/>
      <c r="U507" s="62"/>
      <c r="V507" s="62"/>
      <c r="W507" s="19"/>
      <c r="X507" s="20"/>
      <c r="Y507" s="50"/>
      <c r="Z507" s="50"/>
      <c r="AA507" s="31"/>
      <c r="AB507" s="395"/>
      <c r="AC507" s="443"/>
      <c r="AD507" s="16"/>
      <c r="AE507" s="16"/>
      <c r="AF507" s="170"/>
      <c r="AG507" s="86"/>
      <c r="AH507" s="272"/>
      <c r="AI507" s="50"/>
      <c r="AJ507" s="31"/>
      <c r="AK507" s="157"/>
      <c r="AL507" s="285"/>
      <c r="AM507" s="208"/>
      <c r="AN507" s="16"/>
      <c r="AO507" s="635"/>
      <c r="AP507" s="636"/>
      <c r="AQ507" s="640"/>
      <c r="AR507" s="158"/>
      <c r="AS507" s="641"/>
      <c r="AT507" s="399"/>
      <c r="AU507" s="618"/>
      <c r="AV507" s="16"/>
      <c r="AW507" s="16"/>
      <c r="AX507" s="170"/>
      <c r="AY507" s="86"/>
      <c r="AZ507" s="272"/>
      <c r="BA507" s="50"/>
      <c r="BB507" s="31"/>
      <c r="BC507" s="157"/>
      <c r="BD507" s="342"/>
      <c r="BE507" s="208"/>
      <c r="BF507" s="16"/>
      <c r="BG507" s="170"/>
      <c r="BH507" s="86"/>
      <c r="BI507" s="272"/>
      <c r="BJ507" s="50"/>
      <c r="BK507" s="31"/>
      <c r="BL507" s="157"/>
      <c r="BM507" s="342"/>
      <c r="BN507" s="208"/>
      <c r="BO507" s="16"/>
      <c r="BP507" s="635">
        <v>0</v>
      </c>
      <c r="BQ507" s="636">
        <v>0</v>
      </c>
      <c r="BR507" s="50">
        <v>1990</v>
      </c>
      <c r="BS507" s="31"/>
      <c r="BT507" s="33"/>
      <c r="BU507" s="43">
        <v>-1</v>
      </c>
      <c r="BV507" s="209">
        <f t="shared" si="303"/>
        <v>-1</v>
      </c>
      <c r="BW507" s="141"/>
      <c r="BX507" s="311"/>
      <c r="BY507" s="137"/>
    </row>
    <row r="508" spans="1:77" ht="15" customHeight="1" x14ac:dyDescent="0.2">
      <c r="A508" s="55" t="s">
        <v>25</v>
      </c>
      <c r="B508" s="107" t="s">
        <v>477</v>
      </c>
      <c r="C508" s="637" t="s">
        <v>3050</v>
      </c>
      <c r="D508" s="1387">
        <v>33</v>
      </c>
      <c r="E508" s="161" t="s">
        <v>2975</v>
      </c>
      <c r="F508" s="604"/>
      <c r="G508" s="60"/>
      <c r="H508" s="61"/>
      <c r="I508" s="609"/>
      <c r="J508" s="121"/>
      <c r="K508" s="121"/>
      <c r="L508" s="609"/>
      <c r="M508" s="62"/>
      <c r="N508" s="355"/>
      <c r="O508" s="604"/>
      <c r="P508" s="62"/>
      <c r="Q508" s="355"/>
      <c r="R508" s="604"/>
      <c r="S508" s="62"/>
      <c r="T508" s="355"/>
      <c r="U508" s="62"/>
      <c r="V508" s="62"/>
      <c r="W508" s="19"/>
      <c r="X508" s="20"/>
      <c r="Y508" s="50"/>
      <c r="Z508" s="50"/>
      <c r="AA508" s="31"/>
      <c r="AB508" s="395"/>
      <c r="AC508" s="443"/>
      <c r="AD508" s="16"/>
      <c r="AE508" s="16"/>
      <c r="AF508" s="170"/>
      <c r="AG508" s="86"/>
      <c r="AH508" s="272"/>
      <c r="AI508" s="50"/>
      <c r="AJ508" s="31"/>
      <c r="AK508" s="157"/>
      <c r="AL508" s="285"/>
      <c r="AM508" s="208"/>
      <c r="AN508" s="16"/>
      <c r="AO508" s="635"/>
      <c r="AP508" s="636"/>
      <c r="AQ508" s="640"/>
      <c r="AR508" s="158"/>
      <c r="AS508" s="641"/>
      <c r="AT508" s="399"/>
      <c r="AU508" s="618"/>
      <c r="AV508" s="16"/>
      <c r="AW508" s="16"/>
      <c r="AX508" s="170"/>
      <c r="AY508" s="86"/>
      <c r="AZ508" s="272"/>
      <c r="BA508" s="50"/>
      <c r="BB508" s="31"/>
      <c r="BC508" s="157"/>
      <c r="BD508" s="342"/>
      <c r="BE508" s="208"/>
      <c r="BF508" s="16"/>
      <c r="BG508" s="170"/>
      <c r="BH508" s="86"/>
      <c r="BI508" s="272"/>
      <c r="BJ508" s="50"/>
      <c r="BK508" s="31"/>
      <c r="BL508" s="157"/>
      <c r="BM508" s="342"/>
      <c r="BN508" s="208"/>
      <c r="BO508" s="16"/>
      <c r="BP508" s="635">
        <v>0</v>
      </c>
      <c r="BQ508" s="636">
        <v>0</v>
      </c>
      <c r="BR508" s="50">
        <v>1990</v>
      </c>
      <c r="BS508" s="31"/>
      <c r="BT508" s="33"/>
      <c r="BU508" s="43">
        <v>-1</v>
      </c>
      <c r="BV508" s="209">
        <f t="shared" si="303"/>
        <v>-1</v>
      </c>
      <c r="BW508" s="141"/>
      <c r="BX508" s="311"/>
      <c r="BY508" s="137"/>
    </row>
    <row r="509" spans="1:77" ht="15" customHeight="1" x14ac:dyDescent="0.2">
      <c r="A509" s="55" t="s">
        <v>25</v>
      </c>
      <c r="B509" s="107" t="s">
        <v>477</v>
      </c>
      <c r="C509" s="637" t="s">
        <v>3051</v>
      </c>
      <c r="D509" s="1387">
        <v>57</v>
      </c>
      <c r="E509" s="161" t="s">
        <v>2975</v>
      </c>
      <c r="F509" s="604"/>
      <c r="G509" s="60"/>
      <c r="H509" s="61"/>
      <c r="I509" s="609"/>
      <c r="J509" s="121"/>
      <c r="K509" s="121"/>
      <c r="L509" s="609"/>
      <c r="M509" s="62"/>
      <c r="N509" s="355"/>
      <c r="O509" s="604"/>
      <c r="P509" s="62"/>
      <c r="Q509" s="355"/>
      <c r="R509" s="604"/>
      <c r="S509" s="62"/>
      <c r="T509" s="355"/>
      <c r="U509" s="62"/>
      <c r="V509" s="62"/>
      <c r="W509" s="19"/>
      <c r="X509" s="20"/>
      <c r="Y509" s="50"/>
      <c r="Z509" s="50"/>
      <c r="AA509" s="31"/>
      <c r="AB509" s="395"/>
      <c r="AC509" s="443"/>
      <c r="AD509" s="16"/>
      <c r="AE509" s="16"/>
      <c r="AF509" s="170"/>
      <c r="AG509" s="86"/>
      <c r="AH509" s="272"/>
      <c r="AI509" s="50"/>
      <c r="AJ509" s="31"/>
      <c r="AK509" s="157"/>
      <c r="AL509" s="285"/>
      <c r="AM509" s="208"/>
      <c r="AN509" s="16"/>
      <c r="AO509" s="635"/>
      <c r="AP509" s="636"/>
      <c r="AQ509" s="640"/>
      <c r="AR509" s="158"/>
      <c r="AS509" s="641"/>
      <c r="AT509" s="399"/>
      <c r="AU509" s="618"/>
      <c r="AV509" s="16"/>
      <c r="AW509" s="16"/>
      <c r="AX509" s="170"/>
      <c r="AY509" s="86"/>
      <c r="AZ509" s="272"/>
      <c r="BA509" s="50"/>
      <c r="BB509" s="31"/>
      <c r="BC509" s="157"/>
      <c r="BD509" s="342"/>
      <c r="BE509" s="208"/>
      <c r="BF509" s="16"/>
      <c r="BG509" s="170"/>
      <c r="BH509" s="86"/>
      <c r="BI509" s="272"/>
      <c r="BJ509" s="50"/>
      <c r="BK509" s="31"/>
      <c r="BL509" s="157"/>
      <c r="BM509" s="342"/>
      <c r="BN509" s="208"/>
      <c r="BO509" s="16"/>
      <c r="BP509" s="635">
        <v>0</v>
      </c>
      <c r="BQ509" s="636">
        <v>0</v>
      </c>
      <c r="BR509" s="50">
        <v>1990</v>
      </c>
      <c r="BS509" s="31"/>
      <c r="BT509" s="33"/>
      <c r="BU509" s="43">
        <v>-1</v>
      </c>
      <c r="BV509" s="209">
        <f t="shared" si="303"/>
        <v>-1</v>
      </c>
      <c r="BW509" s="141"/>
      <c r="BX509" s="311"/>
      <c r="BY509" s="137"/>
    </row>
    <row r="510" spans="1:77" ht="15" customHeight="1" x14ac:dyDescent="0.2">
      <c r="A510" s="55" t="s">
        <v>25</v>
      </c>
      <c r="B510" s="107" t="s">
        <v>477</v>
      </c>
      <c r="C510" s="637" t="s">
        <v>3052</v>
      </c>
      <c r="D510" s="1386">
        <v>0.4</v>
      </c>
      <c r="E510" s="161" t="s">
        <v>2975</v>
      </c>
      <c r="F510" s="604"/>
      <c r="G510" s="60"/>
      <c r="H510" s="61"/>
      <c r="I510" s="609"/>
      <c r="J510" s="121"/>
      <c r="K510" s="121"/>
      <c r="L510" s="609"/>
      <c r="M510" s="62"/>
      <c r="N510" s="355"/>
      <c r="O510" s="604"/>
      <c r="P510" s="62"/>
      <c r="Q510" s="355"/>
      <c r="R510" s="604"/>
      <c r="S510" s="62"/>
      <c r="T510" s="355"/>
      <c r="U510" s="62"/>
      <c r="V510" s="62"/>
      <c r="W510" s="19"/>
      <c r="X510" s="20"/>
      <c r="Y510" s="50"/>
      <c r="Z510" s="50"/>
      <c r="AA510" s="31"/>
      <c r="AB510" s="395"/>
      <c r="AC510" s="443"/>
      <c r="AD510" s="16"/>
      <c r="AE510" s="16"/>
      <c r="AF510" s="170"/>
      <c r="AG510" s="86"/>
      <c r="AH510" s="272"/>
      <c r="AI510" s="50"/>
      <c r="AJ510" s="31"/>
      <c r="AK510" s="157"/>
      <c r="AL510" s="285"/>
      <c r="AM510" s="208"/>
      <c r="AN510" s="16"/>
      <c r="AO510" s="635"/>
      <c r="AP510" s="636"/>
      <c r="AQ510" s="640"/>
      <c r="AR510" s="158"/>
      <c r="AS510" s="641"/>
      <c r="AT510" s="399"/>
      <c r="AU510" s="618"/>
      <c r="AV510" s="16"/>
      <c r="AW510" s="16"/>
      <c r="AX510" s="170"/>
      <c r="AY510" s="86"/>
      <c r="AZ510" s="272"/>
      <c r="BA510" s="50"/>
      <c r="BB510" s="31"/>
      <c r="BC510" s="157"/>
      <c r="BD510" s="342"/>
      <c r="BE510" s="208"/>
      <c r="BF510" s="16"/>
      <c r="BG510" s="170"/>
      <c r="BH510" s="86"/>
      <c r="BI510" s="272"/>
      <c r="BJ510" s="50"/>
      <c r="BK510" s="31"/>
      <c r="BL510" s="157"/>
      <c r="BM510" s="342"/>
      <c r="BN510" s="208"/>
      <c r="BO510" s="16"/>
      <c r="BP510" s="635">
        <v>0</v>
      </c>
      <c r="BQ510" s="636">
        <v>0</v>
      </c>
      <c r="BR510" s="50">
        <v>1990</v>
      </c>
      <c r="BS510" s="31"/>
      <c r="BT510" s="33"/>
      <c r="BU510" s="43">
        <v>-1</v>
      </c>
      <c r="BV510" s="209">
        <f t="shared" si="303"/>
        <v>-1</v>
      </c>
      <c r="BW510" s="141"/>
      <c r="BX510" s="311"/>
      <c r="BY510" s="137"/>
    </row>
    <row r="511" spans="1:77" ht="15" customHeight="1" x14ac:dyDescent="0.2">
      <c r="A511" s="55" t="s">
        <v>25</v>
      </c>
      <c r="B511" s="107" t="s">
        <v>546</v>
      </c>
      <c r="C511" s="637" t="s">
        <v>3053</v>
      </c>
      <c r="D511" s="1387">
        <v>43</v>
      </c>
      <c r="E511" s="161" t="s">
        <v>2975</v>
      </c>
      <c r="F511" s="604"/>
      <c r="G511" s="60"/>
      <c r="H511" s="61"/>
      <c r="I511" s="609"/>
      <c r="J511" s="121"/>
      <c r="K511" s="121"/>
      <c r="L511" s="609"/>
      <c r="M511" s="62"/>
      <c r="N511" s="355"/>
      <c r="O511" s="604"/>
      <c r="P511" s="62"/>
      <c r="Q511" s="355"/>
      <c r="R511" s="604"/>
      <c r="S511" s="62"/>
      <c r="T511" s="355"/>
      <c r="U511" s="62"/>
      <c r="V511" s="62"/>
      <c r="W511" s="19"/>
      <c r="X511" s="20"/>
      <c r="Y511" s="50"/>
      <c r="Z511" s="50"/>
      <c r="AA511" s="31"/>
      <c r="AB511" s="395"/>
      <c r="AC511" s="443"/>
      <c r="AD511" s="16"/>
      <c r="AE511" s="16"/>
      <c r="AF511" s="170"/>
      <c r="AG511" s="86"/>
      <c r="AH511" s="272"/>
      <c r="AI511" s="50"/>
      <c r="AJ511" s="31"/>
      <c r="AK511" s="157"/>
      <c r="AL511" s="285"/>
      <c r="AM511" s="208"/>
      <c r="AN511" s="16"/>
      <c r="AO511" s="635"/>
      <c r="AP511" s="636"/>
      <c r="AQ511" s="640"/>
      <c r="AR511" s="158"/>
      <c r="AS511" s="641"/>
      <c r="AT511" s="399"/>
      <c r="AU511" s="618"/>
      <c r="AV511" s="16"/>
      <c r="AW511" s="16"/>
      <c r="AX511" s="170"/>
      <c r="AY511" s="86"/>
      <c r="AZ511" s="272"/>
      <c r="BA511" s="50"/>
      <c r="BB511" s="31"/>
      <c r="BC511" s="157"/>
      <c r="BD511" s="342"/>
      <c r="BE511" s="208"/>
      <c r="BF511" s="16"/>
      <c r="BG511" s="170"/>
      <c r="BH511" s="86"/>
      <c r="BI511" s="272"/>
      <c r="BJ511" s="50"/>
      <c r="BK511" s="31"/>
      <c r="BL511" s="157"/>
      <c r="BM511" s="342"/>
      <c r="BN511" s="208"/>
      <c r="BO511" s="16"/>
      <c r="BP511" s="635">
        <v>0</v>
      </c>
      <c r="BQ511" s="636">
        <v>0</v>
      </c>
      <c r="BR511" s="50">
        <v>1990</v>
      </c>
      <c r="BS511" s="31"/>
      <c r="BT511" s="33"/>
      <c r="BU511" s="43">
        <v>-1</v>
      </c>
      <c r="BV511" s="209">
        <f t="shared" si="303"/>
        <v>-1</v>
      </c>
      <c r="BW511" s="141"/>
      <c r="BX511" s="311"/>
      <c r="BY511" s="137"/>
    </row>
    <row r="512" spans="1:77" ht="15" customHeight="1" x14ac:dyDescent="0.2">
      <c r="A512" s="55" t="s">
        <v>25</v>
      </c>
      <c r="B512" s="107" t="s">
        <v>477</v>
      </c>
      <c r="C512" s="637" t="s">
        <v>3054</v>
      </c>
      <c r="D512" s="1387">
        <v>51</v>
      </c>
      <c r="E512" s="161" t="s">
        <v>2975</v>
      </c>
      <c r="F512" s="604"/>
      <c r="G512" s="60"/>
      <c r="H512" s="61"/>
      <c r="I512" s="609"/>
      <c r="J512" s="121"/>
      <c r="K512" s="121"/>
      <c r="L512" s="609"/>
      <c r="M512" s="62"/>
      <c r="N512" s="355"/>
      <c r="O512" s="604"/>
      <c r="P512" s="62"/>
      <c r="Q512" s="355"/>
      <c r="R512" s="604"/>
      <c r="S512" s="62"/>
      <c r="T512" s="355"/>
      <c r="U512" s="62"/>
      <c r="V512" s="62"/>
      <c r="W512" s="19"/>
      <c r="X512" s="20"/>
      <c r="Y512" s="50"/>
      <c r="Z512" s="50"/>
      <c r="AA512" s="31"/>
      <c r="AB512" s="395"/>
      <c r="AC512" s="443"/>
      <c r="AD512" s="16"/>
      <c r="AE512" s="16"/>
      <c r="AF512" s="170"/>
      <c r="AG512" s="86"/>
      <c r="AH512" s="272"/>
      <c r="AI512" s="50"/>
      <c r="AJ512" s="31"/>
      <c r="AK512" s="157"/>
      <c r="AL512" s="285"/>
      <c r="AM512" s="208"/>
      <c r="AN512" s="16"/>
      <c r="AO512" s="635"/>
      <c r="AP512" s="636"/>
      <c r="AQ512" s="640"/>
      <c r="AR512" s="158"/>
      <c r="AS512" s="641"/>
      <c r="AT512" s="399"/>
      <c r="AU512" s="618"/>
      <c r="AV512" s="16"/>
      <c r="AW512" s="16"/>
      <c r="AX512" s="170"/>
      <c r="AY512" s="86"/>
      <c r="AZ512" s="272"/>
      <c r="BA512" s="50"/>
      <c r="BB512" s="31"/>
      <c r="BC512" s="157"/>
      <c r="BD512" s="342"/>
      <c r="BE512" s="208"/>
      <c r="BF512" s="16"/>
      <c r="BG512" s="170"/>
      <c r="BH512" s="86"/>
      <c r="BI512" s="272"/>
      <c r="BJ512" s="50"/>
      <c r="BK512" s="31"/>
      <c r="BL512" s="157"/>
      <c r="BM512" s="342"/>
      <c r="BN512" s="208"/>
      <c r="BO512" s="16"/>
      <c r="BP512" s="635">
        <v>0</v>
      </c>
      <c r="BQ512" s="636">
        <v>0</v>
      </c>
      <c r="BR512" s="50">
        <v>1990</v>
      </c>
      <c r="BS512" s="31"/>
      <c r="BT512" s="33"/>
      <c r="BU512" s="43">
        <v>-1</v>
      </c>
      <c r="BV512" s="209">
        <f t="shared" si="303"/>
        <v>-1</v>
      </c>
      <c r="BW512" s="141"/>
      <c r="BX512" s="311"/>
      <c r="BY512" s="137"/>
    </row>
    <row r="513" spans="1:77" ht="15" customHeight="1" x14ac:dyDescent="0.2">
      <c r="A513" s="55" t="s">
        <v>25</v>
      </c>
      <c r="B513" s="107" t="s">
        <v>477</v>
      </c>
      <c r="C513" s="637" t="s">
        <v>3055</v>
      </c>
      <c r="D513" s="1387">
        <v>26</v>
      </c>
      <c r="E513" s="161" t="s">
        <v>2975</v>
      </c>
      <c r="F513" s="604"/>
      <c r="G513" s="60"/>
      <c r="H513" s="61"/>
      <c r="I513" s="609"/>
      <c r="J513" s="121"/>
      <c r="K513" s="121"/>
      <c r="L513" s="609"/>
      <c r="M513" s="62"/>
      <c r="N513" s="355"/>
      <c r="O513" s="604"/>
      <c r="P513" s="62"/>
      <c r="Q513" s="355"/>
      <c r="R513" s="604"/>
      <c r="S513" s="62"/>
      <c r="T513" s="355"/>
      <c r="U513" s="62"/>
      <c r="V513" s="62"/>
      <c r="W513" s="19"/>
      <c r="X513" s="20"/>
      <c r="Y513" s="50"/>
      <c r="Z513" s="50"/>
      <c r="AA513" s="31"/>
      <c r="AB513" s="395"/>
      <c r="AC513" s="443"/>
      <c r="AD513" s="16"/>
      <c r="AE513" s="16"/>
      <c r="AF513" s="170"/>
      <c r="AG513" s="86"/>
      <c r="AH513" s="272"/>
      <c r="AI513" s="50"/>
      <c r="AJ513" s="31"/>
      <c r="AK513" s="157"/>
      <c r="AL513" s="285"/>
      <c r="AM513" s="208"/>
      <c r="AN513" s="16"/>
      <c r="AO513" s="635"/>
      <c r="AP513" s="636"/>
      <c r="AQ513" s="640"/>
      <c r="AR513" s="158"/>
      <c r="AS513" s="641"/>
      <c r="AT513" s="399"/>
      <c r="AU513" s="618"/>
      <c r="AV513" s="16"/>
      <c r="AW513" s="16"/>
      <c r="AX513" s="170"/>
      <c r="AY513" s="86"/>
      <c r="AZ513" s="272"/>
      <c r="BA513" s="50"/>
      <c r="BB513" s="31"/>
      <c r="BC513" s="157"/>
      <c r="BD513" s="342"/>
      <c r="BE513" s="208"/>
      <c r="BF513" s="16"/>
      <c r="BG513" s="170"/>
      <c r="BH513" s="86"/>
      <c r="BI513" s="272"/>
      <c r="BJ513" s="50"/>
      <c r="BK513" s="31"/>
      <c r="BL513" s="157"/>
      <c r="BM513" s="342"/>
      <c r="BN513" s="208"/>
      <c r="BO513" s="16"/>
      <c r="BP513" s="635">
        <v>0</v>
      </c>
      <c r="BQ513" s="636">
        <v>0</v>
      </c>
      <c r="BR513" s="50">
        <v>1990</v>
      </c>
      <c r="BS513" s="31"/>
      <c r="BT513" s="33"/>
      <c r="BU513" s="43">
        <v>-1</v>
      </c>
      <c r="BV513" s="209">
        <f t="shared" si="303"/>
        <v>-1</v>
      </c>
      <c r="BW513" s="141"/>
      <c r="BX513" s="311"/>
      <c r="BY513" s="137"/>
    </row>
    <row r="514" spans="1:77" ht="15" customHeight="1" x14ac:dyDescent="0.2">
      <c r="A514" s="55" t="s">
        <v>25</v>
      </c>
      <c r="B514" s="107" t="s">
        <v>3056</v>
      </c>
      <c r="C514" s="637" t="s">
        <v>3304</v>
      </c>
      <c r="D514" s="1387">
        <v>465</v>
      </c>
      <c r="E514" s="161" t="s">
        <v>3308</v>
      </c>
      <c r="F514" s="604"/>
      <c r="G514" s="60"/>
      <c r="H514" s="61"/>
      <c r="I514" s="609"/>
      <c r="J514" s="121"/>
      <c r="K514" s="121"/>
      <c r="L514" s="609"/>
      <c r="M514" s="62"/>
      <c r="N514" s="355"/>
      <c r="O514" s="604">
        <v>2013</v>
      </c>
      <c r="P514" s="62"/>
      <c r="Q514" s="355">
        <v>3.5369999999999999</v>
      </c>
      <c r="R514" s="604"/>
      <c r="S514" s="62"/>
      <c r="T514" s="355"/>
      <c r="U514" s="62"/>
      <c r="V514" s="62"/>
      <c r="W514" s="19"/>
      <c r="X514" s="20"/>
      <c r="Y514" s="50"/>
      <c r="Z514" s="50"/>
      <c r="AA514" s="31"/>
      <c r="AB514" s="395"/>
      <c r="AC514" s="443"/>
      <c r="AD514" s="16"/>
      <c r="AE514" s="16"/>
      <c r="AF514" s="170"/>
      <c r="AG514" s="86"/>
      <c r="AH514" s="272"/>
      <c r="AI514" s="50"/>
      <c r="AJ514" s="31"/>
      <c r="AK514" s="157"/>
      <c r="AL514" s="285"/>
      <c r="AM514" s="208"/>
      <c r="AN514" s="16"/>
      <c r="AO514" s="635"/>
      <c r="AP514" s="636"/>
      <c r="AQ514" s="640"/>
      <c r="AR514" s="158"/>
      <c r="AS514" s="641"/>
      <c r="AT514" s="399"/>
      <c r="AU514" s="618"/>
      <c r="AV514" s="16"/>
      <c r="AW514" s="16"/>
      <c r="AX514" s="170"/>
      <c r="AY514" s="86"/>
      <c r="AZ514" s="272"/>
      <c r="BA514" s="50"/>
      <c r="BB514" s="31"/>
      <c r="BC514" s="157"/>
      <c r="BD514" s="342"/>
      <c r="BE514" s="208"/>
      <c r="BF514" s="16"/>
      <c r="BG514" s="170"/>
      <c r="BH514" s="86"/>
      <c r="BI514" s="272"/>
      <c r="BJ514" s="50"/>
      <c r="BK514" s="31"/>
      <c r="BL514" s="157"/>
      <c r="BM514" s="342"/>
      <c r="BN514" s="208"/>
      <c r="BO514" s="16"/>
      <c r="BP514" s="635">
        <v>0</v>
      </c>
      <c r="BQ514" s="636">
        <v>0</v>
      </c>
      <c r="BR514" s="50">
        <v>1990</v>
      </c>
      <c r="BS514" s="31"/>
      <c r="BT514" s="33"/>
      <c r="BU514" s="43">
        <v>-1</v>
      </c>
      <c r="BV514" s="209">
        <f t="shared" si="303"/>
        <v>-1</v>
      </c>
      <c r="BW514" s="141"/>
      <c r="BX514" s="311"/>
      <c r="BY514" s="137"/>
    </row>
    <row r="515" spans="1:77" ht="15" customHeight="1" x14ac:dyDescent="0.2">
      <c r="A515" s="55" t="s">
        <v>25</v>
      </c>
      <c r="B515" s="107" t="s">
        <v>477</v>
      </c>
      <c r="C515" s="637" t="s">
        <v>3057</v>
      </c>
      <c r="D515" s="1387">
        <v>67</v>
      </c>
      <c r="E515" s="161" t="s">
        <v>2975</v>
      </c>
      <c r="F515" s="604"/>
      <c r="G515" s="60"/>
      <c r="H515" s="61"/>
      <c r="I515" s="609"/>
      <c r="J515" s="121"/>
      <c r="K515" s="121"/>
      <c r="L515" s="609"/>
      <c r="M515" s="62"/>
      <c r="N515" s="355"/>
      <c r="O515" s="604"/>
      <c r="P515" s="62"/>
      <c r="Q515" s="355"/>
      <c r="R515" s="604"/>
      <c r="S515" s="62"/>
      <c r="T515" s="355"/>
      <c r="U515" s="62"/>
      <c r="V515" s="62"/>
      <c r="W515" s="19"/>
      <c r="X515" s="20"/>
      <c r="Y515" s="50"/>
      <c r="Z515" s="50"/>
      <c r="AA515" s="31"/>
      <c r="AB515" s="395"/>
      <c r="AC515" s="443"/>
      <c r="AD515" s="16"/>
      <c r="AE515" s="16"/>
      <c r="AF515" s="170"/>
      <c r="AG515" s="86"/>
      <c r="AH515" s="272"/>
      <c r="AI515" s="50"/>
      <c r="AJ515" s="31"/>
      <c r="AK515" s="157"/>
      <c r="AL515" s="285"/>
      <c r="AM515" s="208"/>
      <c r="AN515" s="16"/>
      <c r="AO515" s="635"/>
      <c r="AP515" s="636"/>
      <c r="AQ515" s="640"/>
      <c r="AR515" s="158"/>
      <c r="AS515" s="641"/>
      <c r="AT515" s="399"/>
      <c r="AU515" s="618"/>
      <c r="AV515" s="16"/>
      <c r="AW515" s="16"/>
      <c r="AX515" s="170"/>
      <c r="AY515" s="86"/>
      <c r="AZ515" s="272"/>
      <c r="BA515" s="50"/>
      <c r="BB515" s="31"/>
      <c r="BC515" s="157"/>
      <c r="BD515" s="342"/>
      <c r="BE515" s="208"/>
      <c r="BF515" s="16"/>
      <c r="BG515" s="170"/>
      <c r="BH515" s="86"/>
      <c r="BI515" s="272"/>
      <c r="BJ515" s="50"/>
      <c r="BK515" s="31"/>
      <c r="BL515" s="157"/>
      <c r="BM515" s="342"/>
      <c r="BN515" s="208"/>
      <c r="BO515" s="16"/>
      <c r="BP515" s="635">
        <v>0</v>
      </c>
      <c r="BQ515" s="636">
        <v>0</v>
      </c>
      <c r="BR515" s="50">
        <v>1990</v>
      </c>
      <c r="BS515" s="31"/>
      <c r="BT515" s="33"/>
      <c r="BU515" s="43">
        <v>-1</v>
      </c>
      <c r="BV515" s="209">
        <f t="shared" si="303"/>
        <v>-1</v>
      </c>
      <c r="BW515" s="141"/>
      <c r="BX515" s="311"/>
      <c r="BY515" s="137"/>
    </row>
    <row r="516" spans="1:77" ht="15" customHeight="1" x14ac:dyDescent="0.2">
      <c r="A516" s="55" t="s">
        <v>25</v>
      </c>
      <c r="B516" s="107" t="s">
        <v>3065</v>
      </c>
      <c r="C516" s="637" t="s">
        <v>3058</v>
      </c>
      <c r="D516" s="1387">
        <v>72</v>
      </c>
      <c r="E516" s="161" t="s">
        <v>2975</v>
      </c>
      <c r="F516" s="604"/>
      <c r="G516" s="60"/>
      <c r="H516" s="61"/>
      <c r="I516" s="609"/>
      <c r="J516" s="121"/>
      <c r="K516" s="121"/>
      <c r="L516" s="609"/>
      <c r="M516" s="62"/>
      <c r="N516" s="355"/>
      <c r="O516" s="604"/>
      <c r="P516" s="62"/>
      <c r="Q516" s="355"/>
      <c r="R516" s="604"/>
      <c r="S516" s="62"/>
      <c r="T516" s="355"/>
      <c r="U516" s="62"/>
      <c r="V516" s="62"/>
      <c r="W516" s="19"/>
      <c r="X516" s="20"/>
      <c r="Y516" s="50"/>
      <c r="Z516" s="50"/>
      <c r="AA516" s="31"/>
      <c r="AB516" s="395"/>
      <c r="AC516" s="443"/>
      <c r="AD516" s="16"/>
      <c r="AE516" s="16"/>
      <c r="AF516" s="170"/>
      <c r="AG516" s="86"/>
      <c r="AH516" s="272"/>
      <c r="AI516" s="50"/>
      <c r="AJ516" s="31"/>
      <c r="AK516" s="157"/>
      <c r="AL516" s="285"/>
      <c r="AM516" s="208"/>
      <c r="AN516" s="16"/>
      <c r="AO516" s="635"/>
      <c r="AP516" s="636"/>
      <c r="AQ516" s="640"/>
      <c r="AR516" s="158"/>
      <c r="AS516" s="641"/>
      <c r="AT516" s="399"/>
      <c r="AU516" s="618"/>
      <c r="AV516" s="16"/>
      <c r="AW516" s="16"/>
      <c r="AX516" s="170"/>
      <c r="AY516" s="86"/>
      <c r="AZ516" s="272"/>
      <c r="BA516" s="50"/>
      <c r="BB516" s="31"/>
      <c r="BC516" s="157"/>
      <c r="BD516" s="342"/>
      <c r="BE516" s="208"/>
      <c r="BF516" s="16"/>
      <c r="BG516" s="170"/>
      <c r="BH516" s="86"/>
      <c r="BI516" s="272"/>
      <c r="BJ516" s="50"/>
      <c r="BK516" s="31"/>
      <c r="BL516" s="157"/>
      <c r="BM516" s="342"/>
      <c r="BN516" s="208"/>
      <c r="BO516" s="16"/>
      <c r="BP516" s="635">
        <v>0</v>
      </c>
      <c r="BQ516" s="636">
        <v>0</v>
      </c>
      <c r="BR516" s="50">
        <v>1990</v>
      </c>
      <c r="BS516" s="31"/>
      <c r="BT516" s="33"/>
      <c r="BU516" s="43">
        <v>-1</v>
      </c>
      <c r="BV516" s="209">
        <f t="shared" si="303"/>
        <v>-1</v>
      </c>
      <c r="BW516" s="141"/>
      <c r="BX516" s="311"/>
      <c r="BY516" s="137"/>
    </row>
    <row r="517" spans="1:77" ht="15" customHeight="1" x14ac:dyDescent="0.2">
      <c r="A517" s="55" t="s">
        <v>25</v>
      </c>
      <c r="B517" s="107" t="s">
        <v>477</v>
      </c>
      <c r="C517" s="637" t="s">
        <v>3048</v>
      </c>
      <c r="D517" s="1387">
        <v>75</v>
      </c>
      <c r="E517" s="161" t="s">
        <v>2975</v>
      </c>
      <c r="F517" s="604"/>
      <c r="G517" s="60"/>
      <c r="H517" s="61"/>
      <c r="I517" s="609"/>
      <c r="J517" s="121"/>
      <c r="K517" s="121"/>
      <c r="L517" s="609"/>
      <c r="M517" s="62"/>
      <c r="N517" s="355"/>
      <c r="O517" s="604"/>
      <c r="P517" s="62"/>
      <c r="Q517" s="355"/>
      <c r="R517" s="604"/>
      <c r="S517" s="62"/>
      <c r="T517" s="355"/>
      <c r="U517" s="62"/>
      <c r="V517" s="62"/>
      <c r="W517" s="19"/>
      <c r="X517" s="20"/>
      <c r="Y517" s="50"/>
      <c r="Z517" s="50"/>
      <c r="AA517" s="31"/>
      <c r="AB517" s="395"/>
      <c r="AC517" s="443"/>
      <c r="AD517" s="16"/>
      <c r="AE517" s="16"/>
      <c r="AF517" s="170"/>
      <c r="AG517" s="86"/>
      <c r="AH517" s="272"/>
      <c r="AI517" s="50"/>
      <c r="AJ517" s="31"/>
      <c r="AK517" s="157"/>
      <c r="AL517" s="285"/>
      <c r="AM517" s="208"/>
      <c r="AN517" s="16"/>
      <c r="AO517" s="635"/>
      <c r="AP517" s="636"/>
      <c r="AQ517" s="640"/>
      <c r="AR517" s="158"/>
      <c r="AS517" s="641"/>
      <c r="AT517" s="399"/>
      <c r="AU517" s="618"/>
      <c r="AV517" s="16"/>
      <c r="AW517" s="16"/>
      <c r="AX517" s="170"/>
      <c r="AY517" s="86"/>
      <c r="AZ517" s="272"/>
      <c r="BA517" s="50"/>
      <c r="BB517" s="31"/>
      <c r="BC517" s="157"/>
      <c r="BD517" s="342"/>
      <c r="BE517" s="208"/>
      <c r="BF517" s="16"/>
      <c r="BG517" s="170"/>
      <c r="BH517" s="86"/>
      <c r="BI517" s="272"/>
      <c r="BJ517" s="50"/>
      <c r="BK517" s="31"/>
      <c r="BL517" s="157"/>
      <c r="BM517" s="342"/>
      <c r="BN517" s="208"/>
      <c r="BO517" s="16"/>
      <c r="BP517" s="635">
        <v>0</v>
      </c>
      <c r="BQ517" s="636">
        <v>0</v>
      </c>
      <c r="BR517" s="50">
        <v>1990</v>
      </c>
      <c r="BS517" s="31"/>
      <c r="BT517" s="33"/>
      <c r="BU517" s="43">
        <v>-1</v>
      </c>
      <c r="BV517" s="209">
        <f t="shared" si="303"/>
        <v>-1</v>
      </c>
      <c r="BW517" s="141"/>
      <c r="BX517" s="311"/>
      <c r="BY517" s="137"/>
    </row>
    <row r="518" spans="1:77" ht="15" customHeight="1" x14ac:dyDescent="0.2">
      <c r="A518" s="55" t="s">
        <v>25</v>
      </c>
      <c r="B518" s="107" t="s">
        <v>477</v>
      </c>
      <c r="C518" s="637" t="s">
        <v>3059</v>
      </c>
      <c r="D518" s="1387">
        <v>68</v>
      </c>
      <c r="E518" s="161" t="s">
        <v>2975</v>
      </c>
      <c r="F518" s="604"/>
      <c r="G518" s="60"/>
      <c r="H518" s="61"/>
      <c r="I518" s="609"/>
      <c r="J518" s="121"/>
      <c r="K518" s="121"/>
      <c r="L518" s="609"/>
      <c r="M518" s="62"/>
      <c r="N518" s="355"/>
      <c r="O518" s="604"/>
      <c r="P518" s="62"/>
      <c r="Q518" s="355"/>
      <c r="R518" s="604"/>
      <c r="S518" s="62"/>
      <c r="T518" s="355"/>
      <c r="U518" s="62"/>
      <c r="V518" s="62"/>
      <c r="W518" s="19"/>
      <c r="X518" s="20"/>
      <c r="Y518" s="50"/>
      <c r="Z518" s="50"/>
      <c r="AA518" s="31"/>
      <c r="AB518" s="395"/>
      <c r="AC518" s="443"/>
      <c r="AD518" s="16"/>
      <c r="AE518" s="16"/>
      <c r="AF518" s="170"/>
      <c r="AG518" s="86"/>
      <c r="AH518" s="272"/>
      <c r="AI518" s="50"/>
      <c r="AJ518" s="31"/>
      <c r="AK518" s="157"/>
      <c r="AL518" s="285"/>
      <c r="AM518" s="208"/>
      <c r="AN518" s="16"/>
      <c r="AO518" s="635"/>
      <c r="AP518" s="636"/>
      <c r="AQ518" s="640"/>
      <c r="AR518" s="158"/>
      <c r="AS518" s="641"/>
      <c r="AT518" s="399"/>
      <c r="AU518" s="618"/>
      <c r="AV518" s="16"/>
      <c r="AW518" s="16"/>
      <c r="AX518" s="170"/>
      <c r="AY518" s="86"/>
      <c r="AZ518" s="272"/>
      <c r="BA518" s="50"/>
      <c r="BB518" s="31"/>
      <c r="BC518" s="157"/>
      <c r="BD518" s="342"/>
      <c r="BE518" s="208"/>
      <c r="BF518" s="16"/>
      <c r="BG518" s="170"/>
      <c r="BH518" s="86"/>
      <c r="BI518" s="272"/>
      <c r="BJ518" s="50"/>
      <c r="BK518" s="31"/>
      <c r="BL518" s="157"/>
      <c r="BM518" s="342"/>
      <c r="BN518" s="208"/>
      <c r="BO518" s="16"/>
      <c r="BP518" s="635">
        <v>0</v>
      </c>
      <c r="BQ518" s="636">
        <v>0</v>
      </c>
      <c r="BR518" s="50">
        <v>1990</v>
      </c>
      <c r="BS518" s="31"/>
      <c r="BT518" s="33"/>
      <c r="BU518" s="43">
        <v>-1</v>
      </c>
      <c r="BV518" s="209">
        <f t="shared" si="303"/>
        <v>-1</v>
      </c>
      <c r="BW518" s="141"/>
      <c r="BX518" s="311"/>
      <c r="BY518" s="137"/>
    </row>
    <row r="519" spans="1:77" ht="15" customHeight="1" x14ac:dyDescent="0.2">
      <c r="A519" s="55" t="s">
        <v>25</v>
      </c>
      <c r="B519" s="107" t="s">
        <v>477</v>
      </c>
      <c r="C519" s="637" t="s">
        <v>3060</v>
      </c>
      <c r="D519" s="1387">
        <v>23</v>
      </c>
      <c r="E519" s="161" t="s">
        <v>2975</v>
      </c>
      <c r="F519" s="604"/>
      <c r="G519" s="60"/>
      <c r="H519" s="61"/>
      <c r="I519" s="609"/>
      <c r="J519" s="121"/>
      <c r="K519" s="121"/>
      <c r="L519" s="609"/>
      <c r="M519" s="62"/>
      <c r="N519" s="355"/>
      <c r="O519" s="604"/>
      <c r="P519" s="62"/>
      <c r="Q519" s="355"/>
      <c r="R519" s="604"/>
      <c r="S519" s="62"/>
      <c r="T519" s="355"/>
      <c r="U519" s="62"/>
      <c r="V519" s="62"/>
      <c r="W519" s="19"/>
      <c r="X519" s="20"/>
      <c r="Y519" s="50"/>
      <c r="Z519" s="50"/>
      <c r="AA519" s="31"/>
      <c r="AB519" s="395"/>
      <c r="AC519" s="443"/>
      <c r="AD519" s="16"/>
      <c r="AE519" s="16"/>
      <c r="AF519" s="170"/>
      <c r="AG519" s="86"/>
      <c r="AH519" s="272"/>
      <c r="AI519" s="50"/>
      <c r="AJ519" s="31"/>
      <c r="AK519" s="157"/>
      <c r="AL519" s="285"/>
      <c r="AM519" s="208"/>
      <c r="AN519" s="16"/>
      <c r="AO519" s="635"/>
      <c r="AP519" s="636"/>
      <c r="AQ519" s="640"/>
      <c r="AR519" s="158"/>
      <c r="AS519" s="641"/>
      <c r="AT519" s="399"/>
      <c r="AU519" s="618"/>
      <c r="AV519" s="16"/>
      <c r="AW519" s="16"/>
      <c r="AX519" s="170"/>
      <c r="AY519" s="86"/>
      <c r="AZ519" s="272"/>
      <c r="BA519" s="50"/>
      <c r="BB519" s="31"/>
      <c r="BC519" s="157"/>
      <c r="BD519" s="342"/>
      <c r="BE519" s="208"/>
      <c r="BF519" s="16"/>
      <c r="BG519" s="170"/>
      <c r="BH519" s="86"/>
      <c r="BI519" s="272"/>
      <c r="BJ519" s="50"/>
      <c r="BK519" s="31"/>
      <c r="BL519" s="157"/>
      <c r="BM519" s="342"/>
      <c r="BN519" s="208"/>
      <c r="BO519" s="16"/>
      <c r="BP519" s="635">
        <v>0</v>
      </c>
      <c r="BQ519" s="636">
        <v>0</v>
      </c>
      <c r="BR519" s="50">
        <v>1990</v>
      </c>
      <c r="BS519" s="31"/>
      <c r="BT519" s="33"/>
      <c r="BU519" s="43">
        <v>-1</v>
      </c>
      <c r="BV519" s="209">
        <f t="shared" si="303"/>
        <v>-1</v>
      </c>
      <c r="BW519" s="141"/>
      <c r="BX519" s="311"/>
      <c r="BY519" s="137"/>
    </row>
    <row r="520" spans="1:77" ht="15" customHeight="1" x14ac:dyDescent="0.2">
      <c r="A520" s="55" t="s">
        <v>25</v>
      </c>
      <c r="B520" s="107" t="s">
        <v>477</v>
      </c>
      <c r="C520" s="637" t="s">
        <v>3061</v>
      </c>
      <c r="D520" s="1387">
        <v>31</v>
      </c>
      <c r="E520" s="161" t="s">
        <v>2975</v>
      </c>
      <c r="F520" s="604"/>
      <c r="G520" s="60"/>
      <c r="H520" s="61"/>
      <c r="I520" s="609"/>
      <c r="J520" s="121"/>
      <c r="K520" s="121"/>
      <c r="L520" s="609"/>
      <c r="M520" s="62"/>
      <c r="N520" s="355"/>
      <c r="O520" s="604"/>
      <c r="P520" s="62"/>
      <c r="Q520" s="355"/>
      <c r="R520" s="604"/>
      <c r="S520" s="62"/>
      <c r="T520" s="355"/>
      <c r="U520" s="62"/>
      <c r="V520" s="62"/>
      <c r="W520" s="19"/>
      <c r="X520" s="20"/>
      <c r="Y520" s="50"/>
      <c r="Z520" s="50"/>
      <c r="AA520" s="31"/>
      <c r="AB520" s="395"/>
      <c r="AC520" s="443"/>
      <c r="AD520" s="16"/>
      <c r="AE520" s="16"/>
      <c r="AF520" s="170"/>
      <c r="AG520" s="86"/>
      <c r="AH520" s="272"/>
      <c r="AI520" s="50"/>
      <c r="AJ520" s="31"/>
      <c r="AK520" s="157"/>
      <c r="AL520" s="285"/>
      <c r="AM520" s="208"/>
      <c r="AN520" s="16"/>
      <c r="AO520" s="635"/>
      <c r="AP520" s="636"/>
      <c r="AQ520" s="640"/>
      <c r="AR520" s="158"/>
      <c r="AS520" s="641"/>
      <c r="AT520" s="399"/>
      <c r="AU520" s="618"/>
      <c r="AV520" s="16"/>
      <c r="AW520" s="16"/>
      <c r="AX520" s="170"/>
      <c r="AY520" s="86"/>
      <c r="AZ520" s="272"/>
      <c r="BA520" s="50"/>
      <c r="BB520" s="31"/>
      <c r="BC520" s="157"/>
      <c r="BD520" s="342"/>
      <c r="BE520" s="208"/>
      <c r="BF520" s="16"/>
      <c r="BG520" s="170"/>
      <c r="BH520" s="86"/>
      <c r="BI520" s="272"/>
      <c r="BJ520" s="50"/>
      <c r="BK520" s="31"/>
      <c r="BL520" s="157"/>
      <c r="BM520" s="342"/>
      <c r="BN520" s="208"/>
      <c r="BO520" s="16"/>
      <c r="BP520" s="635">
        <v>0</v>
      </c>
      <c r="BQ520" s="636">
        <v>0</v>
      </c>
      <c r="BR520" s="50">
        <v>1990</v>
      </c>
      <c r="BS520" s="31"/>
      <c r="BT520" s="33"/>
      <c r="BU520" s="43">
        <v>-1</v>
      </c>
      <c r="BV520" s="209">
        <f t="shared" si="303"/>
        <v>-1</v>
      </c>
      <c r="BW520" s="141"/>
      <c r="BX520" s="311"/>
      <c r="BY520" s="137"/>
    </row>
    <row r="521" spans="1:77" ht="15" customHeight="1" x14ac:dyDescent="0.2">
      <c r="A521" s="55" t="s">
        <v>25</v>
      </c>
      <c r="B521" s="107" t="s">
        <v>477</v>
      </c>
      <c r="C521" s="637" t="s">
        <v>3062</v>
      </c>
      <c r="D521" s="1387">
        <v>16</v>
      </c>
      <c r="E521" s="161" t="s">
        <v>2975</v>
      </c>
      <c r="F521" s="604"/>
      <c r="G521" s="60"/>
      <c r="H521" s="61"/>
      <c r="I521" s="609"/>
      <c r="J521" s="121"/>
      <c r="K521" s="121"/>
      <c r="L521" s="609"/>
      <c r="M521" s="62"/>
      <c r="N521" s="355"/>
      <c r="O521" s="604"/>
      <c r="P521" s="62"/>
      <c r="Q521" s="355"/>
      <c r="R521" s="604"/>
      <c r="S521" s="62"/>
      <c r="T521" s="355"/>
      <c r="U521" s="62"/>
      <c r="V521" s="62"/>
      <c r="W521" s="19"/>
      <c r="X521" s="20"/>
      <c r="Y521" s="50"/>
      <c r="Z521" s="50"/>
      <c r="AA521" s="31"/>
      <c r="AB521" s="395"/>
      <c r="AC521" s="443"/>
      <c r="AD521" s="16"/>
      <c r="AE521" s="16"/>
      <c r="AF521" s="170"/>
      <c r="AG521" s="86"/>
      <c r="AH521" s="272"/>
      <c r="AI521" s="50"/>
      <c r="AJ521" s="31"/>
      <c r="AK521" s="157"/>
      <c r="AL521" s="285"/>
      <c r="AM521" s="208"/>
      <c r="AN521" s="16"/>
      <c r="AO521" s="635"/>
      <c r="AP521" s="636"/>
      <c r="AQ521" s="640"/>
      <c r="AR521" s="158"/>
      <c r="AS521" s="641"/>
      <c r="AT521" s="399"/>
      <c r="AU521" s="618"/>
      <c r="AV521" s="16"/>
      <c r="AW521" s="16"/>
      <c r="AX521" s="170"/>
      <c r="AY521" s="86"/>
      <c r="AZ521" s="272"/>
      <c r="BA521" s="50"/>
      <c r="BB521" s="31"/>
      <c r="BC521" s="157"/>
      <c r="BD521" s="342"/>
      <c r="BE521" s="208"/>
      <c r="BF521" s="16"/>
      <c r="BG521" s="170"/>
      <c r="BH521" s="86"/>
      <c r="BI521" s="272"/>
      <c r="BJ521" s="50"/>
      <c r="BK521" s="31"/>
      <c r="BL521" s="157"/>
      <c r="BM521" s="342"/>
      <c r="BN521" s="208"/>
      <c r="BO521" s="16"/>
      <c r="BP521" s="635">
        <v>0</v>
      </c>
      <c r="BQ521" s="636">
        <v>0</v>
      </c>
      <c r="BR521" s="50">
        <v>1990</v>
      </c>
      <c r="BS521" s="31"/>
      <c r="BT521" s="33"/>
      <c r="BU521" s="43">
        <v>-1</v>
      </c>
      <c r="BV521" s="209">
        <f t="shared" si="303"/>
        <v>-1</v>
      </c>
      <c r="BW521" s="141"/>
      <c r="BX521" s="311"/>
      <c r="BY521" s="137"/>
    </row>
    <row r="522" spans="1:77" ht="15" customHeight="1" x14ac:dyDescent="0.2">
      <c r="A522" s="55" t="s">
        <v>25</v>
      </c>
      <c r="B522" s="107" t="s">
        <v>477</v>
      </c>
      <c r="C522" s="637" t="s">
        <v>3063</v>
      </c>
      <c r="D522" s="1387">
        <v>15</v>
      </c>
      <c r="E522" s="161" t="s">
        <v>2975</v>
      </c>
      <c r="F522" s="604"/>
      <c r="G522" s="60"/>
      <c r="H522" s="61"/>
      <c r="I522" s="609"/>
      <c r="J522" s="121"/>
      <c r="K522" s="121"/>
      <c r="L522" s="609"/>
      <c r="M522" s="62"/>
      <c r="N522" s="355"/>
      <c r="O522" s="604"/>
      <c r="P522" s="62"/>
      <c r="Q522" s="355"/>
      <c r="R522" s="604"/>
      <c r="S522" s="62"/>
      <c r="T522" s="355"/>
      <c r="U522" s="62"/>
      <c r="V522" s="62"/>
      <c r="W522" s="19"/>
      <c r="X522" s="20"/>
      <c r="Y522" s="50"/>
      <c r="Z522" s="50"/>
      <c r="AA522" s="31"/>
      <c r="AB522" s="395"/>
      <c r="AC522" s="443"/>
      <c r="AD522" s="16"/>
      <c r="AE522" s="16"/>
      <c r="AF522" s="170"/>
      <c r="AG522" s="86"/>
      <c r="AH522" s="272"/>
      <c r="AI522" s="50"/>
      <c r="AJ522" s="31"/>
      <c r="AK522" s="157"/>
      <c r="AL522" s="285"/>
      <c r="AM522" s="208"/>
      <c r="AN522" s="16"/>
      <c r="AO522" s="635"/>
      <c r="AP522" s="636"/>
      <c r="AQ522" s="640"/>
      <c r="AR522" s="158"/>
      <c r="AS522" s="641"/>
      <c r="AT522" s="399"/>
      <c r="AU522" s="618"/>
      <c r="AV522" s="16"/>
      <c r="AW522" s="16"/>
      <c r="AX522" s="170"/>
      <c r="AY522" s="86"/>
      <c r="AZ522" s="272"/>
      <c r="BA522" s="50"/>
      <c r="BB522" s="31"/>
      <c r="BC522" s="157"/>
      <c r="BD522" s="342"/>
      <c r="BE522" s="208"/>
      <c r="BF522" s="16"/>
      <c r="BG522" s="170"/>
      <c r="BH522" s="86"/>
      <c r="BI522" s="272"/>
      <c r="BJ522" s="50"/>
      <c r="BK522" s="31"/>
      <c r="BL522" s="157"/>
      <c r="BM522" s="342"/>
      <c r="BN522" s="208"/>
      <c r="BO522" s="16"/>
      <c r="BP522" s="635">
        <v>0</v>
      </c>
      <c r="BQ522" s="636">
        <v>0</v>
      </c>
      <c r="BR522" s="50">
        <v>1990</v>
      </c>
      <c r="BS522" s="31"/>
      <c r="BT522" s="33"/>
      <c r="BU522" s="43">
        <v>-1</v>
      </c>
      <c r="BV522" s="209">
        <f t="shared" si="303"/>
        <v>-1</v>
      </c>
      <c r="BW522" s="141"/>
      <c r="BX522" s="311"/>
      <c r="BY522" s="137"/>
    </row>
    <row r="523" spans="1:77" ht="15" customHeight="1" x14ac:dyDescent="0.2">
      <c r="A523" s="55" t="s">
        <v>25</v>
      </c>
      <c r="B523" s="107" t="s">
        <v>477</v>
      </c>
      <c r="C523" s="637" t="s">
        <v>3064</v>
      </c>
      <c r="D523" s="1387">
        <v>21</v>
      </c>
      <c r="E523" s="161" t="s">
        <v>2975</v>
      </c>
      <c r="F523" s="604"/>
      <c r="G523" s="60"/>
      <c r="H523" s="61"/>
      <c r="I523" s="609"/>
      <c r="J523" s="121"/>
      <c r="K523" s="121"/>
      <c r="L523" s="609"/>
      <c r="M523" s="62"/>
      <c r="N523" s="355"/>
      <c r="O523" s="604"/>
      <c r="P523" s="62"/>
      <c r="Q523" s="355"/>
      <c r="R523" s="604"/>
      <c r="S523" s="62"/>
      <c r="T523" s="355"/>
      <c r="U523" s="62"/>
      <c r="V523" s="62"/>
      <c r="W523" s="19"/>
      <c r="X523" s="20"/>
      <c r="Y523" s="50"/>
      <c r="Z523" s="50"/>
      <c r="AA523" s="31"/>
      <c r="AB523" s="395"/>
      <c r="AC523" s="443"/>
      <c r="AD523" s="16"/>
      <c r="AE523" s="16"/>
      <c r="AF523" s="170"/>
      <c r="AG523" s="86"/>
      <c r="AH523" s="272"/>
      <c r="AI523" s="50"/>
      <c r="AJ523" s="31"/>
      <c r="AK523" s="157"/>
      <c r="AL523" s="285"/>
      <c r="AM523" s="208"/>
      <c r="AN523" s="16"/>
      <c r="AO523" s="635"/>
      <c r="AP523" s="636"/>
      <c r="AQ523" s="640"/>
      <c r="AR523" s="158"/>
      <c r="AS523" s="641"/>
      <c r="AT523" s="399"/>
      <c r="AU523" s="618"/>
      <c r="AV523" s="16"/>
      <c r="AW523" s="16"/>
      <c r="AX523" s="170"/>
      <c r="AY523" s="86"/>
      <c r="AZ523" s="272"/>
      <c r="BA523" s="50"/>
      <c r="BB523" s="31"/>
      <c r="BC523" s="157"/>
      <c r="BD523" s="342"/>
      <c r="BE523" s="208"/>
      <c r="BF523" s="16"/>
      <c r="BG523" s="170"/>
      <c r="BH523" s="86"/>
      <c r="BI523" s="272"/>
      <c r="BJ523" s="50"/>
      <c r="BK523" s="31"/>
      <c r="BL523" s="157"/>
      <c r="BM523" s="342"/>
      <c r="BN523" s="208"/>
      <c r="BO523" s="16"/>
      <c r="BP523" s="635">
        <v>0</v>
      </c>
      <c r="BQ523" s="636">
        <v>0</v>
      </c>
      <c r="BR523" s="50">
        <v>1990</v>
      </c>
      <c r="BS523" s="31"/>
      <c r="BT523" s="33"/>
      <c r="BU523" s="43">
        <v>-1</v>
      </c>
      <c r="BV523" s="209">
        <f t="shared" si="303"/>
        <v>-1</v>
      </c>
      <c r="BW523" s="141"/>
      <c r="BX523" s="311"/>
      <c r="BY523" s="137"/>
    </row>
    <row r="524" spans="1:77" ht="15" customHeight="1" x14ac:dyDescent="0.2">
      <c r="A524" s="55" t="s">
        <v>25</v>
      </c>
      <c r="B524" s="107" t="s">
        <v>3066</v>
      </c>
      <c r="C524" s="637" t="s">
        <v>3067</v>
      </c>
      <c r="D524" s="1387">
        <v>42</v>
      </c>
      <c r="E524" s="161" t="s">
        <v>2975</v>
      </c>
      <c r="F524" s="604"/>
      <c r="G524" s="60"/>
      <c r="H524" s="61"/>
      <c r="I524" s="609"/>
      <c r="J524" s="121"/>
      <c r="K524" s="121"/>
      <c r="L524" s="609"/>
      <c r="M524" s="62"/>
      <c r="N524" s="355"/>
      <c r="O524" s="604"/>
      <c r="P524" s="62"/>
      <c r="Q524" s="355"/>
      <c r="R524" s="604"/>
      <c r="S524" s="62"/>
      <c r="T524" s="355"/>
      <c r="U524" s="62"/>
      <c r="V524" s="62"/>
      <c r="W524" s="19"/>
      <c r="X524" s="20"/>
      <c r="Y524" s="50"/>
      <c r="Z524" s="50"/>
      <c r="AA524" s="31"/>
      <c r="AB524" s="395"/>
      <c r="AC524" s="443"/>
      <c r="AD524" s="16"/>
      <c r="AE524" s="16"/>
      <c r="AF524" s="170"/>
      <c r="AG524" s="86"/>
      <c r="AH524" s="272"/>
      <c r="AI524" s="50"/>
      <c r="AJ524" s="31"/>
      <c r="AK524" s="157"/>
      <c r="AL524" s="285"/>
      <c r="AM524" s="208"/>
      <c r="AN524" s="16"/>
      <c r="AO524" s="635"/>
      <c r="AP524" s="636"/>
      <c r="AQ524" s="640"/>
      <c r="AR524" s="158"/>
      <c r="AS524" s="641"/>
      <c r="AT524" s="399"/>
      <c r="AU524" s="618"/>
      <c r="AV524" s="16"/>
      <c r="AW524" s="16"/>
      <c r="AX524" s="170"/>
      <c r="AY524" s="86"/>
      <c r="AZ524" s="272"/>
      <c r="BA524" s="50"/>
      <c r="BB524" s="31"/>
      <c r="BC524" s="157"/>
      <c r="BD524" s="342"/>
      <c r="BE524" s="208"/>
      <c r="BF524" s="16"/>
      <c r="BG524" s="170"/>
      <c r="BH524" s="86"/>
      <c r="BI524" s="272"/>
      <c r="BJ524" s="50"/>
      <c r="BK524" s="31"/>
      <c r="BL524" s="157"/>
      <c r="BM524" s="342"/>
      <c r="BN524" s="208"/>
      <c r="BO524" s="16"/>
      <c r="BP524" s="635">
        <v>0</v>
      </c>
      <c r="BQ524" s="636">
        <v>0</v>
      </c>
      <c r="BR524" s="50">
        <v>1990</v>
      </c>
      <c r="BS524" s="31"/>
      <c r="BT524" s="33"/>
      <c r="BU524" s="43">
        <v>-1</v>
      </c>
      <c r="BV524" s="209">
        <f t="shared" si="303"/>
        <v>-1</v>
      </c>
      <c r="BW524" s="141"/>
      <c r="BX524" s="311"/>
      <c r="BY524" s="137"/>
    </row>
    <row r="525" spans="1:77" ht="15" customHeight="1" x14ac:dyDescent="0.2">
      <c r="A525" s="55" t="s">
        <v>25</v>
      </c>
      <c r="B525" s="107" t="s">
        <v>477</v>
      </c>
      <c r="C525" s="637" t="s">
        <v>3068</v>
      </c>
      <c r="D525" s="1387">
        <v>99</v>
      </c>
      <c r="E525" s="161" t="s">
        <v>2975</v>
      </c>
      <c r="F525" s="604"/>
      <c r="G525" s="60"/>
      <c r="H525" s="61"/>
      <c r="I525" s="609"/>
      <c r="J525" s="121"/>
      <c r="K525" s="121"/>
      <c r="L525" s="609"/>
      <c r="M525" s="62"/>
      <c r="N525" s="355"/>
      <c r="O525" s="604"/>
      <c r="P525" s="62"/>
      <c r="Q525" s="355"/>
      <c r="R525" s="604"/>
      <c r="S525" s="62"/>
      <c r="T525" s="355"/>
      <c r="U525" s="62"/>
      <c r="V525" s="62"/>
      <c r="W525" s="19"/>
      <c r="X525" s="20"/>
      <c r="Y525" s="50"/>
      <c r="Z525" s="50"/>
      <c r="AA525" s="31"/>
      <c r="AB525" s="395"/>
      <c r="AC525" s="443"/>
      <c r="AD525" s="16"/>
      <c r="AE525" s="16"/>
      <c r="AF525" s="170"/>
      <c r="AG525" s="86"/>
      <c r="AH525" s="272"/>
      <c r="AI525" s="50"/>
      <c r="AJ525" s="31"/>
      <c r="AK525" s="157"/>
      <c r="AL525" s="285"/>
      <c r="AM525" s="208"/>
      <c r="AN525" s="16"/>
      <c r="AO525" s="635"/>
      <c r="AP525" s="636"/>
      <c r="AQ525" s="640"/>
      <c r="AR525" s="158"/>
      <c r="AS525" s="641"/>
      <c r="AT525" s="399"/>
      <c r="AU525" s="618"/>
      <c r="AV525" s="16"/>
      <c r="AW525" s="16"/>
      <c r="AX525" s="170"/>
      <c r="AY525" s="86"/>
      <c r="AZ525" s="272"/>
      <c r="BA525" s="50"/>
      <c r="BB525" s="31"/>
      <c r="BC525" s="157"/>
      <c r="BD525" s="342"/>
      <c r="BE525" s="208"/>
      <c r="BF525" s="16"/>
      <c r="BG525" s="170"/>
      <c r="BH525" s="86"/>
      <c r="BI525" s="272"/>
      <c r="BJ525" s="50"/>
      <c r="BK525" s="31"/>
      <c r="BL525" s="157"/>
      <c r="BM525" s="342"/>
      <c r="BN525" s="208"/>
      <c r="BO525" s="16"/>
      <c r="BP525" s="635">
        <v>0</v>
      </c>
      <c r="BQ525" s="636">
        <v>0</v>
      </c>
      <c r="BR525" s="50">
        <v>1990</v>
      </c>
      <c r="BS525" s="31"/>
      <c r="BT525" s="33"/>
      <c r="BU525" s="43">
        <v>-1</v>
      </c>
      <c r="BV525" s="209">
        <f t="shared" si="303"/>
        <v>-1</v>
      </c>
      <c r="BW525" s="141"/>
      <c r="BX525" s="311"/>
      <c r="BY525" s="137"/>
    </row>
    <row r="526" spans="1:77" ht="15" customHeight="1" x14ac:dyDescent="0.2">
      <c r="A526" s="55" t="s">
        <v>25</v>
      </c>
      <c r="B526" s="107" t="s">
        <v>477</v>
      </c>
      <c r="C526" s="637" t="s">
        <v>3069</v>
      </c>
      <c r="D526" s="1387">
        <v>19</v>
      </c>
      <c r="E526" s="161" t="s">
        <v>2975</v>
      </c>
      <c r="F526" s="604"/>
      <c r="G526" s="60"/>
      <c r="H526" s="61"/>
      <c r="I526" s="609"/>
      <c r="J526" s="121"/>
      <c r="K526" s="121"/>
      <c r="L526" s="609"/>
      <c r="M526" s="62"/>
      <c r="N526" s="355"/>
      <c r="O526" s="604"/>
      <c r="P526" s="62"/>
      <c r="Q526" s="355"/>
      <c r="R526" s="604"/>
      <c r="S526" s="62"/>
      <c r="T526" s="355"/>
      <c r="U526" s="62"/>
      <c r="V526" s="62"/>
      <c r="W526" s="19"/>
      <c r="X526" s="20"/>
      <c r="Y526" s="50"/>
      <c r="Z526" s="50"/>
      <c r="AA526" s="31"/>
      <c r="AB526" s="395"/>
      <c r="AC526" s="443"/>
      <c r="AD526" s="16"/>
      <c r="AE526" s="16"/>
      <c r="AF526" s="170"/>
      <c r="AG526" s="86"/>
      <c r="AH526" s="272"/>
      <c r="AI526" s="50"/>
      <c r="AJ526" s="31"/>
      <c r="AK526" s="157"/>
      <c r="AL526" s="285"/>
      <c r="AM526" s="208"/>
      <c r="AN526" s="16"/>
      <c r="AO526" s="635"/>
      <c r="AP526" s="636"/>
      <c r="AQ526" s="640"/>
      <c r="AR526" s="158"/>
      <c r="AS526" s="641"/>
      <c r="AT526" s="399"/>
      <c r="AU526" s="618"/>
      <c r="AV526" s="16"/>
      <c r="AW526" s="16"/>
      <c r="AX526" s="170"/>
      <c r="AY526" s="86"/>
      <c r="AZ526" s="272"/>
      <c r="BA526" s="50"/>
      <c r="BB526" s="31"/>
      <c r="BC526" s="157"/>
      <c r="BD526" s="342"/>
      <c r="BE526" s="208"/>
      <c r="BF526" s="16"/>
      <c r="BG526" s="170"/>
      <c r="BH526" s="86"/>
      <c r="BI526" s="272"/>
      <c r="BJ526" s="50"/>
      <c r="BK526" s="31"/>
      <c r="BL526" s="157"/>
      <c r="BM526" s="342"/>
      <c r="BN526" s="208"/>
      <c r="BO526" s="16"/>
      <c r="BP526" s="635">
        <v>0</v>
      </c>
      <c r="BQ526" s="636">
        <v>0</v>
      </c>
      <c r="BR526" s="50">
        <v>1990</v>
      </c>
      <c r="BS526" s="31"/>
      <c r="BT526" s="33"/>
      <c r="BU526" s="43">
        <v>-1</v>
      </c>
      <c r="BV526" s="209">
        <f t="shared" si="303"/>
        <v>-1</v>
      </c>
      <c r="BW526" s="141"/>
      <c r="BX526" s="311"/>
      <c r="BY526" s="137"/>
    </row>
    <row r="527" spans="1:77" ht="15" customHeight="1" x14ac:dyDescent="0.2">
      <c r="A527" s="55" t="s">
        <v>25</v>
      </c>
      <c r="B527" s="107" t="s">
        <v>477</v>
      </c>
      <c r="C527" s="637" t="s">
        <v>3070</v>
      </c>
      <c r="D527" s="1387">
        <v>7</v>
      </c>
      <c r="E527" s="161" t="s">
        <v>2975</v>
      </c>
      <c r="F527" s="604"/>
      <c r="G527" s="60"/>
      <c r="H527" s="61"/>
      <c r="I527" s="609"/>
      <c r="J527" s="121"/>
      <c r="K527" s="121"/>
      <c r="L527" s="609"/>
      <c r="M527" s="62"/>
      <c r="N527" s="355"/>
      <c r="O527" s="604"/>
      <c r="P527" s="62"/>
      <c r="Q527" s="355"/>
      <c r="R527" s="604"/>
      <c r="S527" s="62"/>
      <c r="T527" s="355"/>
      <c r="U527" s="62"/>
      <c r="V527" s="62"/>
      <c r="W527" s="19"/>
      <c r="X527" s="20"/>
      <c r="Y527" s="50"/>
      <c r="Z527" s="50"/>
      <c r="AA527" s="31"/>
      <c r="AB527" s="395"/>
      <c r="AC527" s="443"/>
      <c r="AD527" s="16"/>
      <c r="AE527" s="16"/>
      <c r="AF527" s="170"/>
      <c r="AG527" s="86"/>
      <c r="AH527" s="272"/>
      <c r="AI527" s="50"/>
      <c r="AJ527" s="31"/>
      <c r="AK527" s="157"/>
      <c r="AL527" s="285"/>
      <c r="AM527" s="208"/>
      <c r="AN527" s="16"/>
      <c r="AO527" s="635"/>
      <c r="AP527" s="636"/>
      <c r="AQ527" s="640"/>
      <c r="AR527" s="158"/>
      <c r="AS527" s="641"/>
      <c r="AT527" s="399"/>
      <c r="AU527" s="618"/>
      <c r="AV527" s="16"/>
      <c r="AW527" s="16"/>
      <c r="AX527" s="170"/>
      <c r="AY527" s="86"/>
      <c r="AZ527" s="272"/>
      <c r="BA527" s="50"/>
      <c r="BB527" s="31"/>
      <c r="BC527" s="157"/>
      <c r="BD527" s="342"/>
      <c r="BE527" s="208"/>
      <c r="BF527" s="16"/>
      <c r="BG527" s="170"/>
      <c r="BH527" s="86"/>
      <c r="BI527" s="272"/>
      <c r="BJ527" s="50"/>
      <c r="BK527" s="31"/>
      <c r="BL527" s="157"/>
      <c r="BM527" s="342"/>
      <c r="BN527" s="208"/>
      <c r="BO527" s="16"/>
      <c r="BP527" s="635">
        <v>0</v>
      </c>
      <c r="BQ527" s="636">
        <v>0</v>
      </c>
      <c r="BR527" s="50">
        <v>1990</v>
      </c>
      <c r="BS527" s="31"/>
      <c r="BT527" s="33"/>
      <c r="BU527" s="43">
        <v>-1</v>
      </c>
      <c r="BV527" s="209">
        <f t="shared" si="303"/>
        <v>-1</v>
      </c>
      <c r="BW527" s="141"/>
      <c r="BX527" s="311"/>
      <c r="BY527" s="137"/>
    </row>
    <row r="528" spans="1:77" ht="15" customHeight="1" x14ac:dyDescent="0.2">
      <c r="A528" s="55" t="s">
        <v>25</v>
      </c>
      <c r="B528" s="107" t="s">
        <v>477</v>
      </c>
      <c r="C528" s="637" t="s">
        <v>3071</v>
      </c>
      <c r="D528" s="1387">
        <v>15</v>
      </c>
      <c r="E528" s="161" t="s">
        <v>2975</v>
      </c>
      <c r="F528" s="604"/>
      <c r="G528" s="60"/>
      <c r="H528" s="61"/>
      <c r="I528" s="609"/>
      <c r="J528" s="121"/>
      <c r="K528" s="121"/>
      <c r="L528" s="609"/>
      <c r="M528" s="62"/>
      <c r="N528" s="355"/>
      <c r="O528" s="604"/>
      <c r="P528" s="62"/>
      <c r="Q528" s="355"/>
      <c r="R528" s="604"/>
      <c r="S528" s="62"/>
      <c r="T528" s="355"/>
      <c r="U528" s="62"/>
      <c r="V528" s="62"/>
      <c r="W528" s="19"/>
      <c r="X528" s="20"/>
      <c r="Y528" s="50"/>
      <c r="Z528" s="50"/>
      <c r="AA528" s="31"/>
      <c r="AB528" s="395"/>
      <c r="AC528" s="443"/>
      <c r="AD528" s="16"/>
      <c r="AE528" s="16"/>
      <c r="AF528" s="170"/>
      <c r="AG528" s="86"/>
      <c r="AH528" s="272"/>
      <c r="AI528" s="50"/>
      <c r="AJ528" s="31"/>
      <c r="AK528" s="157"/>
      <c r="AL528" s="285"/>
      <c r="AM528" s="208"/>
      <c r="AN528" s="16"/>
      <c r="AO528" s="635"/>
      <c r="AP528" s="636"/>
      <c r="AQ528" s="640"/>
      <c r="AR528" s="158"/>
      <c r="AS528" s="641"/>
      <c r="AT528" s="399"/>
      <c r="AU528" s="618"/>
      <c r="AV528" s="16"/>
      <c r="AW528" s="16"/>
      <c r="AX528" s="170"/>
      <c r="AY528" s="86"/>
      <c r="AZ528" s="272"/>
      <c r="BA528" s="50"/>
      <c r="BB528" s="31"/>
      <c r="BC528" s="157"/>
      <c r="BD528" s="342"/>
      <c r="BE528" s="208"/>
      <c r="BF528" s="16"/>
      <c r="BG528" s="170"/>
      <c r="BH528" s="86"/>
      <c r="BI528" s="272"/>
      <c r="BJ528" s="50"/>
      <c r="BK528" s="31"/>
      <c r="BL528" s="157"/>
      <c r="BM528" s="342"/>
      <c r="BN528" s="208"/>
      <c r="BO528" s="16"/>
      <c r="BP528" s="635">
        <v>0</v>
      </c>
      <c r="BQ528" s="636">
        <v>0</v>
      </c>
      <c r="BR528" s="50">
        <v>1990</v>
      </c>
      <c r="BS528" s="31"/>
      <c r="BT528" s="33"/>
      <c r="BU528" s="43">
        <v>-1</v>
      </c>
      <c r="BV528" s="209">
        <f t="shared" si="303"/>
        <v>-1</v>
      </c>
      <c r="BW528" s="141"/>
      <c r="BX528" s="311"/>
      <c r="BY528" s="137"/>
    </row>
    <row r="529" spans="1:77" ht="15" customHeight="1" x14ac:dyDescent="0.2">
      <c r="A529" s="55" t="s">
        <v>25</v>
      </c>
      <c r="B529" s="107" t="s">
        <v>477</v>
      </c>
      <c r="C529" s="637" t="s">
        <v>3072</v>
      </c>
      <c r="D529" s="1387">
        <v>10</v>
      </c>
      <c r="E529" s="161" t="s">
        <v>2975</v>
      </c>
      <c r="F529" s="604"/>
      <c r="G529" s="60"/>
      <c r="H529" s="61"/>
      <c r="I529" s="609"/>
      <c r="J529" s="121"/>
      <c r="K529" s="121"/>
      <c r="L529" s="609"/>
      <c r="M529" s="62"/>
      <c r="N529" s="355"/>
      <c r="O529" s="604"/>
      <c r="P529" s="62"/>
      <c r="Q529" s="355"/>
      <c r="R529" s="604"/>
      <c r="S529" s="62"/>
      <c r="T529" s="355"/>
      <c r="U529" s="62"/>
      <c r="V529" s="62"/>
      <c r="W529" s="19"/>
      <c r="X529" s="20"/>
      <c r="Y529" s="50"/>
      <c r="Z529" s="50"/>
      <c r="AA529" s="31"/>
      <c r="AB529" s="395"/>
      <c r="AC529" s="443"/>
      <c r="AD529" s="16"/>
      <c r="AE529" s="16"/>
      <c r="AF529" s="170"/>
      <c r="AG529" s="86"/>
      <c r="AH529" s="272"/>
      <c r="AI529" s="50"/>
      <c r="AJ529" s="31"/>
      <c r="AK529" s="157"/>
      <c r="AL529" s="285"/>
      <c r="AM529" s="208"/>
      <c r="AN529" s="16"/>
      <c r="AO529" s="635"/>
      <c r="AP529" s="636"/>
      <c r="AQ529" s="640"/>
      <c r="AR529" s="158"/>
      <c r="AS529" s="641"/>
      <c r="AT529" s="399"/>
      <c r="AU529" s="618"/>
      <c r="AV529" s="16"/>
      <c r="AW529" s="16"/>
      <c r="AX529" s="170"/>
      <c r="AY529" s="86"/>
      <c r="AZ529" s="272"/>
      <c r="BA529" s="50"/>
      <c r="BB529" s="31"/>
      <c r="BC529" s="157"/>
      <c r="BD529" s="342"/>
      <c r="BE529" s="208"/>
      <c r="BF529" s="16"/>
      <c r="BG529" s="170"/>
      <c r="BH529" s="86"/>
      <c r="BI529" s="272"/>
      <c r="BJ529" s="50"/>
      <c r="BK529" s="31"/>
      <c r="BL529" s="157"/>
      <c r="BM529" s="342"/>
      <c r="BN529" s="208"/>
      <c r="BO529" s="16"/>
      <c r="BP529" s="635">
        <v>0</v>
      </c>
      <c r="BQ529" s="636">
        <v>0</v>
      </c>
      <c r="BR529" s="50">
        <v>1990</v>
      </c>
      <c r="BS529" s="31"/>
      <c r="BT529" s="33"/>
      <c r="BU529" s="43">
        <v>-1</v>
      </c>
      <c r="BV529" s="209">
        <f t="shared" si="303"/>
        <v>-1</v>
      </c>
      <c r="BW529" s="141"/>
      <c r="BX529" s="311"/>
      <c r="BY529" s="137"/>
    </row>
    <row r="530" spans="1:77" ht="15" customHeight="1" x14ac:dyDescent="0.2">
      <c r="A530" s="55" t="s">
        <v>25</v>
      </c>
      <c r="B530" s="107" t="s">
        <v>477</v>
      </c>
      <c r="C530" s="637" t="s">
        <v>3073</v>
      </c>
      <c r="D530" s="1387">
        <v>9</v>
      </c>
      <c r="E530" s="161" t="s">
        <v>2975</v>
      </c>
      <c r="F530" s="604"/>
      <c r="G530" s="60"/>
      <c r="H530" s="61"/>
      <c r="I530" s="609"/>
      <c r="J530" s="121"/>
      <c r="K530" s="121"/>
      <c r="L530" s="609"/>
      <c r="M530" s="62"/>
      <c r="N530" s="355"/>
      <c r="O530" s="604"/>
      <c r="P530" s="62"/>
      <c r="Q530" s="355"/>
      <c r="R530" s="604"/>
      <c r="S530" s="62"/>
      <c r="T530" s="355"/>
      <c r="U530" s="62"/>
      <c r="V530" s="62"/>
      <c r="W530" s="19"/>
      <c r="X530" s="20"/>
      <c r="Y530" s="50"/>
      <c r="Z530" s="50"/>
      <c r="AA530" s="31"/>
      <c r="AB530" s="395"/>
      <c r="AC530" s="443"/>
      <c r="AD530" s="16"/>
      <c r="AE530" s="16"/>
      <c r="AF530" s="170"/>
      <c r="AG530" s="86"/>
      <c r="AH530" s="272"/>
      <c r="AI530" s="50"/>
      <c r="AJ530" s="31"/>
      <c r="AK530" s="157"/>
      <c r="AL530" s="285"/>
      <c r="AM530" s="208"/>
      <c r="AN530" s="16"/>
      <c r="AO530" s="635"/>
      <c r="AP530" s="636"/>
      <c r="AQ530" s="640"/>
      <c r="AR530" s="158"/>
      <c r="AS530" s="641"/>
      <c r="AT530" s="399"/>
      <c r="AU530" s="618"/>
      <c r="AV530" s="16"/>
      <c r="AW530" s="16"/>
      <c r="AX530" s="170"/>
      <c r="AY530" s="86"/>
      <c r="AZ530" s="272"/>
      <c r="BA530" s="50"/>
      <c r="BB530" s="31"/>
      <c r="BC530" s="157"/>
      <c r="BD530" s="342"/>
      <c r="BE530" s="208"/>
      <c r="BF530" s="16"/>
      <c r="BG530" s="170"/>
      <c r="BH530" s="86"/>
      <c r="BI530" s="272"/>
      <c r="BJ530" s="50"/>
      <c r="BK530" s="31"/>
      <c r="BL530" s="157"/>
      <c r="BM530" s="342"/>
      <c r="BN530" s="208"/>
      <c r="BO530" s="16"/>
      <c r="BP530" s="635">
        <v>0</v>
      </c>
      <c r="BQ530" s="636">
        <v>0</v>
      </c>
      <c r="BR530" s="50">
        <v>1990</v>
      </c>
      <c r="BS530" s="31"/>
      <c r="BT530" s="33"/>
      <c r="BU530" s="43">
        <v>-1</v>
      </c>
      <c r="BV530" s="209">
        <f t="shared" si="303"/>
        <v>-1</v>
      </c>
      <c r="BW530" s="141"/>
      <c r="BX530" s="311"/>
      <c r="BY530" s="137"/>
    </row>
    <row r="531" spans="1:77" ht="15" customHeight="1" x14ac:dyDescent="0.2">
      <c r="A531" s="55" t="s">
        <v>25</v>
      </c>
      <c r="B531" s="107" t="s">
        <v>477</v>
      </c>
      <c r="C531" s="637" t="s">
        <v>3074</v>
      </c>
      <c r="D531" s="1387">
        <v>3</v>
      </c>
      <c r="E531" s="161" t="s">
        <v>2975</v>
      </c>
      <c r="F531" s="604"/>
      <c r="G531" s="60"/>
      <c r="H531" s="61"/>
      <c r="I531" s="609"/>
      <c r="J531" s="121"/>
      <c r="K531" s="121"/>
      <c r="L531" s="609"/>
      <c r="M531" s="62"/>
      <c r="N531" s="355"/>
      <c r="O531" s="604"/>
      <c r="P531" s="62"/>
      <c r="Q531" s="355"/>
      <c r="R531" s="604"/>
      <c r="S531" s="62"/>
      <c r="T531" s="355"/>
      <c r="U531" s="62"/>
      <c r="V531" s="62"/>
      <c r="W531" s="19"/>
      <c r="X531" s="20"/>
      <c r="Y531" s="50"/>
      <c r="Z531" s="50"/>
      <c r="AA531" s="31"/>
      <c r="AB531" s="395"/>
      <c r="AC531" s="443"/>
      <c r="AD531" s="16"/>
      <c r="AE531" s="16"/>
      <c r="AF531" s="170"/>
      <c r="AG531" s="86"/>
      <c r="AH531" s="272"/>
      <c r="AI531" s="50"/>
      <c r="AJ531" s="31"/>
      <c r="AK531" s="157"/>
      <c r="AL531" s="285"/>
      <c r="AM531" s="208"/>
      <c r="AN531" s="16"/>
      <c r="AO531" s="635"/>
      <c r="AP531" s="636"/>
      <c r="AQ531" s="640"/>
      <c r="AR531" s="158"/>
      <c r="AS531" s="641"/>
      <c r="AT531" s="399"/>
      <c r="AU531" s="618"/>
      <c r="AV531" s="16"/>
      <c r="AW531" s="16"/>
      <c r="AX531" s="170"/>
      <c r="AY531" s="86"/>
      <c r="AZ531" s="272"/>
      <c r="BA531" s="50"/>
      <c r="BB531" s="31"/>
      <c r="BC531" s="157"/>
      <c r="BD531" s="342"/>
      <c r="BE531" s="208"/>
      <c r="BF531" s="16"/>
      <c r="BG531" s="170"/>
      <c r="BH531" s="86"/>
      <c r="BI531" s="272"/>
      <c r="BJ531" s="50"/>
      <c r="BK531" s="31"/>
      <c r="BL531" s="157"/>
      <c r="BM531" s="342"/>
      <c r="BN531" s="208"/>
      <c r="BO531" s="16"/>
      <c r="BP531" s="635">
        <v>0</v>
      </c>
      <c r="BQ531" s="636">
        <v>0</v>
      </c>
      <c r="BR531" s="50">
        <v>1990</v>
      </c>
      <c r="BS531" s="31"/>
      <c r="BT531" s="33"/>
      <c r="BU531" s="43">
        <v>-1</v>
      </c>
      <c r="BV531" s="209">
        <f t="shared" si="303"/>
        <v>-1</v>
      </c>
      <c r="BW531" s="141"/>
      <c r="BX531" s="311"/>
      <c r="BY531" s="137"/>
    </row>
    <row r="532" spans="1:77" ht="15" customHeight="1" x14ac:dyDescent="0.2">
      <c r="A532" s="55" t="s">
        <v>25</v>
      </c>
      <c r="B532" s="107" t="s">
        <v>616</v>
      </c>
      <c r="C532" s="637" t="s">
        <v>594</v>
      </c>
      <c r="D532" s="1387">
        <v>800</v>
      </c>
      <c r="E532" s="161" t="s">
        <v>2975</v>
      </c>
      <c r="F532" s="604"/>
      <c r="G532" s="60"/>
      <c r="H532" s="61"/>
      <c r="I532" s="609"/>
      <c r="J532" s="121"/>
      <c r="K532" s="121"/>
      <c r="L532" s="609"/>
      <c r="M532" s="62"/>
      <c r="N532" s="355"/>
      <c r="O532" s="604"/>
      <c r="P532" s="62"/>
      <c r="Q532" s="355"/>
      <c r="R532" s="604"/>
      <c r="S532" s="62"/>
      <c r="T532" s="355"/>
      <c r="U532" s="62"/>
      <c r="V532" s="62"/>
      <c r="W532" s="19"/>
      <c r="X532" s="20"/>
      <c r="Y532" s="50"/>
      <c r="Z532" s="50"/>
      <c r="AA532" s="31"/>
      <c r="AB532" s="395"/>
      <c r="AC532" s="443"/>
      <c r="AD532" s="16"/>
      <c r="AE532" s="16"/>
      <c r="AF532" s="170"/>
      <c r="AG532" s="86"/>
      <c r="AH532" s="272"/>
      <c r="AI532" s="50"/>
      <c r="AJ532" s="31"/>
      <c r="AK532" s="157"/>
      <c r="AL532" s="285"/>
      <c r="AM532" s="208"/>
      <c r="AN532" s="16"/>
      <c r="AO532" s="635"/>
      <c r="AP532" s="636"/>
      <c r="AQ532" s="640"/>
      <c r="AR532" s="158"/>
      <c r="AS532" s="641"/>
      <c r="AT532" s="399"/>
      <c r="AU532" s="618"/>
      <c r="AV532" s="16"/>
      <c r="AW532" s="16"/>
      <c r="AX532" s="170"/>
      <c r="AY532" s="86"/>
      <c r="AZ532" s="272"/>
      <c r="BA532" s="50"/>
      <c r="BB532" s="31"/>
      <c r="BC532" s="157"/>
      <c r="BD532" s="342"/>
      <c r="BE532" s="208"/>
      <c r="BF532" s="16"/>
      <c r="BG532" s="170"/>
      <c r="BH532" s="86"/>
      <c r="BI532" s="272"/>
      <c r="BJ532" s="50"/>
      <c r="BK532" s="31"/>
      <c r="BL532" s="157"/>
      <c r="BM532" s="342"/>
      <c r="BN532" s="208"/>
      <c r="BO532" s="16"/>
      <c r="BP532" s="635">
        <v>0</v>
      </c>
      <c r="BQ532" s="636">
        <v>0</v>
      </c>
      <c r="BR532" s="50">
        <v>1990</v>
      </c>
      <c r="BS532" s="31"/>
      <c r="BT532" s="33"/>
      <c r="BU532" s="43">
        <v>-1</v>
      </c>
      <c r="BV532" s="209">
        <f t="shared" si="303"/>
        <v>-1</v>
      </c>
      <c r="BW532" s="141"/>
      <c r="BX532" s="311"/>
      <c r="BY532" s="137"/>
    </row>
    <row r="533" spans="1:77" ht="15" customHeight="1" x14ac:dyDescent="0.2">
      <c r="A533" s="55" t="s">
        <v>25</v>
      </c>
      <c r="B533" s="107" t="s">
        <v>477</v>
      </c>
      <c r="C533" s="637" t="s">
        <v>3075</v>
      </c>
      <c r="D533" s="1387">
        <v>88</v>
      </c>
      <c r="E533" s="161" t="s">
        <v>2975</v>
      </c>
      <c r="F533" s="604"/>
      <c r="G533" s="60"/>
      <c r="H533" s="61"/>
      <c r="I533" s="609"/>
      <c r="J533" s="121"/>
      <c r="K533" s="121"/>
      <c r="L533" s="609"/>
      <c r="M533" s="62"/>
      <c r="N533" s="355"/>
      <c r="O533" s="604"/>
      <c r="P533" s="62"/>
      <c r="Q533" s="355"/>
      <c r="R533" s="604"/>
      <c r="S533" s="62"/>
      <c r="T533" s="355"/>
      <c r="U533" s="62"/>
      <c r="V533" s="62"/>
      <c r="W533" s="19"/>
      <c r="X533" s="20"/>
      <c r="Y533" s="50"/>
      <c r="Z533" s="50"/>
      <c r="AA533" s="31"/>
      <c r="AB533" s="395"/>
      <c r="AC533" s="443"/>
      <c r="AD533" s="16"/>
      <c r="AE533" s="16"/>
      <c r="AF533" s="170"/>
      <c r="AG533" s="86"/>
      <c r="AH533" s="272"/>
      <c r="AI533" s="50"/>
      <c r="AJ533" s="31"/>
      <c r="AK533" s="157"/>
      <c r="AL533" s="285"/>
      <c r="AM533" s="208"/>
      <c r="AN533" s="16"/>
      <c r="AO533" s="635"/>
      <c r="AP533" s="636"/>
      <c r="AQ533" s="640"/>
      <c r="AR533" s="158"/>
      <c r="AS533" s="641"/>
      <c r="AT533" s="399"/>
      <c r="AU533" s="618"/>
      <c r="AV533" s="16"/>
      <c r="AW533" s="16"/>
      <c r="AX533" s="170"/>
      <c r="AY533" s="86"/>
      <c r="AZ533" s="272"/>
      <c r="BA533" s="50"/>
      <c r="BB533" s="31"/>
      <c r="BC533" s="157"/>
      <c r="BD533" s="342"/>
      <c r="BE533" s="208"/>
      <c r="BF533" s="16"/>
      <c r="BG533" s="170"/>
      <c r="BH533" s="86"/>
      <c r="BI533" s="272"/>
      <c r="BJ533" s="50"/>
      <c r="BK533" s="31"/>
      <c r="BL533" s="157"/>
      <c r="BM533" s="342"/>
      <c r="BN533" s="208"/>
      <c r="BO533" s="16"/>
      <c r="BP533" s="635">
        <v>0</v>
      </c>
      <c r="BQ533" s="636">
        <v>0</v>
      </c>
      <c r="BR533" s="50">
        <v>1990</v>
      </c>
      <c r="BS533" s="31"/>
      <c r="BT533" s="33"/>
      <c r="BU533" s="43">
        <v>-1</v>
      </c>
      <c r="BV533" s="209">
        <f t="shared" si="303"/>
        <v>-1</v>
      </c>
      <c r="BW533" s="141"/>
      <c r="BX533" s="311"/>
      <c r="BY533" s="137"/>
    </row>
    <row r="534" spans="1:77" ht="15" customHeight="1" x14ac:dyDescent="0.2">
      <c r="A534" s="55" t="s">
        <v>25</v>
      </c>
      <c r="B534" s="55"/>
      <c r="C534" s="637" t="s">
        <v>616</v>
      </c>
      <c r="D534" s="544">
        <v>719</v>
      </c>
      <c r="E534" s="161" t="s">
        <v>3076</v>
      </c>
      <c r="F534" s="604"/>
      <c r="G534" s="60"/>
      <c r="H534" s="61"/>
      <c r="I534" s="609"/>
      <c r="J534" s="121"/>
      <c r="K534" s="121"/>
      <c r="L534" s="609"/>
      <c r="M534" s="62"/>
      <c r="N534" s="355">
        <v>5.9580000000000002</v>
      </c>
      <c r="O534" s="604"/>
      <c r="P534" s="62"/>
      <c r="Q534" s="355"/>
      <c r="R534" s="604"/>
      <c r="S534" s="62"/>
      <c r="T534" s="355"/>
      <c r="U534" s="62"/>
      <c r="V534" s="62"/>
      <c r="W534" s="19">
        <f>AA534*(1+AC534)</f>
        <v>3.09816E-3</v>
      </c>
      <c r="X534" s="20">
        <f>AA534*(1+AC534)</f>
        <v>3.09816E-3</v>
      </c>
      <c r="Y534" s="50">
        <v>1990</v>
      </c>
      <c r="Z534" s="50"/>
      <c r="AA534" s="31">
        <f>N534/1000</f>
        <v>5.9579999999999998E-3</v>
      </c>
      <c r="AB534" s="395">
        <v>-0.48</v>
      </c>
      <c r="AC534" s="443">
        <f>AB534</f>
        <v>-0.48</v>
      </c>
      <c r="AD534" s="16"/>
      <c r="AE534" s="16"/>
      <c r="AF534" s="170"/>
      <c r="AG534" s="86"/>
      <c r="AH534" s="272"/>
      <c r="AI534" s="50"/>
      <c r="AJ534" s="31"/>
      <c r="AK534" s="157"/>
      <c r="AL534" s="285"/>
      <c r="AM534" s="208"/>
      <c r="AN534" s="16"/>
      <c r="AO534" s="635"/>
      <c r="AP534" s="636"/>
      <c r="AQ534" s="640"/>
      <c r="AR534" s="158"/>
      <c r="AS534" s="641"/>
      <c r="AT534" s="399"/>
      <c r="AU534" s="618"/>
      <c r="AV534" s="16"/>
      <c r="AW534" s="16"/>
      <c r="AX534" s="170"/>
      <c r="AY534" s="86"/>
      <c r="AZ534" s="272"/>
      <c r="BA534" s="50"/>
      <c r="BB534" s="31"/>
      <c r="BC534" s="157"/>
      <c r="BD534" s="342"/>
      <c r="BE534" s="208"/>
      <c r="BF534" s="16"/>
      <c r="BG534" s="170"/>
      <c r="BH534" s="86"/>
      <c r="BI534" s="272"/>
      <c r="BJ534" s="50"/>
      <c r="BK534" s="31"/>
      <c r="BL534" s="157"/>
      <c r="BM534" s="342"/>
      <c r="BN534" s="208"/>
      <c r="BO534" s="16"/>
      <c r="BP534" s="635">
        <v>0</v>
      </c>
      <c r="BQ534" s="636">
        <v>0</v>
      </c>
      <c r="BR534" s="50">
        <v>1990</v>
      </c>
      <c r="BS534" s="31"/>
      <c r="BT534" s="33"/>
      <c r="BU534" s="43">
        <v>-1</v>
      </c>
      <c r="BV534" s="209">
        <f t="shared" si="303"/>
        <v>-1</v>
      </c>
      <c r="BW534" s="141"/>
      <c r="BX534" s="311"/>
      <c r="BY534" s="137"/>
    </row>
    <row r="535" spans="1:77" ht="15" customHeight="1" x14ac:dyDescent="0.2">
      <c r="A535" s="55" t="s">
        <v>25</v>
      </c>
      <c r="B535" s="107" t="s">
        <v>2740</v>
      </c>
      <c r="C535" s="637" t="s">
        <v>3077</v>
      </c>
      <c r="D535" s="1387">
        <v>380</v>
      </c>
      <c r="E535" s="161" t="s">
        <v>2975</v>
      </c>
      <c r="F535" s="604"/>
      <c r="G535" s="60"/>
      <c r="H535" s="61"/>
      <c r="I535" s="609"/>
      <c r="J535" s="121"/>
      <c r="K535" s="121"/>
      <c r="L535" s="609"/>
      <c r="M535" s="62"/>
      <c r="N535" s="355"/>
      <c r="O535" s="604"/>
      <c r="P535" s="62"/>
      <c r="Q535" s="355"/>
      <c r="R535" s="604"/>
      <c r="S535" s="62"/>
      <c r="T535" s="355"/>
      <c r="U535" s="62"/>
      <c r="V535" s="62"/>
      <c r="W535" s="19"/>
      <c r="X535" s="20"/>
      <c r="Y535" s="50"/>
      <c r="Z535" s="50"/>
      <c r="AA535" s="31"/>
      <c r="AB535" s="395"/>
      <c r="AC535" s="443"/>
      <c r="AD535" s="16"/>
      <c r="AE535" s="16"/>
      <c r="AF535" s="170"/>
      <c r="AG535" s="86"/>
      <c r="AH535" s="272"/>
      <c r="AI535" s="50"/>
      <c r="AJ535" s="31"/>
      <c r="AK535" s="157"/>
      <c r="AL535" s="285"/>
      <c r="AM535" s="208"/>
      <c r="AN535" s="16"/>
      <c r="AO535" s="635"/>
      <c r="AP535" s="636"/>
      <c r="AQ535" s="640"/>
      <c r="AR535" s="158"/>
      <c r="AS535" s="641"/>
      <c r="AT535" s="399"/>
      <c r="AU535" s="618"/>
      <c r="AV535" s="16"/>
      <c r="AW535" s="16"/>
      <c r="AX535" s="170"/>
      <c r="AY535" s="86"/>
      <c r="AZ535" s="272"/>
      <c r="BA535" s="50"/>
      <c r="BB535" s="31"/>
      <c r="BC535" s="157"/>
      <c r="BD535" s="342"/>
      <c r="BE535" s="208"/>
      <c r="BF535" s="16"/>
      <c r="BG535" s="170"/>
      <c r="BH535" s="86"/>
      <c r="BI535" s="272"/>
      <c r="BJ535" s="50"/>
      <c r="BK535" s="31"/>
      <c r="BL535" s="157"/>
      <c r="BM535" s="342"/>
      <c r="BN535" s="208"/>
      <c r="BO535" s="16"/>
      <c r="BP535" s="635">
        <v>0</v>
      </c>
      <c r="BQ535" s="636">
        <v>0</v>
      </c>
      <c r="BR535" s="50">
        <v>1990</v>
      </c>
      <c r="BS535" s="31"/>
      <c r="BT535" s="33"/>
      <c r="BU535" s="43">
        <v>-1</v>
      </c>
      <c r="BV535" s="209">
        <f t="shared" si="303"/>
        <v>-1</v>
      </c>
      <c r="BW535" s="141"/>
      <c r="BX535" s="311"/>
      <c r="BY535" s="137"/>
    </row>
    <row r="536" spans="1:77" ht="15" customHeight="1" x14ac:dyDescent="0.2">
      <c r="A536" s="55" t="s">
        <v>25</v>
      </c>
      <c r="B536" s="107" t="s">
        <v>477</v>
      </c>
      <c r="C536" s="637" t="s">
        <v>3078</v>
      </c>
      <c r="D536" s="1387">
        <v>200</v>
      </c>
      <c r="E536" s="161" t="s">
        <v>2975</v>
      </c>
      <c r="F536" s="604"/>
      <c r="G536" s="60"/>
      <c r="H536" s="61"/>
      <c r="I536" s="609"/>
      <c r="J536" s="121"/>
      <c r="K536" s="121"/>
      <c r="L536" s="609"/>
      <c r="M536" s="62"/>
      <c r="N536" s="355"/>
      <c r="O536" s="604"/>
      <c r="P536" s="62"/>
      <c r="Q536" s="355"/>
      <c r="R536" s="604"/>
      <c r="S536" s="62"/>
      <c r="T536" s="355"/>
      <c r="U536" s="62"/>
      <c r="V536" s="62"/>
      <c r="W536" s="19"/>
      <c r="X536" s="20"/>
      <c r="Y536" s="50"/>
      <c r="Z536" s="50"/>
      <c r="AA536" s="31"/>
      <c r="AB536" s="395"/>
      <c r="AC536" s="443"/>
      <c r="AD536" s="16"/>
      <c r="AE536" s="16"/>
      <c r="AF536" s="170"/>
      <c r="AG536" s="86"/>
      <c r="AH536" s="272"/>
      <c r="AI536" s="50"/>
      <c r="AJ536" s="31"/>
      <c r="AK536" s="157"/>
      <c r="AL536" s="285"/>
      <c r="AM536" s="208"/>
      <c r="AN536" s="16"/>
      <c r="AO536" s="635"/>
      <c r="AP536" s="636"/>
      <c r="AQ536" s="640"/>
      <c r="AR536" s="158"/>
      <c r="AS536" s="641"/>
      <c r="AT536" s="399"/>
      <c r="AU536" s="618"/>
      <c r="AV536" s="16"/>
      <c r="AW536" s="16"/>
      <c r="AX536" s="170"/>
      <c r="AY536" s="86"/>
      <c r="AZ536" s="272"/>
      <c r="BA536" s="50"/>
      <c r="BB536" s="31"/>
      <c r="BC536" s="157"/>
      <c r="BD536" s="342"/>
      <c r="BE536" s="208"/>
      <c r="BF536" s="16"/>
      <c r="BG536" s="170"/>
      <c r="BH536" s="86"/>
      <c r="BI536" s="272"/>
      <c r="BJ536" s="50"/>
      <c r="BK536" s="31"/>
      <c r="BL536" s="157"/>
      <c r="BM536" s="342"/>
      <c r="BN536" s="208"/>
      <c r="BO536" s="16"/>
      <c r="BP536" s="635">
        <v>0</v>
      </c>
      <c r="BQ536" s="636">
        <v>0</v>
      </c>
      <c r="BR536" s="50">
        <v>1990</v>
      </c>
      <c r="BS536" s="31"/>
      <c r="BT536" s="33"/>
      <c r="BU536" s="43">
        <v>-1</v>
      </c>
      <c r="BV536" s="209">
        <f t="shared" si="303"/>
        <v>-1</v>
      </c>
      <c r="BW536" s="141"/>
      <c r="BX536" s="311"/>
      <c r="BY536" s="137"/>
    </row>
    <row r="537" spans="1:77" ht="15" customHeight="1" x14ac:dyDescent="0.2">
      <c r="A537" s="55" t="s">
        <v>25</v>
      </c>
      <c r="B537" s="107" t="s">
        <v>477</v>
      </c>
      <c r="C537" s="637" t="s">
        <v>3079</v>
      </c>
      <c r="D537" s="1387">
        <v>420</v>
      </c>
      <c r="E537" s="161" t="s">
        <v>2975</v>
      </c>
      <c r="F537" s="604"/>
      <c r="G537" s="60"/>
      <c r="H537" s="61"/>
      <c r="I537" s="609"/>
      <c r="J537" s="121"/>
      <c r="K537" s="121"/>
      <c r="L537" s="609"/>
      <c r="M537" s="62"/>
      <c r="N537" s="355"/>
      <c r="O537" s="604"/>
      <c r="P537" s="62"/>
      <c r="Q537" s="355"/>
      <c r="R537" s="604"/>
      <c r="S537" s="62"/>
      <c r="T537" s="355"/>
      <c r="U537" s="62"/>
      <c r="V537" s="62"/>
      <c r="W537" s="19"/>
      <c r="X537" s="20"/>
      <c r="Y537" s="50"/>
      <c r="Z537" s="50"/>
      <c r="AA537" s="31"/>
      <c r="AB537" s="395"/>
      <c r="AC537" s="443"/>
      <c r="AD537" s="16"/>
      <c r="AE537" s="16"/>
      <c r="AF537" s="170"/>
      <c r="AG537" s="86"/>
      <c r="AH537" s="272"/>
      <c r="AI537" s="50"/>
      <c r="AJ537" s="31"/>
      <c r="AK537" s="157"/>
      <c r="AL537" s="285"/>
      <c r="AM537" s="208"/>
      <c r="AN537" s="16"/>
      <c r="AO537" s="635"/>
      <c r="AP537" s="636"/>
      <c r="AQ537" s="640"/>
      <c r="AR537" s="158"/>
      <c r="AS537" s="641"/>
      <c r="AT537" s="399"/>
      <c r="AU537" s="618"/>
      <c r="AV537" s="16"/>
      <c r="AW537" s="16"/>
      <c r="AX537" s="170"/>
      <c r="AY537" s="86"/>
      <c r="AZ537" s="272"/>
      <c r="BA537" s="50"/>
      <c r="BB537" s="31"/>
      <c r="BC537" s="157"/>
      <c r="BD537" s="342"/>
      <c r="BE537" s="208"/>
      <c r="BF537" s="16"/>
      <c r="BG537" s="170"/>
      <c r="BH537" s="86"/>
      <c r="BI537" s="272"/>
      <c r="BJ537" s="50"/>
      <c r="BK537" s="31"/>
      <c r="BL537" s="157"/>
      <c r="BM537" s="342"/>
      <c r="BN537" s="208"/>
      <c r="BO537" s="16"/>
      <c r="BP537" s="635">
        <v>0</v>
      </c>
      <c r="BQ537" s="636">
        <v>0</v>
      </c>
      <c r="BR537" s="50">
        <v>1990</v>
      </c>
      <c r="BS537" s="31"/>
      <c r="BT537" s="33"/>
      <c r="BU537" s="43">
        <v>-1</v>
      </c>
      <c r="BV537" s="209">
        <f t="shared" si="303"/>
        <v>-1</v>
      </c>
      <c r="BW537" s="141"/>
      <c r="BX537" s="311"/>
      <c r="BY537" s="137"/>
    </row>
    <row r="538" spans="1:77" ht="15" customHeight="1" x14ac:dyDescent="0.2">
      <c r="A538" s="55" t="s">
        <v>25</v>
      </c>
      <c r="B538" s="107" t="s">
        <v>477</v>
      </c>
      <c r="C538" s="637" t="s">
        <v>603</v>
      </c>
      <c r="D538" s="1387">
        <v>62</v>
      </c>
      <c r="E538" s="161" t="s">
        <v>2975</v>
      </c>
      <c r="F538" s="604"/>
      <c r="G538" s="60"/>
      <c r="H538" s="61"/>
      <c r="I538" s="609"/>
      <c r="J538" s="121"/>
      <c r="K538" s="121"/>
      <c r="L538" s="609"/>
      <c r="M538" s="62"/>
      <c r="N538" s="355"/>
      <c r="O538" s="604"/>
      <c r="P538" s="62"/>
      <c r="Q538" s="355"/>
      <c r="R538" s="604"/>
      <c r="S538" s="62"/>
      <c r="T538" s="355"/>
      <c r="U538" s="62"/>
      <c r="V538" s="62"/>
      <c r="W538" s="19"/>
      <c r="X538" s="20"/>
      <c r="Y538" s="50"/>
      <c r="Z538" s="50"/>
      <c r="AA538" s="31"/>
      <c r="AB538" s="395"/>
      <c r="AC538" s="443"/>
      <c r="AD538" s="16"/>
      <c r="AE538" s="16"/>
      <c r="AF538" s="170"/>
      <c r="AG538" s="86"/>
      <c r="AH538" s="272"/>
      <c r="AI538" s="50"/>
      <c r="AJ538" s="31"/>
      <c r="AK538" s="157"/>
      <c r="AL538" s="285"/>
      <c r="AM538" s="208"/>
      <c r="AN538" s="16"/>
      <c r="AO538" s="635"/>
      <c r="AP538" s="636"/>
      <c r="AQ538" s="640"/>
      <c r="AR538" s="158"/>
      <c r="AS538" s="641"/>
      <c r="AT538" s="399"/>
      <c r="AU538" s="618"/>
      <c r="AV538" s="16"/>
      <c r="AW538" s="16"/>
      <c r="AX538" s="170"/>
      <c r="AY538" s="86"/>
      <c r="AZ538" s="272"/>
      <c r="BA538" s="50"/>
      <c r="BB538" s="31"/>
      <c r="BC538" s="157"/>
      <c r="BD538" s="342"/>
      <c r="BE538" s="208"/>
      <c r="BF538" s="16"/>
      <c r="BG538" s="170"/>
      <c r="BH538" s="86"/>
      <c r="BI538" s="272"/>
      <c r="BJ538" s="50"/>
      <c r="BK538" s="31"/>
      <c r="BL538" s="157"/>
      <c r="BM538" s="342"/>
      <c r="BN538" s="208"/>
      <c r="BO538" s="16"/>
      <c r="BP538" s="635">
        <v>0</v>
      </c>
      <c r="BQ538" s="636">
        <v>0</v>
      </c>
      <c r="BR538" s="50">
        <v>1990</v>
      </c>
      <c r="BS538" s="31"/>
      <c r="BT538" s="33"/>
      <c r="BU538" s="43">
        <v>-1</v>
      </c>
      <c r="BV538" s="209">
        <f t="shared" si="303"/>
        <v>-1</v>
      </c>
      <c r="BW538" s="141"/>
      <c r="BX538" s="311"/>
      <c r="BY538" s="137"/>
    </row>
    <row r="539" spans="1:77" ht="15" customHeight="1" x14ac:dyDescent="0.2">
      <c r="A539" s="55" t="s">
        <v>25</v>
      </c>
      <c r="B539" s="107" t="s">
        <v>3080</v>
      </c>
      <c r="C539" s="637" t="s">
        <v>3081</v>
      </c>
      <c r="D539" s="1387">
        <v>50</v>
      </c>
      <c r="E539" s="161" t="s">
        <v>2975</v>
      </c>
      <c r="F539" s="604"/>
      <c r="G539" s="60"/>
      <c r="H539" s="61"/>
      <c r="I539" s="609"/>
      <c r="J539" s="121"/>
      <c r="K539" s="121"/>
      <c r="L539" s="609"/>
      <c r="M539" s="62"/>
      <c r="N539" s="355"/>
      <c r="O539" s="604"/>
      <c r="P539" s="62"/>
      <c r="Q539" s="355"/>
      <c r="R539" s="604"/>
      <c r="S539" s="62"/>
      <c r="T539" s="355"/>
      <c r="U539" s="62"/>
      <c r="V539" s="62"/>
      <c r="W539" s="19"/>
      <c r="X539" s="20"/>
      <c r="Y539" s="50"/>
      <c r="Z539" s="50"/>
      <c r="AA539" s="31"/>
      <c r="AB539" s="395"/>
      <c r="AC539" s="443"/>
      <c r="AD539" s="16"/>
      <c r="AE539" s="16"/>
      <c r="AF539" s="170"/>
      <c r="AG539" s="86"/>
      <c r="AH539" s="272"/>
      <c r="AI539" s="50"/>
      <c r="AJ539" s="31"/>
      <c r="AK539" s="157"/>
      <c r="AL539" s="285"/>
      <c r="AM539" s="208"/>
      <c r="AN539" s="16"/>
      <c r="AO539" s="635"/>
      <c r="AP539" s="636"/>
      <c r="AQ539" s="640"/>
      <c r="AR539" s="158"/>
      <c r="AS539" s="641"/>
      <c r="AT539" s="399"/>
      <c r="AU539" s="618"/>
      <c r="AV539" s="16"/>
      <c r="AW539" s="16"/>
      <c r="AX539" s="170"/>
      <c r="AY539" s="86"/>
      <c r="AZ539" s="272"/>
      <c r="BA539" s="50"/>
      <c r="BB539" s="31"/>
      <c r="BC539" s="157"/>
      <c r="BD539" s="342"/>
      <c r="BE539" s="208"/>
      <c r="BF539" s="16"/>
      <c r="BG539" s="170"/>
      <c r="BH539" s="86"/>
      <c r="BI539" s="272"/>
      <c r="BJ539" s="50"/>
      <c r="BK539" s="31"/>
      <c r="BL539" s="157"/>
      <c r="BM539" s="342"/>
      <c r="BN539" s="208"/>
      <c r="BO539" s="16"/>
      <c r="BP539" s="635">
        <v>0</v>
      </c>
      <c r="BQ539" s="636">
        <v>0</v>
      </c>
      <c r="BR539" s="50">
        <v>1990</v>
      </c>
      <c r="BS539" s="31"/>
      <c r="BT539" s="33"/>
      <c r="BU539" s="43">
        <v>-1</v>
      </c>
      <c r="BV539" s="209">
        <f t="shared" si="303"/>
        <v>-1</v>
      </c>
      <c r="BW539" s="141"/>
      <c r="BX539" s="311"/>
      <c r="BY539" s="137"/>
    </row>
    <row r="540" spans="1:77" ht="15" customHeight="1" x14ac:dyDescent="0.2">
      <c r="A540" s="55" t="s">
        <v>25</v>
      </c>
      <c r="B540" s="107" t="s">
        <v>477</v>
      </c>
      <c r="C540" s="637" t="s">
        <v>3082</v>
      </c>
      <c r="D540" s="1387">
        <v>13</v>
      </c>
      <c r="E540" s="161" t="s">
        <v>2975</v>
      </c>
      <c r="F540" s="604"/>
      <c r="G540" s="60"/>
      <c r="H540" s="61"/>
      <c r="I540" s="609"/>
      <c r="J540" s="121"/>
      <c r="K540" s="121"/>
      <c r="L540" s="609"/>
      <c r="M540" s="62"/>
      <c r="N540" s="355"/>
      <c r="O540" s="604"/>
      <c r="P540" s="62"/>
      <c r="Q540" s="355"/>
      <c r="R540" s="604"/>
      <c r="S540" s="62"/>
      <c r="T540" s="355"/>
      <c r="U540" s="62"/>
      <c r="V540" s="62"/>
      <c r="W540" s="19"/>
      <c r="X540" s="20"/>
      <c r="Y540" s="50"/>
      <c r="Z540" s="50"/>
      <c r="AA540" s="31"/>
      <c r="AB540" s="395"/>
      <c r="AC540" s="443"/>
      <c r="AD540" s="16"/>
      <c r="AE540" s="16"/>
      <c r="AF540" s="170"/>
      <c r="AG540" s="86"/>
      <c r="AH540" s="272"/>
      <c r="AI540" s="50"/>
      <c r="AJ540" s="31"/>
      <c r="AK540" s="157"/>
      <c r="AL540" s="285"/>
      <c r="AM540" s="208"/>
      <c r="AN540" s="16"/>
      <c r="AO540" s="635"/>
      <c r="AP540" s="636"/>
      <c r="AQ540" s="640"/>
      <c r="AR540" s="158"/>
      <c r="AS540" s="641"/>
      <c r="AT540" s="399"/>
      <c r="AU540" s="618"/>
      <c r="AV540" s="16"/>
      <c r="AW540" s="16"/>
      <c r="AX540" s="170"/>
      <c r="AY540" s="86"/>
      <c r="AZ540" s="272"/>
      <c r="BA540" s="50"/>
      <c r="BB540" s="31"/>
      <c r="BC540" s="157"/>
      <c r="BD540" s="342"/>
      <c r="BE540" s="208"/>
      <c r="BF540" s="16"/>
      <c r="BG540" s="170"/>
      <c r="BH540" s="86"/>
      <c r="BI540" s="272"/>
      <c r="BJ540" s="50"/>
      <c r="BK540" s="31"/>
      <c r="BL540" s="157"/>
      <c r="BM540" s="342"/>
      <c r="BN540" s="208"/>
      <c r="BO540" s="16"/>
      <c r="BP540" s="635">
        <v>0</v>
      </c>
      <c r="BQ540" s="636">
        <v>0</v>
      </c>
      <c r="BR540" s="50">
        <v>1990</v>
      </c>
      <c r="BS540" s="31"/>
      <c r="BT540" s="33"/>
      <c r="BU540" s="43">
        <v>-1</v>
      </c>
      <c r="BV540" s="209">
        <f t="shared" si="303"/>
        <v>-1</v>
      </c>
      <c r="BW540" s="141"/>
      <c r="BX540" s="311"/>
      <c r="BY540" s="137"/>
    </row>
    <row r="541" spans="1:77" ht="15" customHeight="1" x14ac:dyDescent="0.2">
      <c r="A541" s="55" t="s">
        <v>25</v>
      </c>
      <c r="B541" s="107" t="s">
        <v>3083</v>
      </c>
      <c r="C541" s="637" t="s">
        <v>3084</v>
      </c>
      <c r="D541" s="1387">
        <v>54</v>
      </c>
      <c r="E541" s="161" t="s">
        <v>2975</v>
      </c>
      <c r="F541" s="604"/>
      <c r="G541" s="60"/>
      <c r="H541" s="61"/>
      <c r="I541" s="609"/>
      <c r="J541" s="121"/>
      <c r="K541" s="121"/>
      <c r="L541" s="609"/>
      <c r="M541" s="62"/>
      <c r="N541" s="355"/>
      <c r="O541" s="604"/>
      <c r="P541" s="62"/>
      <c r="Q541" s="355"/>
      <c r="R541" s="604"/>
      <c r="S541" s="62"/>
      <c r="T541" s="355"/>
      <c r="U541" s="62"/>
      <c r="V541" s="62"/>
      <c r="W541" s="19"/>
      <c r="X541" s="20"/>
      <c r="Y541" s="50"/>
      <c r="Z541" s="50"/>
      <c r="AA541" s="31"/>
      <c r="AB541" s="395"/>
      <c r="AC541" s="443"/>
      <c r="AD541" s="16"/>
      <c r="AE541" s="16"/>
      <c r="AF541" s="170"/>
      <c r="AG541" s="86"/>
      <c r="AH541" s="272"/>
      <c r="AI541" s="50"/>
      <c r="AJ541" s="31"/>
      <c r="AK541" s="157"/>
      <c r="AL541" s="285"/>
      <c r="AM541" s="208"/>
      <c r="AN541" s="16"/>
      <c r="AO541" s="635"/>
      <c r="AP541" s="636"/>
      <c r="AQ541" s="640"/>
      <c r="AR541" s="158"/>
      <c r="AS541" s="641"/>
      <c r="AT541" s="399"/>
      <c r="AU541" s="618"/>
      <c r="AV541" s="16"/>
      <c r="AW541" s="16"/>
      <c r="AX541" s="170"/>
      <c r="AY541" s="86"/>
      <c r="AZ541" s="272"/>
      <c r="BA541" s="50"/>
      <c r="BB541" s="31"/>
      <c r="BC541" s="157"/>
      <c r="BD541" s="342"/>
      <c r="BE541" s="208"/>
      <c r="BF541" s="16"/>
      <c r="BG541" s="170"/>
      <c r="BH541" s="86"/>
      <c r="BI541" s="272"/>
      <c r="BJ541" s="50"/>
      <c r="BK541" s="31"/>
      <c r="BL541" s="157"/>
      <c r="BM541" s="342"/>
      <c r="BN541" s="208"/>
      <c r="BO541" s="16"/>
      <c r="BP541" s="635">
        <v>0</v>
      </c>
      <c r="BQ541" s="636">
        <v>0</v>
      </c>
      <c r="BR541" s="50">
        <v>1990</v>
      </c>
      <c r="BS541" s="31"/>
      <c r="BT541" s="33"/>
      <c r="BU541" s="43">
        <v>-1</v>
      </c>
      <c r="BV541" s="209">
        <f t="shared" ref="BV541:BV554" si="304">BU541</f>
        <v>-1</v>
      </c>
      <c r="BW541" s="141"/>
      <c r="BX541" s="311"/>
      <c r="BY541" s="137"/>
    </row>
    <row r="542" spans="1:77" ht="15" customHeight="1" x14ac:dyDescent="0.2">
      <c r="A542" s="55" t="s">
        <v>25</v>
      </c>
      <c r="B542" s="107" t="s">
        <v>3085</v>
      </c>
      <c r="C542" s="637" t="s">
        <v>3085</v>
      </c>
      <c r="D542" s="1387">
        <v>1452.549</v>
      </c>
      <c r="E542" s="161" t="s">
        <v>2975</v>
      </c>
      <c r="F542" s="604"/>
      <c r="G542" s="60"/>
      <c r="H542" s="61"/>
      <c r="I542" s="609"/>
      <c r="J542" s="121"/>
      <c r="K542" s="121"/>
      <c r="L542" s="609"/>
      <c r="M542" s="62"/>
      <c r="N542" s="355"/>
      <c r="O542" s="604">
        <v>2013</v>
      </c>
      <c r="P542" s="62"/>
      <c r="Q542" s="355">
        <v>7.84</v>
      </c>
      <c r="R542" s="604"/>
      <c r="S542" s="62"/>
      <c r="T542" s="355"/>
      <c r="U542" s="62"/>
      <c r="V542" s="62"/>
      <c r="W542" s="19"/>
      <c r="X542" s="20"/>
      <c r="Y542" s="50"/>
      <c r="Z542" s="50"/>
      <c r="AA542" s="31"/>
      <c r="AB542" s="395"/>
      <c r="AC542" s="443"/>
      <c r="AD542" s="16"/>
      <c r="AE542" s="16"/>
      <c r="AF542" s="170"/>
      <c r="AG542" s="86"/>
      <c r="AH542" s="272"/>
      <c r="AI542" s="50"/>
      <c r="AJ542" s="31"/>
      <c r="AK542" s="157"/>
      <c r="AL542" s="285"/>
      <c r="AM542" s="208"/>
      <c r="AN542" s="16"/>
      <c r="AO542" s="19">
        <f>AS542*(1+AU542)</f>
        <v>4.7039999999999998E-3</v>
      </c>
      <c r="AP542" s="20">
        <f>AS542*(1+AU542)</f>
        <v>4.7039999999999998E-3</v>
      </c>
      <c r="AQ542" s="50">
        <v>2013</v>
      </c>
      <c r="AR542" s="50"/>
      <c r="AS542" s="31">
        <f>Q542/1000</f>
        <v>7.8399999999999997E-3</v>
      </c>
      <c r="AT542" s="395">
        <v>-0.4</v>
      </c>
      <c r="AU542" s="443">
        <f>AT542</f>
        <v>-0.4</v>
      </c>
      <c r="AV542" s="16"/>
      <c r="AW542" s="16"/>
      <c r="AX542" s="170"/>
      <c r="AY542" s="86"/>
      <c r="AZ542" s="272"/>
      <c r="BA542" s="50"/>
      <c r="BB542" s="31"/>
      <c r="BC542" s="157"/>
      <c r="BD542" s="342"/>
      <c r="BE542" s="208"/>
      <c r="BF542" s="16"/>
      <c r="BG542" s="170"/>
      <c r="BH542" s="86"/>
      <c r="BI542" s="272"/>
      <c r="BJ542" s="50"/>
      <c r="BK542" s="31"/>
      <c r="BL542" s="157"/>
      <c r="BM542" s="342"/>
      <c r="BN542" s="208"/>
      <c r="BO542" s="16"/>
      <c r="BP542" s="635">
        <v>0</v>
      </c>
      <c r="BQ542" s="636">
        <v>0</v>
      </c>
      <c r="BR542" s="50">
        <v>1990</v>
      </c>
      <c r="BS542" s="31"/>
      <c r="BT542" s="33"/>
      <c r="BU542" s="43">
        <v>-1</v>
      </c>
      <c r="BV542" s="209">
        <f t="shared" si="304"/>
        <v>-1</v>
      </c>
      <c r="BW542" s="141"/>
      <c r="BX542" s="311"/>
      <c r="BY542" s="137"/>
    </row>
    <row r="543" spans="1:77" ht="15" customHeight="1" x14ac:dyDescent="0.2">
      <c r="A543" s="55" t="s">
        <v>25</v>
      </c>
      <c r="B543" s="107" t="s">
        <v>477</v>
      </c>
      <c r="C543" s="637" t="s">
        <v>3086</v>
      </c>
      <c r="D543" s="1387">
        <v>18</v>
      </c>
      <c r="E543" s="161" t="s">
        <v>2975</v>
      </c>
      <c r="F543" s="604"/>
      <c r="G543" s="60"/>
      <c r="H543" s="61"/>
      <c r="I543" s="609"/>
      <c r="J543" s="121"/>
      <c r="K543" s="121"/>
      <c r="L543" s="609"/>
      <c r="M543" s="62"/>
      <c r="N543" s="355"/>
      <c r="O543" s="604"/>
      <c r="P543" s="62"/>
      <c r="Q543" s="355"/>
      <c r="R543" s="604"/>
      <c r="S543" s="62"/>
      <c r="T543" s="355"/>
      <c r="U543" s="62"/>
      <c r="V543" s="62"/>
      <c r="W543" s="19"/>
      <c r="X543" s="20"/>
      <c r="Y543" s="50"/>
      <c r="Z543" s="50"/>
      <c r="AA543" s="31"/>
      <c r="AB543" s="395"/>
      <c r="AC543" s="443"/>
      <c r="AD543" s="16"/>
      <c r="AE543" s="16"/>
      <c r="AF543" s="170"/>
      <c r="AG543" s="86"/>
      <c r="AH543" s="272"/>
      <c r="AI543" s="50"/>
      <c r="AJ543" s="31"/>
      <c r="AK543" s="157"/>
      <c r="AL543" s="285"/>
      <c r="AM543" s="208"/>
      <c r="AN543" s="16"/>
      <c r="AO543" s="635"/>
      <c r="AP543" s="636"/>
      <c r="AQ543" s="640"/>
      <c r="AR543" s="158"/>
      <c r="AS543" s="641"/>
      <c r="AT543" s="399"/>
      <c r="AU543" s="618"/>
      <c r="AV543" s="16"/>
      <c r="AW543" s="16"/>
      <c r="AX543" s="170"/>
      <c r="AY543" s="86"/>
      <c r="AZ543" s="272"/>
      <c r="BA543" s="50"/>
      <c r="BB543" s="31"/>
      <c r="BC543" s="157"/>
      <c r="BD543" s="342"/>
      <c r="BE543" s="208"/>
      <c r="BF543" s="16"/>
      <c r="BG543" s="170"/>
      <c r="BH543" s="86"/>
      <c r="BI543" s="272"/>
      <c r="BJ543" s="50"/>
      <c r="BK543" s="31"/>
      <c r="BL543" s="157"/>
      <c r="BM543" s="342"/>
      <c r="BN543" s="208"/>
      <c r="BO543" s="16"/>
      <c r="BP543" s="635">
        <v>0</v>
      </c>
      <c r="BQ543" s="636">
        <v>0</v>
      </c>
      <c r="BR543" s="50">
        <v>1990</v>
      </c>
      <c r="BS543" s="31"/>
      <c r="BT543" s="33"/>
      <c r="BU543" s="43">
        <v>-1</v>
      </c>
      <c r="BV543" s="209">
        <f t="shared" si="304"/>
        <v>-1</v>
      </c>
      <c r="BW543" s="141"/>
      <c r="BX543" s="311"/>
      <c r="BY543" s="137"/>
    </row>
    <row r="544" spans="1:77" ht="15" customHeight="1" x14ac:dyDescent="0.2">
      <c r="A544" s="55" t="s">
        <v>25</v>
      </c>
      <c r="B544" s="107" t="s">
        <v>477</v>
      </c>
      <c r="C544" s="637" t="s">
        <v>3087</v>
      </c>
      <c r="D544" s="1387">
        <v>16</v>
      </c>
      <c r="E544" s="161" t="s">
        <v>2975</v>
      </c>
      <c r="F544" s="604"/>
      <c r="G544" s="60"/>
      <c r="H544" s="61"/>
      <c r="I544" s="609"/>
      <c r="J544" s="121"/>
      <c r="K544" s="121"/>
      <c r="L544" s="609"/>
      <c r="M544" s="62"/>
      <c r="N544" s="355"/>
      <c r="O544" s="604"/>
      <c r="P544" s="62"/>
      <c r="Q544" s="355"/>
      <c r="R544" s="604"/>
      <c r="S544" s="62"/>
      <c r="T544" s="355"/>
      <c r="U544" s="62"/>
      <c r="V544" s="62"/>
      <c r="W544" s="19"/>
      <c r="X544" s="20"/>
      <c r="Y544" s="50"/>
      <c r="Z544" s="50"/>
      <c r="AA544" s="31"/>
      <c r="AB544" s="395"/>
      <c r="AC544" s="443"/>
      <c r="AD544" s="16"/>
      <c r="AE544" s="16"/>
      <c r="AF544" s="170"/>
      <c r="AG544" s="86"/>
      <c r="AH544" s="272"/>
      <c r="AI544" s="50"/>
      <c r="AJ544" s="31"/>
      <c r="AK544" s="157"/>
      <c r="AL544" s="285"/>
      <c r="AM544" s="208"/>
      <c r="AN544" s="16"/>
      <c r="AO544" s="635"/>
      <c r="AP544" s="636"/>
      <c r="AQ544" s="640"/>
      <c r="AR544" s="158"/>
      <c r="AS544" s="641"/>
      <c r="AT544" s="399"/>
      <c r="AU544" s="618"/>
      <c r="AV544" s="16"/>
      <c r="AW544" s="16"/>
      <c r="AX544" s="170"/>
      <c r="AY544" s="86"/>
      <c r="AZ544" s="272"/>
      <c r="BA544" s="50"/>
      <c r="BB544" s="31"/>
      <c r="BC544" s="157"/>
      <c r="BD544" s="342"/>
      <c r="BE544" s="208"/>
      <c r="BF544" s="16"/>
      <c r="BG544" s="170"/>
      <c r="BH544" s="86"/>
      <c r="BI544" s="272"/>
      <c r="BJ544" s="50"/>
      <c r="BK544" s="31"/>
      <c r="BL544" s="157"/>
      <c r="BM544" s="342"/>
      <c r="BN544" s="208"/>
      <c r="BO544" s="16"/>
      <c r="BP544" s="635">
        <v>0</v>
      </c>
      <c r="BQ544" s="636">
        <v>0</v>
      </c>
      <c r="BR544" s="50">
        <v>1990</v>
      </c>
      <c r="BS544" s="31"/>
      <c r="BT544" s="33"/>
      <c r="BU544" s="43">
        <v>-1</v>
      </c>
      <c r="BV544" s="209">
        <f t="shared" si="304"/>
        <v>-1</v>
      </c>
      <c r="BW544" s="141"/>
      <c r="BX544" s="311"/>
      <c r="BY544" s="137"/>
    </row>
    <row r="545" spans="1:77" ht="15" customHeight="1" x14ac:dyDescent="0.2">
      <c r="A545" s="55" t="s">
        <v>25</v>
      </c>
      <c r="B545" s="107" t="s">
        <v>477</v>
      </c>
      <c r="C545" s="637" t="s">
        <v>3088</v>
      </c>
      <c r="D545" s="1387">
        <v>22</v>
      </c>
      <c r="E545" s="161" t="s">
        <v>2975</v>
      </c>
      <c r="F545" s="604"/>
      <c r="G545" s="60"/>
      <c r="H545" s="61"/>
      <c r="I545" s="609"/>
      <c r="J545" s="121"/>
      <c r="K545" s="121"/>
      <c r="L545" s="609"/>
      <c r="M545" s="62"/>
      <c r="N545" s="355"/>
      <c r="O545" s="604"/>
      <c r="P545" s="62"/>
      <c r="Q545" s="355"/>
      <c r="R545" s="604"/>
      <c r="S545" s="62"/>
      <c r="T545" s="355"/>
      <c r="U545" s="62"/>
      <c r="V545" s="62"/>
      <c r="W545" s="19"/>
      <c r="X545" s="20"/>
      <c r="Y545" s="50"/>
      <c r="Z545" s="50"/>
      <c r="AA545" s="31"/>
      <c r="AB545" s="395"/>
      <c r="AC545" s="443"/>
      <c r="AD545" s="16"/>
      <c r="AE545" s="16"/>
      <c r="AF545" s="170"/>
      <c r="AG545" s="86"/>
      <c r="AH545" s="272"/>
      <c r="AI545" s="50"/>
      <c r="AJ545" s="31"/>
      <c r="AK545" s="157"/>
      <c r="AL545" s="285"/>
      <c r="AM545" s="208"/>
      <c r="AN545" s="16"/>
      <c r="AO545" s="635"/>
      <c r="AP545" s="636"/>
      <c r="AQ545" s="640"/>
      <c r="AR545" s="158"/>
      <c r="AS545" s="641"/>
      <c r="AT545" s="399"/>
      <c r="AU545" s="618"/>
      <c r="AV545" s="16"/>
      <c r="AW545" s="16"/>
      <c r="AX545" s="170"/>
      <c r="AY545" s="86"/>
      <c r="AZ545" s="272"/>
      <c r="BA545" s="50"/>
      <c r="BB545" s="31"/>
      <c r="BC545" s="157"/>
      <c r="BD545" s="342"/>
      <c r="BE545" s="208"/>
      <c r="BF545" s="16"/>
      <c r="BG545" s="170"/>
      <c r="BH545" s="86"/>
      <c r="BI545" s="272"/>
      <c r="BJ545" s="50"/>
      <c r="BK545" s="31"/>
      <c r="BL545" s="157"/>
      <c r="BM545" s="342"/>
      <c r="BN545" s="208"/>
      <c r="BO545" s="16"/>
      <c r="BP545" s="635">
        <v>0</v>
      </c>
      <c r="BQ545" s="636">
        <v>0</v>
      </c>
      <c r="BR545" s="50">
        <v>1990</v>
      </c>
      <c r="BS545" s="31"/>
      <c r="BT545" s="33"/>
      <c r="BU545" s="43">
        <v>-1</v>
      </c>
      <c r="BV545" s="209">
        <f t="shared" si="304"/>
        <v>-1</v>
      </c>
      <c r="BW545" s="141"/>
      <c r="BX545" s="311"/>
      <c r="BY545" s="137"/>
    </row>
    <row r="546" spans="1:77" ht="15" customHeight="1" x14ac:dyDescent="0.2">
      <c r="A546" s="55" t="s">
        <v>25</v>
      </c>
      <c r="B546" s="107" t="s">
        <v>3089</v>
      </c>
      <c r="C546" s="637" t="s">
        <v>3090</v>
      </c>
      <c r="D546" s="1387">
        <v>76</v>
      </c>
      <c r="E546" s="161" t="s">
        <v>2975</v>
      </c>
      <c r="F546" s="604"/>
      <c r="G546" s="60"/>
      <c r="H546" s="61"/>
      <c r="I546" s="609"/>
      <c r="J546" s="121"/>
      <c r="K546" s="121"/>
      <c r="L546" s="609"/>
      <c r="M546" s="62"/>
      <c r="N546" s="355"/>
      <c r="O546" s="604"/>
      <c r="P546" s="62"/>
      <c r="Q546" s="355"/>
      <c r="R546" s="604"/>
      <c r="S546" s="62"/>
      <c r="T546" s="355"/>
      <c r="U546" s="62"/>
      <c r="V546" s="62"/>
      <c r="W546" s="19"/>
      <c r="X546" s="20"/>
      <c r="Y546" s="50"/>
      <c r="Z546" s="50"/>
      <c r="AA546" s="31"/>
      <c r="AB546" s="395"/>
      <c r="AC546" s="443"/>
      <c r="AD546" s="16"/>
      <c r="AE546" s="16"/>
      <c r="AF546" s="170"/>
      <c r="AG546" s="86"/>
      <c r="AH546" s="272"/>
      <c r="AI546" s="50"/>
      <c r="AJ546" s="31"/>
      <c r="AK546" s="157"/>
      <c r="AL546" s="285"/>
      <c r="AM546" s="208"/>
      <c r="AN546" s="16"/>
      <c r="AO546" s="635"/>
      <c r="AP546" s="636"/>
      <c r="AQ546" s="640"/>
      <c r="AR546" s="158"/>
      <c r="AS546" s="641"/>
      <c r="AT546" s="399"/>
      <c r="AU546" s="618"/>
      <c r="AV546" s="16"/>
      <c r="AW546" s="16"/>
      <c r="AX546" s="170"/>
      <c r="AY546" s="86"/>
      <c r="AZ546" s="272"/>
      <c r="BA546" s="50"/>
      <c r="BB546" s="31"/>
      <c r="BC546" s="157"/>
      <c r="BD546" s="342"/>
      <c r="BE546" s="208"/>
      <c r="BF546" s="16"/>
      <c r="BG546" s="170"/>
      <c r="BH546" s="86"/>
      <c r="BI546" s="272"/>
      <c r="BJ546" s="50"/>
      <c r="BK546" s="31"/>
      <c r="BL546" s="157"/>
      <c r="BM546" s="342"/>
      <c r="BN546" s="208"/>
      <c r="BO546" s="16"/>
      <c r="BP546" s="635">
        <v>0</v>
      </c>
      <c r="BQ546" s="636">
        <v>0</v>
      </c>
      <c r="BR546" s="50">
        <v>1990</v>
      </c>
      <c r="BS546" s="31"/>
      <c r="BT546" s="33"/>
      <c r="BU546" s="43">
        <v>-1</v>
      </c>
      <c r="BV546" s="209">
        <f t="shared" si="304"/>
        <v>-1</v>
      </c>
      <c r="BW546" s="141"/>
      <c r="BX546" s="311"/>
      <c r="BY546" s="137"/>
    </row>
    <row r="547" spans="1:77" ht="15" customHeight="1" x14ac:dyDescent="0.2">
      <c r="A547" s="55" t="s">
        <v>25</v>
      </c>
      <c r="B547" s="107" t="s">
        <v>477</v>
      </c>
      <c r="C547" s="637" t="s">
        <v>3091</v>
      </c>
      <c r="D547" s="1387">
        <v>400</v>
      </c>
      <c r="E547" s="161" t="s">
        <v>2975</v>
      </c>
      <c r="F547" s="604"/>
      <c r="G547" s="60"/>
      <c r="H547" s="61"/>
      <c r="I547" s="609"/>
      <c r="J547" s="121"/>
      <c r="K547" s="121"/>
      <c r="L547" s="609"/>
      <c r="M547" s="62"/>
      <c r="N547" s="355"/>
      <c r="O547" s="604"/>
      <c r="P547" s="62"/>
      <c r="Q547" s="355"/>
      <c r="R547" s="604"/>
      <c r="S547" s="62"/>
      <c r="T547" s="355"/>
      <c r="U547" s="62"/>
      <c r="V547" s="62"/>
      <c r="W547" s="19"/>
      <c r="X547" s="20"/>
      <c r="Y547" s="50"/>
      <c r="Z547" s="50"/>
      <c r="AA547" s="31"/>
      <c r="AB547" s="395"/>
      <c r="AC547" s="443"/>
      <c r="AD547" s="16"/>
      <c r="AE547" s="16"/>
      <c r="AF547" s="170"/>
      <c r="AG547" s="86"/>
      <c r="AH547" s="272"/>
      <c r="AI547" s="50"/>
      <c r="AJ547" s="31"/>
      <c r="AK547" s="157"/>
      <c r="AL547" s="285"/>
      <c r="AM547" s="208"/>
      <c r="AN547" s="16"/>
      <c r="AO547" s="635"/>
      <c r="AP547" s="636"/>
      <c r="AQ547" s="640"/>
      <c r="AR547" s="158"/>
      <c r="AS547" s="641"/>
      <c r="AT547" s="399"/>
      <c r="AU547" s="618"/>
      <c r="AV547" s="16"/>
      <c r="AW547" s="16"/>
      <c r="AX547" s="170"/>
      <c r="AY547" s="86"/>
      <c r="AZ547" s="272"/>
      <c r="BA547" s="50"/>
      <c r="BB547" s="31"/>
      <c r="BC547" s="157"/>
      <c r="BD547" s="342"/>
      <c r="BE547" s="208"/>
      <c r="BF547" s="16"/>
      <c r="BG547" s="170"/>
      <c r="BH547" s="86"/>
      <c r="BI547" s="272"/>
      <c r="BJ547" s="50"/>
      <c r="BK547" s="31"/>
      <c r="BL547" s="157"/>
      <c r="BM547" s="342"/>
      <c r="BN547" s="208"/>
      <c r="BO547" s="16"/>
      <c r="BP547" s="635">
        <v>0</v>
      </c>
      <c r="BQ547" s="636">
        <v>0</v>
      </c>
      <c r="BR547" s="50">
        <v>1990</v>
      </c>
      <c r="BS547" s="31"/>
      <c r="BT547" s="33"/>
      <c r="BU547" s="43">
        <v>-1</v>
      </c>
      <c r="BV547" s="209">
        <f t="shared" si="304"/>
        <v>-1</v>
      </c>
      <c r="BW547" s="141"/>
      <c r="BX547" s="311"/>
      <c r="BY547" s="137"/>
    </row>
    <row r="548" spans="1:77" ht="15" customHeight="1" x14ac:dyDescent="0.2">
      <c r="A548" s="55" t="s">
        <v>25</v>
      </c>
      <c r="B548" s="107" t="s">
        <v>477</v>
      </c>
      <c r="C548" s="637" t="s">
        <v>3092</v>
      </c>
      <c r="D548" s="1387">
        <v>500</v>
      </c>
      <c r="E548" s="161" t="s">
        <v>2975</v>
      </c>
      <c r="F548" s="604"/>
      <c r="G548" s="60"/>
      <c r="H548" s="61"/>
      <c r="I548" s="609"/>
      <c r="J548" s="121"/>
      <c r="K548" s="121"/>
      <c r="L548" s="609"/>
      <c r="M548" s="62"/>
      <c r="N548" s="355"/>
      <c r="O548" s="604"/>
      <c r="P548" s="62"/>
      <c r="Q548" s="355"/>
      <c r="R548" s="604"/>
      <c r="S548" s="62"/>
      <c r="T548" s="355"/>
      <c r="U548" s="62"/>
      <c r="V548" s="62"/>
      <c r="W548" s="19"/>
      <c r="X548" s="20"/>
      <c r="Y548" s="50"/>
      <c r="Z548" s="50"/>
      <c r="AA548" s="31"/>
      <c r="AB548" s="395"/>
      <c r="AC548" s="443"/>
      <c r="AD548" s="16"/>
      <c r="AE548" s="16"/>
      <c r="AF548" s="170"/>
      <c r="AG548" s="86"/>
      <c r="AH548" s="272"/>
      <c r="AI548" s="50"/>
      <c r="AJ548" s="31"/>
      <c r="AK548" s="157"/>
      <c r="AL548" s="285"/>
      <c r="AM548" s="208"/>
      <c r="AN548" s="16"/>
      <c r="AO548" s="635"/>
      <c r="AP548" s="636"/>
      <c r="AQ548" s="640"/>
      <c r="AR548" s="158"/>
      <c r="AS548" s="641"/>
      <c r="AT548" s="399"/>
      <c r="AU548" s="618"/>
      <c r="AV548" s="16"/>
      <c r="AW548" s="16"/>
      <c r="AX548" s="170"/>
      <c r="AY548" s="86"/>
      <c r="AZ548" s="272"/>
      <c r="BA548" s="50"/>
      <c r="BB548" s="31"/>
      <c r="BC548" s="157"/>
      <c r="BD548" s="342"/>
      <c r="BE548" s="208"/>
      <c r="BF548" s="16"/>
      <c r="BG548" s="170"/>
      <c r="BH548" s="86"/>
      <c r="BI548" s="272"/>
      <c r="BJ548" s="50"/>
      <c r="BK548" s="31"/>
      <c r="BL548" s="157"/>
      <c r="BM548" s="342"/>
      <c r="BN548" s="208"/>
      <c r="BO548" s="16"/>
      <c r="BP548" s="635">
        <v>0</v>
      </c>
      <c r="BQ548" s="636">
        <v>0</v>
      </c>
      <c r="BR548" s="50">
        <v>1990</v>
      </c>
      <c r="BS548" s="31"/>
      <c r="BT548" s="33"/>
      <c r="BU548" s="43">
        <v>-1</v>
      </c>
      <c r="BV548" s="209">
        <f t="shared" si="304"/>
        <v>-1</v>
      </c>
      <c r="BW548" s="141"/>
      <c r="BX548" s="311"/>
      <c r="BY548" s="137"/>
    </row>
    <row r="549" spans="1:77" ht="15" customHeight="1" x14ac:dyDescent="0.2">
      <c r="A549" s="55" t="s">
        <v>25</v>
      </c>
      <c r="B549" s="107" t="s">
        <v>3093</v>
      </c>
      <c r="C549" s="637" t="s">
        <v>3094</v>
      </c>
      <c r="D549" s="1387">
        <v>1520</v>
      </c>
      <c r="E549" s="161" t="s">
        <v>2975</v>
      </c>
      <c r="F549" s="604"/>
      <c r="G549" s="60"/>
      <c r="H549" s="61"/>
      <c r="I549" s="609"/>
      <c r="J549" s="121"/>
      <c r="K549" s="121"/>
      <c r="L549" s="609"/>
      <c r="M549" s="62"/>
      <c r="N549" s="355"/>
      <c r="O549" s="604"/>
      <c r="P549" s="62"/>
      <c r="Q549" s="355"/>
      <c r="R549" s="604"/>
      <c r="S549" s="62"/>
      <c r="T549" s="355"/>
      <c r="U549" s="62"/>
      <c r="V549" s="62"/>
      <c r="W549" s="19"/>
      <c r="X549" s="20"/>
      <c r="Y549" s="50"/>
      <c r="Z549" s="50"/>
      <c r="AA549" s="31"/>
      <c r="AB549" s="395"/>
      <c r="AC549" s="443"/>
      <c r="AD549" s="16"/>
      <c r="AE549" s="16"/>
      <c r="AF549" s="170"/>
      <c r="AG549" s="86"/>
      <c r="AH549" s="272"/>
      <c r="AI549" s="50"/>
      <c r="AJ549" s="31"/>
      <c r="AK549" s="157"/>
      <c r="AL549" s="285"/>
      <c r="AM549" s="208"/>
      <c r="AN549" s="16"/>
      <c r="AO549" s="635"/>
      <c r="AP549" s="636"/>
      <c r="AQ549" s="640"/>
      <c r="AR549" s="158"/>
      <c r="AS549" s="641"/>
      <c r="AT549" s="399"/>
      <c r="AU549" s="618"/>
      <c r="AV549" s="16"/>
      <c r="AW549" s="16"/>
      <c r="AX549" s="170"/>
      <c r="AY549" s="86"/>
      <c r="AZ549" s="272"/>
      <c r="BA549" s="50"/>
      <c r="BB549" s="31"/>
      <c r="BC549" s="157"/>
      <c r="BD549" s="342"/>
      <c r="BE549" s="208"/>
      <c r="BF549" s="16"/>
      <c r="BG549" s="170"/>
      <c r="BH549" s="86"/>
      <c r="BI549" s="272"/>
      <c r="BJ549" s="50"/>
      <c r="BK549" s="31"/>
      <c r="BL549" s="157"/>
      <c r="BM549" s="342"/>
      <c r="BN549" s="208"/>
      <c r="BO549" s="16"/>
      <c r="BP549" s="635">
        <v>0</v>
      </c>
      <c r="BQ549" s="636">
        <v>0</v>
      </c>
      <c r="BR549" s="50">
        <v>1990</v>
      </c>
      <c r="BS549" s="31"/>
      <c r="BT549" s="33"/>
      <c r="BU549" s="43">
        <v>-1</v>
      </c>
      <c r="BV549" s="209">
        <f t="shared" si="304"/>
        <v>-1</v>
      </c>
      <c r="BW549" s="141"/>
      <c r="BX549" s="311"/>
      <c r="BY549" s="137"/>
    </row>
    <row r="550" spans="1:77" ht="15" customHeight="1" x14ac:dyDescent="0.2">
      <c r="A550" s="55" t="s">
        <v>25</v>
      </c>
      <c r="B550" s="107" t="s">
        <v>477</v>
      </c>
      <c r="C550" s="637" t="s">
        <v>3095</v>
      </c>
      <c r="D550" s="1387">
        <v>290</v>
      </c>
      <c r="E550" s="161" t="s">
        <v>2975</v>
      </c>
      <c r="F550" s="604"/>
      <c r="G550" s="60"/>
      <c r="H550" s="61"/>
      <c r="I550" s="609"/>
      <c r="J550" s="121"/>
      <c r="K550" s="121"/>
      <c r="L550" s="609"/>
      <c r="M550" s="62"/>
      <c r="N550" s="355"/>
      <c r="O550" s="604"/>
      <c r="P550" s="62"/>
      <c r="Q550" s="355"/>
      <c r="R550" s="604"/>
      <c r="S550" s="62"/>
      <c r="T550" s="355"/>
      <c r="U550" s="62"/>
      <c r="V550" s="62"/>
      <c r="W550" s="19"/>
      <c r="X550" s="20"/>
      <c r="Y550" s="50"/>
      <c r="Z550" s="50"/>
      <c r="AA550" s="31"/>
      <c r="AB550" s="395"/>
      <c r="AC550" s="443"/>
      <c r="AD550" s="16"/>
      <c r="AE550" s="16"/>
      <c r="AF550" s="170"/>
      <c r="AG550" s="86"/>
      <c r="AH550" s="272"/>
      <c r="AI550" s="50"/>
      <c r="AJ550" s="31"/>
      <c r="AK550" s="157"/>
      <c r="AL550" s="285"/>
      <c r="AM550" s="208"/>
      <c r="AN550" s="16"/>
      <c r="AO550" s="635"/>
      <c r="AP550" s="636"/>
      <c r="AQ550" s="640"/>
      <c r="AR550" s="158"/>
      <c r="AS550" s="641"/>
      <c r="AT550" s="399"/>
      <c r="AU550" s="618"/>
      <c r="AV550" s="16"/>
      <c r="AW550" s="16"/>
      <c r="AX550" s="170"/>
      <c r="AY550" s="86"/>
      <c r="AZ550" s="272"/>
      <c r="BA550" s="50"/>
      <c r="BB550" s="31"/>
      <c r="BC550" s="157"/>
      <c r="BD550" s="342"/>
      <c r="BE550" s="208"/>
      <c r="BF550" s="16"/>
      <c r="BG550" s="170"/>
      <c r="BH550" s="86"/>
      <c r="BI550" s="272"/>
      <c r="BJ550" s="50"/>
      <c r="BK550" s="31"/>
      <c r="BL550" s="157"/>
      <c r="BM550" s="342"/>
      <c r="BN550" s="208"/>
      <c r="BO550" s="16"/>
      <c r="BP550" s="635">
        <v>0</v>
      </c>
      <c r="BQ550" s="636">
        <v>0</v>
      </c>
      <c r="BR550" s="50">
        <v>1990</v>
      </c>
      <c r="BS550" s="31"/>
      <c r="BT550" s="33"/>
      <c r="BU550" s="43">
        <v>-1</v>
      </c>
      <c r="BV550" s="209">
        <f t="shared" si="304"/>
        <v>-1</v>
      </c>
      <c r="BW550" s="141"/>
      <c r="BX550" s="311"/>
      <c r="BY550" s="137"/>
    </row>
    <row r="551" spans="1:77" ht="15" customHeight="1" x14ac:dyDescent="0.2">
      <c r="A551" s="55" t="s">
        <v>25</v>
      </c>
      <c r="B551" s="107" t="s">
        <v>607</v>
      </c>
      <c r="C551" s="637" t="s">
        <v>3096</v>
      </c>
      <c r="D551" s="1387">
        <v>120</v>
      </c>
      <c r="E551" s="161" t="s">
        <v>2975</v>
      </c>
      <c r="F551" s="604"/>
      <c r="G551" s="60"/>
      <c r="H551" s="61"/>
      <c r="I551" s="609"/>
      <c r="J551" s="121"/>
      <c r="K551" s="121"/>
      <c r="L551" s="609"/>
      <c r="M551" s="62"/>
      <c r="N551" s="355"/>
      <c r="O551" s="604"/>
      <c r="P551" s="62"/>
      <c r="Q551" s="355"/>
      <c r="R551" s="604"/>
      <c r="S551" s="62"/>
      <c r="T551" s="355"/>
      <c r="U551" s="62"/>
      <c r="V551" s="62"/>
      <c r="W551" s="19"/>
      <c r="X551" s="20"/>
      <c r="Y551" s="50"/>
      <c r="Z551" s="50"/>
      <c r="AA551" s="31"/>
      <c r="AB551" s="395"/>
      <c r="AC551" s="443"/>
      <c r="AD551" s="16"/>
      <c r="AE551" s="16"/>
      <c r="AF551" s="170"/>
      <c r="AG551" s="86"/>
      <c r="AH551" s="272"/>
      <c r="AI551" s="50"/>
      <c r="AJ551" s="31"/>
      <c r="AK551" s="157"/>
      <c r="AL551" s="285"/>
      <c r="AM551" s="208"/>
      <c r="AN551" s="16"/>
      <c r="AO551" s="635"/>
      <c r="AP551" s="636"/>
      <c r="AQ551" s="640"/>
      <c r="AR551" s="158"/>
      <c r="AS551" s="641"/>
      <c r="AT551" s="399"/>
      <c r="AU551" s="618"/>
      <c r="AV551" s="16"/>
      <c r="AW551" s="16"/>
      <c r="AX551" s="170"/>
      <c r="AY551" s="86"/>
      <c r="AZ551" s="272"/>
      <c r="BA551" s="50"/>
      <c r="BB551" s="31"/>
      <c r="BC551" s="157"/>
      <c r="BD551" s="342"/>
      <c r="BE551" s="208"/>
      <c r="BF551" s="16"/>
      <c r="BG551" s="170"/>
      <c r="BH551" s="86"/>
      <c r="BI551" s="272"/>
      <c r="BJ551" s="50"/>
      <c r="BK551" s="31"/>
      <c r="BL551" s="157"/>
      <c r="BM551" s="342"/>
      <c r="BN551" s="208"/>
      <c r="BO551" s="16"/>
      <c r="BP551" s="635">
        <v>0</v>
      </c>
      <c r="BQ551" s="636">
        <v>0</v>
      </c>
      <c r="BR551" s="50">
        <v>1990</v>
      </c>
      <c r="BS551" s="31"/>
      <c r="BT551" s="33"/>
      <c r="BU551" s="43">
        <v>-1</v>
      </c>
      <c r="BV551" s="209">
        <f t="shared" si="304"/>
        <v>-1</v>
      </c>
      <c r="BW551" s="141"/>
      <c r="BX551" s="311"/>
      <c r="BY551" s="137"/>
    </row>
    <row r="552" spans="1:77" ht="15" customHeight="1" x14ac:dyDescent="0.2">
      <c r="A552" s="55" t="s">
        <v>25</v>
      </c>
      <c r="B552" s="107" t="s">
        <v>3097</v>
      </c>
      <c r="C552" s="637" t="s">
        <v>3098</v>
      </c>
      <c r="D552" s="1387">
        <v>16</v>
      </c>
      <c r="E552" s="161" t="s">
        <v>2975</v>
      </c>
      <c r="F552" s="604"/>
      <c r="G552" s="60"/>
      <c r="H552" s="61"/>
      <c r="I552" s="609"/>
      <c r="J552" s="121"/>
      <c r="K552" s="121"/>
      <c r="L552" s="609"/>
      <c r="M552" s="62"/>
      <c r="N552" s="355"/>
      <c r="O552" s="604"/>
      <c r="P552" s="62"/>
      <c r="Q552" s="355"/>
      <c r="R552" s="604"/>
      <c r="S552" s="62"/>
      <c r="T552" s="355"/>
      <c r="U552" s="62"/>
      <c r="V552" s="62"/>
      <c r="W552" s="19"/>
      <c r="X552" s="20"/>
      <c r="Y552" s="50"/>
      <c r="Z552" s="50"/>
      <c r="AA552" s="31"/>
      <c r="AB552" s="395"/>
      <c r="AC552" s="443"/>
      <c r="AD552" s="16"/>
      <c r="AE552" s="16"/>
      <c r="AF552" s="170"/>
      <c r="AG552" s="86"/>
      <c r="AH552" s="272"/>
      <c r="AI552" s="50"/>
      <c r="AJ552" s="31"/>
      <c r="AK552" s="157"/>
      <c r="AL552" s="285"/>
      <c r="AM552" s="208"/>
      <c r="AN552" s="16"/>
      <c r="AO552" s="635"/>
      <c r="AP552" s="636"/>
      <c r="AQ552" s="640"/>
      <c r="AR552" s="158"/>
      <c r="AS552" s="641"/>
      <c r="AT552" s="399"/>
      <c r="AU552" s="618"/>
      <c r="AV552" s="16"/>
      <c r="AW552" s="16"/>
      <c r="AX552" s="170"/>
      <c r="AY552" s="86"/>
      <c r="AZ552" s="272"/>
      <c r="BA552" s="50"/>
      <c r="BB552" s="31"/>
      <c r="BC552" s="157"/>
      <c r="BD552" s="342"/>
      <c r="BE552" s="208"/>
      <c r="BF552" s="16"/>
      <c r="BG552" s="170"/>
      <c r="BH552" s="86"/>
      <c r="BI552" s="272"/>
      <c r="BJ552" s="50"/>
      <c r="BK552" s="31"/>
      <c r="BL552" s="157"/>
      <c r="BM552" s="342"/>
      <c r="BN552" s="208"/>
      <c r="BO552" s="16"/>
      <c r="BP552" s="635">
        <v>0</v>
      </c>
      <c r="BQ552" s="636">
        <v>0</v>
      </c>
      <c r="BR552" s="50">
        <v>1990</v>
      </c>
      <c r="BS552" s="31"/>
      <c r="BT552" s="33"/>
      <c r="BU552" s="43">
        <v>-1</v>
      </c>
      <c r="BV552" s="209">
        <f t="shared" si="304"/>
        <v>-1</v>
      </c>
      <c r="BW552" s="141"/>
      <c r="BX552" s="311"/>
      <c r="BY552" s="137"/>
    </row>
    <row r="553" spans="1:77" ht="15" customHeight="1" x14ac:dyDescent="0.2">
      <c r="A553" s="55" t="s">
        <v>25</v>
      </c>
      <c r="B553" s="107" t="s">
        <v>3099</v>
      </c>
      <c r="C553" s="637" t="s">
        <v>3100</v>
      </c>
      <c r="D553" s="1387">
        <v>15</v>
      </c>
      <c r="E553" s="161" t="s">
        <v>2975</v>
      </c>
      <c r="F553" s="604"/>
      <c r="G553" s="60"/>
      <c r="H553" s="61"/>
      <c r="I553" s="609"/>
      <c r="J553" s="121"/>
      <c r="K553" s="121"/>
      <c r="L553" s="609"/>
      <c r="M553" s="62"/>
      <c r="N553" s="355"/>
      <c r="O553" s="604"/>
      <c r="P553" s="62"/>
      <c r="Q553" s="355"/>
      <c r="R553" s="604"/>
      <c r="S553" s="62"/>
      <c r="T553" s="355"/>
      <c r="U553" s="62"/>
      <c r="V553" s="62"/>
      <c r="W553" s="19"/>
      <c r="X553" s="20"/>
      <c r="Y553" s="50"/>
      <c r="Z553" s="50"/>
      <c r="AA553" s="31"/>
      <c r="AB553" s="395"/>
      <c r="AC553" s="443"/>
      <c r="AD553" s="16"/>
      <c r="AE553" s="16"/>
      <c r="AF553" s="170"/>
      <c r="AG553" s="86"/>
      <c r="AH553" s="272"/>
      <c r="AI553" s="50"/>
      <c r="AJ553" s="31"/>
      <c r="AK553" s="157"/>
      <c r="AL553" s="285"/>
      <c r="AM553" s="208"/>
      <c r="AN553" s="16"/>
      <c r="AO553" s="635"/>
      <c r="AP553" s="636"/>
      <c r="AQ553" s="640"/>
      <c r="AR553" s="158"/>
      <c r="AS553" s="641"/>
      <c r="AT553" s="399"/>
      <c r="AU553" s="618"/>
      <c r="AV553" s="16"/>
      <c r="AW553" s="16"/>
      <c r="AX553" s="170"/>
      <c r="AY553" s="86"/>
      <c r="AZ553" s="272"/>
      <c r="BA553" s="50"/>
      <c r="BB553" s="31"/>
      <c r="BC553" s="157"/>
      <c r="BD553" s="342"/>
      <c r="BE553" s="208"/>
      <c r="BF553" s="16"/>
      <c r="BG553" s="170"/>
      <c r="BH553" s="86"/>
      <c r="BI553" s="272"/>
      <c r="BJ553" s="50"/>
      <c r="BK553" s="31"/>
      <c r="BL553" s="157"/>
      <c r="BM553" s="342"/>
      <c r="BN553" s="208"/>
      <c r="BO553" s="16"/>
      <c r="BP553" s="635">
        <v>0</v>
      </c>
      <c r="BQ553" s="636">
        <v>0</v>
      </c>
      <c r="BR553" s="50">
        <v>1990</v>
      </c>
      <c r="BS553" s="31"/>
      <c r="BT553" s="33"/>
      <c r="BU553" s="43">
        <v>-1</v>
      </c>
      <c r="BV553" s="209">
        <f t="shared" si="304"/>
        <v>-1</v>
      </c>
      <c r="BW553" s="141"/>
      <c r="BX553" s="311"/>
      <c r="BY553" s="137"/>
    </row>
    <row r="554" spans="1:77" ht="15" customHeight="1" x14ac:dyDescent="0.2">
      <c r="A554" s="55" t="s">
        <v>25</v>
      </c>
      <c r="B554" s="107" t="s">
        <v>477</v>
      </c>
      <c r="C554" s="637" t="s">
        <v>3101</v>
      </c>
      <c r="D554" s="1387">
        <v>11</v>
      </c>
      <c r="E554" s="161" t="s">
        <v>2975</v>
      </c>
      <c r="F554" s="604"/>
      <c r="G554" s="60"/>
      <c r="H554" s="61"/>
      <c r="I554" s="609"/>
      <c r="J554" s="121"/>
      <c r="K554" s="121"/>
      <c r="L554" s="609"/>
      <c r="M554" s="62"/>
      <c r="N554" s="355"/>
      <c r="O554" s="604"/>
      <c r="P554" s="62"/>
      <c r="Q554" s="355"/>
      <c r="R554" s="604"/>
      <c r="S554" s="62"/>
      <c r="T554" s="355"/>
      <c r="U554" s="62"/>
      <c r="V554" s="62"/>
      <c r="W554" s="19"/>
      <c r="X554" s="20"/>
      <c r="Y554" s="50"/>
      <c r="Z554" s="50"/>
      <c r="AA554" s="31"/>
      <c r="AB554" s="395"/>
      <c r="AC554" s="443"/>
      <c r="AD554" s="16"/>
      <c r="AE554" s="16"/>
      <c r="AF554" s="170"/>
      <c r="AG554" s="86"/>
      <c r="AH554" s="272"/>
      <c r="AI554" s="50"/>
      <c r="AJ554" s="31"/>
      <c r="AK554" s="157"/>
      <c r="AL554" s="285"/>
      <c r="AM554" s="208"/>
      <c r="AN554" s="16"/>
      <c r="AO554" s="635"/>
      <c r="AP554" s="636"/>
      <c r="AQ554" s="640"/>
      <c r="AR554" s="158"/>
      <c r="AS554" s="641"/>
      <c r="AT554" s="399"/>
      <c r="AU554" s="618"/>
      <c r="AV554" s="16"/>
      <c r="AW554" s="16"/>
      <c r="AX554" s="170"/>
      <c r="AY554" s="86"/>
      <c r="AZ554" s="272"/>
      <c r="BA554" s="50"/>
      <c r="BB554" s="31"/>
      <c r="BC554" s="157"/>
      <c r="BD554" s="342"/>
      <c r="BE554" s="208"/>
      <c r="BF554" s="16"/>
      <c r="BG554" s="170"/>
      <c r="BH554" s="86"/>
      <c r="BI554" s="272"/>
      <c r="BJ554" s="50"/>
      <c r="BK554" s="31"/>
      <c r="BL554" s="157"/>
      <c r="BM554" s="342"/>
      <c r="BN554" s="208"/>
      <c r="BO554" s="16"/>
      <c r="BP554" s="635">
        <v>0</v>
      </c>
      <c r="BQ554" s="636">
        <v>0</v>
      </c>
      <c r="BR554" s="50">
        <v>1990</v>
      </c>
      <c r="BS554" s="31"/>
      <c r="BT554" s="33"/>
      <c r="BU554" s="43">
        <v>-1</v>
      </c>
      <c r="BV554" s="209">
        <f t="shared" si="304"/>
        <v>-1</v>
      </c>
      <c r="BW554" s="141"/>
      <c r="BX554" s="311"/>
      <c r="BY554" s="137"/>
    </row>
    <row r="555" spans="1:77" ht="15" customHeight="1" x14ac:dyDescent="0.2">
      <c r="A555" s="55" t="s">
        <v>25</v>
      </c>
      <c r="B555" s="107" t="s">
        <v>477</v>
      </c>
      <c r="C555" s="637" t="s">
        <v>3305</v>
      </c>
      <c r="D555" s="1387"/>
      <c r="E555" s="161" t="s">
        <v>387</v>
      </c>
      <c r="F555" s="604"/>
      <c r="G555" s="60"/>
      <c r="H555" s="61"/>
      <c r="I555" s="609"/>
      <c r="J555" s="121"/>
      <c r="K555" s="121"/>
      <c r="L555" s="609"/>
      <c r="M555" s="62"/>
      <c r="N555" s="355"/>
      <c r="O555" s="604">
        <v>2013</v>
      </c>
      <c r="P555" s="62"/>
      <c r="Q555" s="355">
        <v>1.23</v>
      </c>
      <c r="R555" s="604"/>
      <c r="S555" s="62"/>
      <c r="T555" s="355"/>
      <c r="U555" s="62"/>
      <c r="V555" s="62"/>
      <c r="W555" s="19"/>
      <c r="X555" s="20"/>
      <c r="Y555" s="50"/>
      <c r="Z555" s="50"/>
      <c r="AA555" s="31"/>
      <c r="AB555" s="395"/>
      <c r="AC555" s="443"/>
      <c r="AD555" s="16"/>
      <c r="AE555" s="16"/>
      <c r="AF555" s="21">
        <f>AJ555*(1+AL555)</f>
        <v>7.3799999999999994E-4</v>
      </c>
      <c r="AG555" s="22">
        <f>AJ555*(1+AL555)</f>
        <v>7.3799999999999994E-4</v>
      </c>
      <c r="AH555" s="50">
        <v>2013</v>
      </c>
      <c r="AI555" s="50"/>
      <c r="AJ555" s="33">
        <f>Q555/1000</f>
        <v>1.23E-3</v>
      </c>
      <c r="AK555" s="395">
        <v>-0.4</v>
      </c>
      <c r="AL555" s="443">
        <f>AK555</f>
        <v>-0.4</v>
      </c>
      <c r="AM555" s="208"/>
      <c r="AN555" s="16"/>
      <c r="AO555" s="21"/>
      <c r="AP555" s="22"/>
      <c r="AQ555" s="50"/>
      <c r="AR555" s="50"/>
      <c r="AS555" s="33"/>
      <c r="AT555" s="395"/>
      <c r="AU555" s="443"/>
      <c r="AV555" s="16"/>
      <c r="AW555" s="16"/>
      <c r="AX555" s="170"/>
      <c r="AY555" s="86"/>
      <c r="AZ555" s="272"/>
      <c r="BA555" s="50"/>
      <c r="BB555" s="31"/>
      <c r="BC555" s="157"/>
      <c r="BD555" s="342"/>
      <c r="BE555" s="208"/>
      <c r="BF555" s="16"/>
      <c r="BG555" s="170"/>
      <c r="BH555" s="86"/>
      <c r="BI555" s="272"/>
      <c r="BJ555" s="50"/>
      <c r="BK555" s="31"/>
      <c r="BL555" s="157"/>
      <c r="BM555" s="342"/>
      <c r="BN555" s="208"/>
      <c r="BO555" s="16"/>
      <c r="BP555" s="635"/>
      <c r="BQ555" s="636"/>
      <c r="BR555" s="50"/>
      <c r="BS555" s="31"/>
      <c r="BT555" s="33"/>
      <c r="BU555" s="43"/>
      <c r="BV555" s="209"/>
      <c r="BW555" s="141"/>
      <c r="BX555" s="311"/>
      <c r="BY555" s="137"/>
    </row>
    <row r="556" spans="1:77" ht="15" customHeight="1" x14ac:dyDescent="0.2">
      <c r="A556" s="55" t="s">
        <v>25</v>
      </c>
      <c r="B556" s="107" t="s">
        <v>2263</v>
      </c>
      <c r="C556" s="637" t="s">
        <v>3103</v>
      </c>
      <c r="D556" s="1387">
        <v>46</v>
      </c>
      <c r="E556" s="161" t="s">
        <v>2975</v>
      </c>
      <c r="F556" s="604"/>
      <c r="G556" s="60"/>
      <c r="H556" s="61"/>
      <c r="I556" s="609"/>
      <c r="J556" s="121"/>
      <c r="K556" s="121"/>
      <c r="L556" s="609"/>
      <c r="M556" s="62"/>
      <c r="N556" s="355"/>
      <c r="O556" s="604"/>
      <c r="P556" s="62"/>
      <c r="Q556" s="355"/>
      <c r="R556" s="604"/>
      <c r="S556" s="62"/>
      <c r="T556" s="355"/>
      <c r="U556" s="62"/>
      <c r="V556" s="62"/>
      <c r="W556" s="19"/>
      <c r="X556" s="20"/>
      <c r="Y556" s="50"/>
      <c r="Z556" s="50"/>
      <c r="AA556" s="31"/>
      <c r="AB556" s="395"/>
      <c r="AC556" s="443"/>
      <c r="AD556" s="16"/>
      <c r="AE556" s="16"/>
      <c r="AF556" s="170"/>
      <c r="AG556" s="86"/>
      <c r="AH556" s="272"/>
      <c r="AI556" s="50"/>
      <c r="AJ556" s="31"/>
      <c r="AK556" s="157"/>
      <c r="AL556" s="285"/>
      <c r="AM556" s="208"/>
      <c r="AN556" s="16"/>
      <c r="AO556" s="635"/>
      <c r="AP556" s="636"/>
      <c r="AQ556" s="640"/>
      <c r="AR556" s="158"/>
      <c r="AS556" s="641"/>
      <c r="AT556" s="399"/>
      <c r="AU556" s="618"/>
      <c r="AV556" s="16"/>
      <c r="AW556" s="16"/>
      <c r="AX556" s="170"/>
      <c r="AY556" s="86"/>
      <c r="AZ556" s="272"/>
      <c r="BA556" s="50"/>
      <c r="BB556" s="31"/>
      <c r="BC556" s="157"/>
      <c r="BD556" s="342"/>
      <c r="BE556" s="208"/>
      <c r="BF556" s="16"/>
      <c r="BG556" s="170"/>
      <c r="BH556" s="86"/>
      <c r="BI556" s="272"/>
      <c r="BJ556" s="50"/>
      <c r="BK556" s="31"/>
      <c r="BL556" s="157"/>
      <c r="BM556" s="342"/>
      <c r="BN556" s="208"/>
      <c r="BO556" s="16"/>
      <c r="BP556" s="635">
        <v>0</v>
      </c>
      <c r="BQ556" s="636">
        <v>0</v>
      </c>
      <c r="BR556" s="50">
        <v>1990</v>
      </c>
      <c r="BS556" s="31"/>
      <c r="BT556" s="33"/>
      <c r="BU556" s="43">
        <v>-1</v>
      </c>
      <c r="BV556" s="209">
        <f t="shared" ref="BV556:BV586" si="305">BU556</f>
        <v>-1</v>
      </c>
      <c r="BW556" s="141"/>
      <c r="BX556" s="311"/>
      <c r="BY556" s="137"/>
    </row>
    <row r="557" spans="1:77" ht="15" customHeight="1" x14ac:dyDescent="0.2">
      <c r="A557" s="55" t="s">
        <v>25</v>
      </c>
      <c r="B557" s="107" t="s">
        <v>545</v>
      </c>
      <c r="C557" s="637" t="s">
        <v>3104</v>
      </c>
      <c r="D557" s="1387">
        <v>140</v>
      </c>
      <c r="E557" s="161" t="s">
        <v>2975</v>
      </c>
      <c r="F557" s="604"/>
      <c r="G557" s="60"/>
      <c r="H557" s="61"/>
      <c r="I557" s="609"/>
      <c r="J557" s="121"/>
      <c r="K557" s="121"/>
      <c r="L557" s="609"/>
      <c r="M557" s="62"/>
      <c r="N557" s="355"/>
      <c r="O557" s="604"/>
      <c r="P557" s="62"/>
      <c r="Q557" s="355"/>
      <c r="R557" s="604"/>
      <c r="S557" s="62"/>
      <c r="T557" s="355"/>
      <c r="U557" s="62"/>
      <c r="V557" s="62"/>
      <c r="W557" s="19"/>
      <c r="X557" s="20"/>
      <c r="Y557" s="50"/>
      <c r="Z557" s="50"/>
      <c r="AA557" s="31"/>
      <c r="AB557" s="395"/>
      <c r="AC557" s="443"/>
      <c r="AD557" s="16"/>
      <c r="AE557" s="16"/>
      <c r="AF557" s="170"/>
      <c r="AG557" s="86"/>
      <c r="AH557" s="272"/>
      <c r="AI557" s="50"/>
      <c r="AJ557" s="31"/>
      <c r="AK557" s="157"/>
      <c r="AL557" s="285"/>
      <c r="AM557" s="208"/>
      <c r="AN557" s="16"/>
      <c r="AO557" s="635"/>
      <c r="AP557" s="636"/>
      <c r="AQ557" s="640"/>
      <c r="AR557" s="158"/>
      <c r="AS557" s="641"/>
      <c r="AT557" s="399"/>
      <c r="AU557" s="618"/>
      <c r="AV557" s="16"/>
      <c r="AW557" s="16"/>
      <c r="AX557" s="170"/>
      <c r="AY557" s="86"/>
      <c r="AZ557" s="272"/>
      <c r="BA557" s="50"/>
      <c r="BB557" s="31"/>
      <c r="BC557" s="157"/>
      <c r="BD557" s="342"/>
      <c r="BE557" s="208"/>
      <c r="BF557" s="16"/>
      <c r="BG557" s="170"/>
      <c r="BH557" s="86"/>
      <c r="BI557" s="272"/>
      <c r="BJ557" s="50"/>
      <c r="BK557" s="31"/>
      <c r="BL557" s="157"/>
      <c r="BM557" s="342"/>
      <c r="BN557" s="208"/>
      <c r="BO557" s="16"/>
      <c r="BP557" s="635">
        <v>0</v>
      </c>
      <c r="BQ557" s="636">
        <v>0</v>
      </c>
      <c r="BR557" s="50">
        <v>1990</v>
      </c>
      <c r="BS557" s="31"/>
      <c r="BT557" s="33"/>
      <c r="BU557" s="43">
        <v>-1</v>
      </c>
      <c r="BV557" s="209">
        <f t="shared" si="305"/>
        <v>-1</v>
      </c>
      <c r="BW557" s="141"/>
      <c r="BX557" s="311"/>
      <c r="BY557" s="137"/>
    </row>
    <row r="558" spans="1:77" ht="15" customHeight="1" x14ac:dyDescent="0.2">
      <c r="A558" s="55" t="s">
        <v>25</v>
      </c>
      <c r="B558" s="107" t="s">
        <v>3105</v>
      </c>
      <c r="C558" s="637" t="s">
        <v>3106</v>
      </c>
      <c r="D558" s="1387">
        <v>420</v>
      </c>
      <c r="E558" s="161" t="s">
        <v>2975</v>
      </c>
      <c r="F558" s="604"/>
      <c r="G558" s="60"/>
      <c r="H558" s="61"/>
      <c r="I558" s="609"/>
      <c r="J558" s="121"/>
      <c r="K558" s="121"/>
      <c r="L558" s="609"/>
      <c r="M558" s="62"/>
      <c r="N558" s="355"/>
      <c r="O558" s="604"/>
      <c r="P558" s="62"/>
      <c r="Q558" s="355"/>
      <c r="R558" s="604"/>
      <c r="S558" s="62"/>
      <c r="T558" s="355"/>
      <c r="U558" s="62"/>
      <c r="V558" s="62"/>
      <c r="W558" s="19"/>
      <c r="X558" s="20"/>
      <c r="Y558" s="50"/>
      <c r="Z558" s="50"/>
      <c r="AA558" s="31"/>
      <c r="AB558" s="395"/>
      <c r="AC558" s="443"/>
      <c r="AD558" s="16"/>
      <c r="AE558" s="16"/>
      <c r="AF558" s="170"/>
      <c r="AG558" s="86"/>
      <c r="AH558" s="272"/>
      <c r="AI558" s="50"/>
      <c r="AJ558" s="31"/>
      <c r="AK558" s="157"/>
      <c r="AL558" s="285"/>
      <c r="AM558" s="208"/>
      <c r="AN558" s="16"/>
      <c r="AO558" s="635"/>
      <c r="AP558" s="636"/>
      <c r="AQ558" s="640"/>
      <c r="AR558" s="158"/>
      <c r="AS558" s="641"/>
      <c r="AT558" s="399"/>
      <c r="AU558" s="618"/>
      <c r="AV558" s="16"/>
      <c r="AW558" s="16"/>
      <c r="AX558" s="170"/>
      <c r="AY558" s="86"/>
      <c r="AZ558" s="272"/>
      <c r="BA558" s="50"/>
      <c r="BB558" s="31"/>
      <c r="BC558" s="157"/>
      <c r="BD558" s="342"/>
      <c r="BE558" s="208"/>
      <c r="BF558" s="16"/>
      <c r="BG558" s="170"/>
      <c r="BH558" s="86"/>
      <c r="BI558" s="272"/>
      <c r="BJ558" s="50"/>
      <c r="BK558" s="31"/>
      <c r="BL558" s="157"/>
      <c r="BM558" s="342"/>
      <c r="BN558" s="208"/>
      <c r="BO558" s="16"/>
      <c r="BP558" s="635">
        <v>0</v>
      </c>
      <c r="BQ558" s="636">
        <v>0</v>
      </c>
      <c r="BR558" s="50">
        <v>1990</v>
      </c>
      <c r="BS558" s="31"/>
      <c r="BT558" s="33"/>
      <c r="BU558" s="43">
        <v>-1</v>
      </c>
      <c r="BV558" s="209">
        <f t="shared" si="305"/>
        <v>-1</v>
      </c>
      <c r="BW558" s="141"/>
      <c r="BX558" s="311"/>
      <c r="BY558" s="137"/>
    </row>
    <row r="559" spans="1:77" ht="15" customHeight="1" x14ac:dyDescent="0.2">
      <c r="A559" s="55" t="s">
        <v>25</v>
      </c>
      <c r="B559" s="107" t="s">
        <v>477</v>
      </c>
      <c r="C559" s="637" t="s">
        <v>3107</v>
      </c>
      <c r="D559" s="1387">
        <v>33</v>
      </c>
      <c r="E559" s="161" t="s">
        <v>2975</v>
      </c>
      <c r="F559" s="604"/>
      <c r="G559" s="60"/>
      <c r="H559" s="61"/>
      <c r="I559" s="609"/>
      <c r="J559" s="121"/>
      <c r="K559" s="121"/>
      <c r="L559" s="609"/>
      <c r="M559" s="62"/>
      <c r="N559" s="355"/>
      <c r="O559" s="604"/>
      <c r="P559" s="62"/>
      <c r="Q559" s="355"/>
      <c r="R559" s="604"/>
      <c r="S559" s="62"/>
      <c r="T559" s="355"/>
      <c r="U559" s="62"/>
      <c r="V559" s="62"/>
      <c r="W559" s="19"/>
      <c r="X559" s="20"/>
      <c r="Y559" s="50"/>
      <c r="Z559" s="50"/>
      <c r="AA559" s="31"/>
      <c r="AB559" s="395"/>
      <c r="AC559" s="443"/>
      <c r="AD559" s="16"/>
      <c r="AE559" s="16"/>
      <c r="AF559" s="170"/>
      <c r="AG559" s="86"/>
      <c r="AH559" s="272"/>
      <c r="AI559" s="50"/>
      <c r="AJ559" s="31"/>
      <c r="AK559" s="157"/>
      <c r="AL559" s="285"/>
      <c r="AM559" s="208"/>
      <c r="AN559" s="16"/>
      <c r="AO559" s="635"/>
      <c r="AP559" s="636"/>
      <c r="AQ559" s="640"/>
      <c r="AR559" s="158"/>
      <c r="AS559" s="641"/>
      <c r="AT559" s="399"/>
      <c r="AU559" s="618"/>
      <c r="AV559" s="16"/>
      <c r="AW559" s="16"/>
      <c r="AX559" s="170"/>
      <c r="AY559" s="86"/>
      <c r="AZ559" s="272"/>
      <c r="BA559" s="50"/>
      <c r="BB559" s="31"/>
      <c r="BC559" s="157"/>
      <c r="BD559" s="342"/>
      <c r="BE559" s="208"/>
      <c r="BF559" s="16"/>
      <c r="BG559" s="170"/>
      <c r="BH559" s="86"/>
      <c r="BI559" s="272"/>
      <c r="BJ559" s="50"/>
      <c r="BK559" s="31"/>
      <c r="BL559" s="157"/>
      <c r="BM559" s="342"/>
      <c r="BN559" s="208"/>
      <c r="BO559" s="16"/>
      <c r="BP559" s="635">
        <v>0</v>
      </c>
      <c r="BQ559" s="636">
        <v>0</v>
      </c>
      <c r="BR559" s="50">
        <v>1990</v>
      </c>
      <c r="BS559" s="31"/>
      <c r="BT559" s="33"/>
      <c r="BU559" s="43">
        <v>-1</v>
      </c>
      <c r="BV559" s="209">
        <f t="shared" si="305"/>
        <v>-1</v>
      </c>
      <c r="BW559" s="141"/>
      <c r="BX559" s="311"/>
      <c r="BY559" s="137"/>
    </row>
    <row r="560" spans="1:77" ht="15" customHeight="1" x14ac:dyDescent="0.2">
      <c r="A560" s="55" t="s">
        <v>25</v>
      </c>
      <c r="B560" s="107" t="s">
        <v>3108</v>
      </c>
      <c r="C560" s="637" t="s">
        <v>3109</v>
      </c>
      <c r="D560" s="1387">
        <v>510</v>
      </c>
      <c r="E560" s="161" t="s">
        <v>2975</v>
      </c>
      <c r="F560" s="604"/>
      <c r="G560" s="60"/>
      <c r="H560" s="61"/>
      <c r="I560" s="609"/>
      <c r="J560" s="121"/>
      <c r="K560" s="121"/>
      <c r="L560" s="609"/>
      <c r="M560" s="62"/>
      <c r="N560" s="355"/>
      <c r="O560" s="604"/>
      <c r="P560" s="62"/>
      <c r="Q560" s="355"/>
      <c r="R560" s="604"/>
      <c r="S560" s="62"/>
      <c r="T560" s="355"/>
      <c r="U560" s="62"/>
      <c r="V560" s="62"/>
      <c r="W560" s="19"/>
      <c r="X560" s="20"/>
      <c r="Y560" s="50"/>
      <c r="Z560" s="50"/>
      <c r="AA560" s="31"/>
      <c r="AB560" s="395"/>
      <c r="AC560" s="443"/>
      <c r="AD560" s="16"/>
      <c r="AE560" s="16"/>
      <c r="AF560" s="170"/>
      <c r="AG560" s="86"/>
      <c r="AH560" s="272"/>
      <c r="AI560" s="50"/>
      <c r="AJ560" s="31"/>
      <c r="AK560" s="157"/>
      <c r="AL560" s="285"/>
      <c r="AM560" s="208"/>
      <c r="AN560" s="16"/>
      <c r="AO560" s="635"/>
      <c r="AP560" s="636"/>
      <c r="AQ560" s="640"/>
      <c r="AR560" s="158"/>
      <c r="AS560" s="641"/>
      <c r="AT560" s="399"/>
      <c r="AU560" s="618"/>
      <c r="AV560" s="16"/>
      <c r="AW560" s="16"/>
      <c r="AX560" s="170"/>
      <c r="AY560" s="86"/>
      <c r="AZ560" s="272"/>
      <c r="BA560" s="50"/>
      <c r="BB560" s="31"/>
      <c r="BC560" s="157"/>
      <c r="BD560" s="342"/>
      <c r="BE560" s="208"/>
      <c r="BF560" s="16"/>
      <c r="BG560" s="170"/>
      <c r="BH560" s="86"/>
      <c r="BI560" s="272"/>
      <c r="BJ560" s="50"/>
      <c r="BK560" s="31"/>
      <c r="BL560" s="157"/>
      <c r="BM560" s="342"/>
      <c r="BN560" s="208"/>
      <c r="BO560" s="16"/>
      <c r="BP560" s="635">
        <v>0</v>
      </c>
      <c r="BQ560" s="636">
        <v>0</v>
      </c>
      <c r="BR560" s="50">
        <v>1990</v>
      </c>
      <c r="BS560" s="31"/>
      <c r="BT560" s="33"/>
      <c r="BU560" s="43">
        <v>-1</v>
      </c>
      <c r="BV560" s="209">
        <f t="shared" si="305"/>
        <v>-1</v>
      </c>
      <c r="BW560" s="141"/>
      <c r="BX560" s="311"/>
      <c r="BY560" s="137"/>
    </row>
    <row r="561" spans="1:77" ht="15" customHeight="1" x14ac:dyDescent="0.2">
      <c r="A561" s="55" t="s">
        <v>25</v>
      </c>
      <c r="B561" s="107" t="s">
        <v>3110</v>
      </c>
      <c r="C561" s="637" t="s">
        <v>598</v>
      </c>
      <c r="D561" s="544">
        <v>963</v>
      </c>
      <c r="E561" s="161" t="s">
        <v>3076</v>
      </c>
      <c r="F561" s="604"/>
      <c r="G561" s="60"/>
      <c r="H561" s="61"/>
      <c r="I561" s="609"/>
      <c r="J561" s="121"/>
      <c r="K561" s="121"/>
      <c r="L561" s="609">
        <v>2011</v>
      </c>
      <c r="M561" s="62"/>
      <c r="N561" s="355">
        <v>18.346</v>
      </c>
      <c r="O561" s="604"/>
      <c r="P561" s="62"/>
      <c r="Q561" s="355"/>
      <c r="R561" s="604"/>
      <c r="S561" s="62"/>
      <c r="T561" s="355"/>
      <c r="U561" s="62"/>
      <c r="V561" s="62"/>
      <c r="W561" s="21"/>
      <c r="X561" s="22"/>
      <c r="Y561" s="50"/>
      <c r="Z561" s="50"/>
      <c r="AA561" s="33"/>
      <c r="AB561" s="395"/>
      <c r="AC561" s="443"/>
      <c r="AD561" s="16"/>
      <c r="AE561" s="16"/>
      <c r="AF561" s="170"/>
      <c r="AG561" s="86"/>
      <c r="AH561" s="272"/>
      <c r="AI561" s="50"/>
      <c r="AJ561" s="31"/>
      <c r="AK561" s="157"/>
      <c r="AL561" s="285"/>
      <c r="AM561" s="208"/>
      <c r="AN561" s="16"/>
      <c r="AO561" s="635"/>
      <c r="AP561" s="636"/>
      <c r="AQ561" s="666"/>
      <c r="AR561" s="158"/>
      <c r="AS561" s="641"/>
      <c r="AT561" s="399"/>
      <c r="AU561" s="618"/>
      <c r="AV561" s="16"/>
      <c r="AW561" s="16"/>
      <c r="AX561" s="170"/>
      <c r="AY561" s="86"/>
      <c r="AZ561" s="272"/>
      <c r="BA561" s="50"/>
      <c r="BB561" s="31"/>
      <c r="BC561" s="157"/>
      <c r="BD561" s="342"/>
      <c r="BE561" s="208"/>
      <c r="BF561" s="16"/>
      <c r="BG561" s="170"/>
      <c r="BH561" s="86"/>
      <c r="BI561" s="272"/>
      <c r="BJ561" s="50"/>
      <c r="BK561" s="31"/>
      <c r="BL561" s="157"/>
      <c r="BM561" s="342"/>
      <c r="BN561" s="208"/>
      <c r="BO561" s="16"/>
      <c r="BP561" s="635">
        <v>0</v>
      </c>
      <c r="BQ561" s="636">
        <v>0</v>
      </c>
      <c r="BR561" s="50">
        <v>1990</v>
      </c>
      <c r="BS561" s="31"/>
      <c r="BT561" s="33"/>
      <c r="BU561" s="43">
        <v>-1</v>
      </c>
      <c r="BV561" s="209">
        <f t="shared" si="305"/>
        <v>-1</v>
      </c>
      <c r="BW561" s="141"/>
      <c r="BX561" s="311"/>
      <c r="BY561" s="743"/>
    </row>
    <row r="562" spans="1:77" ht="15" customHeight="1" x14ac:dyDescent="0.2">
      <c r="A562" s="55" t="s">
        <v>25</v>
      </c>
      <c r="B562" s="107" t="s">
        <v>477</v>
      </c>
      <c r="C562" s="637" t="s">
        <v>3110</v>
      </c>
      <c r="D562" s="1387">
        <v>1540</v>
      </c>
      <c r="E562" s="161" t="s">
        <v>2975</v>
      </c>
      <c r="F562" s="604"/>
      <c r="G562" s="60"/>
      <c r="H562" s="61"/>
      <c r="I562" s="609"/>
      <c r="J562" s="121"/>
      <c r="K562" s="121"/>
      <c r="L562" s="609"/>
      <c r="M562" s="62"/>
      <c r="N562" s="355"/>
      <c r="O562" s="604"/>
      <c r="P562" s="62"/>
      <c r="Q562" s="355"/>
      <c r="R562" s="604"/>
      <c r="S562" s="62"/>
      <c r="T562" s="355"/>
      <c r="U562" s="62"/>
      <c r="V562" s="62"/>
      <c r="W562" s="19"/>
      <c r="X562" s="20"/>
      <c r="Y562" s="50"/>
      <c r="Z562" s="50"/>
      <c r="AA562" s="31"/>
      <c r="AB562" s="395"/>
      <c r="AC562" s="443"/>
      <c r="AD562" s="16"/>
      <c r="AE562" s="16"/>
      <c r="AF562" s="170"/>
      <c r="AG562" s="86"/>
      <c r="AH562" s="272"/>
      <c r="AI562" s="50"/>
      <c r="AJ562" s="31"/>
      <c r="AK562" s="157"/>
      <c r="AL562" s="285"/>
      <c r="AM562" s="208"/>
      <c r="AN562" s="16"/>
      <c r="AO562" s="635"/>
      <c r="AP562" s="636"/>
      <c r="AQ562" s="640"/>
      <c r="AR562" s="158"/>
      <c r="AS562" s="641"/>
      <c r="AT562" s="399"/>
      <c r="AU562" s="618"/>
      <c r="AV562" s="16"/>
      <c r="AW562" s="16"/>
      <c r="AX562" s="170"/>
      <c r="AY562" s="86"/>
      <c r="AZ562" s="272"/>
      <c r="BA562" s="50"/>
      <c r="BB562" s="31"/>
      <c r="BC562" s="157"/>
      <c r="BD562" s="342"/>
      <c r="BE562" s="208"/>
      <c r="BF562" s="16"/>
      <c r="BG562" s="170"/>
      <c r="BH562" s="86"/>
      <c r="BI562" s="272"/>
      <c r="BJ562" s="50"/>
      <c r="BK562" s="31"/>
      <c r="BL562" s="157"/>
      <c r="BM562" s="342"/>
      <c r="BN562" s="208"/>
      <c r="BO562" s="16"/>
      <c r="BP562" s="635">
        <v>0</v>
      </c>
      <c r="BQ562" s="636">
        <v>0</v>
      </c>
      <c r="BR562" s="50">
        <v>1990</v>
      </c>
      <c r="BS562" s="31"/>
      <c r="BT562" s="33"/>
      <c r="BU562" s="43">
        <v>-1</v>
      </c>
      <c r="BV562" s="209">
        <f t="shared" si="305"/>
        <v>-1</v>
      </c>
      <c r="BW562" s="141"/>
      <c r="BX562" s="311"/>
      <c r="BY562" s="137"/>
    </row>
    <row r="563" spans="1:77" ht="15" customHeight="1" x14ac:dyDescent="0.2">
      <c r="A563" s="55" t="s">
        <v>25</v>
      </c>
      <c r="B563" s="107" t="s">
        <v>477</v>
      </c>
      <c r="C563" s="637" t="s">
        <v>3111</v>
      </c>
      <c r="D563" s="1387">
        <v>13</v>
      </c>
      <c r="E563" s="161" t="s">
        <v>2975</v>
      </c>
      <c r="F563" s="604"/>
      <c r="G563" s="60"/>
      <c r="H563" s="61"/>
      <c r="I563" s="609"/>
      <c r="J563" s="121"/>
      <c r="K563" s="121"/>
      <c r="L563" s="609"/>
      <c r="M563" s="62"/>
      <c r="N563" s="355"/>
      <c r="O563" s="604"/>
      <c r="P563" s="62"/>
      <c r="Q563" s="355"/>
      <c r="R563" s="604"/>
      <c r="S563" s="62"/>
      <c r="T563" s="355"/>
      <c r="U563" s="62"/>
      <c r="V563" s="62"/>
      <c r="W563" s="19"/>
      <c r="X563" s="20"/>
      <c r="Y563" s="50"/>
      <c r="Z563" s="50"/>
      <c r="AA563" s="31"/>
      <c r="AB563" s="395"/>
      <c r="AC563" s="443"/>
      <c r="AD563" s="16"/>
      <c r="AE563" s="16"/>
      <c r="AF563" s="170"/>
      <c r="AG563" s="86"/>
      <c r="AH563" s="272"/>
      <c r="AI563" s="50"/>
      <c r="AJ563" s="31"/>
      <c r="AK563" s="157"/>
      <c r="AL563" s="285"/>
      <c r="AM563" s="208"/>
      <c r="AN563" s="16"/>
      <c r="AO563" s="635"/>
      <c r="AP563" s="636"/>
      <c r="AQ563" s="640"/>
      <c r="AR563" s="158"/>
      <c r="AS563" s="641"/>
      <c r="AT563" s="399"/>
      <c r="AU563" s="618"/>
      <c r="AV563" s="16"/>
      <c r="AW563" s="16"/>
      <c r="AX563" s="170"/>
      <c r="AY563" s="86"/>
      <c r="AZ563" s="272"/>
      <c r="BA563" s="50"/>
      <c r="BB563" s="31"/>
      <c r="BC563" s="157"/>
      <c r="BD563" s="342"/>
      <c r="BE563" s="208"/>
      <c r="BF563" s="16"/>
      <c r="BG563" s="170"/>
      <c r="BH563" s="86"/>
      <c r="BI563" s="272"/>
      <c r="BJ563" s="50"/>
      <c r="BK563" s="31"/>
      <c r="BL563" s="157"/>
      <c r="BM563" s="342"/>
      <c r="BN563" s="208"/>
      <c r="BO563" s="16"/>
      <c r="BP563" s="635">
        <v>0</v>
      </c>
      <c r="BQ563" s="636">
        <v>0</v>
      </c>
      <c r="BR563" s="50">
        <v>1990</v>
      </c>
      <c r="BS563" s="31"/>
      <c r="BT563" s="33"/>
      <c r="BU563" s="43">
        <v>-1</v>
      </c>
      <c r="BV563" s="209">
        <f t="shared" si="305"/>
        <v>-1</v>
      </c>
      <c r="BW563" s="141"/>
      <c r="BX563" s="311"/>
      <c r="BY563" s="137"/>
    </row>
    <row r="564" spans="1:77" ht="15" customHeight="1" x14ac:dyDescent="0.2">
      <c r="A564" s="55" t="s">
        <v>25</v>
      </c>
      <c r="B564" s="107" t="s">
        <v>3112</v>
      </c>
      <c r="C564" s="637" t="s">
        <v>3045</v>
      </c>
      <c r="D564" s="1387">
        <v>233</v>
      </c>
      <c r="E564" s="161" t="s">
        <v>2975</v>
      </c>
      <c r="F564" s="604"/>
      <c r="G564" s="60"/>
      <c r="H564" s="61"/>
      <c r="I564" s="609"/>
      <c r="J564" s="121"/>
      <c r="K564" s="121"/>
      <c r="L564" s="609"/>
      <c r="M564" s="62"/>
      <c r="N564" s="355"/>
      <c r="O564" s="604"/>
      <c r="P564" s="62"/>
      <c r="Q564" s="355"/>
      <c r="R564" s="604"/>
      <c r="S564" s="62"/>
      <c r="T564" s="355"/>
      <c r="U564" s="62"/>
      <c r="V564" s="62"/>
      <c r="W564" s="19"/>
      <c r="X564" s="20"/>
      <c r="Y564" s="50"/>
      <c r="Z564" s="50"/>
      <c r="AA564" s="31"/>
      <c r="AB564" s="395"/>
      <c r="AC564" s="443"/>
      <c r="AD564" s="16"/>
      <c r="AE564" s="16"/>
      <c r="AF564" s="170"/>
      <c r="AG564" s="86"/>
      <c r="AH564" s="272"/>
      <c r="AI564" s="50"/>
      <c r="AJ564" s="31"/>
      <c r="AK564" s="157"/>
      <c r="AL564" s="285"/>
      <c r="AM564" s="208"/>
      <c r="AN564" s="16"/>
      <c r="AO564" s="635"/>
      <c r="AP564" s="636"/>
      <c r="AQ564" s="640"/>
      <c r="AR564" s="158"/>
      <c r="AS564" s="641"/>
      <c r="AT564" s="399"/>
      <c r="AU564" s="618"/>
      <c r="AV564" s="16"/>
      <c r="AW564" s="16"/>
      <c r="AX564" s="170"/>
      <c r="AY564" s="86"/>
      <c r="AZ564" s="272"/>
      <c r="BA564" s="50"/>
      <c r="BB564" s="31"/>
      <c r="BC564" s="157"/>
      <c r="BD564" s="342"/>
      <c r="BE564" s="208"/>
      <c r="BF564" s="16"/>
      <c r="BG564" s="170"/>
      <c r="BH564" s="86"/>
      <c r="BI564" s="272"/>
      <c r="BJ564" s="50"/>
      <c r="BK564" s="31"/>
      <c r="BL564" s="157"/>
      <c r="BM564" s="342"/>
      <c r="BN564" s="208"/>
      <c r="BO564" s="16"/>
      <c r="BP564" s="635">
        <v>0</v>
      </c>
      <c r="BQ564" s="636">
        <v>0</v>
      </c>
      <c r="BR564" s="50">
        <v>1990</v>
      </c>
      <c r="BS564" s="31"/>
      <c r="BT564" s="33"/>
      <c r="BU564" s="43">
        <v>-1</v>
      </c>
      <c r="BV564" s="209">
        <f t="shared" si="305"/>
        <v>-1</v>
      </c>
      <c r="BW564" s="141"/>
      <c r="BX564" s="311"/>
      <c r="BY564" s="137"/>
    </row>
    <row r="565" spans="1:77" ht="15" customHeight="1" x14ac:dyDescent="0.2">
      <c r="A565" s="55" t="s">
        <v>25</v>
      </c>
      <c r="B565" s="107" t="s">
        <v>477</v>
      </c>
      <c r="C565" s="637" t="s">
        <v>3113</v>
      </c>
      <c r="D565" s="1387">
        <v>49</v>
      </c>
      <c r="E565" s="161" t="s">
        <v>2975</v>
      </c>
      <c r="F565" s="604"/>
      <c r="G565" s="60"/>
      <c r="H565" s="61"/>
      <c r="I565" s="609"/>
      <c r="J565" s="121"/>
      <c r="K565" s="121"/>
      <c r="L565" s="609"/>
      <c r="M565" s="62"/>
      <c r="N565" s="355"/>
      <c r="O565" s="604"/>
      <c r="P565" s="62"/>
      <c r="Q565" s="355"/>
      <c r="R565" s="604"/>
      <c r="S565" s="62"/>
      <c r="T565" s="355"/>
      <c r="U565" s="62"/>
      <c r="V565" s="62"/>
      <c r="W565" s="19"/>
      <c r="X565" s="20"/>
      <c r="Y565" s="50"/>
      <c r="Z565" s="50"/>
      <c r="AA565" s="31"/>
      <c r="AB565" s="395"/>
      <c r="AC565" s="443"/>
      <c r="AD565" s="16"/>
      <c r="AE565" s="16"/>
      <c r="AF565" s="170"/>
      <c r="AG565" s="86"/>
      <c r="AH565" s="272"/>
      <c r="AI565" s="50"/>
      <c r="AJ565" s="31"/>
      <c r="AK565" s="157"/>
      <c r="AL565" s="285"/>
      <c r="AM565" s="208"/>
      <c r="AN565" s="16"/>
      <c r="AO565" s="635"/>
      <c r="AP565" s="636"/>
      <c r="AQ565" s="640"/>
      <c r="AR565" s="158"/>
      <c r="AS565" s="641"/>
      <c r="AT565" s="399"/>
      <c r="AU565" s="618"/>
      <c r="AV565" s="16"/>
      <c r="AW565" s="16"/>
      <c r="AX565" s="170"/>
      <c r="AY565" s="86"/>
      <c r="AZ565" s="272"/>
      <c r="BA565" s="50"/>
      <c r="BB565" s="31"/>
      <c r="BC565" s="157"/>
      <c r="BD565" s="342"/>
      <c r="BE565" s="208"/>
      <c r="BF565" s="16"/>
      <c r="BG565" s="170"/>
      <c r="BH565" s="86"/>
      <c r="BI565" s="272"/>
      <c r="BJ565" s="50"/>
      <c r="BK565" s="31"/>
      <c r="BL565" s="157"/>
      <c r="BM565" s="342"/>
      <c r="BN565" s="208"/>
      <c r="BO565" s="16"/>
      <c r="BP565" s="635">
        <v>0</v>
      </c>
      <c r="BQ565" s="636">
        <v>0</v>
      </c>
      <c r="BR565" s="50">
        <v>1990</v>
      </c>
      <c r="BS565" s="31"/>
      <c r="BT565" s="33"/>
      <c r="BU565" s="43">
        <v>-1</v>
      </c>
      <c r="BV565" s="209">
        <f t="shared" si="305"/>
        <v>-1</v>
      </c>
      <c r="BW565" s="141"/>
      <c r="BX565" s="311"/>
      <c r="BY565" s="137"/>
    </row>
    <row r="566" spans="1:77" ht="15" customHeight="1" x14ac:dyDescent="0.2">
      <c r="A566" s="55" t="s">
        <v>25</v>
      </c>
      <c r="B566" s="107" t="s">
        <v>3114</v>
      </c>
      <c r="C566" s="637" t="s">
        <v>3115</v>
      </c>
      <c r="D566" s="1387">
        <v>12</v>
      </c>
      <c r="E566" s="161" t="s">
        <v>2975</v>
      </c>
      <c r="F566" s="604"/>
      <c r="G566" s="60"/>
      <c r="H566" s="61"/>
      <c r="I566" s="609"/>
      <c r="J566" s="121"/>
      <c r="K566" s="121"/>
      <c r="L566" s="609"/>
      <c r="M566" s="62"/>
      <c r="N566" s="355"/>
      <c r="O566" s="604"/>
      <c r="P566" s="62"/>
      <c r="Q566" s="355"/>
      <c r="R566" s="604"/>
      <c r="S566" s="62"/>
      <c r="T566" s="355"/>
      <c r="U566" s="62"/>
      <c r="V566" s="62"/>
      <c r="W566" s="19"/>
      <c r="X566" s="20"/>
      <c r="Y566" s="50"/>
      <c r="Z566" s="50"/>
      <c r="AA566" s="31"/>
      <c r="AB566" s="395"/>
      <c r="AC566" s="443"/>
      <c r="AD566" s="16"/>
      <c r="AE566" s="16"/>
      <c r="AF566" s="170"/>
      <c r="AG566" s="86"/>
      <c r="AH566" s="272"/>
      <c r="AI566" s="50"/>
      <c r="AJ566" s="31"/>
      <c r="AK566" s="157"/>
      <c r="AL566" s="285"/>
      <c r="AM566" s="208"/>
      <c r="AN566" s="16"/>
      <c r="AO566" s="635"/>
      <c r="AP566" s="636"/>
      <c r="AQ566" s="640"/>
      <c r="AR566" s="158"/>
      <c r="AS566" s="641"/>
      <c r="AT566" s="399"/>
      <c r="AU566" s="618"/>
      <c r="AV566" s="16"/>
      <c r="AW566" s="16"/>
      <c r="AX566" s="170"/>
      <c r="AY566" s="86"/>
      <c r="AZ566" s="272"/>
      <c r="BA566" s="50"/>
      <c r="BB566" s="31"/>
      <c r="BC566" s="157"/>
      <c r="BD566" s="342"/>
      <c r="BE566" s="208"/>
      <c r="BF566" s="16"/>
      <c r="BG566" s="170"/>
      <c r="BH566" s="86"/>
      <c r="BI566" s="272"/>
      <c r="BJ566" s="50"/>
      <c r="BK566" s="31"/>
      <c r="BL566" s="157"/>
      <c r="BM566" s="342"/>
      <c r="BN566" s="208"/>
      <c r="BO566" s="16"/>
      <c r="BP566" s="635">
        <v>0</v>
      </c>
      <c r="BQ566" s="636">
        <v>0</v>
      </c>
      <c r="BR566" s="50">
        <v>1990</v>
      </c>
      <c r="BS566" s="31"/>
      <c r="BT566" s="33"/>
      <c r="BU566" s="43">
        <v>-1</v>
      </c>
      <c r="BV566" s="209">
        <f t="shared" si="305"/>
        <v>-1</v>
      </c>
      <c r="BW566" s="141"/>
      <c r="BX566" s="311"/>
      <c r="BY566" s="137"/>
    </row>
    <row r="567" spans="1:77" ht="15" customHeight="1" x14ac:dyDescent="0.2">
      <c r="A567" s="55" t="s">
        <v>25</v>
      </c>
      <c r="B567" s="637" t="s">
        <v>601</v>
      </c>
      <c r="C567" s="637" t="s">
        <v>601</v>
      </c>
      <c r="D567" s="1387">
        <v>740</v>
      </c>
      <c r="E567" s="161" t="s">
        <v>2975</v>
      </c>
      <c r="F567" s="604"/>
      <c r="G567" s="60"/>
      <c r="H567" s="61"/>
      <c r="I567" s="609"/>
      <c r="J567" s="121"/>
      <c r="K567" s="121"/>
      <c r="L567" s="609"/>
      <c r="M567" s="62"/>
      <c r="N567" s="355"/>
      <c r="O567" s="604"/>
      <c r="P567" s="62"/>
      <c r="Q567" s="355"/>
      <c r="R567" s="604"/>
      <c r="S567" s="62"/>
      <c r="T567" s="355"/>
      <c r="U567" s="62"/>
      <c r="V567" s="62"/>
      <c r="W567" s="19"/>
      <c r="X567" s="20"/>
      <c r="Y567" s="50"/>
      <c r="Z567" s="50"/>
      <c r="AA567" s="31"/>
      <c r="AB567" s="395"/>
      <c r="AC567" s="443"/>
      <c r="AD567" s="16"/>
      <c r="AE567" s="16"/>
      <c r="AF567" s="170"/>
      <c r="AG567" s="86"/>
      <c r="AH567" s="272"/>
      <c r="AI567" s="50"/>
      <c r="AJ567" s="31"/>
      <c r="AK567" s="157"/>
      <c r="AL567" s="285"/>
      <c r="AM567" s="208"/>
      <c r="AN567" s="16"/>
      <c r="AO567" s="635"/>
      <c r="AP567" s="636"/>
      <c r="AQ567" s="640"/>
      <c r="AR567" s="158"/>
      <c r="AS567" s="641"/>
      <c r="AT567" s="399"/>
      <c r="AU567" s="618"/>
      <c r="AV567" s="16"/>
      <c r="AW567" s="16"/>
      <c r="AX567" s="170"/>
      <c r="AY567" s="86"/>
      <c r="AZ567" s="272"/>
      <c r="BA567" s="50"/>
      <c r="BB567" s="31"/>
      <c r="BC567" s="157"/>
      <c r="BD567" s="342"/>
      <c r="BE567" s="208"/>
      <c r="BF567" s="16"/>
      <c r="BG567" s="170"/>
      <c r="BH567" s="86"/>
      <c r="BI567" s="272"/>
      <c r="BJ567" s="50"/>
      <c r="BK567" s="31"/>
      <c r="BL567" s="157"/>
      <c r="BM567" s="342"/>
      <c r="BN567" s="208"/>
      <c r="BO567" s="16"/>
      <c r="BP567" s="635">
        <v>0</v>
      </c>
      <c r="BQ567" s="636">
        <v>0</v>
      </c>
      <c r="BR567" s="50">
        <v>1990</v>
      </c>
      <c r="BS567" s="31"/>
      <c r="BT567" s="33"/>
      <c r="BU567" s="43">
        <v>-1</v>
      </c>
      <c r="BV567" s="209">
        <f t="shared" si="305"/>
        <v>-1</v>
      </c>
      <c r="BW567" s="141"/>
      <c r="BX567" s="311"/>
      <c r="BY567" s="137"/>
    </row>
    <row r="568" spans="1:77" ht="15" customHeight="1" x14ac:dyDescent="0.2">
      <c r="A568" s="55" t="s">
        <v>25</v>
      </c>
      <c r="B568" s="107" t="s">
        <v>477</v>
      </c>
      <c r="C568" s="637" t="s">
        <v>3116</v>
      </c>
      <c r="D568" s="1387">
        <v>48</v>
      </c>
      <c r="E568" s="161" t="s">
        <v>2975</v>
      </c>
      <c r="F568" s="604"/>
      <c r="G568" s="60"/>
      <c r="H568" s="61"/>
      <c r="I568" s="609"/>
      <c r="J568" s="121"/>
      <c r="K568" s="121"/>
      <c r="L568" s="609"/>
      <c r="M568" s="62"/>
      <c r="N568" s="355"/>
      <c r="O568" s="604"/>
      <c r="P568" s="62"/>
      <c r="Q568" s="355"/>
      <c r="R568" s="604"/>
      <c r="S568" s="62"/>
      <c r="T568" s="355"/>
      <c r="U568" s="62"/>
      <c r="V568" s="62"/>
      <c r="W568" s="19"/>
      <c r="X568" s="20"/>
      <c r="Y568" s="50"/>
      <c r="Z568" s="50"/>
      <c r="AA568" s="31"/>
      <c r="AB568" s="395"/>
      <c r="AC568" s="443"/>
      <c r="AD568" s="16"/>
      <c r="AE568" s="16"/>
      <c r="AF568" s="170"/>
      <c r="AG568" s="86"/>
      <c r="AH568" s="272"/>
      <c r="AI568" s="50"/>
      <c r="AJ568" s="31"/>
      <c r="AK568" s="157"/>
      <c r="AL568" s="285"/>
      <c r="AM568" s="208"/>
      <c r="AN568" s="16"/>
      <c r="AO568" s="635"/>
      <c r="AP568" s="636"/>
      <c r="AQ568" s="640"/>
      <c r="AR568" s="158"/>
      <c r="AS568" s="641"/>
      <c r="AT568" s="399"/>
      <c r="AU568" s="618"/>
      <c r="AV568" s="16"/>
      <c r="AW568" s="16"/>
      <c r="AX568" s="170"/>
      <c r="AY568" s="86"/>
      <c r="AZ568" s="272"/>
      <c r="BA568" s="50"/>
      <c r="BB568" s="31"/>
      <c r="BC568" s="157"/>
      <c r="BD568" s="342"/>
      <c r="BE568" s="208"/>
      <c r="BF568" s="16"/>
      <c r="BG568" s="170"/>
      <c r="BH568" s="86"/>
      <c r="BI568" s="272"/>
      <c r="BJ568" s="50"/>
      <c r="BK568" s="31"/>
      <c r="BL568" s="157"/>
      <c r="BM568" s="342"/>
      <c r="BN568" s="208"/>
      <c r="BO568" s="16"/>
      <c r="BP568" s="635">
        <v>0</v>
      </c>
      <c r="BQ568" s="636">
        <v>0</v>
      </c>
      <c r="BR568" s="50">
        <v>1990</v>
      </c>
      <c r="BS568" s="31"/>
      <c r="BT568" s="33"/>
      <c r="BU568" s="43">
        <v>-1</v>
      </c>
      <c r="BV568" s="209">
        <f t="shared" si="305"/>
        <v>-1</v>
      </c>
      <c r="BW568" s="141"/>
      <c r="BX568" s="311"/>
      <c r="BY568" s="137"/>
    </row>
    <row r="569" spans="1:77" ht="15" customHeight="1" x14ac:dyDescent="0.2">
      <c r="A569" s="55" t="s">
        <v>25</v>
      </c>
      <c r="B569" s="107" t="s">
        <v>477</v>
      </c>
      <c r="C569" s="637" t="s">
        <v>3117</v>
      </c>
      <c r="D569" s="1387">
        <v>37</v>
      </c>
      <c r="E569" s="161" t="s">
        <v>2975</v>
      </c>
      <c r="F569" s="604"/>
      <c r="G569" s="60"/>
      <c r="H569" s="61"/>
      <c r="I569" s="609"/>
      <c r="J569" s="121"/>
      <c r="K569" s="121"/>
      <c r="L569" s="609"/>
      <c r="M569" s="62"/>
      <c r="N569" s="355"/>
      <c r="O569" s="604"/>
      <c r="P569" s="62"/>
      <c r="Q569" s="355"/>
      <c r="R569" s="604"/>
      <c r="S569" s="62"/>
      <c r="T569" s="355"/>
      <c r="U569" s="62"/>
      <c r="V569" s="62"/>
      <c r="W569" s="19"/>
      <c r="X569" s="20"/>
      <c r="Y569" s="50"/>
      <c r="Z569" s="50"/>
      <c r="AA569" s="31"/>
      <c r="AB569" s="395"/>
      <c r="AC569" s="443"/>
      <c r="AD569" s="16"/>
      <c r="AE569" s="16"/>
      <c r="AF569" s="170"/>
      <c r="AG569" s="86"/>
      <c r="AH569" s="272"/>
      <c r="AI569" s="50"/>
      <c r="AJ569" s="31"/>
      <c r="AK569" s="157"/>
      <c r="AL569" s="285"/>
      <c r="AM569" s="208"/>
      <c r="AN569" s="16"/>
      <c r="AO569" s="635"/>
      <c r="AP569" s="636"/>
      <c r="AQ569" s="640"/>
      <c r="AR569" s="158"/>
      <c r="AS569" s="641"/>
      <c r="AT569" s="399"/>
      <c r="AU569" s="618"/>
      <c r="AV569" s="16"/>
      <c r="AW569" s="16"/>
      <c r="AX569" s="170"/>
      <c r="AY569" s="86"/>
      <c r="AZ569" s="272"/>
      <c r="BA569" s="50"/>
      <c r="BB569" s="31"/>
      <c r="BC569" s="157"/>
      <c r="BD569" s="342"/>
      <c r="BE569" s="208"/>
      <c r="BF569" s="16"/>
      <c r="BG569" s="170"/>
      <c r="BH569" s="86"/>
      <c r="BI569" s="272"/>
      <c r="BJ569" s="50"/>
      <c r="BK569" s="31"/>
      <c r="BL569" s="157"/>
      <c r="BM569" s="342"/>
      <c r="BN569" s="208"/>
      <c r="BO569" s="16"/>
      <c r="BP569" s="635">
        <v>0</v>
      </c>
      <c r="BQ569" s="636">
        <v>0</v>
      </c>
      <c r="BR569" s="50">
        <v>1990</v>
      </c>
      <c r="BS569" s="31"/>
      <c r="BT569" s="33"/>
      <c r="BU569" s="43">
        <v>-1</v>
      </c>
      <c r="BV569" s="209">
        <f t="shared" si="305"/>
        <v>-1</v>
      </c>
      <c r="BW569" s="141"/>
      <c r="BX569" s="311"/>
      <c r="BY569" s="137"/>
    </row>
    <row r="570" spans="1:77" ht="15" customHeight="1" x14ac:dyDescent="0.2">
      <c r="A570" s="55" t="s">
        <v>25</v>
      </c>
      <c r="B570" s="107" t="s">
        <v>477</v>
      </c>
      <c r="C570" s="637" t="s">
        <v>3118</v>
      </c>
      <c r="D570" s="1387">
        <v>60</v>
      </c>
      <c r="E570" s="161" t="s">
        <v>2975</v>
      </c>
      <c r="F570" s="604"/>
      <c r="G570" s="60"/>
      <c r="H570" s="61"/>
      <c r="I570" s="609"/>
      <c r="J570" s="121"/>
      <c r="K570" s="121"/>
      <c r="L570" s="609"/>
      <c r="M570" s="62"/>
      <c r="N570" s="355"/>
      <c r="O570" s="604"/>
      <c r="P570" s="62"/>
      <c r="Q570" s="355"/>
      <c r="R570" s="604"/>
      <c r="S570" s="62"/>
      <c r="T570" s="355"/>
      <c r="U570" s="62"/>
      <c r="V570" s="62"/>
      <c r="W570" s="19"/>
      <c r="X570" s="20"/>
      <c r="Y570" s="50"/>
      <c r="Z570" s="50"/>
      <c r="AA570" s="31"/>
      <c r="AB570" s="395"/>
      <c r="AC570" s="443"/>
      <c r="AD570" s="16"/>
      <c r="AE570" s="16"/>
      <c r="AF570" s="170"/>
      <c r="AG570" s="86"/>
      <c r="AH570" s="272"/>
      <c r="AI570" s="50"/>
      <c r="AJ570" s="31"/>
      <c r="AK570" s="157"/>
      <c r="AL570" s="285"/>
      <c r="AM570" s="208"/>
      <c r="AN570" s="16"/>
      <c r="AO570" s="635"/>
      <c r="AP570" s="636"/>
      <c r="AQ570" s="640"/>
      <c r="AR570" s="158"/>
      <c r="AS570" s="641"/>
      <c r="AT570" s="399"/>
      <c r="AU570" s="618"/>
      <c r="AV570" s="16"/>
      <c r="AW570" s="16"/>
      <c r="AX570" s="170"/>
      <c r="AY570" s="86"/>
      <c r="AZ570" s="272"/>
      <c r="BA570" s="50"/>
      <c r="BB570" s="31"/>
      <c r="BC570" s="157"/>
      <c r="BD570" s="342"/>
      <c r="BE570" s="208"/>
      <c r="BF570" s="16"/>
      <c r="BG570" s="170"/>
      <c r="BH570" s="86"/>
      <c r="BI570" s="272"/>
      <c r="BJ570" s="50"/>
      <c r="BK570" s="31"/>
      <c r="BL570" s="157"/>
      <c r="BM570" s="342"/>
      <c r="BN570" s="208"/>
      <c r="BO570" s="16"/>
      <c r="BP570" s="635">
        <v>0</v>
      </c>
      <c r="BQ570" s="636">
        <v>0</v>
      </c>
      <c r="BR570" s="50">
        <v>1990</v>
      </c>
      <c r="BS570" s="31"/>
      <c r="BT570" s="33"/>
      <c r="BU570" s="43">
        <v>-1</v>
      </c>
      <c r="BV570" s="209">
        <f t="shared" si="305"/>
        <v>-1</v>
      </c>
      <c r="BW570" s="141"/>
      <c r="BX570" s="311"/>
      <c r="BY570" s="137"/>
    </row>
    <row r="571" spans="1:77" ht="15" customHeight="1" x14ac:dyDescent="0.2">
      <c r="A571" s="55" t="s">
        <v>25</v>
      </c>
      <c r="B571" s="107" t="s">
        <v>477</v>
      </c>
      <c r="C571" s="637" t="s">
        <v>3119</v>
      </c>
      <c r="D571" s="1387">
        <v>27</v>
      </c>
      <c r="E571" s="161" t="s">
        <v>2975</v>
      </c>
      <c r="F571" s="604"/>
      <c r="G571" s="60"/>
      <c r="H571" s="61"/>
      <c r="I571" s="609"/>
      <c r="J571" s="121"/>
      <c r="K571" s="121"/>
      <c r="L571" s="609"/>
      <c r="M571" s="62"/>
      <c r="N571" s="355"/>
      <c r="O571" s="604"/>
      <c r="P571" s="62"/>
      <c r="Q571" s="355"/>
      <c r="R571" s="604"/>
      <c r="S571" s="62"/>
      <c r="T571" s="355"/>
      <c r="U571" s="62"/>
      <c r="V571" s="62"/>
      <c r="W571" s="19"/>
      <c r="X571" s="20"/>
      <c r="Y571" s="50"/>
      <c r="Z571" s="50"/>
      <c r="AA571" s="31"/>
      <c r="AB571" s="395"/>
      <c r="AC571" s="443"/>
      <c r="AD571" s="16"/>
      <c r="AE571" s="16"/>
      <c r="AF571" s="170"/>
      <c r="AG571" s="86"/>
      <c r="AH571" s="272"/>
      <c r="AI571" s="50"/>
      <c r="AJ571" s="31"/>
      <c r="AK571" s="157"/>
      <c r="AL571" s="285"/>
      <c r="AM571" s="208"/>
      <c r="AN571" s="16"/>
      <c r="AO571" s="635"/>
      <c r="AP571" s="636"/>
      <c r="AQ571" s="640"/>
      <c r="AR571" s="158"/>
      <c r="AS571" s="641"/>
      <c r="AT571" s="399"/>
      <c r="AU571" s="618"/>
      <c r="AV571" s="16"/>
      <c r="AW571" s="16"/>
      <c r="AX571" s="170"/>
      <c r="AY571" s="86"/>
      <c r="AZ571" s="272"/>
      <c r="BA571" s="50"/>
      <c r="BB571" s="31"/>
      <c r="BC571" s="157"/>
      <c r="BD571" s="342"/>
      <c r="BE571" s="208"/>
      <c r="BF571" s="16"/>
      <c r="BG571" s="170"/>
      <c r="BH571" s="86"/>
      <c r="BI571" s="272"/>
      <c r="BJ571" s="50"/>
      <c r="BK571" s="31"/>
      <c r="BL571" s="157"/>
      <c r="BM571" s="342"/>
      <c r="BN571" s="208"/>
      <c r="BO571" s="16"/>
      <c r="BP571" s="635">
        <v>0</v>
      </c>
      <c r="BQ571" s="636">
        <v>0</v>
      </c>
      <c r="BR571" s="50">
        <v>1990</v>
      </c>
      <c r="BS571" s="31"/>
      <c r="BT571" s="33"/>
      <c r="BU571" s="43">
        <v>-1</v>
      </c>
      <c r="BV571" s="209">
        <f t="shared" si="305"/>
        <v>-1</v>
      </c>
      <c r="BW571" s="141"/>
      <c r="BX571" s="311"/>
      <c r="BY571" s="137"/>
    </row>
    <row r="572" spans="1:77" ht="15" customHeight="1" x14ac:dyDescent="0.2">
      <c r="A572" s="55" t="s">
        <v>25</v>
      </c>
      <c r="B572" s="107" t="s">
        <v>477</v>
      </c>
      <c r="C572" s="637" t="s">
        <v>3120</v>
      </c>
      <c r="D572" s="1387">
        <v>58</v>
      </c>
      <c r="E572" s="161" t="s">
        <v>2975</v>
      </c>
      <c r="F572" s="604"/>
      <c r="G572" s="60"/>
      <c r="H572" s="61"/>
      <c r="I572" s="609"/>
      <c r="J572" s="121"/>
      <c r="K572" s="121"/>
      <c r="L572" s="609"/>
      <c r="M572" s="62"/>
      <c r="N572" s="355"/>
      <c r="O572" s="604"/>
      <c r="P572" s="62"/>
      <c r="Q572" s="355"/>
      <c r="R572" s="604"/>
      <c r="S572" s="62"/>
      <c r="T572" s="355"/>
      <c r="U572" s="62"/>
      <c r="V572" s="62"/>
      <c r="W572" s="19"/>
      <c r="X572" s="20"/>
      <c r="Y572" s="50"/>
      <c r="Z572" s="50"/>
      <c r="AA572" s="31"/>
      <c r="AB572" s="395"/>
      <c r="AC572" s="443"/>
      <c r="AD572" s="16"/>
      <c r="AE572" s="16"/>
      <c r="AF572" s="170"/>
      <c r="AG572" s="86"/>
      <c r="AH572" s="272"/>
      <c r="AI572" s="50"/>
      <c r="AJ572" s="31"/>
      <c r="AK572" s="157"/>
      <c r="AL572" s="285"/>
      <c r="AM572" s="208"/>
      <c r="AN572" s="16"/>
      <c r="AO572" s="635"/>
      <c r="AP572" s="636"/>
      <c r="AQ572" s="640"/>
      <c r="AR572" s="158"/>
      <c r="AS572" s="641"/>
      <c r="AT572" s="399"/>
      <c r="AU572" s="618"/>
      <c r="AV572" s="16"/>
      <c r="AW572" s="16"/>
      <c r="AX572" s="170"/>
      <c r="AY572" s="86"/>
      <c r="AZ572" s="272"/>
      <c r="BA572" s="50"/>
      <c r="BB572" s="31"/>
      <c r="BC572" s="157"/>
      <c r="BD572" s="342"/>
      <c r="BE572" s="208"/>
      <c r="BF572" s="16"/>
      <c r="BG572" s="170"/>
      <c r="BH572" s="86"/>
      <c r="BI572" s="272"/>
      <c r="BJ572" s="50"/>
      <c r="BK572" s="31"/>
      <c r="BL572" s="157"/>
      <c r="BM572" s="342"/>
      <c r="BN572" s="208"/>
      <c r="BO572" s="16"/>
      <c r="BP572" s="635">
        <v>0</v>
      </c>
      <c r="BQ572" s="636">
        <v>0</v>
      </c>
      <c r="BR572" s="50">
        <v>1990</v>
      </c>
      <c r="BS572" s="31"/>
      <c r="BT572" s="33"/>
      <c r="BU572" s="43">
        <v>-1</v>
      </c>
      <c r="BV572" s="209">
        <f t="shared" si="305"/>
        <v>-1</v>
      </c>
      <c r="BW572" s="141"/>
      <c r="BX572" s="311"/>
      <c r="BY572" s="137"/>
    </row>
    <row r="573" spans="1:77" ht="15" customHeight="1" x14ac:dyDescent="0.2">
      <c r="A573" s="55" t="s">
        <v>25</v>
      </c>
      <c r="B573" s="107" t="s">
        <v>477</v>
      </c>
      <c r="C573" s="637" t="s">
        <v>3121</v>
      </c>
      <c r="D573" s="1387">
        <v>10</v>
      </c>
      <c r="E573" s="161" t="s">
        <v>2975</v>
      </c>
      <c r="F573" s="604"/>
      <c r="G573" s="60"/>
      <c r="H573" s="61"/>
      <c r="I573" s="609"/>
      <c r="J573" s="121"/>
      <c r="K573" s="121"/>
      <c r="L573" s="609"/>
      <c r="M573" s="62"/>
      <c r="N573" s="355"/>
      <c r="O573" s="604"/>
      <c r="P573" s="62"/>
      <c r="Q573" s="355"/>
      <c r="R573" s="604"/>
      <c r="S573" s="62"/>
      <c r="T573" s="355"/>
      <c r="U573" s="62"/>
      <c r="V573" s="62"/>
      <c r="W573" s="19"/>
      <c r="X573" s="20"/>
      <c r="Y573" s="50"/>
      <c r="Z573" s="50"/>
      <c r="AA573" s="31"/>
      <c r="AB573" s="395"/>
      <c r="AC573" s="443"/>
      <c r="AD573" s="16"/>
      <c r="AE573" s="16"/>
      <c r="AF573" s="170"/>
      <c r="AG573" s="86"/>
      <c r="AH573" s="272"/>
      <c r="AI573" s="50"/>
      <c r="AJ573" s="31"/>
      <c r="AK573" s="157"/>
      <c r="AL573" s="285"/>
      <c r="AM573" s="208"/>
      <c r="AN573" s="16"/>
      <c r="AO573" s="635"/>
      <c r="AP573" s="636"/>
      <c r="AQ573" s="640"/>
      <c r="AR573" s="158"/>
      <c r="AS573" s="641"/>
      <c r="AT573" s="399"/>
      <c r="AU573" s="618"/>
      <c r="AV573" s="16"/>
      <c r="AW573" s="16"/>
      <c r="AX573" s="170"/>
      <c r="AY573" s="86"/>
      <c r="AZ573" s="272"/>
      <c r="BA573" s="50"/>
      <c r="BB573" s="31"/>
      <c r="BC573" s="157"/>
      <c r="BD573" s="342"/>
      <c r="BE573" s="208"/>
      <c r="BF573" s="16"/>
      <c r="BG573" s="170"/>
      <c r="BH573" s="86"/>
      <c r="BI573" s="272"/>
      <c r="BJ573" s="50"/>
      <c r="BK573" s="31"/>
      <c r="BL573" s="157"/>
      <c r="BM573" s="342"/>
      <c r="BN573" s="208"/>
      <c r="BO573" s="16"/>
      <c r="BP573" s="635">
        <v>0</v>
      </c>
      <c r="BQ573" s="636">
        <v>0</v>
      </c>
      <c r="BR573" s="50">
        <v>1990</v>
      </c>
      <c r="BS573" s="31"/>
      <c r="BT573" s="33"/>
      <c r="BU573" s="43">
        <v>-1</v>
      </c>
      <c r="BV573" s="209">
        <f t="shared" si="305"/>
        <v>-1</v>
      </c>
      <c r="BW573" s="141"/>
      <c r="BX573" s="311"/>
      <c r="BY573" s="137"/>
    </row>
    <row r="574" spans="1:77" ht="15" customHeight="1" x14ac:dyDescent="0.2">
      <c r="A574" s="55" t="s">
        <v>25</v>
      </c>
      <c r="B574" s="107" t="s">
        <v>477</v>
      </c>
      <c r="C574" s="637" t="s">
        <v>3122</v>
      </c>
      <c r="D574" s="1387">
        <v>5</v>
      </c>
      <c r="E574" s="161" t="s">
        <v>2975</v>
      </c>
      <c r="F574" s="604"/>
      <c r="G574" s="60"/>
      <c r="H574" s="61"/>
      <c r="I574" s="609"/>
      <c r="J574" s="121"/>
      <c r="K574" s="121"/>
      <c r="L574" s="609"/>
      <c r="M574" s="62"/>
      <c r="N574" s="355"/>
      <c r="O574" s="604"/>
      <c r="P574" s="62"/>
      <c r="Q574" s="355"/>
      <c r="R574" s="604"/>
      <c r="S574" s="62"/>
      <c r="T574" s="355"/>
      <c r="U574" s="62"/>
      <c r="V574" s="62"/>
      <c r="W574" s="19"/>
      <c r="X574" s="20"/>
      <c r="Y574" s="50"/>
      <c r="Z574" s="50"/>
      <c r="AA574" s="31"/>
      <c r="AB574" s="395"/>
      <c r="AC574" s="443"/>
      <c r="AD574" s="16"/>
      <c r="AE574" s="16"/>
      <c r="AF574" s="170"/>
      <c r="AG574" s="86"/>
      <c r="AH574" s="272"/>
      <c r="AI574" s="50"/>
      <c r="AJ574" s="31"/>
      <c r="AK574" s="157"/>
      <c r="AL574" s="285"/>
      <c r="AM574" s="208"/>
      <c r="AN574" s="16"/>
      <c r="AO574" s="635"/>
      <c r="AP574" s="636"/>
      <c r="AQ574" s="640"/>
      <c r="AR574" s="158"/>
      <c r="AS574" s="641"/>
      <c r="AT574" s="399"/>
      <c r="AU574" s="618"/>
      <c r="AV574" s="16"/>
      <c r="AW574" s="16"/>
      <c r="AX574" s="170"/>
      <c r="AY574" s="86"/>
      <c r="AZ574" s="272"/>
      <c r="BA574" s="50"/>
      <c r="BB574" s="31"/>
      <c r="BC574" s="157"/>
      <c r="BD574" s="342"/>
      <c r="BE574" s="208"/>
      <c r="BF574" s="16"/>
      <c r="BG574" s="170"/>
      <c r="BH574" s="86"/>
      <c r="BI574" s="272"/>
      <c r="BJ574" s="50"/>
      <c r="BK574" s="31"/>
      <c r="BL574" s="157"/>
      <c r="BM574" s="342"/>
      <c r="BN574" s="208"/>
      <c r="BO574" s="16"/>
      <c r="BP574" s="635">
        <v>0</v>
      </c>
      <c r="BQ574" s="636">
        <v>0</v>
      </c>
      <c r="BR574" s="50">
        <v>1990</v>
      </c>
      <c r="BS574" s="31"/>
      <c r="BT574" s="33"/>
      <c r="BU574" s="43">
        <v>-1</v>
      </c>
      <c r="BV574" s="209">
        <f t="shared" si="305"/>
        <v>-1</v>
      </c>
      <c r="BW574" s="141"/>
      <c r="BX574" s="311"/>
      <c r="BY574" s="137"/>
    </row>
    <row r="575" spans="1:77" ht="15" customHeight="1" x14ac:dyDescent="0.2">
      <c r="A575" s="55" t="s">
        <v>25</v>
      </c>
      <c r="B575" s="107" t="s">
        <v>477</v>
      </c>
      <c r="C575" s="637" t="s">
        <v>3123</v>
      </c>
      <c r="D575" s="1387">
        <v>33</v>
      </c>
      <c r="E575" s="161" t="s">
        <v>2975</v>
      </c>
      <c r="F575" s="604"/>
      <c r="G575" s="60"/>
      <c r="H575" s="61"/>
      <c r="I575" s="609"/>
      <c r="J575" s="121"/>
      <c r="K575" s="121"/>
      <c r="L575" s="609"/>
      <c r="M575" s="62"/>
      <c r="N575" s="355"/>
      <c r="O575" s="604"/>
      <c r="P575" s="62"/>
      <c r="Q575" s="355"/>
      <c r="R575" s="604"/>
      <c r="S575" s="62"/>
      <c r="T575" s="355"/>
      <c r="U575" s="62"/>
      <c r="V575" s="62"/>
      <c r="W575" s="19"/>
      <c r="X575" s="20"/>
      <c r="Y575" s="50"/>
      <c r="Z575" s="50"/>
      <c r="AA575" s="31"/>
      <c r="AB575" s="395"/>
      <c r="AC575" s="443"/>
      <c r="AD575" s="16"/>
      <c r="AE575" s="16"/>
      <c r="AF575" s="170"/>
      <c r="AG575" s="86"/>
      <c r="AH575" s="272"/>
      <c r="AI575" s="50"/>
      <c r="AJ575" s="31"/>
      <c r="AK575" s="157"/>
      <c r="AL575" s="285"/>
      <c r="AM575" s="208"/>
      <c r="AN575" s="16"/>
      <c r="AO575" s="635"/>
      <c r="AP575" s="636"/>
      <c r="AQ575" s="640"/>
      <c r="AR575" s="158"/>
      <c r="AS575" s="641"/>
      <c r="AT575" s="399"/>
      <c r="AU575" s="618"/>
      <c r="AV575" s="16"/>
      <c r="AW575" s="16"/>
      <c r="AX575" s="170"/>
      <c r="AY575" s="86"/>
      <c r="AZ575" s="272"/>
      <c r="BA575" s="50"/>
      <c r="BB575" s="31"/>
      <c r="BC575" s="157"/>
      <c r="BD575" s="342"/>
      <c r="BE575" s="208"/>
      <c r="BF575" s="16"/>
      <c r="BG575" s="170"/>
      <c r="BH575" s="86"/>
      <c r="BI575" s="272"/>
      <c r="BJ575" s="50"/>
      <c r="BK575" s="31"/>
      <c r="BL575" s="157"/>
      <c r="BM575" s="342"/>
      <c r="BN575" s="208"/>
      <c r="BO575" s="16"/>
      <c r="BP575" s="635">
        <v>0</v>
      </c>
      <c r="BQ575" s="636">
        <v>0</v>
      </c>
      <c r="BR575" s="50">
        <v>1990</v>
      </c>
      <c r="BS575" s="31"/>
      <c r="BT575" s="33"/>
      <c r="BU575" s="43">
        <v>-1</v>
      </c>
      <c r="BV575" s="209">
        <f t="shared" si="305"/>
        <v>-1</v>
      </c>
      <c r="BW575" s="141"/>
      <c r="BX575" s="311"/>
      <c r="BY575" s="137"/>
    </row>
    <row r="576" spans="1:77" ht="15" customHeight="1" x14ac:dyDescent="0.2">
      <c r="A576" s="55" t="s">
        <v>25</v>
      </c>
      <c r="B576" s="107" t="s">
        <v>477</v>
      </c>
      <c r="C576" s="637" t="s">
        <v>3124</v>
      </c>
      <c r="D576" s="1387">
        <v>41</v>
      </c>
      <c r="E576" s="161" t="s">
        <v>2975</v>
      </c>
      <c r="F576" s="604"/>
      <c r="G576" s="60"/>
      <c r="H576" s="61"/>
      <c r="I576" s="609"/>
      <c r="J576" s="121"/>
      <c r="K576" s="121"/>
      <c r="L576" s="609"/>
      <c r="M576" s="62"/>
      <c r="N576" s="355"/>
      <c r="O576" s="604"/>
      <c r="P576" s="62"/>
      <c r="Q576" s="355"/>
      <c r="R576" s="604"/>
      <c r="S576" s="62"/>
      <c r="T576" s="355"/>
      <c r="U576" s="62"/>
      <c r="V576" s="62"/>
      <c r="W576" s="19"/>
      <c r="X576" s="20"/>
      <c r="Y576" s="50"/>
      <c r="Z576" s="50"/>
      <c r="AA576" s="31"/>
      <c r="AB576" s="395"/>
      <c r="AC576" s="443"/>
      <c r="AD576" s="16"/>
      <c r="AE576" s="16"/>
      <c r="AF576" s="170"/>
      <c r="AG576" s="86"/>
      <c r="AH576" s="272"/>
      <c r="AI576" s="50"/>
      <c r="AJ576" s="31"/>
      <c r="AK576" s="157"/>
      <c r="AL576" s="285"/>
      <c r="AM576" s="208"/>
      <c r="AN576" s="16"/>
      <c r="AO576" s="635"/>
      <c r="AP576" s="636"/>
      <c r="AQ576" s="640"/>
      <c r="AR576" s="158"/>
      <c r="AS576" s="641"/>
      <c r="AT576" s="399"/>
      <c r="AU576" s="618"/>
      <c r="AV576" s="16"/>
      <c r="AW576" s="16"/>
      <c r="AX576" s="170"/>
      <c r="AY576" s="86"/>
      <c r="AZ576" s="272"/>
      <c r="BA576" s="50"/>
      <c r="BB576" s="31"/>
      <c r="BC576" s="157"/>
      <c r="BD576" s="342"/>
      <c r="BE576" s="208"/>
      <c r="BF576" s="16"/>
      <c r="BG576" s="170"/>
      <c r="BH576" s="86"/>
      <c r="BI576" s="272"/>
      <c r="BJ576" s="50"/>
      <c r="BK576" s="31"/>
      <c r="BL576" s="157"/>
      <c r="BM576" s="342"/>
      <c r="BN576" s="208"/>
      <c r="BO576" s="16"/>
      <c r="BP576" s="635">
        <v>0</v>
      </c>
      <c r="BQ576" s="636">
        <v>0</v>
      </c>
      <c r="BR576" s="50">
        <v>1990</v>
      </c>
      <c r="BS576" s="31"/>
      <c r="BT576" s="33"/>
      <c r="BU576" s="43">
        <v>-1</v>
      </c>
      <c r="BV576" s="209">
        <f t="shared" si="305"/>
        <v>-1</v>
      </c>
      <c r="BW576" s="141"/>
      <c r="BX576" s="311"/>
      <c r="BY576" s="137"/>
    </row>
    <row r="577" spans="1:77" ht="15" customHeight="1" x14ac:dyDescent="0.2">
      <c r="A577" s="55" t="s">
        <v>25</v>
      </c>
      <c r="B577" s="107" t="s">
        <v>477</v>
      </c>
      <c r="C577" s="637" t="s">
        <v>3125</v>
      </c>
      <c r="D577" s="1387">
        <v>6</v>
      </c>
      <c r="E577" s="161" t="s">
        <v>2975</v>
      </c>
      <c r="F577" s="604"/>
      <c r="G577" s="60"/>
      <c r="H577" s="61"/>
      <c r="I577" s="609"/>
      <c r="J577" s="121"/>
      <c r="K577" s="121"/>
      <c r="L577" s="609"/>
      <c r="M577" s="62"/>
      <c r="N577" s="355"/>
      <c r="O577" s="604"/>
      <c r="P577" s="62"/>
      <c r="Q577" s="355"/>
      <c r="R577" s="604"/>
      <c r="S577" s="62"/>
      <c r="T577" s="355"/>
      <c r="U577" s="62"/>
      <c r="V577" s="62"/>
      <c r="W577" s="19"/>
      <c r="X577" s="20"/>
      <c r="Y577" s="50"/>
      <c r="Z577" s="50"/>
      <c r="AA577" s="31"/>
      <c r="AB577" s="395"/>
      <c r="AC577" s="443"/>
      <c r="AD577" s="16"/>
      <c r="AE577" s="16"/>
      <c r="AF577" s="170"/>
      <c r="AG577" s="86"/>
      <c r="AH577" s="272"/>
      <c r="AI577" s="50"/>
      <c r="AJ577" s="31"/>
      <c r="AK577" s="157"/>
      <c r="AL577" s="285"/>
      <c r="AM577" s="208"/>
      <c r="AN577" s="16"/>
      <c r="AO577" s="635"/>
      <c r="AP577" s="636"/>
      <c r="AQ577" s="640"/>
      <c r="AR577" s="158"/>
      <c r="AS577" s="641"/>
      <c r="AT577" s="399"/>
      <c r="AU577" s="618"/>
      <c r="AV577" s="16"/>
      <c r="AW577" s="16"/>
      <c r="AX577" s="170"/>
      <c r="AY577" s="86"/>
      <c r="AZ577" s="272"/>
      <c r="BA577" s="50"/>
      <c r="BB577" s="31"/>
      <c r="BC577" s="157"/>
      <c r="BD577" s="342"/>
      <c r="BE577" s="208"/>
      <c r="BF577" s="16"/>
      <c r="BG577" s="170"/>
      <c r="BH577" s="86"/>
      <c r="BI577" s="272"/>
      <c r="BJ577" s="50"/>
      <c r="BK577" s="31"/>
      <c r="BL577" s="157"/>
      <c r="BM577" s="342"/>
      <c r="BN577" s="208"/>
      <c r="BO577" s="16"/>
      <c r="BP577" s="635">
        <v>0</v>
      </c>
      <c r="BQ577" s="636">
        <v>0</v>
      </c>
      <c r="BR577" s="50">
        <v>1990</v>
      </c>
      <c r="BS577" s="31"/>
      <c r="BT577" s="33"/>
      <c r="BU577" s="43">
        <v>-1</v>
      </c>
      <c r="BV577" s="209">
        <f t="shared" si="305"/>
        <v>-1</v>
      </c>
      <c r="BW577" s="141"/>
      <c r="BX577" s="311"/>
      <c r="BY577" s="137"/>
    </row>
    <row r="578" spans="1:77" ht="15" customHeight="1" x14ac:dyDescent="0.2">
      <c r="A578" s="55" t="s">
        <v>25</v>
      </c>
      <c r="B578" s="107" t="s">
        <v>477</v>
      </c>
      <c r="C578" s="637" t="s">
        <v>3126</v>
      </c>
      <c r="D578" s="1387">
        <v>7</v>
      </c>
      <c r="E578" s="161" t="s">
        <v>2975</v>
      </c>
      <c r="F578" s="604"/>
      <c r="G578" s="60"/>
      <c r="H578" s="61"/>
      <c r="I578" s="609"/>
      <c r="J578" s="121"/>
      <c r="K578" s="121"/>
      <c r="L578" s="609"/>
      <c r="M578" s="62"/>
      <c r="N578" s="355"/>
      <c r="O578" s="604"/>
      <c r="P578" s="62"/>
      <c r="Q578" s="355"/>
      <c r="R578" s="604"/>
      <c r="S578" s="62"/>
      <c r="T578" s="355"/>
      <c r="U578" s="62"/>
      <c r="V578" s="62"/>
      <c r="W578" s="19"/>
      <c r="X578" s="20"/>
      <c r="Y578" s="50"/>
      <c r="Z578" s="50"/>
      <c r="AA578" s="31"/>
      <c r="AB578" s="395"/>
      <c r="AC578" s="443"/>
      <c r="AD578" s="16"/>
      <c r="AE578" s="16"/>
      <c r="AF578" s="170"/>
      <c r="AG578" s="86"/>
      <c r="AH578" s="272"/>
      <c r="AI578" s="50"/>
      <c r="AJ578" s="31"/>
      <c r="AK578" s="157"/>
      <c r="AL578" s="285"/>
      <c r="AM578" s="208"/>
      <c r="AN578" s="16"/>
      <c r="AO578" s="635"/>
      <c r="AP578" s="636"/>
      <c r="AQ578" s="640"/>
      <c r="AR578" s="158"/>
      <c r="AS578" s="641"/>
      <c r="AT578" s="399"/>
      <c r="AU578" s="618"/>
      <c r="AV578" s="16"/>
      <c r="AW578" s="16"/>
      <c r="AX578" s="170"/>
      <c r="AY578" s="86"/>
      <c r="AZ578" s="272"/>
      <c r="BA578" s="50"/>
      <c r="BB578" s="31"/>
      <c r="BC578" s="157"/>
      <c r="BD578" s="342"/>
      <c r="BE578" s="208"/>
      <c r="BF578" s="16"/>
      <c r="BG578" s="170"/>
      <c r="BH578" s="86"/>
      <c r="BI578" s="272"/>
      <c r="BJ578" s="50"/>
      <c r="BK578" s="31"/>
      <c r="BL578" s="157"/>
      <c r="BM578" s="342"/>
      <c r="BN578" s="208"/>
      <c r="BO578" s="16"/>
      <c r="BP578" s="635">
        <v>0</v>
      </c>
      <c r="BQ578" s="636">
        <v>0</v>
      </c>
      <c r="BR578" s="50">
        <v>1990</v>
      </c>
      <c r="BS578" s="31"/>
      <c r="BT578" s="33"/>
      <c r="BU578" s="43">
        <v>-1</v>
      </c>
      <c r="BV578" s="209">
        <f t="shared" si="305"/>
        <v>-1</v>
      </c>
      <c r="BW578" s="141"/>
      <c r="BX578" s="311"/>
      <c r="BY578" s="137"/>
    </row>
    <row r="579" spans="1:77" ht="15" customHeight="1" x14ac:dyDescent="0.2">
      <c r="A579" s="55" t="s">
        <v>25</v>
      </c>
      <c r="B579" s="107" t="s">
        <v>477</v>
      </c>
      <c r="C579" s="637" t="s">
        <v>3127</v>
      </c>
      <c r="D579" s="1387">
        <v>12</v>
      </c>
      <c r="E579" s="161" t="s">
        <v>2975</v>
      </c>
      <c r="F579" s="604"/>
      <c r="G579" s="60"/>
      <c r="H579" s="61"/>
      <c r="I579" s="609"/>
      <c r="J579" s="121"/>
      <c r="K579" s="121"/>
      <c r="L579" s="609"/>
      <c r="M579" s="62"/>
      <c r="N579" s="355"/>
      <c r="O579" s="604"/>
      <c r="P579" s="62"/>
      <c r="Q579" s="355"/>
      <c r="R579" s="604"/>
      <c r="S579" s="62"/>
      <c r="T579" s="355"/>
      <c r="U579" s="62"/>
      <c r="V579" s="62"/>
      <c r="W579" s="19"/>
      <c r="X579" s="20"/>
      <c r="Y579" s="50"/>
      <c r="Z579" s="50"/>
      <c r="AA579" s="31"/>
      <c r="AB579" s="395"/>
      <c r="AC579" s="443"/>
      <c r="AD579" s="16"/>
      <c r="AE579" s="16"/>
      <c r="AF579" s="170"/>
      <c r="AG579" s="86"/>
      <c r="AH579" s="272"/>
      <c r="AI579" s="50"/>
      <c r="AJ579" s="31"/>
      <c r="AK579" s="157"/>
      <c r="AL579" s="285"/>
      <c r="AM579" s="208"/>
      <c r="AN579" s="16"/>
      <c r="AO579" s="635"/>
      <c r="AP579" s="636"/>
      <c r="AQ579" s="640"/>
      <c r="AR579" s="158"/>
      <c r="AS579" s="641"/>
      <c r="AT579" s="399"/>
      <c r="AU579" s="618"/>
      <c r="AV579" s="16"/>
      <c r="AW579" s="16"/>
      <c r="AX579" s="170"/>
      <c r="AY579" s="86"/>
      <c r="AZ579" s="272"/>
      <c r="BA579" s="50"/>
      <c r="BB579" s="31"/>
      <c r="BC579" s="157"/>
      <c r="BD579" s="342"/>
      <c r="BE579" s="208"/>
      <c r="BF579" s="16"/>
      <c r="BG579" s="170"/>
      <c r="BH579" s="86"/>
      <c r="BI579" s="272"/>
      <c r="BJ579" s="50"/>
      <c r="BK579" s="31"/>
      <c r="BL579" s="157"/>
      <c r="BM579" s="342"/>
      <c r="BN579" s="208"/>
      <c r="BO579" s="16"/>
      <c r="BP579" s="635">
        <v>0</v>
      </c>
      <c r="BQ579" s="636">
        <v>0</v>
      </c>
      <c r="BR579" s="50">
        <v>1990</v>
      </c>
      <c r="BS579" s="31"/>
      <c r="BT579" s="33"/>
      <c r="BU579" s="43">
        <v>-1</v>
      </c>
      <c r="BV579" s="209">
        <f t="shared" si="305"/>
        <v>-1</v>
      </c>
      <c r="BW579" s="141"/>
      <c r="BX579" s="311"/>
      <c r="BY579" s="137"/>
    </row>
    <row r="580" spans="1:77" ht="15" customHeight="1" x14ac:dyDescent="0.2">
      <c r="A580" s="55" t="s">
        <v>25</v>
      </c>
      <c r="B580" s="107" t="s">
        <v>477</v>
      </c>
      <c r="C580" s="637" t="s">
        <v>3128</v>
      </c>
      <c r="D580" s="1387">
        <v>17</v>
      </c>
      <c r="E580" s="161" t="s">
        <v>2975</v>
      </c>
      <c r="F580" s="604"/>
      <c r="G580" s="60"/>
      <c r="H580" s="61"/>
      <c r="I580" s="609"/>
      <c r="J580" s="121"/>
      <c r="K580" s="121"/>
      <c r="L580" s="609"/>
      <c r="M580" s="62"/>
      <c r="N580" s="355"/>
      <c r="O580" s="604"/>
      <c r="P580" s="62"/>
      <c r="Q580" s="355"/>
      <c r="R580" s="604"/>
      <c r="S580" s="62"/>
      <c r="T580" s="355"/>
      <c r="U580" s="62"/>
      <c r="V580" s="62"/>
      <c r="W580" s="19"/>
      <c r="X580" s="20"/>
      <c r="Y580" s="50"/>
      <c r="Z580" s="50"/>
      <c r="AA580" s="31"/>
      <c r="AB580" s="395"/>
      <c r="AC580" s="443"/>
      <c r="AD580" s="16"/>
      <c r="AE580" s="16"/>
      <c r="AF580" s="170"/>
      <c r="AG580" s="86"/>
      <c r="AH580" s="272"/>
      <c r="AI580" s="50"/>
      <c r="AJ580" s="31"/>
      <c r="AK580" s="157"/>
      <c r="AL580" s="285"/>
      <c r="AM580" s="208"/>
      <c r="AN580" s="16"/>
      <c r="AO580" s="635"/>
      <c r="AP580" s="636"/>
      <c r="AQ580" s="640"/>
      <c r="AR580" s="158"/>
      <c r="AS580" s="641"/>
      <c r="AT580" s="399"/>
      <c r="AU580" s="618"/>
      <c r="AV580" s="16"/>
      <c r="AW580" s="16"/>
      <c r="AX580" s="170"/>
      <c r="AY580" s="86"/>
      <c r="AZ580" s="272"/>
      <c r="BA580" s="50"/>
      <c r="BB580" s="31"/>
      <c r="BC580" s="157"/>
      <c r="BD580" s="342"/>
      <c r="BE580" s="208"/>
      <c r="BF580" s="16"/>
      <c r="BG580" s="170"/>
      <c r="BH580" s="86"/>
      <c r="BI580" s="272"/>
      <c r="BJ580" s="50"/>
      <c r="BK580" s="31"/>
      <c r="BL580" s="157"/>
      <c r="BM580" s="342"/>
      <c r="BN580" s="208"/>
      <c r="BO580" s="16"/>
      <c r="BP580" s="635">
        <v>0</v>
      </c>
      <c r="BQ580" s="636">
        <v>0</v>
      </c>
      <c r="BR580" s="50">
        <v>1990</v>
      </c>
      <c r="BS580" s="31"/>
      <c r="BT580" s="33"/>
      <c r="BU580" s="43">
        <v>-1</v>
      </c>
      <c r="BV580" s="209">
        <f t="shared" si="305"/>
        <v>-1</v>
      </c>
      <c r="BW580" s="141"/>
      <c r="BX580" s="311"/>
      <c r="BY580" s="137"/>
    </row>
    <row r="581" spans="1:77" ht="15" customHeight="1" x14ac:dyDescent="0.2">
      <c r="A581" s="55" t="s">
        <v>25</v>
      </c>
      <c r="B581" s="107" t="s">
        <v>477</v>
      </c>
      <c r="C581" s="637" t="s">
        <v>3008</v>
      </c>
      <c r="D581" s="1387">
        <v>9</v>
      </c>
      <c r="E581" s="161" t="s">
        <v>2975</v>
      </c>
      <c r="F581" s="604"/>
      <c r="G581" s="60"/>
      <c r="H581" s="61"/>
      <c r="I581" s="609"/>
      <c r="J581" s="121"/>
      <c r="K581" s="121"/>
      <c r="L581" s="609"/>
      <c r="M581" s="62"/>
      <c r="N581" s="355"/>
      <c r="O581" s="604"/>
      <c r="P581" s="62"/>
      <c r="Q581" s="355"/>
      <c r="R581" s="604"/>
      <c r="S581" s="62"/>
      <c r="T581" s="355"/>
      <c r="U581" s="62"/>
      <c r="V581" s="62"/>
      <c r="W581" s="19"/>
      <c r="X581" s="20"/>
      <c r="Y581" s="50"/>
      <c r="Z581" s="50"/>
      <c r="AA581" s="31"/>
      <c r="AB581" s="395"/>
      <c r="AC581" s="443"/>
      <c r="AD581" s="16"/>
      <c r="AE581" s="16"/>
      <c r="AF581" s="170"/>
      <c r="AG581" s="86"/>
      <c r="AH581" s="272"/>
      <c r="AI581" s="50"/>
      <c r="AJ581" s="31"/>
      <c r="AK581" s="157"/>
      <c r="AL581" s="285"/>
      <c r="AM581" s="208"/>
      <c r="AN581" s="16"/>
      <c r="AO581" s="635"/>
      <c r="AP581" s="636"/>
      <c r="AQ581" s="640"/>
      <c r="AR581" s="158"/>
      <c r="AS581" s="641"/>
      <c r="AT581" s="399"/>
      <c r="AU581" s="618"/>
      <c r="AV581" s="16"/>
      <c r="AW581" s="16"/>
      <c r="AX581" s="170"/>
      <c r="AY581" s="86"/>
      <c r="AZ581" s="272"/>
      <c r="BA581" s="50"/>
      <c r="BB581" s="31"/>
      <c r="BC581" s="157"/>
      <c r="BD581" s="342"/>
      <c r="BE581" s="208"/>
      <c r="BF581" s="16"/>
      <c r="BG581" s="170"/>
      <c r="BH581" s="86"/>
      <c r="BI581" s="272"/>
      <c r="BJ581" s="50"/>
      <c r="BK581" s="31"/>
      <c r="BL581" s="157"/>
      <c r="BM581" s="342"/>
      <c r="BN581" s="208"/>
      <c r="BO581" s="16"/>
      <c r="BP581" s="635">
        <v>0</v>
      </c>
      <c r="BQ581" s="636">
        <v>0</v>
      </c>
      <c r="BR581" s="50">
        <v>1990</v>
      </c>
      <c r="BS581" s="31"/>
      <c r="BT581" s="33"/>
      <c r="BU581" s="43">
        <v>-1</v>
      </c>
      <c r="BV581" s="209">
        <f t="shared" si="305"/>
        <v>-1</v>
      </c>
      <c r="BW581" s="141"/>
      <c r="BX581" s="311"/>
      <c r="BY581" s="137"/>
    </row>
    <row r="582" spans="1:77" ht="15" customHeight="1" x14ac:dyDescent="0.2">
      <c r="A582" s="55" t="s">
        <v>25</v>
      </c>
      <c r="B582" s="107" t="s">
        <v>477</v>
      </c>
      <c r="C582" s="637" t="s">
        <v>3129</v>
      </c>
      <c r="D582" s="1387">
        <v>34</v>
      </c>
      <c r="E582" s="161" t="s">
        <v>2975</v>
      </c>
      <c r="F582" s="604"/>
      <c r="G582" s="60"/>
      <c r="H582" s="61"/>
      <c r="I582" s="609"/>
      <c r="J582" s="121"/>
      <c r="K582" s="121"/>
      <c r="L582" s="609"/>
      <c r="M582" s="62"/>
      <c r="N582" s="355"/>
      <c r="O582" s="604"/>
      <c r="P582" s="62"/>
      <c r="Q582" s="355"/>
      <c r="R582" s="604"/>
      <c r="S582" s="62"/>
      <c r="T582" s="355"/>
      <c r="U582" s="62"/>
      <c r="V582" s="62"/>
      <c r="W582" s="19"/>
      <c r="X582" s="20"/>
      <c r="Y582" s="50"/>
      <c r="Z582" s="50"/>
      <c r="AA582" s="31"/>
      <c r="AB582" s="395"/>
      <c r="AC582" s="443"/>
      <c r="AD582" s="16"/>
      <c r="AE582" s="16"/>
      <c r="AF582" s="170"/>
      <c r="AG582" s="86"/>
      <c r="AH582" s="272"/>
      <c r="AI582" s="50"/>
      <c r="AJ582" s="31"/>
      <c r="AK582" s="157"/>
      <c r="AL582" s="285"/>
      <c r="AM582" s="208"/>
      <c r="AN582" s="16"/>
      <c r="AO582" s="635"/>
      <c r="AP582" s="636"/>
      <c r="AQ582" s="640"/>
      <c r="AR582" s="158"/>
      <c r="AS582" s="641"/>
      <c r="AT582" s="399"/>
      <c r="AU582" s="618"/>
      <c r="AV582" s="16"/>
      <c r="AW582" s="16"/>
      <c r="AX582" s="170"/>
      <c r="AY582" s="86"/>
      <c r="AZ582" s="272"/>
      <c r="BA582" s="50"/>
      <c r="BB582" s="31"/>
      <c r="BC582" s="157"/>
      <c r="BD582" s="342"/>
      <c r="BE582" s="208"/>
      <c r="BF582" s="16"/>
      <c r="BG582" s="170"/>
      <c r="BH582" s="86"/>
      <c r="BI582" s="272"/>
      <c r="BJ582" s="50"/>
      <c r="BK582" s="31"/>
      <c r="BL582" s="157"/>
      <c r="BM582" s="342"/>
      <c r="BN582" s="208"/>
      <c r="BO582" s="16"/>
      <c r="BP582" s="635">
        <v>0</v>
      </c>
      <c r="BQ582" s="636">
        <v>0</v>
      </c>
      <c r="BR582" s="50">
        <v>1990</v>
      </c>
      <c r="BS582" s="31"/>
      <c r="BT582" s="33"/>
      <c r="BU582" s="43">
        <v>-1</v>
      </c>
      <c r="BV582" s="209">
        <f t="shared" si="305"/>
        <v>-1</v>
      </c>
      <c r="BW582" s="141"/>
      <c r="BX582" s="311"/>
      <c r="BY582" s="137"/>
    </row>
    <row r="583" spans="1:77" ht="15" customHeight="1" x14ac:dyDescent="0.2">
      <c r="A583" s="55" t="s">
        <v>25</v>
      </c>
      <c r="B583" s="107" t="s">
        <v>477</v>
      </c>
      <c r="C583" s="637" t="s">
        <v>3130</v>
      </c>
      <c r="D583" s="1387">
        <v>11</v>
      </c>
      <c r="E583" s="161" t="s">
        <v>2975</v>
      </c>
      <c r="F583" s="604"/>
      <c r="G583" s="60"/>
      <c r="H583" s="61"/>
      <c r="I583" s="609"/>
      <c r="J583" s="121"/>
      <c r="K583" s="121"/>
      <c r="L583" s="609"/>
      <c r="M583" s="62"/>
      <c r="N583" s="355"/>
      <c r="O583" s="604"/>
      <c r="P583" s="62"/>
      <c r="Q583" s="355"/>
      <c r="R583" s="604"/>
      <c r="S583" s="62"/>
      <c r="T583" s="355"/>
      <c r="U583" s="62"/>
      <c r="V583" s="62"/>
      <c r="W583" s="19"/>
      <c r="X583" s="20"/>
      <c r="Y583" s="50"/>
      <c r="Z583" s="50"/>
      <c r="AA583" s="31"/>
      <c r="AB583" s="395"/>
      <c r="AC583" s="443"/>
      <c r="AD583" s="16"/>
      <c r="AE583" s="16"/>
      <c r="AF583" s="170"/>
      <c r="AG583" s="86"/>
      <c r="AH583" s="272"/>
      <c r="AI583" s="50"/>
      <c r="AJ583" s="31"/>
      <c r="AK583" s="157"/>
      <c r="AL583" s="285"/>
      <c r="AM583" s="208"/>
      <c r="AN583" s="16"/>
      <c r="AO583" s="635"/>
      <c r="AP583" s="636"/>
      <c r="AQ583" s="640"/>
      <c r="AR583" s="158"/>
      <c r="AS583" s="641"/>
      <c r="AT583" s="399"/>
      <c r="AU583" s="618"/>
      <c r="AV583" s="16"/>
      <c r="AW583" s="16"/>
      <c r="AX583" s="170"/>
      <c r="AY583" s="86"/>
      <c r="AZ583" s="272"/>
      <c r="BA583" s="50"/>
      <c r="BB583" s="31"/>
      <c r="BC583" s="157"/>
      <c r="BD583" s="342"/>
      <c r="BE583" s="208"/>
      <c r="BF583" s="16"/>
      <c r="BG583" s="170"/>
      <c r="BH583" s="86"/>
      <c r="BI583" s="272"/>
      <c r="BJ583" s="50"/>
      <c r="BK583" s="31"/>
      <c r="BL583" s="157"/>
      <c r="BM583" s="342"/>
      <c r="BN583" s="208"/>
      <c r="BO583" s="16"/>
      <c r="BP583" s="635">
        <v>0</v>
      </c>
      <c r="BQ583" s="636">
        <v>0</v>
      </c>
      <c r="BR583" s="50">
        <v>1990</v>
      </c>
      <c r="BS583" s="31"/>
      <c r="BT583" s="33"/>
      <c r="BU583" s="43">
        <v>-1</v>
      </c>
      <c r="BV583" s="209">
        <f t="shared" si="305"/>
        <v>-1</v>
      </c>
      <c r="BW583" s="141"/>
      <c r="BX583" s="311"/>
      <c r="BY583" s="137"/>
    </row>
    <row r="584" spans="1:77" ht="15" customHeight="1" x14ac:dyDescent="0.2">
      <c r="A584" s="55" t="s">
        <v>25</v>
      </c>
      <c r="B584" s="107" t="s">
        <v>477</v>
      </c>
      <c r="C584" s="637" t="s">
        <v>3131</v>
      </c>
      <c r="D584" s="1387">
        <v>15</v>
      </c>
      <c r="E584" s="161" t="s">
        <v>2975</v>
      </c>
      <c r="F584" s="604"/>
      <c r="G584" s="60"/>
      <c r="H584" s="61"/>
      <c r="I584" s="609"/>
      <c r="J584" s="121"/>
      <c r="K584" s="121"/>
      <c r="L584" s="609"/>
      <c r="M584" s="62"/>
      <c r="N584" s="355"/>
      <c r="O584" s="604"/>
      <c r="P584" s="62"/>
      <c r="Q584" s="355"/>
      <c r="R584" s="604"/>
      <c r="S584" s="62"/>
      <c r="T584" s="355"/>
      <c r="U584" s="62"/>
      <c r="V584" s="62"/>
      <c r="W584" s="19"/>
      <c r="X584" s="20"/>
      <c r="Y584" s="50"/>
      <c r="Z584" s="50"/>
      <c r="AA584" s="31"/>
      <c r="AB584" s="395"/>
      <c r="AC584" s="443"/>
      <c r="AD584" s="16"/>
      <c r="AE584" s="16"/>
      <c r="AF584" s="170"/>
      <c r="AG584" s="86"/>
      <c r="AH584" s="272"/>
      <c r="AI584" s="50"/>
      <c r="AJ584" s="31"/>
      <c r="AK584" s="157"/>
      <c r="AL584" s="285"/>
      <c r="AM584" s="208"/>
      <c r="AN584" s="16"/>
      <c r="AO584" s="635"/>
      <c r="AP584" s="636"/>
      <c r="AQ584" s="640"/>
      <c r="AR584" s="158"/>
      <c r="AS584" s="641"/>
      <c r="AT584" s="399"/>
      <c r="AU584" s="618"/>
      <c r="AV584" s="16"/>
      <c r="AW584" s="16"/>
      <c r="AX584" s="170"/>
      <c r="AY584" s="86"/>
      <c r="AZ584" s="272"/>
      <c r="BA584" s="50"/>
      <c r="BB584" s="31"/>
      <c r="BC584" s="157"/>
      <c r="BD584" s="342"/>
      <c r="BE584" s="208"/>
      <c r="BF584" s="16"/>
      <c r="BG584" s="170"/>
      <c r="BH584" s="86"/>
      <c r="BI584" s="272"/>
      <c r="BJ584" s="50"/>
      <c r="BK584" s="31"/>
      <c r="BL584" s="157"/>
      <c r="BM584" s="342"/>
      <c r="BN584" s="208"/>
      <c r="BO584" s="16"/>
      <c r="BP584" s="635">
        <v>0</v>
      </c>
      <c r="BQ584" s="636">
        <v>0</v>
      </c>
      <c r="BR584" s="50">
        <v>1990</v>
      </c>
      <c r="BS584" s="31"/>
      <c r="BT584" s="33"/>
      <c r="BU584" s="43">
        <v>-1</v>
      </c>
      <c r="BV584" s="209">
        <f t="shared" si="305"/>
        <v>-1</v>
      </c>
      <c r="BW584" s="141"/>
      <c r="BX584" s="311"/>
      <c r="BY584" s="137"/>
    </row>
    <row r="585" spans="1:77" ht="15" customHeight="1" x14ac:dyDescent="0.2">
      <c r="A585" s="55" t="s">
        <v>25</v>
      </c>
      <c r="B585" s="107" t="s">
        <v>3132</v>
      </c>
      <c r="C585" s="107" t="s">
        <v>3132</v>
      </c>
      <c r="D585" s="1387">
        <v>500</v>
      </c>
      <c r="E585" s="161" t="s">
        <v>2975</v>
      </c>
      <c r="F585" s="604"/>
      <c r="G585" s="60"/>
      <c r="H585" s="61"/>
      <c r="I585" s="609"/>
      <c r="J585" s="121"/>
      <c r="K585" s="121"/>
      <c r="L585" s="609"/>
      <c r="M585" s="62"/>
      <c r="N585" s="355"/>
      <c r="O585" s="604"/>
      <c r="P585" s="62"/>
      <c r="Q585" s="355"/>
      <c r="R585" s="604"/>
      <c r="S585" s="62"/>
      <c r="T585" s="355"/>
      <c r="U585" s="62"/>
      <c r="V585" s="62"/>
      <c r="W585" s="19"/>
      <c r="X585" s="20"/>
      <c r="Y585" s="50"/>
      <c r="Z585" s="50"/>
      <c r="AA585" s="31"/>
      <c r="AB585" s="395"/>
      <c r="AC585" s="443"/>
      <c r="AD585" s="16"/>
      <c r="AE585" s="16"/>
      <c r="AF585" s="170"/>
      <c r="AG585" s="86"/>
      <c r="AH585" s="272"/>
      <c r="AI585" s="50"/>
      <c r="AJ585" s="31"/>
      <c r="AK585" s="157"/>
      <c r="AL585" s="285"/>
      <c r="AM585" s="208"/>
      <c r="AN585" s="16"/>
      <c r="AO585" s="635"/>
      <c r="AP585" s="636"/>
      <c r="AQ585" s="640"/>
      <c r="AR585" s="158"/>
      <c r="AS585" s="641"/>
      <c r="AT585" s="399"/>
      <c r="AU585" s="618"/>
      <c r="AV585" s="16"/>
      <c r="AW585" s="16"/>
      <c r="AX585" s="170"/>
      <c r="AY585" s="86"/>
      <c r="AZ585" s="272"/>
      <c r="BA585" s="50"/>
      <c r="BB585" s="31"/>
      <c r="BC585" s="157"/>
      <c r="BD585" s="342"/>
      <c r="BE585" s="208"/>
      <c r="BF585" s="16"/>
      <c r="BG585" s="170"/>
      <c r="BH585" s="86"/>
      <c r="BI585" s="272"/>
      <c r="BJ585" s="50"/>
      <c r="BK585" s="31"/>
      <c r="BL585" s="157"/>
      <c r="BM585" s="342"/>
      <c r="BN585" s="208"/>
      <c r="BO585" s="16"/>
      <c r="BP585" s="635">
        <v>0</v>
      </c>
      <c r="BQ585" s="636">
        <v>0</v>
      </c>
      <c r="BR585" s="50">
        <v>1990</v>
      </c>
      <c r="BS585" s="31"/>
      <c r="BT585" s="33"/>
      <c r="BU585" s="43">
        <v>-1</v>
      </c>
      <c r="BV585" s="209">
        <f t="shared" si="305"/>
        <v>-1</v>
      </c>
      <c r="BW585" s="141"/>
      <c r="BX585" s="311"/>
      <c r="BY585" s="137"/>
    </row>
    <row r="586" spans="1:77" ht="15" customHeight="1" x14ac:dyDescent="0.2">
      <c r="A586" s="55" t="s">
        <v>25</v>
      </c>
      <c r="B586" s="107" t="s">
        <v>477</v>
      </c>
      <c r="C586" s="637" t="s">
        <v>1607</v>
      </c>
      <c r="D586" s="1387">
        <v>6</v>
      </c>
      <c r="E586" s="161" t="s">
        <v>2975</v>
      </c>
      <c r="F586" s="604"/>
      <c r="G586" s="60"/>
      <c r="H586" s="61"/>
      <c r="I586" s="609"/>
      <c r="J586" s="121"/>
      <c r="K586" s="121"/>
      <c r="L586" s="609"/>
      <c r="M586" s="62"/>
      <c r="N586" s="355"/>
      <c r="O586" s="604"/>
      <c r="P586" s="62"/>
      <c r="Q586" s="355"/>
      <c r="R586" s="604"/>
      <c r="S586" s="62"/>
      <c r="T586" s="355"/>
      <c r="U586" s="62"/>
      <c r="V586" s="62"/>
      <c r="W586" s="19"/>
      <c r="X586" s="20"/>
      <c r="Y586" s="50"/>
      <c r="Z586" s="50"/>
      <c r="AA586" s="31"/>
      <c r="AB586" s="395"/>
      <c r="AC586" s="443"/>
      <c r="AD586" s="16"/>
      <c r="AE586" s="16"/>
      <c r="AF586" s="170"/>
      <c r="AG586" s="86"/>
      <c r="AH586" s="272"/>
      <c r="AI586" s="50"/>
      <c r="AJ586" s="31"/>
      <c r="AK586" s="157"/>
      <c r="AL586" s="285"/>
      <c r="AM586" s="208"/>
      <c r="AN586" s="16"/>
      <c r="AO586" s="635"/>
      <c r="AP586" s="636"/>
      <c r="AQ586" s="640"/>
      <c r="AR586" s="158"/>
      <c r="AS586" s="641"/>
      <c r="AT586" s="399"/>
      <c r="AU586" s="618"/>
      <c r="AV586" s="16"/>
      <c r="AW586" s="16"/>
      <c r="AX586" s="170"/>
      <c r="AY586" s="86"/>
      <c r="AZ586" s="272"/>
      <c r="BA586" s="50"/>
      <c r="BB586" s="31"/>
      <c r="BC586" s="157"/>
      <c r="BD586" s="342"/>
      <c r="BE586" s="208"/>
      <c r="BF586" s="16"/>
      <c r="BG586" s="170"/>
      <c r="BH586" s="86"/>
      <c r="BI586" s="272"/>
      <c r="BJ586" s="50"/>
      <c r="BK586" s="31"/>
      <c r="BL586" s="157"/>
      <c r="BM586" s="342"/>
      <c r="BN586" s="208"/>
      <c r="BO586" s="16"/>
      <c r="BP586" s="635">
        <v>0</v>
      </c>
      <c r="BQ586" s="636">
        <v>0</v>
      </c>
      <c r="BR586" s="50">
        <v>1990</v>
      </c>
      <c r="BS586" s="31"/>
      <c r="BT586" s="33"/>
      <c r="BU586" s="43">
        <v>-1</v>
      </c>
      <c r="BV586" s="209">
        <f t="shared" si="305"/>
        <v>-1</v>
      </c>
      <c r="BW586" s="141"/>
      <c r="BX586" s="311"/>
      <c r="BY586" s="137"/>
    </row>
    <row r="587" spans="1:77" ht="15" customHeight="1" x14ac:dyDescent="0.2">
      <c r="A587" s="55" t="s">
        <v>25</v>
      </c>
      <c r="B587" s="107" t="s">
        <v>477</v>
      </c>
      <c r="C587" s="637" t="s">
        <v>3306</v>
      </c>
      <c r="D587" s="1387"/>
      <c r="E587" s="161" t="s">
        <v>387</v>
      </c>
      <c r="F587" s="604"/>
      <c r="G587" s="60"/>
      <c r="H587" s="61"/>
      <c r="I587" s="609"/>
      <c r="J587" s="121"/>
      <c r="K587" s="121"/>
      <c r="L587" s="609"/>
      <c r="M587" s="62"/>
      <c r="N587" s="355"/>
      <c r="O587" s="604">
        <v>2013</v>
      </c>
      <c r="P587" s="62"/>
      <c r="Q587" s="355">
        <v>8.9968500000000002</v>
      </c>
      <c r="R587" s="604"/>
      <c r="S587" s="62"/>
      <c r="T587" s="355"/>
      <c r="U587" s="62"/>
      <c r="V587" s="62"/>
      <c r="W587" s="19"/>
      <c r="X587" s="20"/>
      <c r="Y587" s="50"/>
      <c r="Z587" s="50"/>
      <c r="AA587" s="31"/>
      <c r="AB587" s="395"/>
      <c r="AC587" s="443"/>
      <c r="AD587" s="16"/>
      <c r="AE587" s="16"/>
      <c r="AF587" s="170"/>
      <c r="AG587" s="86"/>
      <c r="AH587" s="272"/>
      <c r="AI587" s="50"/>
      <c r="AJ587" s="31"/>
      <c r="AK587" s="157"/>
      <c r="AL587" s="285"/>
      <c r="AM587" s="208"/>
      <c r="AN587" s="16"/>
      <c r="AO587" s="635">
        <f>AS587*(1+AT587)</f>
        <v>5.3981100000000002E-3</v>
      </c>
      <c r="AP587" s="636">
        <f>AS587*(1+AU587)</f>
        <v>5.3981100000000002E-3</v>
      </c>
      <c r="AQ587" s="666">
        <v>2013</v>
      </c>
      <c r="AR587" s="158"/>
      <c r="AS587" s="641">
        <f>+Q587/1000</f>
        <v>8.9968500000000007E-3</v>
      </c>
      <c r="AT587" s="399">
        <v>-0.4</v>
      </c>
      <c r="AU587" s="618">
        <f>AT587</f>
        <v>-0.4</v>
      </c>
      <c r="AV587" s="16"/>
      <c r="AW587" s="16"/>
      <c r="AX587" s="170"/>
      <c r="AY587" s="86"/>
      <c r="AZ587" s="272"/>
      <c r="BA587" s="50"/>
      <c r="BB587" s="31"/>
      <c r="BC587" s="157"/>
      <c r="BD587" s="342"/>
      <c r="BE587" s="208"/>
      <c r="BF587" s="16"/>
      <c r="BG587" s="170"/>
      <c r="BH587" s="86"/>
      <c r="BI587" s="272"/>
      <c r="BJ587" s="50"/>
      <c r="BK587" s="31"/>
      <c r="BL587" s="157"/>
      <c r="BM587" s="342"/>
      <c r="BN587" s="208"/>
      <c r="BO587" s="16"/>
      <c r="BP587" s="635"/>
      <c r="BQ587" s="636"/>
      <c r="BR587" s="50"/>
      <c r="BS587" s="31"/>
      <c r="BT587" s="33"/>
      <c r="BU587" s="43"/>
      <c r="BV587" s="209"/>
      <c r="BW587" s="141"/>
      <c r="BX587" s="311"/>
      <c r="BY587" s="137"/>
    </row>
    <row r="588" spans="1:77" ht="15" customHeight="1" x14ac:dyDescent="0.2">
      <c r="A588" s="55" t="s">
        <v>25</v>
      </c>
      <c r="B588" s="107"/>
      <c r="C588" s="637" t="s">
        <v>590</v>
      </c>
      <c r="D588" s="544">
        <v>321</v>
      </c>
      <c r="E588" s="161" t="s">
        <v>392</v>
      </c>
      <c r="F588" s="604"/>
      <c r="G588" s="60"/>
      <c r="H588" s="61"/>
      <c r="I588" s="609"/>
      <c r="J588" s="121"/>
      <c r="K588" s="121"/>
      <c r="L588" s="609"/>
      <c r="M588" s="62"/>
      <c r="N588" s="355">
        <v>3.3570000000000002</v>
      </c>
      <c r="O588" s="604"/>
      <c r="P588" s="62"/>
      <c r="Q588" s="355"/>
      <c r="R588" s="604"/>
      <c r="S588" s="62"/>
      <c r="T588" s="355"/>
      <c r="U588" s="62"/>
      <c r="V588" s="62"/>
      <c r="W588" s="19"/>
      <c r="X588" s="20"/>
      <c r="Y588" s="762"/>
      <c r="Z588" s="50"/>
      <c r="AA588" s="31"/>
      <c r="AB588" s="395">
        <v>-0.11</v>
      </c>
      <c r="AC588" s="443">
        <f>AB588</f>
        <v>-0.11</v>
      </c>
      <c r="AD588" s="16"/>
      <c r="AE588" s="16"/>
      <c r="AF588" s="170"/>
      <c r="AG588" s="86"/>
      <c r="AH588" s="272"/>
      <c r="AI588" s="50"/>
      <c r="AJ588" s="31"/>
      <c r="AK588" s="157"/>
      <c r="AL588" s="285"/>
      <c r="AM588" s="208"/>
      <c r="AN588" s="16"/>
      <c r="AO588" s="388"/>
      <c r="AP588" s="389"/>
      <c r="AQ588" s="390"/>
      <c r="AR588" s="468"/>
      <c r="AS588" s="31"/>
      <c r="AT588" s="156"/>
      <c r="AU588" s="284"/>
      <c r="AV588" s="16"/>
      <c r="AW588" s="16"/>
      <c r="AX588" s="170"/>
      <c r="AY588" s="86"/>
      <c r="AZ588" s="272"/>
      <c r="BA588" s="50"/>
      <c r="BB588" s="31"/>
      <c r="BC588" s="157"/>
      <c r="BD588" s="342"/>
      <c r="BE588" s="208"/>
      <c r="BF588" s="16"/>
      <c r="BG588" s="170"/>
      <c r="BH588" s="86"/>
      <c r="BI588" s="272"/>
      <c r="BJ588" s="50"/>
      <c r="BK588" s="31"/>
      <c r="BL588" s="157"/>
      <c r="BM588" s="342"/>
      <c r="BN588" s="208"/>
      <c r="BO588" s="16"/>
      <c r="BP588" s="635">
        <f>BT588*(1+BU588)</f>
        <v>2.0141999999999998E-3</v>
      </c>
      <c r="BQ588" s="636">
        <f>BT588*(1+BV588)</f>
        <v>2.0141999999999998E-3</v>
      </c>
      <c r="BR588" s="762">
        <v>1990</v>
      </c>
      <c r="BS588" s="31"/>
      <c r="BT588" s="33">
        <f>+N588/1000</f>
        <v>3.3570000000000002E-3</v>
      </c>
      <c r="BU588" s="43">
        <v>-0.4</v>
      </c>
      <c r="BV588" s="209">
        <f>BU588</f>
        <v>-0.4</v>
      </c>
      <c r="BW588" s="141"/>
      <c r="BX588" s="311"/>
      <c r="BY588" s="137"/>
    </row>
    <row r="589" spans="1:77" ht="15" customHeight="1" x14ac:dyDescent="0.2">
      <c r="A589" s="55" t="s">
        <v>25</v>
      </c>
      <c r="B589" s="107"/>
      <c r="C589" s="637" t="s">
        <v>591</v>
      </c>
      <c r="D589" s="544">
        <v>299</v>
      </c>
      <c r="E589" s="161" t="s">
        <v>392</v>
      </c>
      <c r="F589" s="604"/>
      <c r="G589" s="60"/>
      <c r="H589" s="61"/>
      <c r="I589" s="609"/>
      <c r="J589" s="121"/>
      <c r="K589" s="121"/>
      <c r="L589" s="609"/>
      <c r="M589" s="62"/>
      <c r="N589" s="355">
        <v>2.7909999999999999</v>
      </c>
      <c r="O589" s="604"/>
      <c r="P589" s="62"/>
      <c r="Q589" s="355"/>
      <c r="R589" s="604"/>
      <c r="S589" s="62"/>
      <c r="T589" s="355"/>
      <c r="U589" s="62"/>
      <c r="V589" s="62"/>
      <c r="W589" s="19"/>
      <c r="X589" s="20"/>
      <c r="Y589" s="762"/>
      <c r="Z589" s="50"/>
      <c r="AA589" s="31"/>
      <c r="AB589" s="395"/>
      <c r="AC589" s="443"/>
      <c r="AD589" s="16"/>
      <c r="AE589" s="16"/>
      <c r="AF589" s="170"/>
      <c r="AG589" s="86"/>
      <c r="AH589" s="272"/>
      <c r="AI589" s="50"/>
      <c r="AJ589" s="31"/>
      <c r="AK589" s="157"/>
      <c r="AL589" s="285"/>
      <c r="AM589" s="208"/>
      <c r="AN589" s="16"/>
      <c r="AO589" s="388"/>
      <c r="AP589" s="389"/>
      <c r="AQ589" s="390"/>
      <c r="AR589" s="468"/>
      <c r="AS589" s="31"/>
      <c r="AT589" s="156"/>
      <c r="AU589" s="284"/>
      <c r="AV589" s="16"/>
      <c r="AW589" s="16"/>
      <c r="AX589" s="170"/>
      <c r="AY589" s="86"/>
      <c r="AZ589" s="272"/>
      <c r="BA589" s="50"/>
      <c r="BB589" s="31"/>
      <c r="BC589" s="157"/>
      <c r="BD589" s="342"/>
      <c r="BE589" s="208"/>
      <c r="BF589" s="16"/>
      <c r="BG589" s="170"/>
      <c r="BH589" s="86"/>
      <c r="BI589" s="272"/>
      <c r="BJ589" s="50"/>
      <c r="BK589" s="31"/>
      <c r="BL589" s="157"/>
      <c r="BM589" s="342"/>
      <c r="BN589" s="208"/>
      <c r="BO589" s="16"/>
      <c r="BP589" s="635">
        <f>BT589*(1+BU589)</f>
        <v>5.5819999999999991E-4</v>
      </c>
      <c r="BQ589" s="636">
        <f>BT589*(1+BV589)</f>
        <v>5.5819999999999991E-4</v>
      </c>
      <c r="BR589" s="762">
        <v>2005</v>
      </c>
      <c r="BS589" s="31"/>
      <c r="BT589" s="33">
        <f>+N589/1000</f>
        <v>2.7910000000000001E-3</v>
      </c>
      <c r="BU589" s="43">
        <v>-0.8</v>
      </c>
      <c r="BV589" s="209">
        <f>BU589</f>
        <v>-0.8</v>
      </c>
      <c r="BW589" s="141"/>
      <c r="BX589" s="311"/>
      <c r="BY589" s="137"/>
    </row>
    <row r="590" spans="1:77" ht="15" customHeight="1" x14ac:dyDescent="0.2">
      <c r="A590" s="55" t="s">
        <v>25</v>
      </c>
      <c r="B590" s="55"/>
      <c r="C590" s="637" t="s">
        <v>592</v>
      </c>
      <c r="D590" s="544">
        <v>418</v>
      </c>
      <c r="E590" s="161" t="s">
        <v>392</v>
      </c>
      <c r="F590" s="604"/>
      <c r="G590" s="60"/>
      <c r="H590" s="61"/>
      <c r="I590" s="609"/>
      <c r="J590" s="121"/>
      <c r="K590" s="121"/>
      <c r="L590" s="609"/>
      <c r="M590" s="62"/>
      <c r="N590" s="355">
        <v>2.93</v>
      </c>
      <c r="O590" s="604"/>
      <c r="P590" s="62"/>
      <c r="Q590" s="355"/>
      <c r="R590" s="604"/>
      <c r="S590" s="62"/>
      <c r="T590" s="355"/>
      <c r="U590" s="62"/>
      <c r="V590" s="62"/>
      <c r="W590" s="19">
        <f>AA590*(1+AC590)</f>
        <v>1.758E-3</v>
      </c>
      <c r="X590" s="20">
        <f>AA590*(1+AC590)</f>
        <v>1.758E-3</v>
      </c>
      <c r="Y590" s="762">
        <v>1990</v>
      </c>
      <c r="Z590" s="50"/>
      <c r="AA590" s="31">
        <f>N590/1000</f>
        <v>2.9300000000000003E-3</v>
      </c>
      <c r="AB590" s="395">
        <v>-0.4</v>
      </c>
      <c r="AC590" s="443">
        <f>AB590</f>
        <v>-0.4</v>
      </c>
      <c r="AD590" s="16"/>
      <c r="AE590" s="16"/>
      <c r="AF590" s="170"/>
      <c r="AG590" s="86"/>
      <c r="AH590" s="272"/>
      <c r="AI590" s="50"/>
      <c r="AJ590" s="31"/>
      <c r="AK590" s="157"/>
      <c r="AL590" s="285"/>
      <c r="AM590" s="208"/>
      <c r="AN590" s="16"/>
      <c r="AO590" s="388"/>
      <c r="AP590" s="389"/>
      <c r="AQ590" s="390"/>
      <c r="AR590" s="468"/>
      <c r="AS590" s="31"/>
      <c r="AT590" s="156"/>
      <c r="AU590" s="284"/>
      <c r="AV590" s="16"/>
      <c r="AW590" s="16"/>
      <c r="AX590" s="170"/>
      <c r="AY590" s="86"/>
      <c r="AZ590" s="272"/>
      <c r="BA590" s="50"/>
      <c r="BB590" s="31"/>
      <c r="BC590" s="157"/>
      <c r="BD590" s="342"/>
      <c r="BE590" s="208"/>
      <c r="BF590" s="16"/>
      <c r="BG590" s="170"/>
      <c r="BH590" s="86"/>
      <c r="BI590" s="272"/>
      <c r="BJ590" s="50"/>
      <c r="BK590" s="31"/>
      <c r="BL590" s="157"/>
      <c r="BM590" s="342"/>
      <c r="BN590" s="208"/>
      <c r="BO590" s="16"/>
      <c r="BP590" s="635"/>
      <c r="BQ590" s="636"/>
      <c r="BR590" s="762"/>
      <c r="BS590" s="31"/>
      <c r="BT590" s="33"/>
      <c r="BU590" s="43"/>
      <c r="BV590" s="209"/>
      <c r="BW590" s="141"/>
      <c r="BX590" s="311"/>
      <c r="BY590" s="137"/>
    </row>
    <row r="591" spans="1:77" ht="15" customHeight="1" x14ac:dyDescent="0.2">
      <c r="A591" s="55" t="s">
        <v>25</v>
      </c>
      <c r="B591" s="55"/>
      <c r="C591" s="637" t="s">
        <v>593</v>
      </c>
      <c r="D591" s="544">
        <v>280</v>
      </c>
      <c r="E591" s="161" t="s">
        <v>392</v>
      </c>
      <c r="F591" s="604"/>
      <c r="G591" s="60"/>
      <c r="H591" s="61"/>
      <c r="I591" s="609">
        <v>2008</v>
      </c>
      <c r="J591" s="121"/>
      <c r="K591" s="121">
        <v>2.35</v>
      </c>
      <c r="L591" s="609"/>
      <c r="M591" s="62"/>
      <c r="N591" s="355"/>
      <c r="O591" s="604"/>
      <c r="P591" s="62"/>
      <c r="Q591" s="355"/>
      <c r="R591" s="604"/>
      <c r="S591" s="62"/>
      <c r="T591" s="355"/>
      <c r="U591" s="62"/>
      <c r="V591" s="62"/>
      <c r="W591" s="19">
        <f>AA591*(1+AC591)</f>
        <v>1.7625000000000002E-3</v>
      </c>
      <c r="X591" s="20">
        <f>AA591*(1+AC591)</f>
        <v>1.7625000000000002E-3</v>
      </c>
      <c r="Y591" s="762">
        <v>1990</v>
      </c>
      <c r="Z591" s="50"/>
      <c r="AA591" s="31">
        <f>K591/1000</f>
        <v>2.3500000000000001E-3</v>
      </c>
      <c r="AB591" s="395">
        <v>-0.25</v>
      </c>
      <c r="AC591" s="443">
        <f>AB591</f>
        <v>-0.25</v>
      </c>
      <c r="AD591" s="16"/>
      <c r="AE591" s="16"/>
      <c r="AF591" s="170"/>
      <c r="AG591" s="86"/>
      <c r="AH591" s="272"/>
      <c r="AI591" s="50"/>
      <c r="AJ591" s="31"/>
      <c r="AK591" s="157"/>
      <c r="AL591" s="285"/>
      <c r="AM591" s="208"/>
      <c r="AN591" s="16"/>
      <c r="AO591" s="388"/>
      <c r="AP591" s="389"/>
      <c r="AQ591" s="390"/>
      <c r="AR591" s="468"/>
      <c r="AS591" s="31"/>
      <c r="AT591" s="156"/>
      <c r="AU591" s="284"/>
      <c r="AV591" s="16"/>
      <c r="AW591" s="16"/>
      <c r="AX591" s="170"/>
      <c r="AY591" s="86"/>
      <c r="AZ591" s="272"/>
      <c r="BA591" s="50"/>
      <c r="BB591" s="31"/>
      <c r="BC591" s="157"/>
      <c r="BD591" s="342"/>
      <c r="BE591" s="208"/>
      <c r="BF591" s="16"/>
      <c r="BG591" s="170"/>
      <c r="BH591" s="86"/>
      <c r="BI591" s="272"/>
      <c r="BJ591" s="50"/>
      <c r="BK591" s="31"/>
      <c r="BL591" s="157"/>
      <c r="BM591" s="342"/>
      <c r="BN591" s="208"/>
      <c r="BO591" s="16"/>
      <c r="BP591" s="635"/>
      <c r="BQ591" s="636"/>
      <c r="BR591" s="762"/>
      <c r="BS591" s="31"/>
      <c r="BT591" s="33"/>
      <c r="BU591" s="43"/>
      <c r="BV591" s="209"/>
      <c r="BW591" s="141"/>
      <c r="BX591" s="311"/>
      <c r="BY591" s="137"/>
    </row>
    <row r="592" spans="1:77" ht="15" customHeight="1" x14ac:dyDescent="0.2">
      <c r="A592" s="55" t="s">
        <v>25</v>
      </c>
      <c r="B592" s="55"/>
      <c r="C592" s="637" t="s">
        <v>594</v>
      </c>
      <c r="D592" s="544">
        <v>792</v>
      </c>
      <c r="E592" s="161" t="s">
        <v>392</v>
      </c>
      <c r="F592" s="604"/>
      <c r="G592" s="60"/>
      <c r="H592" s="61"/>
      <c r="I592" s="609"/>
      <c r="J592" s="121"/>
      <c r="K592" s="121"/>
      <c r="L592" s="609"/>
      <c r="M592" s="62"/>
      <c r="N592" s="355">
        <v>5.8680000000000003</v>
      </c>
      <c r="O592" s="604"/>
      <c r="P592" s="62"/>
      <c r="Q592" s="355"/>
      <c r="R592" s="604"/>
      <c r="S592" s="62"/>
      <c r="T592" s="355"/>
      <c r="U592" s="62"/>
      <c r="V592" s="62"/>
      <c r="W592" s="19">
        <f>AA592*(1+AC592)</f>
        <v>4.6944000000000005E-3</v>
      </c>
      <c r="X592" s="20">
        <f>AA592*(1+AC592)</f>
        <v>4.6944000000000005E-3</v>
      </c>
      <c r="Y592" s="762">
        <v>1990</v>
      </c>
      <c r="Z592" s="50"/>
      <c r="AA592" s="31">
        <f>N592/1000</f>
        <v>5.868E-3</v>
      </c>
      <c r="AB592" s="395">
        <v>-0.2</v>
      </c>
      <c r="AC592" s="443">
        <f>AB592</f>
        <v>-0.2</v>
      </c>
      <c r="AD592" s="16"/>
      <c r="AE592" s="16"/>
      <c r="AF592" s="170"/>
      <c r="AG592" s="86"/>
      <c r="AH592" s="272"/>
      <c r="AI592" s="50"/>
      <c r="AJ592" s="31"/>
      <c r="AK592" s="157"/>
      <c r="AL592" s="285"/>
      <c r="AM592" s="208"/>
      <c r="AN592" s="16"/>
      <c r="AO592" s="388"/>
      <c r="AP592" s="389"/>
      <c r="AQ592" s="390"/>
      <c r="AR592" s="468"/>
      <c r="AS592" s="31"/>
      <c r="AT592" s="156"/>
      <c r="AU592" s="284"/>
      <c r="AV592" s="16"/>
      <c r="AW592" s="16"/>
      <c r="AX592" s="170"/>
      <c r="AY592" s="86"/>
      <c r="AZ592" s="272"/>
      <c r="BA592" s="50"/>
      <c r="BB592" s="31"/>
      <c r="BC592" s="157"/>
      <c r="BD592" s="342"/>
      <c r="BE592" s="208"/>
      <c r="BF592" s="16"/>
      <c r="BG592" s="170"/>
      <c r="BH592" s="86"/>
      <c r="BI592" s="272"/>
      <c r="BJ592" s="50"/>
      <c r="BK592" s="31"/>
      <c r="BL592" s="157"/>
      <c r="BM592" s="342"/>
      <c r="BN592" s="208"/>
      <c r="BO592" s="16"/>
      <c r="BP592" s="635"/>
      <c r="BQ592" s="636"/>
      <c r="BR592" s="762"/>
      <c r="BS592" s="31"/>
      <c r="BT592" s="33"/>
      <c r="BU592" s="43"/>
      <c r="BV592" s="209"/>
      <c r="BW592" s="141"/>
      <c r="BX592" s="311"/>
      <c r="BY592" s="137"/>
    </row>
    <row r="593" spans="1:77" ht="15" customHeight="1" x14ac:dyDescent="0.2">
      <c r="A593" s="55" t="s">
        <v>25</v>
      </c>
      <c r="B593" s="55"/>
      <c r="C593" s="637" t="s">
        <v>541</v>
      </c>
      <c r="D593" s="544">
        <v>536</v>
      </c>
      <c r="E593" s="161" t="s">
        <v>392</v>
      </c>
      <c r="F593" s="604"/>
      <c r="G593" s="60"/>
      <c r="H593" s="61"/>
      <c r="I593" s="609">
        <v>2008</v>
      </c>
      <c r="J593" s="121"/>
      <c r="K593" s="121">
        <v>9.8320000000000007</v>
      </c>
      <c r="L593" s="609"/>
      <c r="M593" s="62"/>
      <c r="N593" s="355"/>
      <c r="O593" s="604"/>
      <c r="P593" s="62"/>
      <c r="Q593" s="355"/>
      <c r="R593" s="604"/>
      <c r="S593" s="62"/>
      <c r="T593" s="355"/>
      <c r="U593" s="62"/>
      <c r="V593" s="62"/>
      <c r="W593" s="19"/>
      <c r="X593" s="20"/>
      <c r="Y593" s="50"/>
      <c r="Z593" s="50"/>
      <c r="AA593" s="31"/>
      <c r="AB593" s="395"/>
      <c r="AC593" s="443"/>
      <c r="AD593" s="16"/>
      <c r="AE593" s="16"/>
      <c r="AF593" s="170"/>
      <c r="AG593" s="86"/>
      <c r="AH593" s="272"/>
      <c r="AI593" s="50"/>
      <c r="AJ593" s="31"/>
      <c r="AK593" s="157"/>
      <c r="AL593" s="285"/>
      <c r="AM593" s="208"/>
      <c r="AN593" s="16"/>
      <c r="AO593" s="635"/>
      <c r="AP593" s="636"/>
      <c r="AQ593" s="640"/>
      <c r="AR593" s="158"/>
      <c r="AS593" s="641"/>
      <c r="AT593" s="399"/>
      <c r="AU593" s="618"/>
      <c r="AV593" s="16"/>
      <c r="AW593" s="16"/>
      <c r="AX593" s="170"/>
      <c r="AY593" s="86"/>
      <c r="AZ593" s="272"/>
      <c r="BA593" s="50"/>
      <c r="BB593" s="31"/>
      <c r="BC593" s="157"/>
      <c r="BD593" s="342"/>
      <c r="BE593" s="208"/>
      <c r="BF593" s="16"/>
      <c r="BG593" s="170"/>
      <c r="BH593" s="86"/>
      <c r="BI593" s="272"/>
      <c r="BJ593" s="50"/>
      <c r="BK593" s="31"/>
      <c r="BL593" s="157"/>
      <c r="BM593" s="342"/>
      <c r="BN593" s="208"/>
      <c r="BO593" s="16"/>
      <c r="BP593" s="635">
        <f>BT593*(1+BU593)</f>
        <v>1.8189200000000006E-3</v>
      </c>
      <c r="BQ593" s="636">
        <f>BT593*(1+BV593)</f>
        <v>1.8189200000000006E-3</v>
      </c>
      <c r="BR593" s="50">
        <v>2008</v>
      </c>
      <c r="BS593" s="31"/>
      <c r="BT593" s="33">
        <f>+K593/1000</f>
        <v>9.8320000000000005E-3</v>
      </c>
      <c r="BU593" s="744">
        <v>-0.81499999999999995</v>
      </c>
      <c r="BV593" s="745">
        <f>BU593</f>
        <v>-0.81499999999999995</v>
      </c>
      <c r="BW593" s="141"/>
      <c r="BX593" s="311"/>
      <c r="BY593" s="137"/>
    </row>
    <row r="594" spans="1:77" ht="15" customHeight="1" x14ac:dyDescent="0.2">
      <c r="A594" s="55" t="s">
        <v>25</v>
      </c>
      <c r="B594" s="55"/>
      <c r="C594" s="637" t="s">
        <v>545</v>
      </c>
      <c r="D594" s="544">
        <v>1200</v>
      </c>
      <c r="E594" s="161" t="s">
        <v>2193</v>
      </c>
      <c r="F594" s="604"/>
      <c r="G594" s="60"/>
      <c r="H594" s="61">
        <v>8.5252210000000002</v>
      </c>
      <c r="I594" s="609"/>
      <c r="J594" s="121"/>
      <c r="K594" s="121">
        <v>6.24</v>
      </c>
      <c r="L594" s="609"/>
      <c r="M594" s="62"/>
      <c r="N594" s="355"/>
      <c r="O594" s="604">
        <v>2016</v>
      </c>
      <c r="P594" s="62"/>
      <c r="Q594" s="355">
        <v>8.6754370000000005</v>
      </c>
      <c r="R594" s="604">
        <v>2016</v>
      </c>
      <c r="S594" s="62"/>
      <c r="T594" s="355">
        <v>8.6754370000000005</v>
      </c>
      <c r="U594" s="62"/>
      <c r="V594" s="62"/>
      <c r="W594" s="19"/>
      <c r="X594" s="20"/>
      <c r="Y594" s="50"/>
      <c r="Z594" s="50"/>
      <c r="AA594" s="31"/>
      <c r="AB594" s="395">
        <v>-0.06</v>
      </c>
      <c r="AC594" s="443">
        <f>AB594</f>
        <v>-0.06</v>
      </c>
      <c r="AD594" s="16"/>
      <c r="AE594" s="16"/>
      <c r="AF594" s="170"/>
      <c r="AG594" s="86"/>
      <c r="AH594" s="272"/>
      <c r="AI594" s="50"/>
      <c r="AJ594" s="31"/>
      <c r="AK594" s="157"/>
      <c r="AL594" s="285"/>
      <c r="AM594" s="208"/>
      <c r="AN594" s="16"/>
      <c r="AO594" s="635"/>
      <c r="AP594" s="636"/>
      <c r="AQ594" s="640"/>
      <c r="AR594" s="158"/>
      <c r="AS594" s="641"/>
      <c r="AT594" s="399"/>
      <c r="AU594" s="618"/>
      <c r="AV594" s="16"/>
      <c r="AW594" s="16"/>
      <c r="AX594" s="170"/>
      <c r="AY594" s="86"/>
      <c r="AZ594" s="272"/>
      <c r="BA594" s="50"/>
      <c r="BB594" s="31"/>
      <c r="BC594" s="157"/>
      <c r="BD594" s="342"/>
      <c r="BE594" s="208"/>
      <c r="BF594" s="16"/>
      <c r="BG594" s="170"/>
      <c r="BH594" s="86"/>
      <c r="BI594" s="272"/>
      <c r="BJ594" s="50"/>
      <c r="BK594" s="31"/>
      <c r="BL594" s="157"/>
      <c r="BM594" s="342"/>
      <c r="BN594" s="208"/>
      <c r="BO594" s="16"/>
      <c r="BP594" s="635">
        <f>BT594*(1+BU594)</f>
        <v>2.5575663000000004E-3</v>
      </c>
      <c r="BQ594" s="636">
        <f>BT594*(1+BV594)</f>
        <v>2.5575663000000004E-3</v>
      </c>
      <c r="BR594" s="50">
        <v>1990</v>
      </c>
      <c r="BS594" s="31"/>
      <c r="BT594" s="33">
        <f>+H594/1000</f>
        <v>8.5252209999999995E-3</v>
      </c>
      <c r="BU594" s="43">
        <v>-0.7</v>
      </c>
      <c r="BV594" s="209">
        <f>BU594</f>
        <v>-0.7</v>
      </c>
      <c r="BW594" s="141"/>
      <c r="BX594" s="311"/>
      <c r="BY594" s="743" t="s">
        <v>543</v>
      </c>
    </row>
    <row r="595" spans="1:77" ht="15" customHeight="1" x14ac:dyDescent="0.2">
      <c r="A595" s="55" t="s">
        <v>25</v>
      </c>
      <c r="B595" s="55"/>
      <c r="C595" s="637" t="s">
        <v>596</v>
      </c>
      <c r="D595" s="544">
        <v>269</v>
      </c>
      <c r="E595" s="161" t="s">
        <v>392</v>
      </c>
      <c r="F595" s="604"/>
      <c r="G595" s="60"/>
      <c r="H595" s="61"/>
      <c r="I595" s="609"/>
      <c r="J595" s="121"/>
      <c r="K595" s="121">
        <v>1.2649999999999999</v>
      </c>
      <c r="L595" s="609"/>
      <c r="M595" s="62"/>
      <c r="N595" s="355"/>
      <c r="O595" s="604"/>
      <c r="P595" s="62"/>
      <c r="Q595" s="355"/>
      <c r="R595" s="604"/>
      <c r="S595" s="62"/>
      <c r="T595" s="355"/>
      <c r="U595" s="62"/>
      <c r="V595" s="62"/>
      <c r="W595" s="21">
        <f>AA595*(1+AC595)</f>
        <v>9.4874999999999994E-4</v>
      </c>
      <c r="X595" s="22">
        <f>AA595*(1+AC595)</f>
        <v>9.4874999999999994E-4</v>
      </c>
      <c r="Y595" s="50">
        <v>1990</v>
      </c>
      <c r="Z595" s="50"/>
      <c r="AA595" s="33">
        <f>K595/1000</f>
        <v>1.2649999999999998E-3</v>
      </c>
      <c r="AB595" s="395">
        <v>-0.25</v>
      </c>
      <c r="AC595" s="443">
        <f>AB595</f>
        <v>-0.25</v>
      </c>
      <c r="AD595" s="16"/>
      <c r="AE595" s="16"/>
      <c r="AF595" s="170"/>
      <c r="AG595" s="86"/>
      <c r="AH595" s="272"/>
      <c r="AI595" s="50"/>
      <c r="AJ595" s="31"/>
      <c r="AK595" s="157"/>
      <c r="AL595" s="285"/>
      <c r="AM595" s="208"/>
      <c r="AN595" s="16"/>
      <c r="AO595" s="635"/>
      <c r="AP595" s="636"/>
      <c r="AQ595" s="640"/>
      <c r="AR595" s="158"/>
      <c r="AS595" s="641"/>
      <c r="AT595" s="399"/>
      <c r="AU595" s="618"/>
      <c r="AV595" s="16"/>
      <c r="AW595" s="16"/>
      <c r="AX595" s="170"/>
      <c r="AY595" s="86"/>
      <c r="AZ595" s="272"/>
      <c r="BA595" s="50"/>
      <c r="BB595" s="31"/>
      <c r="BC595" s="157"/>
      <c r="BD595" s="342"/>
      <c r="BE595" s="208"/>
      <c r="BF595" s="16"/>
      <c r="BG595" s="170"/>
      <c r="BH595" s="86"/>
      <c r="BI595" s="272"/>
      <c r="BJ595" s="50"/>
      <c r="BK595" s="31"/>
      <c r="BL595" s="157"/>
      <c r="BM595" s="342"/>
      <c r="BN595" s="208"/>
      <c r="BO595" s="16"/>
      <c r="BP595" s="635"/>
      <c r="BQ595" s="636"/>
      <c r="BR595" s="50"/>
      <c r="BS595" s="31"/>
      <c r="BT595" s="33"/>
      <c r="BU595" s="744"/>
      <c r="BV595" s="745"/>
      <c r="BW595" s="141"/>
      <c r="BX595" s="311"/>
      <c r="BY595" s="743"/>
    </row>
    <row r="596" spans="1:77" ht="15" customHeight="1" x14ac:dyDescent="0.2">
      <c r="A596" s="55" t="s">
        <v>25</v>
      </c>
      <c r="B596" s="55"/>
      <c r="C596" s="637" t="s">
        <v>544</v>
      </c>
      <c r="D596" s="544">
        <v>9000</v>
      </c>
      <c r="E596" s="161" t="s">
        <v>542</v>
      </c>
      <c r="F596" s="604"/>
      <c r="G596" s="60"/>
      <c r="H596" s="61">
        <v>70.23</v>
      </c>
      <c r="I596" s="609">
        <v>2006</v>
      </c>
      <c r="J596" s="121"/>
      <c r="K596" s="121">
        <v>73.400000000000006</v>
      </c>
      <c r="L596" s="609"/>
      <c r="M596" s="62"/>
      <c r="N596" s="355"/>
      <c r="O596" s="604"/>
      <c r="P596" s="62"/>
      <c r="Q596" s="355"/>
      <c r="R596" s="604"/>
      <c r="S596" s="62"/>
      <c r="T596" s="355"/>
      <c r="U596" s="62"/>
      <c r="V596" s="62">
        <v>72.08</v>
      </c>
      <c r="W596" s="21">
        <f>AA596*(1+AC596)</f>
        <v>5.2672499999999997E-2</v>
      </c>
      <c r="X596" s="22">
        <f>AA596*(1+AC596)</f>
        <v>5.2672499999999997E-2</v>
      </c>
      <c r="Y596" s="50">
        <v>1990</v>
      </c>
      <c r="Z596" s="50"/>
      <c r="AA596" s="33">
        <f>H596/1000</f>
        <v>7.0230000000000001E-2</v>
      </c>
      <c r="AB596" s="395">
        <v>-0.25</v>
      </c>
      <c r="AC596" s="443">
        <f>AB596</f>
        <v>-0.25</v>
      </c>
      <c r="AD596" s="16"/>
      <c r="AE596" s="16"/>
      <c r="AF596" s="170"/>
      <c r="AG596" s="86"/>
      <c r="AH596" s="272"/>
      <c r="AI596" s="50"/>
      <c r="AJ596" s="31"/>
      <c r="AK596" s="157"/>
      <c r="AL596" s="285"/>
      <c r="AM596" s="208"/>
      <c r="AN596" s="16"/>
      <c r="AO596" s="635">
        <f>AS596*(1+AT596)</f>
        <v>3.5115E-2</v>
      </c>
      <c r="AP596" s="636">
        <f>AS596*(1+AU596)</f>
        <v>3.5115E-2</v>
      </c>
      <c r="AQ596" s="666">
        <v>1990</v>
      </c>
      <c r="AR596" s="158"/>
      <c r="AS596" s="641">
        <f>+H596/1000</f>
        <v>7.0230000000000001E-2</v>
      </c>
      <c r="AT596" s="399">
        <v>-0.5</v>
      </c>
      <c r="AU596" s="618">
        <f>AT596</f>
        <v>-0.5</v>
      </c>
      <c r="AV596" s="16"/>
      <c r="AW596" s="16"/>
      <c r="AX596" s="170"/>
      <c r="AY596" s="86"/>
      <c r="AZ596" s="272"/>
      <c r="BA596" s="50"/>
      <c r="BB596" s="31"/>
      <c r="BC596" s="157"/>
      <c r="BD596" s="342"/>
      <c r="BE596" s="208"/>
      <c r="BF596" s="16"/>
      <c r="BG596" s="170"/>
      <c r="BH596" s="86"/>
      <c r="BI596" s="272"/>
      <c r="BJ596" s="50"/>
      <c r="BK596" s="31"/>
      <c r="BL596" s="157"/>
      <c r="BM596" s="342"/>
      <c r="BN596" s="208"/>
      <c r="BO596" s="16"/>
      <c r="BP596" s="635">
        <f>BT596*(1+BU596)</f>
        <v>2.1069000000000004E-2</v>
      </c>
      <c r="BQ596" s="636">
        <f>BT596*(1+BV596)</f>
        <v>2.1069000000000004E-2</v>
      </c>
      <c r="BR596" s="50">
        <v>1990</v>
      </c>
      <c r="BS596" s="31"/>
      <c r="BT596" s="33">
        <f>+H596/1000</f>
        <v>7.0230000000000001E-2</v>
      </c>
      <c r="BU596" s="43">
        <v>-0.7</v>
      </c>
      <c r="BV596" s="209">
        <f>BU596</f>
        <v>-0.7</v>
      </c>
      <c r="BW596" s="141"/>
      <c r="BX596" s="311"/>
      <c r="BY596" s="743" t="s">
        <v>543</v>
      </c>
    </row>
    <row r="597" spans="1:77" ht="15" customHeight="1" x14ac:dyDescent="0.2">
      <c r="A597" s="55" t="s">
        <v>25</v>
      </c>
      <c r="B597" s="55"/>
      <c r="C597" s="637" t="s">
        <v>599</v>
      </c>
      <c r="D597" s="544">
        <v>329</v>
      </c>
      <c r="E597" s="161" t="s">
        <v>392</v>
      </c>
      <c r="F597" s="604"/>
      <c r="G597" s="60"/>
      <c r="H597" s="61"/>
      <c r="I597" s="609">
        <v>2007</v>
      </c>
      <c r="J597" s="121"/>
      <c r="K597" s="121">
        <v>2.7040000000000002</v>
      </c>
      <c r="L597" s="609"/>
      <c r="M597" s="62"/>
      <c r="N597" s="355"/>
      <c r="O597" s="604"/>
      <c r="P597" s="62"/>
      <c r="Q597" s="355"/>
      <c r="R597" s="604"/>
      <c r="S597" s="62"/>
      <c r="T597" s="355"/>
      <c r="U597" s="62"/>
      <c r="V597" s="62"/>
      <c r="W597" s="21">
        <f>AA597*(1+AC597)</f>
        <v>2.0280000000000003E-3</v>
      </c>
      <c r="X597" s="22">
        <f>AA597*(1+AC597)</f>
        <v>2.0280000000000003E-3</v>
      </c>
      <c r="Y597" s="50">
        <v>2007</v>
      </c>
      <c r="Z597" s="50"/>
      <c r="AA597" s="33">
        <f>K597/1000</f>
        <v>2.7040000000000002E-3</v>
      </c>
      <c r="AB597" s="395">
        <v>-0.25</v>
      </c>
      <c r="AC597" s="443">
        <f>AB597</f>
        <v>-0.25</v>
      </c>
      <c r="AD597" s="16"/>
      <c r="AE597" s="16"/>
      <c r="AF597" s="170"/>
      <c r="AG597" s="86"/>
      <c r="AH597" s="272"/>
      <c r="AI597" s="50"/>
      <c r="AJ597" s="31"/>
      <c r="AK597" s="157"/>
      <c r="AL597" s="285"/>
      <c r="AM597" s="208"/>
      <c r="AN597" s="16"/>
      <c r="AO597" s="635"/>
      <c r="AP597" s="636"/>
      <c r="AQ597" s="666"/>
      <c r="AR597" s="158"/>
      <c r="AS597" s="641"/>
      <c r="AT597" s="399"/>
      <c r="AU597" s="618"/>
      <c r="AV597" s="16"/>
      <c r="AW597" s="16"/>
      <c r="AX597" s="170"/>
      <c r="AY597" s="86"/>
      <c r="AZ597" s="272"/>
      <c r="BA597" s="50"/>
      <c r="BB597" s="31"/>
      <c r="BC597" s="157"/>
      <c r="BD597" s="342"/>
      <c r="BE597" s="208"/>
      <c r="BF597" s="16"/>
      <c r="BG597" s="170"/>
      <c r="BH597" s="86"/>
      <c r="BI597" s="272"/>
      <c r="BJ597" s="50"/>
      <c r="BK597" s="31"/>
      <c r="BL597" s="157"/>
      <c r="BM597" s="342"/>
      <c r="BN597" s="208"/>
      <c r="BO597" s="16"/>
      <c r="BP597" s="635"/>
      <c r="BQ597" s="636"/>
      <c r="BR597" s="762"/>
      <c r="BS597" s="31"/>
      <c r="BT597" s="33"/>
      <c r="BU597" s="43"/>
      <c r="BV597" s="209"/>
      <c r="BW597" s="141"/>
      <c r="BX597" s="311"/>
      <c r="BY597" s="743"/>
    </row>
    <row r="598" spans="1:77" ht="15" customHeight="1" x14ac:dyDescent="0.2">
      <c r="A598" s="55" t="s">
        <v>25</v>
      </c>
      <c r="B598" s="55"/>
      <c r="C598" s="637" t="s">
        <v>600</v>
      </c>
      <c r="D598" s="544">
        <v>489</v>
      </c>
      <c r="E598" s="161" t="s">
        <v>392</v>
      </c>
      <c r="F598" s="604"/>
      <c r="G598" s="60"/>
      <c r="H598" s="61"/>
      <c r="I598" s="609">
        <v>2008</v>
      </c>
      <c r="J598" s="121"/>
      <c r="K598" s="121">
        <v>3.0030000000000001</v>
      </c>
      <c r="L598" s="609"/>
      <c r="M598" s="62"/>
      <c r="N598" s="355"/>
      <c r="O598" s="604"/>
      <c r="P598" s="62"/>
      <c r="Q598" s="355"/>
      <c r="R598" s="604"/>
      <c r="S598" s="62"/>
      <c r="T598" s="355"/>
      <c r="U598" s="62"/>
      <c r="V598" s="62"/>
      <c r="W598" s="21">
        <f>AA598*(1+AC598)</f>
        <v>2.4024000000000003E-3</v>
      </c>
      <c r="X598" s="22">
        <f>AA598*(1+AC598)</f>
        <v>2.4024000000000003E-3</v>
      </c>
      <c r="Y598" s="50">
        <v>2005</v>
      </c>
      <c r="Z598" s="50"/>
      <c r="AA598" s="33">
        <f>K598/1000</f>
        <v>3.003E-3</v>
      </c>
      <c r="AB598" s="395">
        <v>-0.2</v>
      </c>
      <c r="AC598" s="443">
        <f>AB598</f>
        <v>-0.2</v>
      </c>
      <c r="AD598" s="16"/>
      <c r="AE598" s="16"/>
      <c r="AF598" s="170"/>
      <c r="AG598" s="86"/>
      <c r="AH598" s="272"/>
      <c r="AI598" s="50"/>
      <c r="AJ598" s="31"/>
      <c r="AK598" s="157"/>
      <c r="AL598" s="285"/>
      <c r="AM598" s="208"/>
      <c r="AN598" s="16"/>
      <c r="AO598" s="635"/>
      <c r="AP598" s="636"/>
      <c r="AQ598" s="666"/>
      <c r="AR598" s="158"/>
      <c r="AS598" s="641"/>
      <c r="AT598" s="399"/>
      <c r="AU598" s="618"/>
      <c r="AV598" s="16"/>
      <c r="AW598" s="16"/>
      <c r="AX598" s="170"/>
      <c r="AY598" s="86"/>
      <c r="AZ598" s="272"/>
      <c r="BA598" s="50"/>
      <c r="BB598" s="31"/>
      <c r="BC598" s="157"/>
      <c r="BD598" s="342"/>
      <c r="BE598" s="208"/>
      <c r="BF598" s="16"/>
      <c r="BG598" s="170"/>
      <c r="BH598" s="86"/>
      <c r="BI598" s="272"/>
      <c r="BJ598" s="50"/>
      <c r="BK598" s="31"/>
      <c r="BL598" s="157"/>
      <c r="BM598" s="342"/>
      <c r="BN598" s="208"/>
      <c r="BO598" s="16"/>
      <c r="BP598" s="635"/>
      <c r="BQ598" s="636"/>
      <c r="BR598" s="762"/>
      <c r="BS598" s="31"/>
      <c r="BT598" s="33"/>
      <c r="BU598" s="43"/>
      <c r="BV598" s="209"/>
      <c r="BW598" s="141"/>
      <c r="BX598" s="311"/>
      <c r="BY598" s="743"/>
    </row>
    <row r="599" spans="1:77" ht="15" customHeight="1" x14ac:dyDescent="0.2">
      <c r="A599" s="55" t="s">
        <v>25</v>
      </c>
      <c r="B599" s="55"/>
      <c r="C599" s="637" t="s">
        <v>601</v>
      </c>
      <c r="D599" s="544">
        <v>734</v>
      </c>
      <c r="E599" s="161" t="s">
        <v>392</v>
      </c>
      <c r="F599" s="604"/>
      <c r="G599" s="60"/>
      <c r="H599" s="61"/>
      <c r="I599" s="609"/>
      <c r="J599" s="121"/>
      <c r="K599" s="121"/>
      <c r="L599" s="609">
        <v>2011</v>
      </c>
      <c r="M599" s="62"/>
      <c r="N599" s="355">
        <v>5.0229999999999997</v>
      </c>
      <c r="O599" s="604"/>
      <c r="P599" s="62"/>
      <c r="Q599" s="355"/>
      <c r="R599" s="604"/>
      <c r="S599" s="62"/>
      <c r="T599" s="355"/>
      <c r="U599" s="62"/>
      <c r="V599" s="62"/>
      <c r="W599" s="21"/>
      <c r="X599" s="22"/>
      <c r="Y599" s="50"/>
      <c r="Z599" s="50"/>
      <c r="AA599" s="33"/>
      <c r="AB599" s="395"/>
      <c r="AC599" s="443"/>
      <c r="AD599" s="16"/>
      <c r="AE599" s="16"/>
      <c r="AF599" s="170"/>
      <c r="AG599" s="86"/>
      <c r="AH599" s="272"/>
      <c r="AI599" s="50"/>
      <c r="AJ599" s="31"/>
      <c r="AK599" s="157"/>
      <c r="AL599" s="285"/>
      <c r="AM599" s="208"/>
      <c r="AN599" s="16"/>
      <c r="AO599" s="635"/>
      <c r="AP599" s="636"/>
      <c r="AQ599" s="666"/>
      <c r="AR599" s="158"/>
      <c r="AS599" s="641"/>
      <c r="AT599" s="399"/>
      <c r="AU599" s="618"/>
      <c r="AV599" s="16"/>
      <c r="AW599" s="16"/>
      <c r="AX599" s="170"/>
      <c r="AY599" s="86"/>
      <c r="AZ599" s="272"/>
      <c r="BA599" s="50"/>
      <c r="BB599" s="31"/>
      <c r="BC599" s="157"/>
      <c r="BD599" s="342"/>
      <c r="BE599" s="208"/>
      <c r="BF599" s="16"/>
      <c r="BG599" s="170"/>
      <c r="BH599" s="86"/>
      <c r="BI599" s="272"/>
      <c r="BJ599" s="50"/>
      <c r="BK599" s="31"/>
      <c r="BL599" s="157"/>
      <c r="BM599" s="342"/>
      <c r="BN599" s="208"/>
      <c r="BO599" s="16"/>
      <c r="BP599" s="635">
        <f>BT599*(1+BU599)</f>
        <v>1.0045999999999998E-3</v>
      </c>
      <c r="BQ599" s="636">
        <f>BT599*(1+BV599)</f>
        <v>1.0045999999999998E-3</v>
      </c>
      <c r="BR599" s="50">
        <v>2007</v>
      </c>
      <c r="BS599" s="31"/>
      <c r="BT599" s="33">
        <f>+N599/1000</f>
        <v>5.0229999999999997E-3</v>
      </c>
      <c r="BU599" s="43">
        <v>-0.8</v>
      </c>
      <c r="BV599" s="209">
        <f>BU599</f>
        <v>-0.8</v>
      </c>
      <c r="BW599" s="141"/>
      <c r="BX599" s="311"/>
      <c r="BY599" s="743"/>
    </row>
    <row r="600" spans="1:77" ht="15" customHeight="1" x14ac:dyDescent="0.2">
      <c r="A600" s="55" t="s">
        <v>25</v>
      </c>
      <c r="B600" s="55"/>
      <c r="C600" s="637" t="s">
        <v>595</v>
      </c>
      <c r="D600" s="544">
        <v>105</v>
      </c>
      <c r="E600" s="161" t="s">
        <v>392</v>
      </c>
      <c r="F600" s="604"/>
      <c r="G600" s="60"/>
      <c r="H600" s="61"/>
      <c r="I600" s="609"/>
      <c r="J600" s="121"/>
      <c r="K600" s="121">
        <v>0.72199999999999998</v>
      </c>
      <c r="L600" s="609"/>
      <c r="M600" s="62"/>
      <c r="N600" s="355"/>
      <c r="O600" s="604"/>
      <c r="P600" s="62"/>
      <c r="Q600" s="355"/>
      <c r="R600" s="604"/>
      <c r="S600" s="62"/>
      <c r="T600" s="355"/>
      <c r="U600" s="62"/>
      <c r="V600" s="62"/>
      <c r="W600" s="21"/>
      <c r="X600" s="22"/>
      <c r="Y600" s="50"/>
      <c r="Z600" s="50"/>
      <c r="AA600" s="33"/>
      <c r="AB600" s="395"/>
      <c r="AC600" s="443"/>
      <c r="AD600" s="16"/>
      <c r="AE600" s="16"/>
      <c r="AF600" s="170"/>
      <c r="AG600" s="86"/>
      <c r="AH600" s="272"/>
      <c r="AI600" s="50"/>
      <c r="AJ600" s="31"/>
      <c r="AK600" s="157"/>
      <c r="AL600" s="285"/>
      <c r="AM600" s="208"/>
      <c r="AN600" s="16"/>
      <c r="AO600" s="635">
        <f>AS600*(1+AT600)</f>
        <v>2.1660000000000003E-4</v>
      </c>
      <c r="AP600" s="636">
        <f>AS600*(1+AU600)</f>
        <v>2.1660000000000003E-4</v>
      </c>
      <c r="AQ600" s="666">
        <v>1990</v>
      </c>
      <c r="AR600" s="158"/>
      <c r="AS600" s="641">
        <f>+K600/1000</f>
        <v>7.2199999999999999E-4</v>
      </c>
      <c r="AT600" s="399">
        <v>-0.7</v>
      </c>
      <c r="AU600" s="618">
        <f>AT600</f>
        <v>-0.7</v>
      </c>
      <c r="AV600" s="16"/>
      <c r="AW600" s="16"/>
      <c r="AX600" s="170"/>
      <c r="AY600" s="86"/>
      <c r="AZ600" s="272"/>
      <c r="BA600" s="50"/>
      <c r="BB600" s="31"/>
      <c r="BC600" s="157"/>
      <c r="BD600" s="342"/>
      <c r="BE600" s="208"/>
      <c r="BF600" s="16"/>
      <c r="BG600" s="170"/>
      <c r="BH600" s="86"/>
      <c r="BI600" s="272"/>
      <c r="BJ600" s="50"/>
      <c r="BK600" s="31"/>
      <c r="BL600" s="157"/>
      <c r="BM600" s="342"/>
      <c r="BN600" s="208"/>
      <c r="BO600" s="16"/>
      <c r="BP600" s="635">
        <v>0</v>
      </c>
      <c r="BQ600" s="636">
        <v>0</v>
      </c>
      <c r="BR600" s="50"/>
      <c r="BS600" s="31"/>
      <c r="BT600" s="33"/>
      <c r="BU600" s="43">
        <v>-1</v>
      </c>
      <c r="BV600" s="209">
        <v>-1</v>
      </c>
      <c r="BW600" s="141"/>
      <c r="BX600" s="311"/>
      <c r="BY600" s="743"/>
    </row>
    <row r="601" spans="1:77" ht="15" customHeight="1" x14ac:dyDescent="0.2">
      <c r="A601" s="55" t="s">
        <v>25</v>
      </c>
      <c r="B601" s="55"/>
      <c r="C601" s="637" t="s">
        <v>602</v>
      </c>
      <c r="D601" s="544">
        <v>243</v>
      </c>
      <c r="E601" s="161" t="s">
        <v>392</v>
      </c>
      <c r="F601" s="604"/>
      <c r="G601" s="60"/>
      <c r="H601" s="61"/>
      <c r="I601" s="609">
        <v>2008</v>
      </c>
      <c r="J601" s="121"/>
      <c r="K601" s="121">
        <v>4.282</v>
      </c>
      <c r="L601" s="609"/>
      <c r="M601" s="62"/>
      <c r="N601" s="355"/>
      <c r="O601" s="604"/>
      <c r="P601" s="62"/>
      <c r="Q601" s="355"/>
      <c r="R601" s="604"/>
      <c r="S601" s="62"/>
      <c r="T601" s="355"/>
      <c r="U601" s="62"/>
      <c r="V601" s="62"/>
      <c r="W601" s="21">
        <f>AA601*(1+AC601)</f>
        <v>3.2114999999999999E-3</v>
      </c>
      <c r="X601" s="22">
        <f>AA601*(1+AC601)</f>
        <v>3.2114999999999999E-3</v>
      </c>
      <c r="Y601" s="50">
        <v>1990</v>
      </c>
      <c r="Z601" s="50"/>
      <c r="AA601" s="33">
        <f>K601/1000</f>
        <v>4.2820000000000002E-3</v>
      </c>
      <c r="AB601" s="395">
        <v>-0.25</v>
      </c>
      <c r="AC601" s="443">
        <f>AB601</f>
        <v>-0.25</v>
      </c>
      <c r="AD601" s="16"/>
      <c r="AE601" s="16"/>
      <c r="AF601" s="170"/>
      <c r="AG601" s="86"/>
      <c r="AH601" s="272"/>
      <c r="AI601" s="50"/>
      <c r="AJ601" s="31"/>
      <c r="AK601" s="157"/>
      <c r="AL601" s="285"/>
      <c r="AM601" s="208"/>
      <c r="AN601" s="16"/>
      <c r="AO601" s="635"/>
      <c r="AP601" s="636"/>
      <c r="AQ601" s="640"/>
      <c r="AR601" s="158"/>
      <c r="AS601" s="641"/>
      <c r="AT601" s="399"/>
      <c r="AU601" s="618"/>
      <c r="AV601" s="16"/>
      <c r="AW601" s="16"/>
      <c r="AX601" s="170"/>
      <c r="AY601" s="86"/>
      <c r="AZ601" s="272"/>
      <c r="BA601" s="50"/>
      <c r="BB601" s="31"/>
      <c r="BC601" s="157"/>
      <c r="BD601" s="342"/>
      <c r="BE601" s="208"/>
      <c r="BF601" s="16"/>
      <c r="BG601" s="170"/>
      <c r="BH601" s="86"/>
      <c r="BI601" s="272"/>
      <c r="BJ601" s="50"/>
      <c r="BK601" s="31"/>
      <c r="BL601" s="157"/>
      <c r="BM601" s="342"/>
      <c r="BN601" s="208"/>
      <c r="BO601" s="16"/>
      <c r="BP601" s="635"/>
      <c r="BQ601" s="636"/>
      <c r="BR601" s="50"/>
      <c r="BS601" s="31"/>
      <c r="BT601" s="33"/>
      <c r="BU601" s="43"/>
      <c r="BV601" s="209"/>
      <c r="BW601" s="141"/>
      <c r="BX601" s="311"/>
      <c r="BY601" s="743"/>
    </row>
    <row r="602" spans="1:77" ht="15" customHeight="1" x14ac:dyDescent="0.2">
      <c r="A602" s="55" t="s">
        <v>25</v>
      </c>
      <c r="B602" s="55"/>
      <c r="C602" s="637" t="s">
        <v>603</v>
      </c>
      <c r="D602" s="544">
        <v>58</v>
      </c>
      <c r="E602" s="161" t="s">
        <v>392</v>
      </c>
      <c r="F602" s="604"/>
      <c r="G602" s="60"/>
      <c r="H602" s="61"/>
      <c r="I602" s="609">
        <v>2008</v>
      </c>
      <c r="J602" s="121"/>
      <c r="K602" s="121">
        <v>0.86</v>
      </c>
      <c r="L602" s="609"/>
      <c r="M602" s="62"/>
      <c r="N602" s="355"/>
      <c r="O602" s="604"/>
      <c r="P602" s="62"/>
      <c r="Q602" s="355"/>
      <c r="R602" s="604"/>
      <c r="S602" s="62"/>
      <c r="T602" s="355"/>
      <c r="U602" s="62"/>
      <c r="V602" s="62"/>
      <c r="W602" s="21">
        <f>AA602*(1+AC602)</f>
        <v>6.4499999999999996E-4</v>
      </c>
      <c r="X602" s="22">
        <f>AA602*(1+AC602)</f>
        <v>6.4499999999999996E-4</v>
      </c>
      <c r="Y602" s="50">
        <v>2008</v>
      </c>
      <c r="Z602" s="50"/>
      <c r="AA602" s="33">
        <f>K602/1000</f>
        <v>8.5999999999999998E-4</v>
      </c>
      <c r="AB602" s="395">
        <v>-0.25</v>
      </c>
      <c r="AC602" s="443">
        <f>AB602</f>
        <v>-0.25</v>
      </c>
      <c r="AD602" s="16"/>
      <c r="AE602" s="16"/>
      <c r="AF602" s="170"/>
      <c r="AG602" s="86"/>
      <c r="AH602" s="272"/>
      <c r="AI602" s="50"/>
      <c r="AJ602" s="31"/>
      <c r="AK602" s="157"/>
      <c r="AL602" s="285"/>
      <c r="AM602" s="208"/>
      <c r="AN602" s="16"/>
      <c r="AO602" s="635"/>
      <c r="AP602" s="636"/>
      <c r="AQ602" s="640"/>
      <c r="AR602" s="158"/>
      <c r="AS602" s="641"/>
      <c r="AT602" s="399"/>
      <c r="AU602" s="618"/>
      <c r="AV602" s="16"/>
      <c r="AW602" s="16"/>
      <c r="AX602" s="170"/>
      <c r="AY602" s="86"/>
      <c r="AZ602" s="272"/>
      <c r="BA602" s="50"/>
      <c r="BB602" s="31"/>
      <c r="BC602" s="157"/>
      <c r="BD602" s="342"/>
      <c r="BE602" s="208"/>
      <c r="BF602" s="16"/>
      <c r="BG602" s="170"/>
      <c r="BH602" s="86"/>
      <c r="BI602" s="272"/>
      <c r="BJ602" s="50"/>
      <c r="BK602" s="31"/>
      <c r="BL602" s="157"/>
      <c r="BM602" s="342"/>
      <c r="BN602" s="208"/>
      <c r="BO602" s="16"/>
      <c r="BP602" s="635"/>
      <c r="BQ602" s="636"/>
      <c r="BR602" s="50"/>
      <c r="BS602" s="31"/>
      <c r="BT602" s="33"/>
      <c r="BU602" s="43"/>
      <c r="BV602" s="209"/>
      <c r="BW602" s="141"/>
      <c r="BX602" s="311"/>
      <c r="BY602" s="743"/>
    </row>
    <row r="603" spans="1:77" ht="15" customHeight="1" x14ac:dyDescent="0.2">
      <c r="A603" s="55" t="s">
        <v>25</v>
      </c>
      <c r="B603" s="55"/>
      <c r="C603" s="637" t="s">
        <v>606</v>
      </c>
      <c r="D603" s="544">
        <v>316</v>
      </c>
      <c r="E603" s="161" t="s">
        <v>392</v>
      </c>
      <c r="F603" s="604"/>
      <c r="G603" s="60"/>
      <c r="H603" s="61"/>
      <c r="I603" s="609"/>
      <c r="J603" s="121"/>
      <c r="K603" s="121"/>
      <c r="L603" s="609"/>
      <c r="M603" s="62"/>
      <c r="N603" s="355">
        <v>2.258</v>
      </c>
      <c r="O603" s="604"/>
      <c r="P603" s="62"/>
      <c r="Q603" s="355"/>
      <c r="R603" s="604"/>
      <c r="S603" s="62"/>
      <c r="T603" s="355"/>
      <c r="U603" s="62"/>
      <c r="V603" s="62"/>
      <c r="W603" s="21"/>
      <c r="X603" s="22"/>
      <c r="Y603" s="50"/>
      <c r="Z603" s="50"/>
      <c r="AA603" s="33"/>
      <c r="AB603" s="395"/>
      <c r="AC603" s="443"/>
      <c r="AD603" s="16"/>
      <c r="AE603" s="16"/>
      <c r="AF603" s="170"/>
      <c r="AG603" s="86"/>
      <c r="AH603" s="272"/>
      <c r="AI603" s="50"/>
      <c r="AJ603" s="31"/>
      <c r="AK603" s="157"/>
      <c r="AL603" s="285"/>
      <c r="AM603" s="208"/>
      <c r="AN603" s="16"/>
      <c r="AO603" s="635"/>
      <c r="AP603" s="636"/>
      <c r="AQ603" s="640"/>
      <c r="AR603" s="158"/>
      <c r="AS603" s="641"/>
      <c r="AT603" s="399"/>
      <c r="AU603" s="618"/>
      <c r="AV603" s="16"/>
      <c r="AW603" s="16"/>
      <c r="AX603" s="170"/>
      <c r="AY603" s="86"/>
      <c r="AZ603" s="272"/>
      <c r="BA603" s="50"/>
      <c r="BB603" s="31"/>
      <c r="BC603" s="157"/>
      <c r="BD603" s="342"/>
      <c r="BE603" s="208"/>
      <c r="BF603" s="16"/>
      <c r="BG603" s="170"/>
      <c r="BH603" s="86"/>
      <c r="BI603" s="272"/>
      <c r="BJ603" s="50"/>
      <c r="BK603" s="31"/>
      <c r="BL603" s="157"/>
      <c r="BM603" s="342"/>
      <c r="BN603" s="208"/>
      <c r="BO603" s="16"/>
      <c r="BP603" s="635">
        <f>BT603*(1+BU603)</f>
        <v>4.5159999999999992E-4</v>
      </c>
      <c r="BQ603" s="636">
        <f>BT603*(1+BV603)</f>
        <v>4.5159999999999992E-4</v>
      </c>
      <c r="BR603" s="50">
        <v>2000</v>
      </c>
      <c r="BS603" s="31"/>
      <c r="BT603" s="33">
        <f>+N603/1000</f>
        <v>2.258E-3</v>
      </c>
      <c r="BU603" s="43">
        <v>-0.8</v>
      </c>
      <c r="BV603" s="209">
        <f>BU603</f>
        <v>-0.8</v>
      </c>
      <c r="BW603" s="141"/>
      <c r="BX603" s="311"/>
      <c r="BY603" s="743"/>
    </row>
    <row r="604" spans="1:77" ht="15" customHeight="1" x14ac:dyDescent="0.2">
      <c r="A604" s="55" t="s">
        <v>25</v>
      </c>
      <c r="B604" s="55"/>
      <c r="C604" s="637" t="s">
        <v>604</v>
      </c>
      <c r="D604" s="544">
        <v>122</v>
      </c>
      <c r="E604" s="161" t="s">
        <v>392</v>
      </c>
      <c r="F604" s="604"/>
      <c r="G604" s="60"/>
      <c r="H604" s="61"/>
      <c r="I604" s="609">
        <v>2008</v>
      </c>
      <c r="J604" s="121"/>
      <c r="K604" s="121">
        <v>0.94</v>
      </c>
      <c r="L604" s="609"/>
      <c r="M604" s="62"/>
      <c r="N604" s="355"/>
      <c r="O604" s="604"/>
      <c r="P604" s="62"/>
      <c r="Q604" s="355"/>
      <c r="R604" s="604"/>
      <c r="S604" s="62"/>
      <c r="T604" s="355"/>
      <c r="U604" s="62"/>
      <c r="V604" s="62"/>
      <c r="W604" s="21">
        <f>AA604*(1+AC604)</f>
        <v>7.0500000000000001E-4</v>
      </c>
      <c r="X604" s="22">
        <f>AA604*(1+AC604)</f>
        <v>7.0500000000000001E-4</v>
      </c>
      <c r="Y604" s="50">
        <v>1990</v>
      </c>
      <c r="Z604" s="50"/>
      <c r="AA604" s="33">
        <f>K604/1000</f>
        <v>9.3999999999999997E-4</v>
      </c>
      <c r="AB604" s="395">
        <v>-0.25</v>
      </c>
      <c r="AC604" s="443">
        <f>AB604</f>
        <v>-0.25</v>
      </c>
      <c r="AD604" s="16"/>
      <c r="AE604" s="16"/>
      <c r="AF604" s="170"/>
      <c r="AG604" s="86"/>
      <c r="AH604" s="272"/>
      <c r="AI604" s="50"/>
      <c r="AJ604" s="31"/>
      <c r="AK604" s="157"/>
      <c r="AL604" s="285"/>
      <c r="AM604" s="208"/>
      <c r="AN604" s="16"/>
      <c r="AO604" s="635"/>
      <c r="AP604" s="636"/>
      <c r="AQ604" s="640"/>
      <c r="AR604" s="158"/>
      <c r="AS604" s="641"/>
      <c r="AT604" s="399"/>
      <c r="AU604" s="618"/>
      <c r="AV604" s="16"/>
      <c r="AW604" s="16"/>
      <c r="AX604" s="170"/>
      <c r="AY604" s="86"/>
      <c r="AZ604" s="272"/>
      <c r="BA604" s="50"/>
      <c r="BB604" s="31"/>
      <c r="BC604" s="157"/>
      <c r="BD604" s="342"/>
      <c r="BE604" s="208"/>
      <c r="BF604" s="16"/>
      <c r="BG604" s="170"/>
      <c r="BH604" s="86"/>
      <c r="BI604" s="272"/>
      <c r="BJ604" s="50"/>
      <c r="BK604" s="31"/>
      <c r="BL604" s="157"/>
      <c r="BM604" s="342"/>
      <c r="BN604" s="208"/>
      <c r="BO604" s="16"/>
      <c r="BP604" s="635">
        <f>BT604*(1+BU604)</f>
        <v>1.8799999999999996E-4</v>
      </c>
      <c r="BQ604" s="636">
        <f>BT604*(1+BV604)</f>
        <v>1.8799999999999996E-4</v>
      </c>
      <c r="BR604" s="50">
        <v>1990</v>
      </c>
      <c r="BS604" s="31"/>
      <c r="BT604" s="33">
        <f>+K604/1000</f>
        <v>9.3999999999999997E-4</v>
      </c>
      <c r="BU604" s="43">
        <v>-0.8</v>
      </c>
      <c r="BV604" s="209">
        <f>BU604</f>
        <v>-0.8</v>
      </c>
      <c r="BW604" s="141"/>
      <c r="BX604" s="311"/>
      <c r="BY604" s="743"/>
    </row>
    <row r="605" spans="1:77" ht="15" customHeight="1" x14ac:dyDescent="0.2">
      <c r="A605" s="55" t="s">
        <v>25</v>
      </c>
      <c r="B605" s="55"/>
      <c r="C605" s="637" t="s">
        <v>605</v>
      </c>
      <c r="D605" s="544">
        <v>166</v>
      </c>
      <c r="E605" s="161" t="s">
        <v>392</v>
      </c>
      <c r="F605" s="604"/>
      <c r="G605" s="60"/>
      <c r="H605" s="61"/>
      <c r="I605" s="609">
        <v>2008</v>
      </c>
      <c r="J605" s="121"/>
      <c r="K605" s="121">
        <v>0.63</v>
      </c>
      <c r="L605" s="609"/>
      <c r="M605" s="62"/>
      <c r="N605" s="355"/>
      <c r="O605" s="604"/>
      <c r="P605" s="62"/>
      <c r="Q605" s="355"/>
      <c r="R605" s="604"/>
      <c r="S605" s="62"/>
      <c r="T605" s="355"/>
      <c r="U605" s="62"/>
      <c r="V605" s="62"/>
      <c r="W605" s="21">
        <f>AA605*(1+AC605)</f>
        <v>4.7250000000000005E-4</v>
      </c>
      <c r="X605" s="22">
        <f>AA605*(1+AC605)</f>
        <v>4.7250000000000005E-4</v>
      </c>
      <c r="Y605" s="50">
        <v>2007</v>
      </c>
      <c r="Z605" s="50"/>
      <c r="AA605" s="33">
        <f>K605/1000</f>
        <v>6.3000000000000003E-4</v>
      </c>
      <c r="AB605" s="395">
        <v>-0.25</v>
      </c>
      <c r="AC605" s="443">
        <f>AB605</f>
        <v>-0.25</v>
      </c>
      <c r="AD605" s="16"/>
      <c r="AE605" s="16"/>
      <c r="AF605" s="170"/>
      <c r="AG605" s="86"/>
      <c r="AH605" s="272"/>
      <c r="AI605" s="50"/>
      <c r="AJ605" s="31"/>
      <c r="AK605" s="157"/>
      <c r="AL605" s="285"/>
      <c r="AM605" s="208"/>
      <c r="AN605" s="16"/>
      <c r="AO605" s="635"/>
      <c r="AP605" s="636"/>
      <c r="AQ605" s="640"/>
      <c r="AR605" s="158"/>
      <c r="AS605" s="641"/>
      <c r="AT605" s="399"/>
      <c r="AU605" s="618"/>
      <c r="AV605" s="16"/>
      <c r="AW605" s="16"/>
      <c r="AX605" s="170"/>
      <c r="AY605" s="86"/>
      <c r="AZ605" s="272"/>
      <c r="BA605" s="50"/>
      <c r="BB605" s="31"/>
      <c r="BC605" s="157"/>
      <c r="BD605" s="342"/>
      <c r="BE605" s="208"/>
      <c r="BF605" s="16"/>
      <c r="BG605" s="170"/>
      <c r="BH605" s="86"/>
      <c r="BI605" s="272"/>
      <c r="BJ605" s="50"/>
      <c r="BK605" s="31"/>
      <c r="BL605" s="157"/>
      <c r="BM605" s="342"/>
      <c r="BN605" s="208"/>
      <c r="BO605" s="16"/>
      <c r="BP605" s="635"/>
      <c r="BQ605" s="636"/>
      <c r="BR605" s="50"/>
      <c r="BS605" s="31"/>
      <c r="BT605" s="33"/>
      <c r="BU605" s="43"/>
      <c r="BV605" s="209"/>
      <c r="BW605" s="141"/>
      <c r="BX605" s="311"/>
      <c r="BY605" s="743"/>
    </row>
    <row r="606" spans="1:77" ht="15" customHeight="1" x14ac:dyDescent="0.2">
      <c r="A606" s="55" t="s">
        <v>25</v>
      </c>
      <c r="B606" s="55"/>
      <c r="C606" s="637" t="s">
        <v>420</v>
      </c>
      <c r="D606" s="544">
        <v>2260</v>
      </c>
      <c r="E606" s="161" t="s">
        <v>2803</v>
      </c>
      <c r="F606" s="604"/>
      <c r="G606" s="60"/>
      <c r="H606" s="61">
        <v>17.39</v>
      </c>
      <c r="I606" s="609"/>
      <c r="J606" s="121"/>
      <c r="K606" s="121"/>
      <c r="L606" s="609"/>
      <c r="M606" s="62"/>
      <c r="N606" s="355">
        <v>13.65</v>
      </c>
      <c r="O606" s="604">
        <v>2016</v>
      </c>
      <c r="P606" s="62"/>
      <c r="Q606" s="355">
        <v>13.42</v>
      </c>
      <c r="R606" s="604">
        <v>2016</v>
      </c>
      <c r="S606" s="62"/>
      <c r="T606" s="355">
        <v>13.42</v>
      </c>
      <c r="U606" s="62"/>
      <c r="V606" s="62"/>
      <c r="W606" s="19">
        <f>AA606*(1+AC606)</f>
        <v>1.3042499999999999E-2</v>
      </c>
      <c r="X606" s="20">
        <f>AA606*(1+AC606)</f>
        <v>1.3042499999999999E-2</v>
      </c>
      <c r="Y606" s="50">
        <v>1990</v>
      </c>
      <c r="Z606" s="50"/>
      <c r="AA606" s="31">
        <f>H606/1000</f>
        <v>1.7389999999999999E-2</v>
      </c>
      <c r="AB606" s="395">
        <v>-0.25</v>
      </c>
      <c r="AC606" s="443">
        <f>AB606</f>
        <v>-0.25</v>
      </c>
      <c r="AD606" s="16"/>
      <c r="AE606" s="16"/>
      <c r="AF606" s="170"/>
      <c r="AG606" s="86"/>
      <c r="AH606" s="272"/>
      <c r="AI606" s="50"/>
      <c r="AJ606" s="31"/>
      <c r="AK606" s="157"/>
      <c r="AL606" s="285"/>
      <c r="AM606" s="208"/>
      <c r="AN606" s="16"/>
      <c r="AO606" s="19">
        <f>AS606*(1+AU606)</f>
        <v>9.9644999999999994E-3</v>
      </c>
      <c r="AP606" s="20">
        <f>AS606*(1+AU606)</f>
        <v>9.9644999999999994E-3</v>
      </c>
      <c r="AQ606" s="50">
        <v>2013</v>
      </c>
      <c r="AR606" s="50"/>
      <c r="AS606" s="31">
        <f>N606/1000</f>
        <v>1.3650000000000001E-2</v>
      </c>
      <c r="AT606" s="395">
        <v>-0.27</v>
      </c>
      <c r="AU606" s="443">
        <f>AT606</f>
        <v>-0.27</v>
      </c>
      <c r="AV606" s="16"/>
      <c r="AW606" s="16"/>
      <c r="AX606" s="170"/>
      <c r="AY606" s="86"/>
      <c r="AZ606" s="272"/>
      <c r="BA606" s="50"/>
      <c r="BB606" s="31"/>
      <c r="BC606" s="157"/>
      <c r="BD606" s="342"/>
      <c r="BE606" s="208"/>
      <c r="BF606" s="16"/>
      <c r="BG606" s="170"/>
      <c r="BH606" s="86"/>
      <c r="BI606" s="272"/>
      <c r="BJ606" s="50"/>
      <c r="BK606" s="31"/>
      <c r="BL606" s="157"/>
      <c r="BM606" s="342"/>
      <c r="BN606" s="208"/>
      <c r="BO606" s="16"/>
      <c r="BP606" s="635"/>
      <c r="BQ606" s="636"/>
      <c r="BR606" s="50"/>
      <c r="BS606" s="31"/>
      <c r="BT606" s="33"/>
      <c r="BU606" s="43"/>
      <c r="BV606" s="209"/>
      <c r="BW606" s="141"/>
      <c r="BX606" s="311"/>
      <c r="BY606" s="137"/>
    </row>
    <row r="607" spans="1:77" ht="15" customHeight="1" x14ac:dyDescent="0.2">
      <c r="A607" s="55" t="s">
        <v>25</v>
      </c>
      <c r="B607" s="55"/>
      <c r="C607" s="637" t="s">
        <v>2735</v>
      </c>
      <c r="D607" s="544">
        <v>322.73099999999999</v>
      </c>
      <c r="E607" s="161" t="s">
        <v>392</v>
      </c>
      <c r="F607" s="604"/>
      <c r="G607" s="60"/>
      <c r="H607" s="61"/>
      <c r="I607" s="609">
        <v>2008</v>
      </c>
      <c r="J607" s="121"/>
      <c r="K607" s="121">
        <v>0.98099999999999998</v>
      </c>
      <c r="L607" s="609"/>
      <c r="M607" s="62"/>
      <c r="N607" s="355"/>
      <c r="O607" s="604"/>
      <c r="P607" s="62"/>
      <c r="Q607" s="355"/>
      <c r="R607" s="604"/>
      <c r="S607" s="62"/>
      <c r="T607" s="355"/>
      <c r="U607" s="62"/>
      <c r="V607" s="62"/>
      <c r="W607" s="21">
        <f>AA607*(1+AC607)</f>
        <v>8.3384999999999991E-4</v>
      </c>
      <c r="X607" s="22">
        <f>AA607*(1+AC607)</f>
        <v>8.3384999999999991E-4</v>
      </c>
      <c r="Y607" s="50">
        <v>2008</v>
      </c>
      <c r="Z607" s="50"/>
      <c r="AA607" s="33">
        <f>K607/1000</f>
        <v>9.8099999999999988E-4</v>
      </c>
      <c r="AB607" s="395">
        <v>-0.15</v>
      </c>
      <c r="AC607" s="443">
        <f>AB607</f>
        <v>-0.15</v>
      </c>
      <c r="AD607" s="16"/>
      <c r="AE607" s="16"/>
      <c r="AF607" s="170"/>
      <c r="AG607" s="86"/>
      <c r="AH607" s="272"/>
      <c r="AI607" s="50"/>
      <c r="AJ607" s="31"/>
      <c r="AK607" s="157"/>
      <c r="AL607" s="285"/>
      <c r="AM607" s="208"/>
      <c r="AN607" s="16"/>
      <c r="AO607" s="635"/>
      <c r="AP607" s="636"/>
      <c r="AQ607" s="640"/>
      <c r="AR607" s="158"/>
      <c r="AS607" s="641"/>
      <c r="AT607" s="399"/>
      <c r="AU607" s="618"/>
      <c r="AV607" s="16"/>
      <c r="AW607" s="16"/>
      <c r="AX607" s="170"/>
      <c r="AY607" s="86"/>
      <c r="AZ607" s="272"/>
      <c r="BA607" s="50"/>
      <c r="BB607" s="31"/>
      <c r="BC607" s="157"/>
      <c r="BD607" s="342"/>
      <c r="BE607" s="208"/>
      <c r="BF607" s="16"/>
      <c r="BG607" s="170"/>
      <c r="BH607" s="86"/>
      <c r="BI607" s="272"/>
      <c r="BJ607" s="50"/>
      <c r="BK607" s="31"/>
      <c r="BL607" s="157"/>
      <c r="BM607" s="342"/>
      <c r="BN607" s="208"/>
      <c r="BO607" s="16"/>
      <c r="BP607" s="635"/>
      <c r="BQ607" s="636"/>
      <c r="BR607" s="50"/>
      <c r="BS607" s="31"/>
      <c r="BT607" s="33"/>
      <c r="BU607" s="43"/>
      <c r="BV607" s="209"/>
      <c r="BW607" s="141"/>
      <c r="BX607" s="311"/>
      <c r="BY607" s="137"/>
    </row>
    <row r="608" spans="1:77" ht="15" customHeight="1" x14ac:dyDescent="0.2">
      <c r="A608" s="55" t="s">
        <v>25</v>
      </c>
      <c r="B608" s="55"/>
      <c r="C608" s="637" t="s">
        <v>607</v>
      </c>
      <c r="D608" s="544">
        <v>365</v>
      </c>
      <c r="E608" s="161" t="s">
        <v>392</v>
      </c>
      <c r="F608" s="604"/>
      <c r="G608" s="60"/>
      <c r="H608" s="61"/>
      <c r="I608" s="609"/>
      <c r="J608" s="121"/>
      <c r="K608" s="121"/>
      <c r="L608" s="609"/>
      <c r="M608" s="62"/>
      <c r="N608" s="355">
        <v>1.3460000000000001</v>
      </c>
      <c r="O608" s="604"/>
      <c r="P608" s="62"/>
      <c r="Q608" s="355"/>
      <c r="R608" s="604"/>
      <c r="S608" s="62"/>
      <c r="T608" s="355"/>
      <c r="U608" s="62"/>
      <c r="V608" s="62"/>
      <c r="W608" s="19"/>
      <c r="X608" s="20"/>
      <c r="Y608" s="50"/>
      <c r="Z608" s="50"/>
      <c r="AA608" s="31"/>
      <c r="AB608" s="395"/>
      <c r="AC608" s="443"/>
      <c r="AD608" s="16"/>
      <c r="AE608" s="16"/>
      <c r="AF608" s="170"/>
      <c r="AG608" s="86"/>
      <c r="AH608" s="272"/>
      <c r="AI608" s="50"/>
      <c r="AJ608" s="31"/>
      <c r="AK608" s="157"/>
      <c r="AL608" s="285"/>
      <c r="AM608" s="208"/>
      <c r="AN608" s="16"/>
      <c r="AO608" s="635"/>
      <c r="AP608" s="636"/>
      <c r="AQ608" s="640"/>
      <c r="AR608" s="158"/>
      <c r="AS608" s="641"/>
      <c r="AT608" s="399"/>
      <c r="AU608" s="618"/>
      <c r="AV608" s="16"/>
      <c r="AW608" s="16"/>
      <c r="AX608" s="170"/>
      <c r="AY608" s="86"/>
      <c r="AZ608" s="272"/>
      <c r="BA608" s="50"/>
      <c r="BB608" s="31"/>
      <c r="BC608" s="157"/>
      <c r="BD608" s="342"/>
      <c r="BE608" s="208"/>
      <c r="BF608" s="16"/>
      <c r="BG608" s="170"/>
      <c r="BH608" s="86"/>
      <c r="BI608" s="272"/>
      <c r="BJ608" s="50"/>
      <c r="BK608" s="31"/>
      <c r="BL608" s="157"/>
      <c r="BM608" s="342"/>
      <c r="BN608" s="208"/>
      <c r="BO608" s="16"/>
      <c r="BP608" s="635">
        <f>BT608*(1+BU608)</f>
        <v>2.6919999999999998E-4</v>
      </c>
      <c r="BQ608" s="636">
        <f>BT608*(1+BV608)</f>
        <v>2.6919999999999998E-4</v>
      </c>
      <c r="BR608" s="50">
        <v>1990</v>
      </c>
      <c r="BS608" s="31"/>
      <c r="BT608" s="33">
        <f>+N608/1000</f>
        <v>1.3460000000000002E-3</v>
      </c>
      <c r="BU608" s="43">
        <v>-0.8</v>
      </c>
      <c r="BV608" s="209">
        <f>BU608</f>
        <v>-0.8</v>
      </c>
      <c r="BW608" s="141"/>
      <c r="BX608" s="311"/>
      <c r="BY608" s="137"/>
    </row>
    <row r="609" spans="1:77" ht="15" customHeight="1" x14ac:dyDescent="0.2">
      <c r="A609" s="55" t="s">
        <v>25</v>
      </c>
      <c r="B609" s="55"/>
      <c r="C609" s="637" t="s">
        <v>608</v>
      </c>
      <c r="D609" s="544">
        <v>804</v>
      </c>
      <c r="E609" s="161" t="s">
        <v>392</v>
      </c>
      <c r="F609" s="604"/>
      <c r="G609" s="60"/>
      <c r="H609" s="61"/>
      <c r="I609" s="609">
        <v>2008</v>
      </c>
      <c r="J609" s="121"/>
      <c r="K609" s="121">
        <v>6.9980000000000002</v>
      </c>
      <c r="L609" s="609"/>
      <c r="M609" s="62"/>
      <c r="N609" s="355"/>
      <c r="O609" s="604"/>
      <c r="P609" s="62"/>
      <c r="Q609" s="355"/>
      <c r="R609" s="604"/>
      <c r="S609" s="62"/>
      <c r="T609" s="355"/>
      <c r="U609" s="62"/>
      <c r="V609" s="62"/>
      <c r="W609" s="19"/>
      <c r="X609" s="20"/>
      <c r="Y609" s="50"/>
      <c r="Z609" s="50"/>
      <c r="AA609" s="31"/>
      <c r="AB609" s="395"/>
      <c r="AC609" s="443"/>
      <c r="AD609" s="16"/>
      <c r="AE609" s="16"/>
      <c r="AF609" s="170"/>
      <c r="AG609" s="86"/>
      <c r="AH609" s="272"/>
      <c r="AI609" s="50"/>
      <c r="AJ609" s="31"/>
      <c r="AK609" s="157"/>
      <c r="AL609" s="285"/>
      <c r="AM609" s="208"/>
      <c r="AN609" s="16"/>
      <c r="AO609" s="635"/>
      <c r="AP609" s="636"/>
      <c r="AQ609" s="640"/>
      <c r="AR609" s="158"/>
      <c r="AS609" s="641"/>
      <c r="AT609" s="399"/>
      <c r="AU609" s="618"/>
      <c r="AV609" s="16"/>
      <c r="AW609" s="16"/>
      <c r="AX609" s="170"/>
      <c r="AY609" s="86"/>
      <c r="AZ609" s="272"/>
      <c r="BA609" s="50"/>
      <c r="BB609" s="31"/>
      <c r="BC609" s="157"/>
      <c r="BD609" s="342"/>
      <c r="BE609" s="208"/>
      <c r="BF609" s="16"/>
      <c r="BG609" s="170"/>
      <c r="BH609" s="86"/>
      <c r="BI609" s="272"/>
      <c r="BJ609" s="50"/>
      <c r="BK609" s="31"/>
      <c r="BL609" s="157"/>
      <c r="BM609" s="342"/>
      <c r="BN609" s="208"/>
      <c r="BO609" s="16"/>
      <c r="BP609" s="635">
        <f>BT609*(1+BU609)</f>
        <v>1.3995999999999998E-3</v>
      </c>
      <c r="BQ609" s="636">
        <f>BT609*(1+BV609)</f>
        <v>1.3995999999999998E-3</v>
      </c>
      <c r="BR609" s="50">
        <v>2005</v>
      </c>
      <c r="BS609" s="31"/>
      <c r="BT609" s="33">
        <f>+K609/1000</f>
        <v>6.9979999999999999E-3</v>
      </c>
      <c r="BU609" s="43">
        <v>-0.8</v>
      </c>
      <c r="BV609" s="209">
        <f>BU609</f>
        <v>-0.8</v>
      </c>
      <c r="BW609" s="141"/>
      <c r="BX609" s="311"/>
      <c r="BY609" s="137"/>
    </row>
    <row r="610" spans="1:77" ht="15" customHeight="1" x14ac:dyDescent="0.2">
      <c r="A610" s="55" t="s">
        <v>25</v>
      </c>
      <c r="C610" s="637" t="s">
        <v>2263</v>
      </c>
      <c r="D610" s="544">
        <v>715</v>
      </c>
      <c r="E610" s="161" t="s">
        <v>387</v>
      </c>
      <c r="F610" s="604"/>
      <c r="G610" s="60"/>
      <c r="H610" s="61">
        <v>6.1040000000000001</v>
      </c>
      <c r="I610" s="609"/>
      <c r="J610" s="121"/>
      <c r="K610" s="121"/>
      <c r="L610" s="609"/>
      <c r="M610" s="62"/>
      <c r="N610" s="355"/>
      <c r="O610" s="604">
        <v>2016</v>
      </c>
      <c r="P610" s="62"/>
      <c r="Q610" s="355">
        <v>6.9160000000000004</v>
      </c>
      <c r="R610" s="604">
        <v>2016</v>
      </c>
      <c r="S610" s="62"/>
      <c r="T610" s="355">
        <v>6.9160000000000004</v>
      </c>
      <c r="U610" s="62"/>
      <c r="V610" s="62"/>
      <c r="W610" s="21">
        <f>AA610*(1+AC610)</f>
        <v>5.8476320000000002E-3</v>
      </c>
      <c r="X610" s="22">
        <f>AA610*(1+AC610)</f>
        <v>5.8476320000000002E-3</v>
      </c>
      <c r="Y610" s="50">
        <v>1990</v>
      </c>
      <c r="Z610" s="50"/>
      <c r="AA610" s="31">
        <f>H610/1000</f>
        <v>6.1040000000000001E-3</v>
      </c>
      <c r="AB610" s="396">
        <v>-4.2000000000000003E-2</v>
      </c>
      <c r="AC610" s="693">
        <f>AB610</f>
        <v>-4.2000000000000003E-2</v>
      </c>
      <c r="AD610" s="16"/>
      <c r="AE610" s="16"/>
      <c r="AF610" s="170"/>
      <c r="AG610" s="86"/>
      <c r="AH610" s="272"/>
      <c r="AI610" s="50"/>
      <c r="AJ610" s="31"/>
      <c r="AK610" s="157"/>
      <c r="AL610" s="285"/>
      <c r="AM610" s="208"/>
      <c r="AN610" s="16"/>
      <c r="AO610" s="635"/>
      <c r="AP610" s="636"/>
      <c r="AQ610" s="640"/>
      <c r="AR610" s="158"/>
      <c r="AS610" s="641"/>
      <c r="AT610" s="399"/>
      <c r="AU610" s="618"/>
      <c r="AV610" s="16"/>
      <c r="AW610" s="16"/>
      <c r="AX610" s="170"/>
      <c r="AY610" s="86"/>
      <c r="AZ610" s="272"/>
      <c r="BA610" s="50"/>
      <c r="BB610" s="31"/>
      <c r="BC610" s="157"/>
      <c r="BD610" s="342"/>
      <c r="BE610" s="208"/>
      <c r="BF610" s="16"/>
      <c r="BG610" s="170"/>
      <c r="BH610" s="86"/>
      <c r="BI610" s="272"/>
      <c r="BJ610" s="50"/>
      <c r="BK610" s="31"/>
      <c r="BL610" s="157"/>
      <c r="BM610" s="342"/>
      <c r="BN610" s="208"/>
      <c r="BO610" s="16"/>
      <c r="BP610" s="635"/>
      <c r="BQ610" s="636"/>
      <c r="BR610" s="50"/>
      <c r="BS610" s="31"/>
      <c r="BT610" s="33"/>
      <c r="BU610" s="43"/>
      <c r="BV610" s="209"/>
      <c r="BW610" s="141"/>
      <c r="BX610" s="311"/>
      <c r="BY610" s="137"/>
    </row>
    <row r="611" spans="1:77" ht="15" customHeight="1" x14ac:dyDescent="0.2">
      <c r="A611" s="55" t="s">
        <v>25</v>
      </c>
      <c r="B611" s="55"/>
      <c r="C611" s="637" t="s">
        <v>613</v>
      </c>
      <c r="D611" s="544">
        <v>1073</v>
      </c>
      <c r="E611" s="161" t="s">
        <v>392</v>
      </c>
      <c r="F611" s="604"/>
      <c r="G611" s="60"/>
      <c r="H611" s="61"/>
      <c r="I611" s="609"/>
      <c r="J611" s="121"/>
      <c r="K611" s="121"/>
      <c r="L611" s="609">
        <v>2011</v>
      </c>
      <c r="M611" s="62"/>
      <c r="N611" s="355">
        <v>6.5730000000000004</v>
      </c>
      <c r="O611" s="604"/>
      <c r="P611" s="62"/>
      <c r="Q611" s="355"/>
      <c r="R611" s="604"/>
      <c r="S611" s="62"/>
      <c r="T611" s="355"/>
      <c r="U611" s="62"/>
      <c r="V611" s="62"/>
      <c r="W611" s="19">
        <f>AA611*(1+AC611)</f>
        <v>4.9297500000000001E-3</v>
      </c>
      <c r="X611" s="20">
        <f>AA611*(1+AC611)</f>
        <v>4.9297500000000001E-3</v>
      </c>
      <c r="Y611" s="50">
        <v>2005</v>
      </c>
      <c r="Z611" s="50"/>
      <c r="AA611" s="31">
        <f>N611/1000</f>
        <v>6.5730000000000007E-3</v>
      </c>
      <c r="AB611" s="395">
        <v>-0.25</v>
      </c>
      <c r="AC611" s="443">
        <f>AB611</f>
        <v>-0.25</v>
      </c>
      <c r="AD611" s="16"/>
      <c r="AE611" s="16"/>
      <c r="AF611" s="170"/>
      <c r="AG611" s="86"/>
      <c r="AH611" s="272"/>
      <c r="AI611" s="50"/>
      <c r="AJ611" s="31"/>
      <c r="AK611" s="157"/>
      <c r="AL611" s="285"/>
      <c r="AM611" s="208"/>
      <c r="AN611" s="16"/>
      <c r="AO611" s="635"/>
      <c r="AP611" s="636"/>
      <c r="AQ611" s="640"/>
      <c r="AR611" s="158"/>
      <c r="AS611" s="641"/>
      <c r="AT611" s="399"/>
      <c r="AU611" s="618"/>
      <c r="AV611" s="16"/>
      <c r="AW611" s="16"/>
      <c r="AX611" s="170"/>
      <c r="AY611" s="86"/>
      <c r="AZ611" s="272"/>
      <c r="BA611" s="50"/>
      <c r="BB611" s="31"/>
      <c r="BC611" s="157"/>
      <c r="BD611" s="342"/>
      <c r="BE611" s="208"/>
      <c r="BF611" s="16"/>
      <c r="BG611" s="170"/>
      <c r="BH611" s="86"/>
      <c r="BI611" s="272"/>
      <c r="BJ611" s="50"/>
      <c r="BK611" s="31"/>
      <c r="BL611" s="157"/>
      <c r="BM611" s="342"/>
      <c r="BN611" s="208"/>
      <c r="BO611" s="16"/>
      <c r="BP611" s="635"/>
      <c r="BQ611" s="636"/>
      <c r="BR611" s="50"/>
      <c r="BS611" s="31"/>
      <c r="BT611" s="33"/>
      <c r="BU611" s="43"/>
      <c r="BV611" s="209"/>
      <c r="BW611" s="141"/>
      <c r="BX611" s="311"/>
      <c r="BY611" s="137"/>
    </row>
    <row r="612" spans="1:77" ht="15" customHeight="1" x14ac:dyDescent="0.2">
      <c r="A612" s="55" t="s">
        <v>25</v>
      </c>
      <c r="B612" s="55"/>
      <c r="C612" s="637" t="s">
        <v>614</v>
      </c>
      <c r="D612" s="544">
        <v>280</v>
      </c>
      <c r="E612" s="161" t="s">
        <v>392</v>
      </c>
      <c r="F612" s="604"/>
      <c r="G612" s="60"/>
      <c r="H612" s="61"/>
      <c r="I612" s="609">
        <v>2008</v>
      </c>
      <c r="J612" s="121"/>
      <c r="K612" s="121">
        <v>3.3849999999999998</v>
      </c>
      <c r="L612" s="609"/>
      <c r="M612" s="62"/>
      <c r="N612" s="355"/>
      <c r="O612" s="604"/>
      <c r="P612" s="62"/>
      <c r="Q612" s="355"/>
      <c r="R612" s="604"/>
      <c r="S612" s="62"/>
      <c r="T612" s="355"/>
      <c r="U612" s="62"/>
      <c r="V612" s="62"/>
      <c r="W612" s="19"/>
      <c r="X612" s="20"/>
      <c r="Y612" s="50"/>
      <c r="Z612" s="50"/>
      <c r="AA612" s="31"/>
      <c r="AB612" s="395"/>
      <c r="AC612" s="443"/>
      <c r="AD612" s="16"/>
      <c r="AE612" s="16"/>
      <c r="AF612" s="170"/>
      <c r="AG612" s="86"/>
      <c r="AH612" s="272"/>
      <c r="AI612" s="50"/>
      <c r="AJ612" s="31"/>
      <c r="AK612" s="157"/>
      <c r="AL612" s="285"/>
      <c r="AM612" s="208"/>
      <c r="AN612" s="16"/>
      <c r="AO612" s="635"/>
      <c r="AP612" s="636"/>
      <c r="AQ612" s="640"/>
      <c r="AR612" s="158"/>
      <c r="AS612" s="641"/>
      <c r="AT612" s="399"/>
      <c r="AU612" s="618"/>
      <c r="AV612" s="16"/>
      <c r="AW612" s="16"/>
      <c r="AX612" s="170"/>
      <c r="AY612" s="86"/>
      <c r="AZ612" s="272"/>
      <c r="BA612" s="50"/>
      <c r="BB612" s="31"/>
      <c r="BC612" s="157"/>
      <c r="BD612" s="342"/>
      <c r="BE612" s="208"/>
      <c r="BF612" s="16"/>
      <c r="BG612" s="170"/>
      <c r="BH612" s="86"/>
      <c r="BI612" s="272"/>
      <c r="BJ612" s="50"/>
      <c r="BK612" s="31"/>
      <c r="BL612" s="157"/>
      <c r="BM612" s="342"/>
      <c r="BN612" s="208"/>
      <c r="BO612" s="16"/>
      <c r="BP612" s="635">
        <f>BT612*(1+BU612)</f>
        <v>6.7699999999999987E-4</v>
      </c>
      <c r="BQ612" s="636">
        <f>BT612*(1+BV612)</f>
        <v>6.7699999999999987E-4</v>
      </c>
      <c r="BR612" s="50">
        <v>1990</v>
      </c>
      <c r="BS612" s="31"/>
      <c r="BT612" s="33">
        <f>+K612/1000</f>
        <v>3.385E-3</v>
      </c>
      <c r="BU612" s="43">
        <v>-0.8</v>
      </c>
      <c r="BV612" s="209">
        <f>BU612</f>
        <v>-0.8</v>
      </c>
      <c r="BW612" s="141"/>
      <c r="BX612" s="311"/>
      <c r="BY612" s="137"/>
    </row>
    <row r="613" spans="1:77" ht="15" customHeight="1" x14ac:dyDescent="0.2">
      <c r="A613" s="55" t="s">
        <v>25</v>
      </c>
      <c r="B613" s="55"/>
      <c r="C613" s="637" t="s">
        <v>615</v>
      </c>
      <c r="D613" s="544">
        <v>338</v>
      </c>
      <c r="E613" s="161" t="s">
        <v>392</v>
      </c>
      <c r="F613" s="604"/>
      <c r="G613" s="60"/>
      <c r="H613" s="61"/>
      <c r="I613" s="609">
        <v>2007</v>
      </c>
      <c r="J613" s="121"/>
      <c r="K613" s="121">
        <v>3.202</v>
      </c>
      <c r="L613" s="609"/>
      <c r="M613" s="62"/>
      <c r="N613" s="355"/>
      <c r="O613" s="604"/>
      <c r="P613" s="62"/>
      <c r="Q613" s="355"/>
      <c r="R613" s="604"/>
      <c r="S613" s="62"/>
      <c r="T613" s="355"/>
      <c r="U613" s="62"/>
      <c r="V613" s="62"/>
      <c r="W613" s="19">
        <f t="shared" ref="W613:W616" si="306">AA613*(1+AC613)</f>
        <v>2.4015E-3</v>
      </c>
      <c r="X613" s="20">
        <f t="shared" ref="X613:X616" si="307">AA613*(1+AC613)</f>
        <v>2.4015E-3</v>
      </c>
      <c r="Y613" s="50">
        <v>1990</v>
      </c>
      <c r="Z613" s="50"/>
      <c r="AA613" s="31">
        <f>K613/1000</f>
        <v>3.202E-3</v>
      </c>
      <c r="AB613" s="395">
        <v>-0.25</v>
      </c>
      <c r="AC613" s="443">
        <f t="shared" ref="AC613:AC616" si="308">AB613</f>
        <v>-0.25</v>
      </c>
      <c r="AD613" s="16"/>
      <c r="AE613" s="16"/>
      <c r="AF613" s="170"/>
      <c r="AG613" s="86"/>
      <c r="AH613" s="272"/>
      <c r="AI613" s="50"/>
      <c r="AJ613" s="31"/>
      <c r="AK613" s="157"/>
      <c r="AL613" s="285"/>
      <c r="AM613" s="208"/>
      <c r="AN613" s="16"/>
      <c r="AO613" s="635"/>
      <c r="AP613" s="636"/>
      <c r="AQ613" s="640"/>
      <c r="AR613" s="158"/>
      <c r="AS613" s="641"/>
      <c r="AT613" s="399"/>
      <c r="AU613" s="618"/>
      <c r="AV613" s="16"/>
      <c r="AW613" s="16"/>
      <c r="AX613" s="170"/>
      <c r="AY613" s="86"/>
      <c r="AZ613" s="272"/>
      <c r="BA613" s="50"/>
      <c r="BB613" s="31"/>
      <c r="BC613" s="157"/>
      <c r="BD613" s="342"/>
      <c r="BE613" s="208"/>
      <c r="BF613" s="16"/>
      <c r="BG613" s="170"/>
      <c r="BH613" s="86"/>
      <c r="BI613" s="272"/>
      <c r="BJ613" s="50"/>
      <c r="BK613" s="31"/>
      <c r="BL613" s="157"/>
      <c r="BM613" s="342"/>
      <c r="BN613" s="208"/>
      <c r="BO613" s="16"/>
      <c r="BP613" s="635"/>
      <c r="BQ613" s="636"/>
      <c r="BR613" s="50"/>
      <c r="BS613" s="31"/>
      <c r="BT613" s="33"/>
      <c r="BU613" s="43"/>
      <c r="BV613" s="209"/>
      <c r="BW613" s="141"/>
      <c r="BX613" s="311"/>
      <c r="BY613" s="137"/>
    </row>
    <row r="614" spans="1:77" ht="15" customHeight="1" x14ac:dyDescent="0.2">
      <c r="A614" s="55" t="s">
        <v>25</v>
      </c>
      <c r="B614" s="55"/>
      <c r="C614" s="637" t="s">
        <v>617</v>
      </c>
      <c r="D614" s="544">
        <v>357</v>
      </c>
      <c r="E614" s="161" t="s">
        <v>392</v>
      </c>
      <c r="F614" s="604"/>
      <c r="G614" s="60"/>
      <c r="H614" s="61"/>
      <c r="I614" s="609">
        <v>2008</v>
      </c>
      <c r="J614" s="121"/>
      <c r="K614" s="121">
        <v>1.5720000000000001</v>
      </c>
      <c r="L614" s="609"/>
      <c r="M614" s="62"/>
      <c r="N614" s="355"/>
      <c r="O614" s="604"/>
      <c r="P614" s="62"/>
      <c r="Q614" s="355"/>
      <c r="R614" s="604"/>
      <c r="S614" s="62"/>
      <c r="T614" s="355"/>
      <c r="U614" s="62"/>
      <c r="V614" s="62"/>
      <c r="W614" s="19">
        <f t="shared" si="306"/>
        <v>1.1789999999999999E-3</v>
      </c>
      <c r="X614" s="20">
        <f t="shared" si="307"/>
        <v>1.1789999999999999E-3</v>
      </c>
      <c r="Y614" s="50">
        <v>1990</v>
      </c>
      <c r="Z614" s="50"/>
      <c r="AA614" s="31">
        <f>K614/1000</f>
        <v>1.572E-3</v>
      </c>
      <c r="AB614" s="395">
        <v>-0.25</v>
      </c>
      <c r="AC614" s="443">
        <f t="shared" si="308"/>
        <v>-0.25</v>
      </c>
      <c r="AD614" s="16"/>
      <c r="AE614" s="16"/>
      <c r="AF614" s="170"/>
      <c r="AG614" s="86"/>
      <c r="AH614" s="272"/>
      <c r="AI614" s="50"/>
      <c r="AJ614" s="31"/>
      <c r="AK614" s="157"/>
      <c r="AL614" s="285"/>
      <c r="AM614" s="208"/>
      <c r="AN614" s="16"/>
      <c r="AO614" s="635"/>
      <c r="AP614" s="636"/>
      <c r="AQ614" s="640"/>
      <c r="AR614" s="158"/>
      <c r="AS614" s="641"/>
      <c r="AT614" s="399"/>
      <c r="AU614" s="618"/>
      <c r="AV614" s="16"/>
      <c r="AW614" s="16"/>
      <c r="AX614" s="170"/>
      <c r="AY614" s="86"/>
      <c r="AZ614" s="272"/>
      <c r="BA614" s="50"/>
      <c r="BB614" s="31"/>
      <c r="BC614" s="157"/>
      <c r="BD614" s="342"/>
      <c r="BE614" s="208"/>
      <c r="BF614" s="16"/>
      <c r="BG614" s="170"/>
      <c r="BH614" s="86"/>
      <c r="BI614" s="272"/>
      <c r="BJ614" s="50"/>
      <c r="BK614" s="31"/>
      <c r="BL614" s="157"/>
      <c r="BM614" s="342"/>
      <c r="BN614" s="208"/>
      <c r="BO614" s="16"/>
      <c r="BP614" s="635"/>
      <c r="BQ614" s="636"/>
      <c r="BR614" s="50"/>
      <c r="BS614" s="31"/>
      <c r="BT614" s="33"/>
      <c r="BU614" s="43"/>
      <c r="BV614" s="209"/>
      <c r="BW614" s="141"/>
      <c r="BX614" s="311"/>
      <c r="BY614" s="137"/>
    </row>
    <row r="615" spans="1:77" ht="15" customHeight="1" x14ac:dyDescent="0.2">
      <c r="A615" s="55" t="s">
        <v>25</v>
      </c>
      <c r="B615" s="55"/>
      <c r="C615" s="637" t="s">
        <v>618</v>
      </c>
      <c r="D615" s="544">
        <v>186</v>
      </c>
      <c r="E615" s="161" t="s">
        <v>392</v>
      </c>
      <c r="F615" s="604"/>
      <c r="G615" s="60"/>
      <c r="H615" s="61"/>
      <c r="I615" s="609">
        <v>2008</v>
      </c>
      <c r="J615" s="121"/>
      <c r="K615" s="121">
        <v>1.2170000000000001</v>
      </c>
      <c r="L615" s="609"/>
      <c r="M615" s="62"/>
      <c r="N615" s="355"/>
      <c r="O615" s="604"/>
      <c r="P615" s="62"/>
      <c r="Q615" s="355"/>
      <c r="R615" s="604"/>
      <c r="S615" s="62"/>
      <c r="T615" s="355"/>
      <c r="U615" s="62"/>
      <c r="V615" s="62"/>
      <c r="W615" s="19">
        <f t="shared" si="306"/>
        <v>9.1274999999999993E-4</v>
      </c>
      <c r="X615" s="20">
        <f t="shared" si="307"/>
        <v>9.1274999999999993E-4</v>
      </c>
      <c r="Y615" s="50">
        <v>1990</v>
      </c>
      <c r="Z615" s="50"/>
      <c r="AA615" s="31">
        <f>K615/1000</f>
        <v>1.217E-3</v>
      </c>
      <c r="AB615" s="395">
        <v>-0.25</v>
      </c>
      <c r="AC615" s="443">
        <f t="shared" si="308"/>
        <v>-0.25</v>
      </c>
      <c r="AD615" s="16"/>
      <c r="AE615" s="16"/>
      <c r="AF615" s="170"/>
      <c r="AG615" s="86"/>
      <c r="AH615" s="272"/>
      <c r="AI615" s="50"/>
      <c r="AJ615" s="31"/>
      <c r="AK615" s="157"/>
      <c r="AL615" s="285"/>
      <c r="AM615" s="208"/>
      <c r="AN615" s="16"/>
      <c r="AO615" s="635"/>
      <c r="AP615" s="636"/>
      <c r="AQ615" s="640"/>
      <c r="AR615" s="158"/>
      <c r="AS615" s="641"/>
      <c r="AT615" s="399"/>
      <c r="AU615" s="618"/>
      <c r="AV615" s="16"/>
      <c r="AW615" s="16"/>
      <c r="AX615" s="170"/>
      <c r="AY615" s="86"/>
      <c r="AZ615" s="272"/>
      <c r="BA615" s="50"/>
      <c r="BB615" s="31"/>
      <c r="BC615" s="157"/>
      <c r="BD615" s="342"/>
      <c r="BE615" s="208"/>
      <c r="BF615" s="16"/>
      <c r="BG615" s="170"/>
      <c r="BH615" s="86"/>
      <c r="BI615" s="272"/>
      <c r="BJ615" s="50"/>
      <c r="BK615" s="31"/>
      <c r="BL615" s="157"/>
      <c r="BM615" s="342"/>
      <c r="BN615" s="208"/>
      <c r="BO615" s="16"/>
      <c r="BP615" s="635"/>
      <c r="BQ615" s="636"/>
      <c r="BR615" s="50"/>
      <c r="BS615" s="31"/>
      <c r="BT615" s="33"/>
      <c r="BU615" s="43"/>
      <c r="BV615" s="209"/>
      <c r="BW615" s="141"/>
      <c r="BX615" s="311"/>
      <c r="BY615" s="137"/>
    </row>
    <row r="616" spans="1:77" ht="15" customHeight="1" x14ac:dyDescent="0.2">
      <c r="A616" s="55" t="s">
        <v>25</v>
      </c>
      <c r="B616" s="55"/>
      <c r="C616" s="637" t="s">
        <v>619</v>
      </c>
      <c r="D616" s="544">
        <v>354</v>
      </c>
      <c r="E616" s="161" t="s">
        <v>392</v>
      </c>
      <c r="F616" s="604"/>
      <c r="G616" s="60"/>
      <c r="H616" s="61"/>
      <c r="I616" s="609">
        <v>2008</v>
      </c>
      <c r="J616" s="121"/>
      <c r="K616" s="121">
        <v>1.4019999999999999</v>
      </c>
      <c r="L616" s="609"/>
      <c r="M616" s="62"/>
      <c r="N616" s="355"/>
      <c r="O616" s="604"/>
      <c r="P616" s="62"/>
      <c r="Q616" s="355"/>
      <c r="R616" s="604"/>
      <c r="S616" s="62"/>
      <c r="T616" s="355"/>
      <c r="U616" s="62"/>
      <c r="V616" s="62"/>
      <c r="W616" s="19">
        <f t="shared" si="306"/>
        <v>1.0514999999999999E-3</v>
      </c>
      <c r="X616" s="20">
        <f t="shared" si="307"/>
        <v>1.0514999999999999E-3</v>
      </c>
      <c r="Y616" s="50">
        <v>1990</v>
      </c>
      <c r="Z616" s="50"/>
      <c r="AA616" s="31">
        <f>K616/1000</f>
        <v>1.4019999999999998E-3</v>
      </c>
      <c r="AB616" s="395">
        <v>-0.25</v>
      </c>
      <c r="AC616" s="443">
        <f t="shared" si="308"/>
        <v>-0.25</v>
      </c>
      <c r="AD616" s="16"/>
      <c r="AE616" s="16"/>
      <c r="AF616" s="170"/>
      <c r="AG616" s="86"/>
      <c r="AH616" s="272"/>
      <c r="AI616" s="50"/>
      <c r="AJ616" s="31"/>
      <c r="AK616" s="157"/>
      <c r="AL616" s="285"/>
      <c r="AM616" s="208"/>
      <c r="AN616" s="16"/>
      <c r="AO616" s="635"/>
      <c r="AP616" s="636"/>
      <c r="AQ616" s="640"/>
      <c r="AR616" s="158"/>
      <c r="AS616" s="641"/>
      <c r="AT616" s="399"/>
      <c r="AU616" s="618"/>
      <c r="AV616" s="16"/>
      <c r="AW616" s="16"/>
      <c r="AX616" s="170"/>
      <c r="AY616" s="86"/>
      <c r="AZ616" s="272"/>
      <c r="BA616" s="50"/>
      <c r="BB616" s="31"/>
      <c r="BC616" s="157"/>
      <c r="BD616" s="342"/>
      <c r="BE616" s="208"/>
      <c r="BF616" s="16"/>
      <c r="BG616" s="170"/>
      <c r="BH616" s="86"/>
      <c r="BI616" s="272"/>
      <c r="BJ616" s="50"/>
      <c r="BK616" s="31"/>
      <c r="BL616" s="157"/>
      <c r="BM616" s="342"/>
      <c r="BN616" s="208"/>
      <c r="BO616" s="16"/>
      <c r="BP616" s="635"/>
      <c r="BQ616" s="636"/>
      <c r="BR616" s="50"/>
      <c r="BS616" s="31"/>
      <c r="BT616" s="33"/>
      <c r="BU616" s="43"/>
      <c r="BV616" s="209"/>
      <c r="BW616" s="141"/>
      <c r="BX616" s="311"/>
      <c r="BY616" s="137"/>
    </row>
    <row r="617" spans="1:77" ht="15" customHeight="1" x14ac:dyDescent="0.2">
      <c r="A617" s="55" t="s">
        <v>25</v>
      </c>
      <c r="B617" s="55"/>
      <c r="C617" s="637" t="s">
        <v>546</v>
      </c>
      <c r="D617" s="544">
        <v>418.68599999999998</v>
      </c>
      <c r="E617" s="161" t="s">
        <v>3307</v>
      </c>
      <c r="F617" s="604"/>
      <c r="G617" s="60"/>
      <c r="H617" s="61"/>
      <c r="I617" s="609"/>
      <c r="J617" s="121"/>
      <c r="K617" s="121">
        <v>4.0469999999999997</v>
      </c>
      <c r="L617" s="609"/>
      <c r="M617" s="62"/>
      <c r="N617" s="355"/>
      <c r="O617" s="604"/>
      <c r="P617" s="62"/>
      <c r="Q617" s="355"/>
      <c r="R617" s="604"/>
      <c r="S617" s="62"/>
      <c r="T617" s="355"/>
      <c r="U617" s="62"/>
      <c r="V617" s="62"/>
      <c r="W617" s="19"/>
      <c r="X617" s="20"/>
      <c r="Y617" s="50"/>
      <c r="Z617" s="50"/>
      <c r="AA617" s="31"/>
      <c r="AB617" s="395"/>
      <c r="AC617" s="443"/>
      <c r="AD617" s="16"/>
      <c r="AE617" s="16"/>
      <c r="AF617" s="170"/>
      <c r="AG617" s="86"/>
      <c r="AH617" s="272"/>
      <c r="AI617" s="50"/>
      <c r="AJ617" s="31"/>
      <c r="AK617" s="157"/>
      <c r="AL617" s="285"/>
      <c r="AM617" s="208"/>
      <c r="AN617" s="16"/>
      <c r="AO617" s="635">
        <f>AS617*(1+AT617)</f>
        <v>2.8328999999999993E-3</v>
      </c>
      <c r="AP617" s="636">
        <f>AS617*(1+AU617)</f>
        <v>2.8328999999999993E-3</v>
      </c>
      <c r="AQ617" s="666">
        <v>2005</v>
      </c>
      <c r="AR617" s="158"/>
      <c r="AS617" s="641">
        <f>+K617/1000</f>
        <v>4.0469999999999994E-3</v>
      </c>
      <c r="AT617" s="399">
        <v>-0.3</v>
      </c>
      <c r="AU617" s="618">
        <f>AT617</f>
        <v>-0.3</v>
      </c>
      <c r="AV617" s="16"/>
      <c r="AW617" s="16"/>
      <c r="AX617" s="170"/>
      <c r="AY617" s="86"/>
      <c r="AZ617" s="272"/>
      <c r="BA617" s="50"/>
      <c r="BB617" s="31"/>
      <c r="BC617" s="157"/>
      <c r="BD617" s="342"/>
      <c r="BE617" s="208"/>
      <c r="BF617" s="16"/>
      <c r="BG617" s="170"/>
      <c r="BH617" s="86"/>
      <c r="BI617" s="272"/>
      <c r="BJ617" s="50"/>
      <c r="BK617" s="31"/>
      <c r="BL617" s="157"/>
      <c r="BM617" s="342"/>
      <c r="BN617" s="208"/>
      <c r="BO617" s="16"/>
      <c r="BP617" s="635">
        <f>BT617*(1+BU617)</f>
        <v>0</v>
      </c>
      <c r="BQ617" s="636">
        <f>BT617*(1+BV617)</f>
        <v>0</v>
      </c>
      <c r="BR617" s="50">
        <v>2005</v>
      </c>
      <c r="BS617" s="31"/>
      <c r="BT617" s="33">
        <f>+K617/1000</f>
        <v>4.0469999999999994E-3</v>
      </c>
      <c r="BU617" s="43">
        <v>-1</v>
      </c>
      <c r="BV617" s="209">
        <f>BU617</f>
        <v>-1</v>
      </c>
      <c r="BW617" s="141"/>
      <c r="BX617" s="311"/>
      <c r="BY617" s="743" t="s">
        <v>543</v>
      </c>
    </row>
    <row r="618" spans="1:77" ht="15" customHeight="1" x14ac:dyDescent="0.2">
      <c r="A618" s="55" t="s">
        <v>25</v>
      </c>
      <c r="B618" s="55"/>
      <c r="C618" s="637" t="s">
        <v>620</v>
      </c>
      <c r="D618" s="544">
        <v>389</v>
      </c>
      <c r="E618" s="161" t="s">
        <v>392</v>
      </c>
      <c r="F618" s="604"/>
      <c r="G618" s="60"/>
      <c r="H618" s="61"/>
      <c r="I618" s="609"/>
      <c r="J618" s="121"/>
      <c r="K618" s="121"/>
      <c r="L618" s="609">
        <v>2009</v>
      </c>
      <c r="M618" s="62"/>
      <c r="N618" s="355">
        <v>1.32</v>
      </c>
      <c r="O618" s="604"/>
      <c r="P618" s="62"/>
      <c r="Q618" s="355"/>
      <c r="R618" s="604"/>
      <c r="S618" s="62"/>
      <c r="T618" s="355"/>
      <c r="U618" s="62"/>
      <c r="V618" s="62"/>
      <c r="W618" s="19"/>
      <c r="X618" s="20"/>
      <c r="Y618" s="50"/>
      <c r="Z618" s="50"/>
      <c r="AA618" s="31"/>
      <c r="AB618" s="395"/>
      <c r="AC618" s="443"/>
      <c r="AD618" s="16"/>
      <c r="AE618" s="16"/>
      <c r="AF618" s="170"/>
      <c r="AG618" s="86"/>
      <c r="AH618" s="272"/>
      <c r="AI618" s="50"/>
      <c r="AJ618" s="31"/>
      <c r="AK618" s="157"/>
      <c r="AL618" s="285"/>
      <c r="AM618" s="208"/>
      <c r="AN618" s="16"/>
      <c r="AO618" s="635"/>
      <c r="AP618" s="636"/>
      <c r="AQ618" s="640"/>
      <c r="AR618" s="158"/>
      <c r="AS618" s="641"/>
      <c r="AT618" s="399"/>
      <c r="AU618" s="618"/>
      <c r="AV618" s="16"/>
      <c r="AW618" s="16"/>
      <c r="AX618" s="170"/>
      <c r="AY618" s="86"/>
      <c r="AZ618" s="272"/>
      <c r="BA618" s="50"/>
      <c r="BB618" s="31"/>
      <c r="BC618" s="157"/>
      <c r="BD618" s="342"/>
      <c r="BE618" s="208"/>
      <c r="BF618" s="16"/>
      <c r="BG618" s="170"/>
      <c r="BH618" s="86"/>
      <c r="BI618" s="272"/>
      <c r="BJ618" s="50"/>
      <c r="BK618" s="31"/>
      <c r="BL618" s="157"/>
      <c r="BM618" s="342"/>
      <c r="BN618" s="208"/>
      <c r="BO618" s="16"/>
      <c r="BP618" s="635">
        <f>BT618*(1+BU618)</f>
        <v>3.9600000000000003E-4</v>
      </c>
      <c r="BQ618" s="636">
        <f>BT618*(1+BV618)</f>
        <v>3.9600000000000003E-4</v>
      </c>
      <c r="BR618" s="50">
        <v>1990</v>
      </c>
      <c r="BS618" s="31"/>
      <c r="BT618" s="33">
        <f>+N618/1000</f>
        <v>1.32E-3</v>
      </c>
      <c r="BU618" s="43">
        <v>-0.7</v>
      </c>
      <c r="BV618" s="209">
        <f>BU618</f>
        <v>-0.7</v>
      </c>
      <c r="BW618" s="141"/>
      <c r="BX618" s="311"/>
      <c r="BY618" s="137"/>
    </row>
    <row r="619" spans="1:77" ht="15" customHeight="1" x14ac:dyDescent="0.2">
      <c r="A619" s="55" t="s">
        <v>25</v>
      </c>
      <c r="B619" s="56"/>
      <c r="C619" s="637" t="s">
        <v>621</v>
      </c>
      <c r="D619" s="544">
        <v>217</v>
      </c>
      <c r="E619" s="161" t="s">
        <v>392</v>
      </c>
      <c r="F619" s="604"/>
      <c r="G619" s="60"/>
      <c r="H619" s="61"/>
      <c r="I619" s="609">
        <v>2006</v>
      </c>
      <c r="J619" s="121"/>
      <c r="K619" s="121">
        <v>2.0920000000000001</v>
      </c>
      <c r="L619" s="609"/>
      <c r="M619" s="62"/>
      <c r="N619" s="355"/>
      <c r="O619" s="604"/>
      <c r="P619" s="62"/>
      <c r="Q619" s="355"/>
      <c r="R619" s="604"/>
      <c r="S619" s="62"/>
      <c r="T619" s="355"/>
      <c r="U619" s="62"/>
      <c r="V619" s="62"/>
      <c r="W619" s="19"/>
      <c r="X619" s="20"/>
      <c r="Y619" s="50"/>
      <c r="Z619" s="50"/>
      <c r="AA619" s="31"/>
      <c r="AB619" s="395"/>
      <c r="AC619" s="443"/>
      <c r="AD619" s="16"/>
      <c r="AE619" s="16"/>
      <c r="AF619" s="170"/>
      <c r="AG619" s="86"/>
      <c r="AH619" s="272"/>
      <c r="AI619" s="50"/>
      <c r="AJ619" s="31"/>
      <c r="AK619" s="157"/>
      <c r="AL619" s="285"/>
      <c r="AM619" s="208"/>
      <c r="AN619" s="16"/>
      <c r="AO619" s="635">
        <f>AS619*(1+AT619)</f>
        <v>1.0460000000000001E-3</v>
      </c>
      <c r="AP619" s="636">
        <f>AS619*(1+AU619)</f>
        <v>1.0460000000000001E-3</v>
      </c>
      <c r="AQ619" s="666">
        <v>2006</v>
      </c>
      <c r="AR619" s="158"/>
      <c r="AS619" s="641">
        <f>+K619/1000</f>
        <v>2.0920000000000001E-3</v>
      </c>
      <c r="AT619" s="399">
        <v>-0.5</v>
      </c>
      <c r="AU619" s="618">
        <f>AT619</f>
        <v>-0.5</v>
      </c>
      <c r="AV619" s="16"/>
      <c r="AW619" s="16"/>
      <c r="AX619" s="170"/>
      <c r="AY619" s="86"/>
      <c r="AZ619" s="272"/>
      <c r="BA619" s="50"/>
      <c r="BB619" s="31"/>
      <c r="BC619" s="157"/>
      <c r="BD619" s="342"/>
      <c r="BE619" s="208"/>
      <c r="BF619" s="16"/>
      <c r="BG619" s="170"/>
      <c r="BH619" s="86"/>
      <c r="BI619" s="272"/>
      <c r="BJ619" s="50"/>
      <c r="BK619" s="31"/>
      <c r="BL619" s="157"/>
      <c r="BM619" s="342"/>
      <c r="BN619" s="208"/>
      <c r="BO619" s="16"/>
      <c r="BP619" s="635"/>
      <c r="BQ619" s="636"/>
      <c r="BR619" s="50"/>
      <c r="BS619" s="31"/>
      <c r="BT619" s="33"/>
      <c r="BU619" s="43"/>
      <c r="BV619" s="209"/>
      <c r="BW619" s="141"/>
      <c r="BX619" s="311"/>
      <c r="BY619" s="137"/>
    </row>
    <row r="620" spans="1:77" ht="15" customHeight="1" x14ac:dyDescent="0.2">
      <c r="A620" s="55" t="s">
        <v>25</v>
      </c>
      <c r="B620" s="56"/>
      <c r="C620" s="637" t="s">
        <v>622</v>
      </c>
      <c r="D620" s="544">
        <v>271</v>
      </c>
      <c r="E620" s="161" t="s">
        <v>392</v>
      </c>
      <c r="F620" s="604"/>
      <c r="G620" s="60"/>
      <c r="H620" s="61"/>
      <c r="I620" s="609">
        <v>2008</v>
      </c>
      <c r="J620" s="121"/>
      <c r="K620" s="121">
        <v>1.431</v>
      </c>
      <c r="L620" s="609"/>
      <c r="M620" s="62"/>
      <c r="N620" s="355"/>
      <c r="O620" s="604"/>
      <c r="P620" s="62"/>
      <c r="Q620" s="355"/>
      <c r="R620" s="604"/>
      <c r="S620" s="62"/>
      <c r="T620" s="355"/>
      <c r="U620" s="62"/>
      <c r="V620" s="62"/>
      <c r="W620" s="19">
        <f>AA620*(1+AC620)</f>
        <v>1.07325E-3</v>
      </c>
      <c r="X620" s="20">
        <f>AA620*(1+AC620)</f>
        <v>1.07325E-3</v>
      </c>
      <c r="Y620" s="50">
        <v>1990</v>
      </c>
      <c r="Z620" s="50"/>
      <c r="AA620" s="31">
        <f>K620/1000</f>
        <v>1.431E-3</v>
      </c>
      <c r="AB620" s="395">
        <v>-0.25</v>
      </c>
      <c r="AC620" s="443">
        <f>AB620</f>
        <v>-0.25</v>
      </c>
      <c r="AD620" s="16"/>
      <c r="AE620" s="16"/>
      <c r="AF620" s="170"/>
      <c r="AG620" s="86"/>
      <c r="AH620" s="272"/>
      <c r="AI620" s="50"/>
      <c r="AJ620" s="31"/>
      <c r="AK620" s="157"/>
      <c r="AL620" s="285"/>
      <c r="AM620" s="208"/>
      <c r="AN620" s="16"/>
      <c r="AO620" s="635"/>
      <c r="AP620" s="636"/>
      <c r="AQ620" s="640"/>
      <c r="AR620" s="158"/>
      <c r="AS620" s="641"/>
      <c r="AT620" s="399"/>
      <c r="AU620" s="618"/>
      <c r="AV620" s="16"/>
      <c r="AW620" s="16"/>
      <c r="AX620" s="170"/>
      <c r="AY620" s="86"/>
      <c r="AZ620" s="272"/>
      <c r="BA620" s="50"/>
      <c r="BB620" s="31"/>
      <c r="BC620" s="157"/>
      <c r="BD620" s="342"/>
      <c r="BE620" s="208"/>
      <c r="BF620" s="16"/>
      <c r="BG620" s="170"/>
      <c r="BH620" s="86"/>
      <c r="BI620" s="272"/>
      <c r="BJ620" s="50"/>
      <c r="BK620" s="31"/>
      <c r="BL620" s="157"/>
      <c r="BM620" s="342"/>
      <c r="BN620" s="208"/>
      <c r="BO620" s="16"/>
      <c r="BP620" s="635">
        <f>BT620*(1+BU620)</f>
        <v>2.8619999999999991E-4</v>
      </c>
      <c r="BQ620" s="636">
        <f>BT620*(1+BV620)</f>
        <v>2.8619999999999991E-4</v>
      </c>
      <c r="BR620" s="50">
        <v>1990</v>
      </c>
      <c r="BS620" s="31"/>
      <c r="BT620" s="33">
        <f>+K620/1000</f>
        <v>1.431E-3</v>
      </c>
      <c r="BU620" s="43">
        <v>-0.8</v>
      </c>
      <c r="BV620" s="209">
        <f>BU620</f>
        <v>-0.8</v>
      </c>
      <c r="BW620" s="141"/>
      <c r="BX620" s="311"/>
      <c r="BY620" s="137"/>
    </row>
    <row r="621" spans="1:77" ht="15" customHeight="1" x14ac:dyDescent="0.2">
      <c r="A621" s="107" t="s">
        <v>190</v>
      </c>
      <c r="B621" s="56" t="s">
        <v>1606</v>
      </c>
      <c r="C621" s="637"/>
      <c r="D621" s="544">
        <v>7049.5140000000001</v>
      </c>
      <c r="E621" s="107" t="s">
        <v>310</v>
      </c>
      <c r="F621" s="362">
        <v>1994</v>
      </c>
      <c r="G621" s="63">
        <v>0.03</v>
      </c>
      <c r="H621" s="17">
        <v>0.03</v>
      </c>
      <c r="I621" s="74">
        <v>2004</v>
      </c>
      <c r="J621" s="71">
        <v>2.96587E-2</v>
      </c>
      <c r="K621" s="17">
        <f>J621</f>
        <v>2.96587E-2</v>
      </c>
      <c r="L621" s="74">
        <v>2008</v>
      </c>
      <c r="M621" s="71">
        <v>6.3784099999999996E-2</v>
      </c>
      <c r="N621" s="354">
        <f>M621</f>
        <v>6.3784099999999996E-2</v>
      </c>
      <c r="O621" s="923"/>
      <c r="P621" s="71"/>
      <c r="Q621" s="354"/>
      <c r="R621" s="923"/>
      <c r="S621" s="71"/>
      <c r="T621" s="354"/>
      <c r="U621" s="68"/>
      <c r="V621" s="68"/>
      <c r="W621" s="19"/>
      <c r="X621" s="20"/>
      <c r="Y621" s="145"/>
      <c r="Z621" s="38"/>
      <c r="AA621" s="145"/>
      <c r="AB621" s="80"/>
      <c r="AC621" s="209"/>
      <c r="AD621" s="387">
        <f>10.09/0.137/1000</f>
        <v>7.3649635036496353E-2</v>
      </c>
      <c r="AE621" s="387">
        <f>AD621</f>
        <v>7.3649635036496353E-2</v>
      </c>
      <c r="AF621" s="454">
        <f>AI621*(1+AK621)</f>
        <v>6.3559635036496351E-2</v>
      </c>
      <c r="AG621" s="439">
        <f>AI621*(1+AL621)</f>
        <v>3.7708613138686134E-2</v>
      </c>
      <c r="AH621" s="440">
        <v>2025</v>
      </c>
      <c r="AI621" s="441">
        <f>AD621</f>
        <v>7.3649635036496353E-2</v>
      </c>
      <c r="AJ621" s="453"/>
      <c r="AK621" s="461">
        <v>-0.13700000000000001</v>
      </c>
      <c r="AL621" s="462">
        <v>-0.48799999999999999</v>
      </c>
      <c r="AM621" s="456">
        <f>10.09/0.128/1000</f>
        <v>7.8828124999999999E-2</v>
      </c>
      <c r="AN621" s="387">
        <f>AM621</f>
        <v>7.8828124999999999E-2</v>
      </c>
      <c r="AO621" s="454">
        <f>AR621*(1+AT621)</f>
        <v>6.8738124999999997E-2</v>
      </c>
      <c r="AP621" s="439">
        <f>AR621*(1+AU621)</f>
        <v>3.0112343749999999E-2</v>
      </c>
      <c r="AQ621" s="440">
        <v>2025</v>
      </c>
      <c r="AR621" s="441">
        <f>AM621</f>
        <v>7.8828124999999999E-2</v>
      </c>
      <c r="AS621" s="453"/>
      <c r="AT621" s="461">
        <v>-0.128</v>
      </c>
      <c r="AU621" s="462">
        <v>-0.61799999999999999</v>
      </c>
      <c r="AV621" s="16"/>
      <c r="AW621" s="16"/>
      <c r="AX621" s="19"/>
      <c r="AY621" s="20"/>
      <c r="AZ621" s="77"/>
      <c r="BA621" s="38"/>
      <c r="BB621" s="145"/>
      <c r="BC621" s="80"/>
      <c r="BD621" s="75"/>
      <c r="BE621" s="208"/>
      <c r="BF621" s="16"/>
      <c r="BG621" s="19"/>
      <c r="BH621" s="20"/>
      <c r="BI621" s="77"/>
      <c r="BJ621" s="38"/>
      <c r="BK621" s="145"/>
      <c r="BL621" s="80"/>
      <c r="BM621" s="75"/>
      <c r="BN621" s="208"/>
      <c r="BO621" s="16"/>
      <c r="BP621" s="19"/>
      <c r="BQ621" s="20"/>
      <c r="BR621" s="32"/>
      <c r="BS621" s="38"/>
      <c r="BT621" s="145"/>
      <c r="BU621" s="27"/>
      <c r="BV621" s="220"/>
      <c r="BX621" s="321"/>
      <c r="BY621" s="38"/>
    </row>
    <row r="622" spans="1:77" ht="15" customHeight="1" x14ac:dyDescent="0.2">
      <c r="A622" s="107" t="s">
        <v>162</v>
      </c>
      <c r="B622" s="56" t="s">
        <v>1606</v>
      </c>
      <c r="C622" s="637"/>
      <c r="D622" s="544">
        <v>6395.7129999999997</v>
      </c>
      <c r="E622" s="95" t="s">
        <v>3248</v>
      </c>
      <c r="F622" s="373"/>
      <c r="G622" s="121">
        <v>-97.4</v>
      </c>
      <c r="H622" s="346">
        <v>6.9</v>
      </c>
      <c r="I622" s="114">
        <v>2000</v>
      </c>
      <c r="J622" s="93">
        <v>50.75291</v>
      </c>
      <c r="K622" s="346">
        <f>J622-41.91652</f>
        <v>8.8363900000000015</v>
      </c>
      <c r="L622" s="114"/>
      <c r="M622" s="93"/>
      <c r="N622" s="93"/>
      <c r="O622" s="1038">
        <v>2014</v>
      </c>
      <c r="P622" s="93">
        <f>Q622-9.909328</f>
        <v>14.190651999999998</v>
      </c>
      <c r="Q622" s="378">
        <v>24.099979999999999</v>
      </c>
      <c r="R622" s="923"/>
      <c r="S622" s="68"/>
      <c r="T622" s="356"/>
      <c r="U622" s="72">
        <v>82</v>
      </c>
      <c r="V622" s="72">
        <f>U622</f>
        <v>82</v>
      </c>
      <c r="W622" s="46">
        <v>5.2999999999999999E-2</v>
      </c>
      <c r="X622" s="47">
        <f>W622</f>
        <v>5.2999999999999999E-2</v>
      </c>
      <c r="Y622" s="658">
        <v>2020</v>
      </c>
      <c r="Z622" s="38"/>
      <c r="AA622" s="145"/>
      <c r="AB622" s="80"/>
      <c r="AC622" s="209"/>
      <c r="AD622" s="387"/>
      <c r="AE622" s="387"/>
      <c r="AF622" s="454"/>
      <c r="AG622" s="439"/>
      <c r="AH622" s="440"/>
      <c r="AI622" s="441"/>
      <c r="AJ622" s="453"/>
      <c r="AK622" s="461"/>
      <c r="AL622" s="462"/>
      <c r="AM622" s="207">
        <v>0.104</v>
      </c>
      <c r="AN622" s="47">
        <f>AM622</f>
        <v>0.104</v>
      </c>
      <c r="AO622" s="78">
        <f>AM622*0.4</f>
        <v>4.1599999999999998E-2</v>
      </c>
      <c r="AP622" s="47">
        <f>0.035</f>
        <v>3.5000000000000003E-2</v>
      </c>
      <c r="AQ622" s="440"/>
      <c r="AR622" s="441"/>
      <c r="AS622" s="453"/>
      <c r="AT622" s="461"/>
      <c r="AU622" s="462"/>
      <c r="AV622" s="16"/>
      <c r="AW622" s="16"/>
      <c r="AX622" s="19"/>
      <c r="AY622" s="20"/>
      <c r="AZ622" s="77"/>
      <c r="BA622" s="38"/>
      <c r="BB622" s="145"/>
      <c r="BC622" s="80"/>
      <c r="BD622" s="75"/>
      <c r="BE622" s="208"/>
      <c r="BF622" s="16"/>
      <c r="BG622" s="19"/>
      <c r="BH622" s="20"/>
      <c r="BI622" s="77"/>
      <c r="BJ622" s="38"/>
      <c r="BK622" s="145"/>
      <c r="BL622" s="80"/>
      <c r="BM622" s="75"/>
      <c r="BN622" s="208"/>
      <c r="BO622" s="16"/>
      <c r="BP622" s="19"/>
      <c r="BQ622" s="20"/>
      <c r="BR622" s="32"/>
      <c r="BS622" s="38"/>
      <c r="BT622" s="145"/>
      <c r="BU622" s="27"/>
      <c r="BV622" s="220"/>
      <c r="BX622" s="321"/>
      <c r="BY622" s="38"/>
    </row>
    <row r="623" spans="1:77" ht="15" customHeight="1" x14ac:dyDescent="0.2">
      <c r="A623" s="56" t="s">
        <v>87</v>
      </c>
      <c r="B623" s="56" t="s">
        <v>1606</v>
      </c>
      <c r="C623" s="637"/>
      <c r="D623" s="544">
        <v>28275.834999999999</v>
      </c>
      <c r="E623" s="95" t="s">
        <v>3311</v>
      </c>
      <c r="F623" s="373"/>
      <c r="G623" s="121">
        <v>-170.10344000000001</v>
      </c>
      <c r="H623" s="346">
        <v>67.367890000000003</v>
      </c>
      <c r="I623" s="114"/>
      <c r="J623" s="93">
        <v>30.868649999999999</v>
      </c>
      <c r="K623" s="93">
        <v>288.66309999999999</v>
      </c>
      <c r="L623" s="114"/>
      <c r="M623" s="93">
        <v>38.298879999999997</v>
      </c>
      <c r="N623" s="93">
        <v>301.00110999999998</v>
      </c>
      <c r="O623" s="1038">
        <v>2014</v>
      </c>
      <c r="P623" s="93">
        <v>50.479059999999997</v>
      </c>
      <c r="Q623" s="378">
        <v>317.62682999999998</v>
      </c>
      <c r="R623" s="1038">
        <v>2016</v>
      </c>
      <c r="S623" s="93">
        <v>75.488479999999996</v>
      </c>
      <c r="T623" s="378">
        <v>334.63450999999998</v>
      </c>
      <c r="U623" s="68"/>
      <c r="V623" s="68"/>
      <c r="W623" s="19"/>
      <c r="X623" s="20"/>
      <c r="Y623" s="145"/>
      <c r="Z623" s="38"/>
      <c r="AA623" s="145"/>
      <c r="AB623" s="80"/>
      <c r="AC623" s="209"/>
      <c r="AE623" s="16"/>
      <c r="AF623" s="454"/>
      <c r="AG623" s="439"/>
      <c r="AH623" s="440"/>
      <c r="AI623" s="441"/>
      <c r="AJ623" s="453"/>
      <c r="AK623" s="461"/>
      <c r="AL623" s="462"/>
      <c r="AM623" s="205"/>
      <c r="AN623" s="16"/>
      <c r="AO623" s="454">
        <f>2600*0.5436*(1+AT623)/1000</f>
        <v>0.91868399999999995</v>
      </c>
      <c r="AP623" s="439">
        <f>2600*0.5436*(1+AU623)/1000</f>
        <v>0.77734799999999993</v>
      </c>
      <c r="AQ623" s="440">
        <v>2005</v>
      </c>
      <c r="AR623" s="441">
        <f>+K623/1000</f>
        <v>0.28866310000000001</v>
      </c>
      <c r="AS623" s="453"/>
      <c r="AT623" s="292">
        <v>-0.35</v>
      </c>
      <c r="AU623" s="293">
        <v>-0.45</v>
      </c>
      <c r="AV623" s="16"/>
      <c r="AW623" s="16"/>
      <c r="AX623" s="19"/>
      <c r="AY623" s="20"/>
      <c r="AZ623" s="77"/>
      <c r="BA623" s="38"/>
      <c r="BB623" s="145"/>
      <c r="BC623" s="80"/>
      <c r="BD623" s="75"/>
      <c r="BE623" s="208"/>
      <c r="BF623" s="16"/>
      <c r="BG623" s="19"/>
      <c r="BH623" s="20"/>
      <c r="BI623" s="77"/>
      <c r="BJ623" s="38"/>
      <c r="BK623" s="145"/>
      <c r="BL623" s="80"/>
      <c r="BM623" s="75"/>
      <c r="BN623" s="208"/>
      <c r="BO623" s="16"/>
      <c r="BP623" s="19"/>
      <c r="BQ623" s="20"/>
      <c r="BR623" s="32"/>
      <c r="BS623" s="38"/>
      <c r="BT623" s="145"/>
      <c r="BU623" s="27"/>
      <c r="BV623" s="220"/>
      <c r="BX623" s="321"/>
      <c r="BY623" s="38"/>
    </row>
    <row r="624" spans="1:77" ht="15" customHeight="1" x14ac:dyDescent="0.2">
      <c r="A624" s="56" t="s">
        <v>87</v>
      </c>
      <c r="B624" s="56"/>
      <c r="C624" s="637" t="s">
        <v>3310</v>
      </c>
      <c r="D624" s="544">
        <v>190.529</v>
      </c>
      <c r="E624" s="95" t="s">
        <v>387</v>
      </c>
      <c r="F624" s="373"/>
      <c r="G624" s="121"/>
      <c r="H624" s="346"/>
      <c r="I624" s="114"/>
      <c r="J624" s="93"/>
      <c r="K624" s="93"/>
      <c r="L624" s="114"/>
      <c r="M624" s="93"/>
      <c r="N624" s="93"/>
      <c r="O624" s="1038"/>
      <c r="P624" s="93"/>
      <c r="Q624" s="378"/>
      <c r="R624" s="1038">
        <v>2018</v>
      </c>
      <c r="S624" s="93"/>
      <c r="T624" s="378">
        <v>1.0302379699999999</v>
      </c>
      <c r="U624" s="68"/>
      <c r="V624" s="68"/>
      <c r="W624" s="19"/>
      <c r="X624" s="20"/>
      <c r="Y624" s="145"/>
      <c r="Z624" s="38"/>
      <c r="AA624" s="145"/>
      <c r="AB624" s="80"/>
      <c r="AC624" s="209"/>
      <c r="AE624" s="16"/>
      <c r="AF624" s="454"/>
      <c r="AG624" s="439"/>
      <c r="AH624" s="440"/>
      <c r="AI624" s="441"/>
      <c r="AJ624" s="453"/>
      <c r="AK624" s="461"/>
      <c r="AL624" s="462"/>
      <c r="AM624" s="205"/>
      <c r="AN624" s="16"/>
      <c r="AO624" s="635">
        <f>AS624*(1+AT624)</f>
        <v>5.6663088349999998E-4</v>
      </c>
      <c r="AP624" s="636">
        <f>AS624*(1+AU624)</f>
        <v>5.6663088349999998E-4</v>
      </c>
      <c r="AQ624" s="666">
        <v>2006</v>
      </c>
      <c r="AR624" s="158"/>
      <c r="AS624" s="641">
        <f>+T624/1000</f>
        <v>1.0302379699999998E-3</v>
      </c>
      <c r="AT624" s="399">
        <v>-0.45</v>
      </c>
      <c r="AU624" s="618">
        <f>AT624</f>
        <v>-0.45</v>
      </c>
      <c r="AV624" s="16"/>
      <c r="AW624" s="16"/>
      <c r="AX624" s="19"/>
      <c r="AY624" s="20"/>
      <c r="AZ624" s="77"/>
      <c r="BA624" s="38"/>
      <c r="BB624" s="145"/>
      <c r="BC624" s="80"/>
      <c r="BD624" s="75"/>
      <c r="BE624" s="208"/>
      <c r="BF624" s="16"/>
      <c r="BG624" s="19"/>
      <c r="BH624" s="20"/>
      <c r="BI624" s="77"/>
      <c r="BJ624" s="38"/>
      <c r="BK624" s="145"/>
      <c r="BL624" s="80"/>
      <c r="BM624" s="75"/>
      <c r="BN624" s="208"/>
      <c r="BO624" s="16"/>
      <c r="BP624" s="19"/>
      <c r="BQ624" s="20"/>
      <c r="BR624" s="32"/>
      <c r="BS624" s="38"/>
      <c r="BT624" s="145"/>
      <c r="BU624" s="27"/>
      <c r="BV624" s="220"/>
      <c r="BX624" s="321"/>
      <c r="BY624" s="38"/>
    </row>
    <row r="625" spans="1:77" ht="15" customHeight="1" x14ac:dyDescent="0.2">
      <c r="A625" s="56" t="s">
        <v>87</v>
      </c>
      <c r="B625" s="38"/>
      <c r="C625" s="637" t="s">
        <v>2805</v>
      </c>
      <c r="D625" s="544">
        <v>2090</v>
      </c>
      <c r="E625" s="95" t="s">
        <v>2800</v>
      </c>
      <c r="F625" s="362"/>
      <c r="G625" s="62"/>
      <c r="H625" s="69"/>
      <c r="I625" s="74"/>
      <c r="J625" s="93"/>
      <c r="K625" s="93"/>
      <c r="L625" s="74"/>
      <c r="M625" s="93"/>
      <c r="N625" s="68">
        <f>11.839</f>
        <v>11.839</v>
      </c>
      <c r="O625" s="923"/>
      <c r="P625" s="93"/>
      <c r="Q625" s="356">
        <f>N625*(1-0.58)</f>
        <v>4.9723800000000002</v>
      </c>
      <c r="R625" s="923"/>
      <c r="S625" s="93"/>
      <c r="T625" s="356"/>
      <c r="U625" s="68"/>
      <c r="V625" s="68"/>
      <c r="W625" s="19"/>
      <c r="X625" s="20"/>
      <c r="Y625" s="145"/>
      <c r="Z625" s="38"/>
      <c r="AA625" s="145"/>
      <c r="AB625" s="80"/>
      <c r="AC625" s="209"/>
      <c r="AE625" s="16"/>
      <c r="AF625" s="682">
        <f>AJ625*(1+AK625)</f>
        <v>4.9723800000000011E-3</v>
      </c>
      <c r="AG625" s="683">
        <f>+AJ625*(1+AL625)</f>
        <v>4.9723800000000011E-3</v>
      </c>
      <c r="AH625" s="617">
        <v>2010</v>
      </c>
      <c r="AI625" s="428"/>
      <c r="AJ625" s="641">
        <f>+N625/1000</f>
        <v>1.1839000000000001E-2</v>
      </c>
      <c r="AK625" s="965">
        <v>-0.57999999999999996</v>
      </c>
      <c r="AL625" s="747">
        <f>AK625</f>
        <v>-0.57999999999999996</v>
      </c>
      <c r="AM625" s="205"/>
      <c r="AN625" s="16"/>
      <c r="AO625" s="454"/>
      <c r="AP625" s="439"/>
      <c r="AQ625" s="440"/>
      <c r="AR625" s="441"/>
      <c r="AS625" s="453"/>
      <c r="AT625" s="292"/>
      <c r="AU625" s="293"/>
      <c r="AV625" s="16"/>
      <c r="AW625" s="16"/>
      <c r="AX625" s="19"/>
      <c r="AY625" s="20"/>
      <c r="AZ625" s="77"/>
      <c r="BA625" s="38"/>
      <c r="BB625" s="145"/>
      <c r="BC625" s="80"/>
      <c r="BD625" s="75"/>
      <c r="BE625" s="208"/>
      <c r="BF625" s="16"/>
      <c r="BG625" s="19"/>
      <c r="BH625" s="20"/>
      <c r="BI625" s="77"/>
      <c r="BJ625" s="38"/>
      <c r="BK625" s="145"/>
      <c r="BL625" s="80"/>
      <c r="BM625" s="75"/>
      <c r="BN625" s="208"/>
      <c r="BO625" s="16"/>
      <c r="BP625" s="19"/>
      <c r="BQ625" s="20"/>
      <c r="BR625" s="32"/>
      <c r="BS625" s="38"/>
      <c r="BT625" s="145"/>
      <c r="BU625" s="27"/>
      <c r="BV625" s="220"/>
      <c r="BX625" s="321"/>
      <c r="BY625" s="38"/>
    </row>
    <row r="626" spans="1:77" ht="15" customHeight="1" x14ac:dyDescent="0.2">
      <c r="A626" s="56" t="s">
        <v>87</v>
      </c>
      <c r="B626" s="38"/>
      <c r="C626" s="637" t="s">
        <v>3313</v>
      </c>
      <c r="D626" s="544">
        <v>524.35299999999995</v>
      </c>
      <c r="E626" s="95" t="s">
        <v>387</v>
      </c>
      <c r="F626" s="362"/>
      <c r="G626" s="62"/>
      <c r="H626" s="69"/>
      <c r="I626" s="74"/>
      <c r="J626" s="93"/>
      <c r="K626" s="93"/>
      <c r="L626" s="74"/>
      <c r="M626" s="93"/>
      <c r="N626" s="68"/>
      <c r="O626" s="923"/>
      <c r="P626" s="93"/>
      <c r="Q626" s="356">
        <v>1.7420869999999999</v>
      </c>
      <c r="R626" s="923"/>
      <c r="S626" s="93"/>
      <c r="T626" s="356"/>
      <c r="U626" s="68"/>
      <c r="V626" s="68"/>
      <c r="W626" s="19"/>
      <c r="X626" s="20"/>
      <c r="Y626" s="145"/>
      <c r="Z626" s="38"/>
      <c r="AA626" s="145"/>
      <c r="AB626" s="80"/>
      <c r="AC626" s="209"/>
      <c r="AE626" s="16"/>
      <c r="AF626" s="682"/>
      <c r="AG626" s="683"/>
      <c r="AH626" s="617"/>
      <c r="AI626" s="428"/>
      <c r="AJ626" s="641"/>
      <c r="AK626" s="965"/>
      <c r="AL626" s="747"/>
      <c r="AM626" s="205"/>
      <c r="AN626" s="16"/>
      <c r="AO626" s="635">
        <f>AS626*(1+AT626)</f>
        <v>9.5814785000000009E-4</v>
      </c>
      <c r="AP626" s="636">
        <f>AS626*(1+AU626)</f>
        <v>9.5814785000000009E-4</v>
      </c>
      <c r="AQ626" s="666">
        <v>2006</v>
      </c>
      <c r="AR626" s="158"/>
      <c r="AS626" s="641">
        <f>+Q626/1000</f>
        <v>1.742087E-3</v>
      </c>
      <c r="AT626" s="399">
        <v>-0.45</v>
      </c>
      <c r="AU626" s="618">
        <f>AT626</f>
        <v>-0.45</v>
      </c>
      <c r="AV626" s="16"/>
      <c r="AW626" s="16"/>
      <c r="AX626" s="19"/>
      <c r="AY626" s="20"/>
      <c r="AZ626" s="77"/>
      <c r="BA626" s="38"/>
      <c r="BB626" s="145"/>
      <c r="BC626" s="80"/>
      <c r="BD626" s="75"/>
      <c r="BE626" s="208"/>
      <c r="BF626" s="16"/>
      <c r="BG626" s="19"/>
      <c r="BH626" s="20"/>
      <c r="BI626" s="77"/>
      <c r="BJ626" s="38"/>
      <c r="BK626" s="145"/>
      <c r="BL626" s="80"/>
      <c r="BM626" s="75"/>
      <c r="BN626" s="208"/>
      <c r="BO626" s="16"/>
      <c r="BP626" s="19"/>
      <c r="BQ626" s="20"/>
      <c r="BR626" s="32"/>
      <c r="BS626" s="38"/>
      <c r="BT626" s="145"/>
      <c r="BU626" s="27"/>
      <c r="BV626" s="220"/>
      <c r="BX626" s="321"/>
      <c r="BY626" s="38"/>
    </row>
    <row r="627" spans="1:77" ht="15" customHeight="1" x14ac:dyDescent="0.2">
      <c r="A627" s="56" t="s">
        <v>87</v>
      </c>
      <c r="B627" s="38"/>
      <c r="C627" s="637" t="s">
        <v>3312</v>
      </c>
      <c r="D627" s="544">
        <v>281.5</v>
      </c>
      <c r="E627" s="95" t="s">
        <v>387</v>
      </c>
      <c r="F627" s="362"/>
      <c r="G627" s="62"/>
      <c r="H627" s="69"/>
      <c r="I627" s="74"/>
      <c r="J627" s="93"/>
      <c r="K627" s="93"/>
      <c r="L627" s="74"/>
      <c r="M627" s="93"/>
      <c r="N627" s="68"/>
      <c r="O627" s="923"/>
      <c r="P627" s="93"/>
      <c r="Q627" s="356"/>
      <c r="R627" s="923">
        <v>2017</v>
      </c>
      <c r="S627" s="93"/>
      <c r="T627" s="356">
        <v>21.62</v>
      </c>
      <c r="U627" s="68"/>
      <c r="V627" s="68"/>
      <c r="W627" s="19"/>
      <c r="X627" s="20"/>
      <c r="Y627" s="145"/>
      <c r="Z627" s="38"/>
      <c r="AA627" s="145"/>
      <c r="AB627" s="80"/>
      <c r="AC627" s="209"/>
      <c r="AE627" s="16"/>
      <c r="AF627" s="682"/>
      <c r="AG627" s="683"/>
      <c r="AH627" s="617"/>
      <c r="AI627" s="428"/>
      <c r="AJ627" s="641"/>
      <c r="AK627" s="965"/>
      <c r="AL627" s="747"/>
      <c r="AM627" s="205"/>
      <c r="AN627" s="16"/>
      <c r="AO627" s="635">
        <f>AS627*(1+AT627)</f>
        <v>7.9994000000000003E-3</v>
      </c>
      <c r="AP627" s="636">
        <f>AS627*(1+AU627)</f>
        <v>7.9994000000000003E-3</v>
      </c>
      <c r="AQ627" s="666">
        <v>2006</v>
      </c>
      <c r="AR627" s="158"/>
      <c r="AS627" s="641">
        <f>+T627/1000</f>
        <v>2.162E-2</v>
      </c>
      <c r="AT627" s="399">
        <v>-0.63</v>
      </c>
      <c r="AU627" s="618">
        <f>AT627</f>
        <v>-0.63</v>
      </c>
      <c r="AV627" s="16"/>
      <c r="AW627" s="16"/>
      <c r="AX627" s="19"/>
      <c r="AY627" s="20"/>
      <c r="AZ627" s="77"/>
      <c r="BA627" s="38"/>
      <c r="BB627" s="145"/>
      <c r="BC627" s="80"/>
      <c r="BD627" s="75"/>
      <c r="BE627" s="208"/>
      <c r="BF627" s="16"/>
      <c r="BG627" s="19"/>
      <c r="BH627" s="20"/>
      <c r="BI627" s="77"/>
      <c r="BJ627" s="38"/>
      <c r="BK627" s="145"/>
      <c r="BL627" s="80"/>
      <c r="BM627" s="75"/>
      <c r="BN627" s="208"/>
      <c r="BO627" s="16"/>
      <c r="BP627" s="19"/>
      <c r="BQ627" s="20"/>
      <c r="BR627" s="32"/>
      <c r="BS627" s="38"/>
      <c r="BT627" s="145"/>
      <c r="BU627" s="27"/>
      <c r="BV627" s="220"/>
      <c r="BX627" s="321"/>
      <c r="BY627" s="38"/>
    </row>
    <row r="628" spans="1:77" ht="15" customHeight="1" x14ac:dyDescent="0.2">
      <c r="A628" s="56" t="s">
        <v>87</v>
      </c>
      <c r="B628" s="38"/>
      <c r="C628" s="637" t="s">
        <v>2718</v>
      </c>
      <c r="D628" s="544">
        <v>1108</v>
      </c>
      <c r="E628" s="107" t="s">
        <v>387</v>
      </c>
      <c r="F628" s="362"/>
      <c r="G628" s="62"/>
      <c r="H628" s="69"/>
      <c r="I628" s="74"/>
      <c r="J628" s="93"/>
      <c r="K628" s="93"/>
      <c r="L628" s="74"/>
      <c r="M628" s="93"/>
      <c r="N628" s="356"/>
      <c r="O628" s="923">
        <v>2016</v>
      </c>
      <c r="P628" s="93"/>
      <c r="Q628" s="356">
        <v>7.4</v>
      </c>
      <c r="R628" s="923"/>
      <c r="S628" s="93"/>
      <c r="T628" s="356"/>
      <c r="U628" s="68"/>
      <c r="V628" s="68"/>
      <c r="W628" s="19"/>
      <c r="X628" s="20"/>
      <c r="Y628" s="145"/>
      <c r="Z628" s="38"/>
      <c r="AA628" s="145"/>
      <c r="AB628" s="80"/>
      <c r="AC628" s="209"/>
      <c r="AE628" s="16"/>
      <c r="AF628" s="682">
        <f>AJ628*(1+AK628)</f>
        <v>3.7000000000000002E-3</v>
      </c>
      <c r="AG628" s="683">
        <f>+AJ628*(1+AL628)</f>
        <v>3.7000000000000002E-3</v>
      </c>
      <c r="AH628" s="617">
        <v>2016</v>
      </c>
      <c r="AI628" s="428"/>
      <c r="AJ628" s="641">
        <f>+Q628/1000</f>
        <v>7.4000000000000003E-3</v>
      </c>
      <c r="AK628" s="965">
        <v>-0.5</v>
      </c>
      <c r="AL628" s="747">
        <f>AK628</f>
        <v>-0.5</v>
      </c>
      <c r="AM628" s="205"/>
      <c r="AN628" s="16"/>
      <c r="AO628" s="454"/>
      <c r="AP628" s="439"/>
      <c r="AQ628" s="440"/>
      <c r="AR628" s="441"/>
      <c r="AS628" s="453"/>
      <c r="AT628" s="292"/>
      <c r="AU628" s="293"/>
      <c r="AV628" s="16"/>
      <c r="AW628" s="16"/>
      <c r="AX628" s="19"/>
      <c r="AY628" s="20"/>
      <c r="AZ628" s="77"/>
      <c r="BA628" s="38"/>
      <c r="BB628" s="145"/>
      <c r="BC628" s="80"/>
      <c r="BD628" s="75"/>
      <c r="BE628" s="208"/>
      <c r="BF628" s="16"/>
      <c r="BG628" s="19"/>
      <c r="BH628" s="20"/>
      <c r="BI628" s="77"/>
      <c r="BJ628" s="38"/>
      <c r="BK628" s="145"/>
      <c r="BL628" s="80"/>
      <c r="BM628" s="75"/>
      <c r="BN628" s="208"/>
      <c r="BO628" s="16"/>
      <c r="BP628" s="19"/>
      <c r="BQ628" s="20"/>
      <c r="BR628" s="32"/>
      <c r="BS628" s="38"/>
      <c r="BT628" s="145"/>
      <c r="BU628" s="27"/>
      <c r="BV628" s="220"/>
      <c r="BX628" s="321"/>
      <c r="BY628" s="38"/>
    </row>
    <row r="629" spans="1:77" s="14" customFormat="1" ht="15" customHeight="1" x14ac:dyDescent="0.2">
      <c r="A629" s="573" t="s">
        <v>130</v>
      </c>
      <c r="B629" s="41"/>
      <c r="C629" s="662"/>
      <c r="D629" s="53">
        <v>325.69400000000002</v>
      </c>
      <c r="E629" s="624" t="s">
        <v>3196</v>
      </c>
      <c r="F629" s="362">
        <v>1994</v>
      </c>
      <c r="G629" s="62">
        <v>0.152977</v>
      </c>
      <c r="H629" s="61">
        <f>G629</f>
        <v>0.152977</v>
      </c>
      <c r="I629" s="67"/>
      <c r="J629" s="62">
        <v>0.7</v>
      </c>
      <c r="K629" s="62">
        <f>J629</f>
        <v>0.7</v>
      </c>
      <c r="L629" s="67">
        <v>2011</v>
      </c>
      <c r="M629" s="62">
        <v>1.225598</v>
      </c>
      <c r="N629" s="355">
        <f>M629</f>
        <v>1.225598</v>
      </c>
      <c r="O629" s="362"/>
      <c r="P629" s="62">
        <f>Q629</f>
        <v>1.5360400000000001</v>
      </c>
      <c r="Q629" s="355">
        <v>1.5360400000000001</v>
      </c>
      <c r="R629" s="362"/>
      <c r="S629" s="62"/>
      <c r="T629" s="355"/>
      <c r="U629" s="62">
        <v>2</v>
      </c>
      <c r="V629" s="61">
        <v>2</v>
      </c>
      <c r="W629" s="23">
        <v>0</v>
      </c>
      <c r="X629" s="24">
        <v>0</v>
      </c>
      <c r="Y629" s="53">
        <v>2020</v>
      </c>
      <c r="Z629" s="41"/>
      <c r="AA629" s="88"/>
      <c r="AB629" s="399"/>
      <c r="AC629" s="618"/>
      <c r="AD629" s="168"/>
      <c r="AE629" s="168"/>
      <c r="AF629" s="266"/>
      <c r="AG629" s="61"/>
      <c r="AH629" s="272"/>
      <c r="AI629" s="41"/>
      <c r="AJ629" s="48"/>
      <c r="AK629" s="294"/>
      <c r="AL629" s="295"/>
      <c r="AM629" s="1400">
        <f>3.28492/1000</f>
        <v>3.2849200000000002E-3</v>
      </c>
      <c r="AN629" s="1411">
        <f>AM629</f>
        <v>3.2849200000000002E-3</v>
      </c>
      <c r="AO629" s="1407">
        <f>AR629*(1+AT629)</f>
        <v>2.4308407999999999E-3</v>
      </c>
      <c r="AP629" s="1370">
        <f>AR629*(1+AU629)</f>
        <v>0</v>
      </c>
      <c r="AQ629" s="1373"/>
      <c r="AR629" s="1412">
        <f>AM629</f>
        <v>3.2849200000000002E-3</v>
      </c>
      <c r="AS629" s="48"/>
      <c r="AT629" s="1413">
        <v>-0.26</v>
      </c>
      <c r="AU629" s="1342">
        <v>-1</v>
      </c>
      <c r="AV629" s="168"/>
      <c r="AW629" s="168"/>
      <c r="AX629" s="266"/>
      <c r="AY629" s="61"/>
      <c r="AZ629" s="272"/>
      <c r="BA629" s="41"/>
      <c r="BB629" s="48"/>
      <c r="BC629" s="82"/>
      <c r="BD629" s="232"/>
      <c r="BE629" s="210"/>
      <c r="BF629" s="168"/>
      <c r="BG629" s="266"/>
      <c r="BH629" s="61"/>
      <c r="BI629" s="272"/>
      <c r="BJ629" s="41"/>
      <c r="BK629" s="48"/>
      <c r="BL629" s="82"/>
      <c r="BM629" s="232"/>
      <c r="BN629" s="210"/>
      <c r="BO629" s="168"/>
      <c r="BP629" s="170"/>
      <c r="BQ629" s="86"/>
      <c r="BR629" s="53"/>
      <c r="BS629" s="41"/>
      <c r="BT629" s="48"/>
      <c r="BU629" s="82">
        <v>-1</v>
      </c>
      <c r="BV629" s="217">
        <f>BU629</f>
        <v>-1</v>
      </c>
      <c r="BW629" s="143"/>
      <c r="BX629" s="310"/>
      <c r="BY629" s="321" t="s">
        <v>131</v>
      </c>
    </row>
    <row r="630" spans="1:77" ht="15" customHeight="1" x14ac:dyDescent="0.2">
      <c r="A630" s="56" t="s">
        <v>151</v>
      </c>
      <c r="B630" s="56" t="s">
        <v>1606</v>
      </c>
      <c r="C630" s="637"/>
      <c r="D630" s="544">
        <v>52.427999999999997</v>
      </c>
      <c r="E630" s="1273" t="s">
        <v>3197</v>
      </c>
      <c r="F630" s="362">
        <v>2000</v>
      </c>
      <c r="G630" s="62"/>
      <c r="H630" s="86">
        <v>0.12253</v>
      </c>
      <c r="I630" s="74"/>
      <c r="J630" s="62"/>
      <c r="K630" s="470">
        <v>0.14499999999999999</v>
      </c>
      <c r="L630" s="74"/>
      <c r="M630" s="92"/>
      <c r="N630" s="470">
        <v>0.185</v>
      </c>
      <c r="O630" s="923"/>
      <c r="P630" s="92"/>
      <c r="Q630" s="469"/>
      <c r="R630" s="923"/>
      <c r="S630" s="92"/>
      <c r="T630" s="469"/>
      <c r="U630" s="62"/>
      <c r="V630" s="86"/>
      <c r="W630" s="23"/>
      <c r="X630" s="24"/>
      <c r="Y630" s="53">
        <v>2009</v>
      </c>
      <c r="Z630" s="36"/>
      <c r="AA630" s="36"/>
      <c r="AB630" s="399">
        <v>-0.4</v>
      </c>
      <c r="AC630" s="618">
        <v>-0.4</v>
      </c>
      <c r="AD630" s="168"/>
      <c r="AE630" s="168"/>
      <c r="AF630" s="472">
        <f>AJ630*(1+AK630)</f>
        <v>1.2579999999999999E-4</v>
      </c>
      <c r="AG630" s="473">
        <f>+AJ630*(1+AL630)</f>
        <v>1.2579999999999999E-4</v>
      </c>
      <c r="AH630" s="390">
        <v>2010</v>
      </c>
      <c r="AI630" s="464"/>
      <c r="AJ630" s="475">
        <f>+N630/1000</f>
        <v>1.85E-4</v>
      </c>
      <c r="AK630" s="294">
        <v>-0.32</v>
      </c>
      <c r="AL630" s="295">
        <f>AK630</f>
        <v>-0.32</v>
      </c>
      <c r="AM630" s="421"/>
      <c r="AN630" s="422"/>
      <c r="AO630" s="472">
        <f>AR630*(1+AT630)</f>
        <v>1.0175000000000001E-4</v>
      </c>
      <c r="AP630" s="473">
        <f>+AR630*(1+AU630)</f>
        <v>1.0175000000000001E-4</v>
      </c>
      <c r="AQ630" s="390">
        <v>2010</v>
      </c>
      <c r="AR630" s="474">
        <f>+N630/1000</f>
        <v>1.85E-4</v>
      </c>
      <c r="AS630" s="424"/>
      <c r="AT630" s="294">
        <v>-0.45</v>
      </c>
      <c r="AU630" s="295">
        <f>AT630</f>
        <v>-0.45</v>
      </c>
      <c r="AV630" s="168"/>
      <c r="AW630" s="168"/>
      <c r="AX630" s="1414">
        <f>BA630*(1+BC630)</f>
        <v>7.7700000000000005E-5</v>
      </c>
      <c r="AY630" s="1415">
        <f>+BA630*(1+BD630)</f>
        <v>7.7700000000000005E-5</v>
      </c>
      <c r="AZ630" s="1373">
        <v>2010</v>
      </c>
      <c r="BA630" s="1416">
        <f>+N630/1000</f>
        <v>1.85E-4</v>
      </c>
      <c r="BB630" s="48"/>
      <c r="BC630" s="1413">
        <v>-0.57999999999999996</v>
      </c>
      <c r="BD630" s="1342">
        <f>BC630</f>
        <v>-0.57999999999999996</v>
      </c>
      <c r="BE630" s="210"/>
      <c r="BF630" s="168"/>
      <c r="BG630" s="266"/>
      <c r="BH630" s="61"/>
      <c r="BI630" s="272"/>
      <c r="BJ630" s="36"/>
      <c r="BK630" s="48"/>
      <c r="BL630" s="82"/>
      <c r="BM630" s="232"/>
      <c r="BN630" s="210"/>
      <c r="BO630" s="168"/>
      <c r="BP630" s="170"/>
      <c r="BQ630" s="86"/>
      <c r="BR630" s="53"/>
      <c r="BS630" s="36"/>
      <c r="BT630" s="48"/>
      <c r="BU630" s="82"/>
      <c r="BV630" s="217"/>
      <c r="BW630" s="143"/>
      <c r="BX630" s="310"/>
      <c r="BY630" s="139" t="s">
        <v>215</v>
      </c>
    </row>
    <row r="631" spans="1:77" ht="15" customHeight="1" x14ac:dyDescent="0.2">
      <c r="A631" s="107" t="s">
        <v>191</v>
      </c>
      <c r="B631" s="56" t="s">
        <v>1606</v>
      </c>
      <c r="C631" s="637"/>
      <c r="D631" s="544">
        <v>103.619</v>
      </c>
      <c r="E631" s="107" t="s">
        <v>230</v>
      </c>
      <c r="F631" s="362">
        <v>1994</v>
      </c>
      <c r="G631" s="62">
        <v>0.2</v>
      </c>
      <c r="H631" s="69">
        <v>0.2</v>
      </c>
      <c r="I631" s="74">
        <v>2000</v>
      </c>
      <c r="J631" s="557">
        <v>0.15</v>
      </c>
      <c r="K631" s="69"/>
      <c r="L631" s="74"/>
      <c r="M631" s="68"/>
      <c r="N631" s="356"/>
      <c r="O631" s="923"/>
      <c r="P631" s="68"/>
      <c r="Q631" s="356"/>
      <c r="R631" s="923"/>
      <c r="S631" s="68"/>
      <c r="T631" s="356"/>
      <c r="U631" s="68"/>
      <c r="V631" s="68"/>
      <c r="W631" s="19"/>
      <c r="X631" s="20"/>
      <c r="Y631" s="145"/>
      <c r="Z631" s="38"/>
      <c r="AA631" s="145"/>
      <c r="AB631" s="80"/>
      <c r="AC631" s="209"/>
      <c r="AD631" s="534"/>
      <c r="AE631" s="387"/>
      <c r="AF631" s="530">
        <f>AI631*(1+AK631)</f>
        <v>1.0799999999999998E-4</v>
      </c>
      <c r="AG631" s="485">
        <f>AI631*(1+AL631)</f>
        <v>9.7499999999999998E-5</v>
      </c>
      <c r="AH631" s="440">
        <v>2000</v>
      </c>
      <c r="AI631" s="452">
        <f>J631/1000</f>
        <v>1.4999999999999999E-4</v>
      </c>
      <c r="AJ631" s="453"/>
      <c r="AK631" s="292">
        <v>-0.28000000000000003</v>
      </c>
      <c r="AL631" s="293">
        <v>-0.35</v>
      </c>
      <c r="AM631" s="205"/>
      <c r="AN631" s="16"/>
      <c r="AO631" s="136"/>
      <c r="AP631" s="59"/>
      <c r="AQ631" s="77"/>
      <c r="AR631" s="38"/>
      <c r="AS631" s="145"/>
      <c r="AT631" s="80"/>
      <c r="AU631" s="215"/>
      <c r="AV631" s="16"/>
      <c r="AW631" s="16"/>
      <c r="AX631" s="19"/>
      <c r="AY631" s="20"/>
      <c r="AZ631" s="77"/>
      <c r="BA631" s="38"/>
      <c r="BB631" s="145"/>
      <c r="BC631" s="80"/>
      <c r="BD631" s="75"/>
      <c r="BE631" s="208"/>
      <c r="BF631" s="16"/>
      <c r="BG631" s="19"/>
      <c r="BH631" s="20"/>
      <c r="BI631" s="77"/>
      <c r="BJ631" s="38"/>
      <c r="BK631" s="145"/>
      <c r="BL631" s="80"/>
      <c r="BM631" s="75"/>
      <c r="BN631" s="208"/>
      <c r="BO631" s="16"/>
      <c r="BP631" s="19"/>
      <c r="BQ631" s="20"/>
      <c r="BR631" s="32"/>
      <c r="BS631" s="38"/>
      <c r="BT631" s="145"/>
      <c r="BU631" s="27"/>
      <c r="BV631" s="220"/>
      <c r="BX631" s="321"/>
      <c r="BY631" s="38"/>
    </row>
    <row r="632" spans="1:77" ht="15" customHeight="1" x14ac:dyDescent="0.2">
      <c r="A632" s="573" t="s">
        <v>91</v>
      </c>
      <c r="B632" s="56" t="s">
        <v>1606</v>
      </c>
      <c r="C632" s="637"/>
      <c r="D632" s="544">
        <v>2712.7379999999998</v>
      </c>
      <c r="E632" s="95" t="s">
        <v>2956</v>
      </c>
      <c r="F632" s="373"/>
      <c r="G632" s="121">
        <v>-1.0734600000000001</v>
      </c>
      <c r="H632" s="346">
        <v>21.95073</v>
      </c>
      <c r="I632" s="114"/>
      <c r="J632" s="93">
        <v>-5.8146800000000001</v>
      </c>
      <c r="K632" s="93">
        <v>19.843409999999999</v>
      </c>
      <c r="L632" s="114"/>
      <c r="M632" s="93">
        <v>-0.44792999999999999</v>
      </c>
      <c r="N632" s="93">
        <v>24.222940000000001</v>
      </c>
      <c r="O632" s="1038">
        <v>2014</v>
      </c>
      <c r="P632" s="93">
        <v>10.030799999999999</v>
      </c>
      <c r="Q632" s="570">
        <v>34.482729999999997</v>
      </c>
      <c r="R632" s="923"/>
      <c r="S632" s="68"/>
      <c r="T632" s="570"/>
      <c r="U632" s="68"/>
      <c r="V632" s="68"/>
      <c r="W632" s="19"/>
      <c r="X632" s="20"/>
      <c r="Y632" s="145"/>
      <c r="Z632" s="38"/>
      <c r="AA632" s="145"/>
      <c r="AB632" s="80"/>
      <c r="AC632" s="209"/>
      <c r="AE632" s="16"/>
      <c r="AF632" s="136"/>
      <c r="AG632" s="59"/>
      <c r="AH632" s="77"/>
      <c r="AI632" s="38"/>
      <c r="AJ632" s="145"/>
      <c r="AK632" s="80"/>
      <c r="AL632" s="215"/>
      <c r="AM632" s="919"/>
      <c r="AN632" s="1322">
        <f>74.3/1000</f>
        <v>7.4299999999999991E-2</v>
      </c>
      <c r="AO632" s="1344">
        <f>AS632*(1+AT632)</f>
        <v>5.7433899999999996E-2</v>
      </c>
      <c r="AP632" s="47">
        <f>AS632*(1+AU632)</f>
        <v>9.4509599999999985E-2</v>
      </c>
      <c r="AQ632" s="1363">
        <v>2030</v>
      </c>
      <c r="AR632" s="1364"/>
      <c r="AS632" s="48">
        <f>+AN632</f>
        <v>7.4299999999999991E-2</v>
      </c>
      <c r="AT632" s="1325">
        <v>-0.22700000000000001</v>
      </c>
      <c r="AU632" s="694">
        <v>0.27200000000000002</v>
      </c>
      <c r="AV632" s="16"/>
      <c r="AW632" s="16"/>
      <c r="AX632" s="19"/>
      <c r="AY632" s="20"/>
      <c r="AZ632" s="77"/>
      <c r="BA632" s="38"/>
      <c r="BB632" s="145"/>
      <c r="BC632" s="80"/>
      <c r="BD632" s="75"/>
      <c r="BE632" s="208"/>
      <c r="BF632" s="16"/>
      <c r="BG632" s="19"/>
      <c r="BH632" s="20"/>
      <c r="BI632" s="77"/>
      <c r="BJ632" s="38"/>
      <c r="BK632" s="145"/>
      <c r="BL632" s="80"/>
      <c r="BM632" s="75"/>
      <c r="BN632" s="208"/>
      <c r="BO632" s="16"/>
      <c r="BP632" s="19"/>
      <c r="BQ632" s="20"/>
      <c r="BR632" s="32"/>
      <c r="BS632" s="38"/>
      <c r="BT632" s="145"/>
      <c r="BU632" s="27"/>
      <c r="BV632" s="220"/>
      <c r="BX632" s="321"/>
      <c r="BY632" s="38"/>
    </row>
    <row r="633" spans="1:77" ht="15" customHeight="1" x14ac:dyDescent="0.2">
      <c r="A633" s="573" t="s">
        <v>94</v>
      </c>
      <c r="B633" s="56" t="s">
        <v>1606</v>
      </c>
      <c r="C633" s="637"/>
      <c r="D633" s="544">
        <v>51931.231</v>
      </c>
      <c r="E633" s="95" t="s">
        <v>3273</v>
      </c>
      <c r="F633" s="373">
        <v>2000</v>
      </c>
      <c r="G633" s="62">
        <v>70.206549999999993</v>
      </c>
      <c r="H633" s="69">
        <v>33.995690000000003</v>
      </c>
      <c r="I633" s="74"/>
      <c r="J633" s="93">
        <v>57.399830000000001</v>
      </c>
      <c r="K633" s="69">
        <v>38.374899999999997</v>
      </c>
      <c r="L633" s="74"/>
      <c r="M633" s="68"/>
      <c r="N633" s="356"/>
      <c r="O633" s="923"/>
      <c r="P633" s="68"/>
      <c r="Q633" s="356"/>
      <c r="R633" s="923"/>
      <c r="S633" s="68"/>
      <c r="T633" s="356"/>
      <c r="U633" s="68"/>
      <c r="V633" s="68"/>
      <c r="W633" s="19"/>
      <c r="X633" s="20"/>
      <c r="Y633" s="145"/>
      <c r="Z633" s="38"/>
      <c r="AA633" s="145"/>
      <c r="AB633" s="80"/>
      <c r="AC633" s="209"/>
      <c r="AE633" s="16"/>
      <c r="AF633" s="136"/>
      <c r="AG633" s="59"/>
      <c r="AH633" s="77"/>
      <c r="AI633" s="38"/>
      <c r="AJ633" s="145"/>
      <c r="AK633" s="80"/>
      <c r="AL633" s="215"/>
      <c r="AM633" s="1479">
        <f>(297.01+504.5+0.56+40.61)/1000</f>
        <v>0.84267999999999998</v>
      </c>
      <c r="AN633" s="1480"/>
      <c r="AO633" s="1481">
        <f>AM633-0.24452</f>
        <v>0.59816000000000003</v>
      </c>
      <c r="AP633" s="1480">
        <f>AM633-0.41475</f>
        <v>0.42792999999999998</v>
      </c>
      <c r="AQ633" s="1482">
        <v>2030</v>
      </c>
      <c r="AR633" s="1483">
        <f>+AM633</f>
        <v>0.84267999999999998</v>
      </c>
      <c r="AS633" s="541"/>
      <c r="AT633" s="1484">
        <f>-(AR633-AO633)/AR633</f>
        <v>-0.29016945934399768</v>
      </c>
      <c r="AU633" s="1485">
        <f>-(AR633-AP633)/AR633</f>
        <v>-0.49217971234632363</v>
      </c>
      <c r="AV633" s="16"/>
      <c r="AW633" s="16"/>
      <c r="AX633" s="19"/>
      <c r="AY633" s="20"/>
      <c r="AZ633" s="77"/>
      <c r="BA633" s="38"/>
      <c r="BB633" s="145"/>
      <c r="BC633" s="80"/>
      <c r="BD633" s="75"/>
      <c r="BE633" s="208"/>
      <c r="BF633" s="16"/>
      <c r="BG633" s="19"/>
      <c r="BH633" s="20"/>
      <c r="BI633" s="77"/>
      <c r="BJ633" s="38"/>
      <c r="BK633" s="145"/>
      <c r="BL633" s="80"/>
      <c r="BM633" s="75"/>
      <c r="BN633" s="208"/>
      <c r="BO633" s="16"/>
      <c r="BP633" s="19"/>
      <c r="BQ633" s="20"/>
      <c r="BR633" s="32"/>
      <c r="BS633" s="38"/>
      <c r="BT633" s="145"/>
      <c r="BU633" s="27"/>
      <c r="BV633" s="220"/>
      <c r="BX633" s="321"/>
      <c r="BY633" s="38"/>
    </row>
    <row r="634" spans="1:77" ht="15" customHeight="1" x14ac:dyDescent="0.2">
      <c r="A634" s="107" t="s">
        <v>192</v>
      </c>
      <c r="B634" s="56" t="s">
        <v>1606</v>
      </c>
      <c r="C634" s="637"/>
      <c r="D634" s="544">
        <v>10.025</v>
      </c>
      <c r="E634" s="1273" t="s">
        <v>3293</v>
      </c>
      <c r="F634" s="373">
        <v>1994</v>
      </c>
      <c r="G634" s="63">
        <v>0.03</v>
      </c>
      <c r="H634" s="17">
        <v>0.04</v>
      </c>
      <c r="I634" s="74">
        <v>2000</v>
      </c>
      <c r="J634" s="71">
        <f>K634</f>
        <v>1.949E-2</v>
      </c>
      <c r="K634" s="17">
        <v>1.949E-2</v>
      </c>
      <c r="L634" s="74"/>
      <c r="M634" s="71">
        <f>N634</f>
        <v>4.2349999999999999E-2</v>
      </c>
      <c r="N634" s="354">
        <v>4.2349999999999999E-2</v>
      </c>
      <c r="O634" s="1399">
        <v>2014</v>
      </c>
      <c r="P634" s="1505">
        <f>Q634</f>
        <v>6.0999999999999999E-2</v>
      </c>
      <c r="Q634" s="1508">
        <v>6.0999999999999999E-2</v>
      </c>
      <c r="R634" s="923"/>
      <c r="S634" s="71"/>
      <c r="T634" s="354"/>
      <c r="U634" s="68">
        <f>V634</f>
        <v>8.8749999999999996E-2</v>
      </c>
      <c r="V634" s="68">
        <f>0.08875</f>
        <v>8.8749999999999996E-2</v>
      </c>
      <c r="W634" s="19"/>
      <c r="X634" s="20"/>
      <c r="Y634" s="145"/>
      <c r="Z634" s="38"/>
      <c r="AA634" s="145"/>
      <c r="AB634" s="80"/>
      <c r="AC634" s="209"/>
      <c r="AD634" s="684">
        <f>AE634</f>
        <v>1.1360000000000001E-4</v>
      </c>
      <c r="AE634" s="684">
        <f>0.1136/1000</f>
        <v>1.1360000000000001E-4</v>
      </c>
      <c r="AF634" s="136"/>
      <c r="AG634" s="59"/>
      <c r="AH634" s="77"/>
      <c r="AI634" s="38"/>
      <c r="AJ634" s="145"/>
      <c r="AK634" s="80"/>
      <c r="AL634" s="215"/>
      <c r="AM634" s="509">
        <v>8.0000000000000007E-5</v>
      </c>
      <c r="AN634" s="508">
        <f>AM634</f>
        <v>8.0000000000000007E-5</v>
      </c>
      <c r="AO634" s="1533" t="s">
        <v>311</v>
      </c>
      <c r="AP634" s="1534"/>
      <c r="AQ634" s="77"/>
      <c r="AR634" s="38"/>
      <c r="AS634" s="145"/>
      <c r="AT634" s="80"/>
      <c r="AU634" s="215"/>
      <c r="AV634" s="16"/>
      <c r="AW634" s="16"/>
      <c r="AX634" s="19"/>
      <c r="AY634" s="20"/>
      <c r="AZ634" s="77"/>
      <c r="BA634" s="38"/>
      <c r="BB634" s="145"/>
      <c r="BC634" s="80"/>
      <c r="BD634" s="75"/>
      <c r="BE634" s="208"/>
      <c r="BF634" s="16"/>
      <c r="BG634" s="19"/>
      <c r="BH634" s="20"/>
      <c r="BI634" s="77"/>
      <c r="BJ634" s="38"/>
      <c r="BK634" s="145"/>
      <c r="BL634" s="80"/>
      <c r="BM634" s="75"/>
      <c r="BN634" s="208"/>
      <c r="BO634" s="16"/>
      <c r="BP634" s="19"/>
      <c r="BQ634" s="20"/>
      <c r="BR634" s="32"/>
      <c r="BS634" s="38"/>
      <c r="BT634" s="145"/>
      <c r="BU634" s="27"/>
      <c r="BV634" s="220"/>
      <c r="BX634" s="321"/>
      <c r="BY634" s="38"/>
    </row>
    <row r="635" spans="1:77" ht="15" customHeight="1" x14ac:dyDescent="0.2">
      <c r="A635" s="56" t="s">
        <v>96</v>
      </c>
      <c r="B635" s="56" t="s">
        <v>1606</v>
      </c>
      <c r="C635" s="637"/>
      <c r="D635" s="544">
        <v>26846.016</v>
      </c>
      <c r="E635" s="95" t="s">
        <v>3274</v>
      </c>
      <c r="F635" s="362"/>
      <c r="G635" s="62">
        <v>22.466999999999999</v>
      </c>
      <c r="H635" s="438">
        <v>29.347000000000001</v>
      </c>
      <c r="I635" s="74">
        <v>2000</v>
      </c>
      <c r="J635" s="68">
        <v>12.08</v>
      </c>
      <c r="K635" s="69">
        <v>24.541</v>
      </c>
      <c r="L635" s="74"/>
      <c r="M635" s="68"/>
      <c r="N635" s="356"/>
      <c r="O635" s="923"/>
      <c r="P635" s="68"/>
      <c r="Q635" s="356"/>
      <c r="R635" s="923"/>
      <c r="S635" s="68"/>
      <c r="T635" s="356"/>
      <c r="U635" s="68"/>
      <c r="V635" s="68"/>
      <c r="W635" s="19"/>
      <c r="X635" s="20"/>
      <c r="Y635" s="145"/>
      <c r="Z635" s="38"/>
      <c r="AA635" s="145"/>
      <c r="AB635" s="80"/>
      <c r="AC635" s="209"/>
      <c r="AE635" s="16"/>
      <c r="AF635" s="136"/>
      <c r="AG635" s="59"/>
      <c r="AH635" s="77"/>
      <c r="AI635" s="38"/>
      <c r="AJ635" s="145"/>
      <c r="AK635" s="80"/>
      <c r="AL635" s="215"/>
      <c r="AM635" s="205"/>
      <c r="AN635" s="16"/>
      <c r="AO635" s="1533" t="s">
        <v>311</v>
      </c>
      <c r="AP635" s="1534"/>
      <c r="AQ635" s="77"/>
      <c r="AR635" s="38"/>
      <c r="AS635" s="145"/>
      <c r="AT635" s="80"/>
      <c r="AU635" s="215"/>
      <c r="AV635" s="16"/>
      <c r="AW635" s="16"/>
      <c r="AX635" s="19"/>
      <c r="AY635" s="20"/>
      <c r="AZ635" s="77"/>
      <c r="BA635" s="38"/>
      <c r="BB635" s="145"/>
      <c r="BC635" s="80"/>
      <c r="BD635" s="75"/>
      <c r="BE635" s="208"/>
      <c r="BF635" s="16"/>
      <c r="BG635" s="19"/>
      <c r="BH635" s="20"/>
      <c r="BI635" s="77"/>
      <c r="BJ635" s="38"/>
      <c r="BK635" s="145"/>
      <c r="BL635" s="80"/>
      <c r="BM635" s="75"/>
      <c r="BN635" s="208"/>
      <c r="BO635" s="16"/>
      <c r="BP635" s="19"/>
      <c r="BQ635" s="20"/>
      <c r="BR635" s="32"/>
      <c r="BS635" s="38"/>
      <c r="BT635" s="145"/>
      <c r="BU635" s="27"/>
      <c r="BV635" s="220"/>
      <c r="BX635" s="321"/>
      <c r="BY635" s="38"/>
    </row>
    <row r="636" spans="1:77" ht="15" customHeight="1" x14ac:dyDescent="0.2">
      <c r="A636" s="56" t="s">
        <v>96</v>
      </c>
      <c r="B636" s="107" t="s">
        <v>2453</v>
      </c>
      <c r="C636" s="637"/>
      <c r="D636" s="544"/>
      <c r="E636" s="107" t="s">
        <v>371</v>
      </c>
      <c r="F636" s="362"/>
      <c r="G636" s="62"/>
      <c r="H636" s="438"/>
      <c r="I636" s="74"/>
      <c r="J636" s="68"/>
      <c r="K636" s="68"/>
      <c r="L636" s="74"/>
      <c r="M636" s="68"/>
      <c r="N636" s="356"/>
      <c r="O636" s="923"/>
      <c r="P636" s="68"/>
      <c r="Q636" s="356"/>
      <c r="R636" s="923"/>
      <c r="S636" s="68"/>
      <c r="T636" s="356"/>
      <c r="U636" s="68"/>
      <c r="V636" s="68"/>
      <c r="W636" s="19"/>
      <c r="X636" s="20"/>
      <c r="Y636" s="145"/>
      <c r="Z636" s="38"/>
      <c r="AA636" s="145"/>
      <c r="AB636" s="80"/>
      <c r="AC636" s="209"/>
      <c r="AE636" s="16"/>
      <c r="AF636" s="136"/>
      <c r="AG636" s="59"/>
      <c r="AH636" s="77"/>
      <c r="AI636" s="38"/>
      <c r="AJ636" s="145"/>
      <c r="AK636" s="80"/>
      <c r="AL636" s="215"/>
      <c r="AM636" s="205"/>
      <c r="AN636" s="16"/>
      <c r="AO636" s="820"/>
      <c r="AP636" s="821"/>
      <c r="AQ636" s="77"/>
      <c r="AR636" s="38"/>
      <c r="AS636" s="145"/>
      <c r="AT636" s="80"/>
      <c r="AU636" s="215"/>
      <c r="AV636" s="16"/>
      <c r="AW636" s="16"/>
      <c r="AX636" s="19"/>
      <c r="AY636" s="20"/>
      <c r="AZ636" s="77"/>
      <c r="BA636" s="38"/>
      <c r="BB636" s="145"/>
      <c r="BC636" s="80"/>
      <c r="BD636" s="75"/>
      <c r="BE636" s="208"/>
      <c r="BF636" s="16"/>
      <c r="BG636" s="19"/>
      <c r="BH636" s="20"/>
      <c r="BI636" s="77"/>
      <c r="BJ636" s="38"/>
      <c r="BK636" s="145"/>
      <c r="BL636" s="80"/>
      <c r="BM636" s="75"/>
      <c r="BN636" s="208"/>
      <c r="BO636" s="16"/>
      <c r="BP636" s="19"/>
      <c r="BQ636" s="20"/>
      <c r="BR636" s="32"/>
      <c r="BS636" s="38"/>
      <c r="BT636" s="145"/>
      <c r="BU636" s="27"/>
      <c r="BV636" s="220"/>
      <c r="BX636" s="321"/>
      <c r="BY636" s="38"/>
    </row>
    <row r="637" spans="1:77" ht="15" customHeight="1" x14ac:dyDescent="0.2">
      <c r="A637" s="56" t="s">
        <v>32</v>
      </c>
      <c r="B637" s="56" t="s">
        <v>1606</v>
      </c>
      <c r="C637" s="637"/>
      <c r="D637" s="544">
        <v>4368.1360000000004</v>
      </c>
      <c r="E637" s="624" t="s">
        <v>3200</v>
      </c>
      <c r="F637" s="602"/>
      <c r="G637" s="62">
        <v>34.506</v>
      </c>
      <c r="H637" s="61">
        <v>65.668000000000006</v>
      </c>
      <c r="I637" s="608"/>
      <c r="J637" s="62">
        <v>54.465000000000003</v>
      </c>
      <c r="K637" s="775">
        <v>85.921999999999997</v>
      </c>
      <c r="L637" s="608"/>
      <c r="M637" s="62">
        <v>47.805</v>
      </c>
      <c r="N637" s="62">
        <v>78.965000000000003</v>
      </c>
      <c r="O637" s="603"/>
      <c r="P637" s="62">
        <v>56.895000000000003</v>
      </c>
      <c r="Q637" s="355">
        <v>80.852999999999994</v>
      </c>
      <c r="R637" s="603"/>
      <c r="S637" s="62"/>
      <c r="T637" s="355"/>
      <c r="U637" s="62">
        <v>80.400000000000006</v>
      </c>
      <c r="V637" s="61">
        <v>83.5</v>
      </c>
      <c r="W637" s="19">
        <f>AA637*(1+AB637)</f>
        <v>5.9101200000000007E-2</v>
      </c>
      <c r="X637" s="20">
        <f>AA637*(1+AC637)</f>
        <v>5.2534400000000009E-2</v>
      </c>
      <c r="Y637" s="50">
        <v>1990</v>
      </c>
      <c r="Z637" s="50"/>
      <c r="AA637" s="31">
        <f>H637/1000</f>
        <v>6.5668000000000004E-2</v>
      </c>
      <c r="AB637" s="395">
        <v>-0.1</v>
      </c>
      <c r="AC637" s="1091">
        <v>-0.2</v>
      </c>
      <c r="AD637" s="208"/>
      <c r="AE637" s="387"/>
      <c r="AF637" s="388"/>
      <c r="AG637" s="389"/>
      <c r="AH637" s="390"/>
      <c r="AI637" s="433"/>
      <c r="AJ637" s="392"/>
      <c r="AK637" s="156"/>
      <c r="AL637" s="284"/>
      <c r="AM637" s="205"/>
      <c r="AN637" s="16"/>
      <c r="AO637" s="1371">
        <f>AR637*(1+AT637)</f>
        <v>2.7232500000000003E-2</v>
      </c>
      <c r="AP637" s="1372">
        <f>AR637*(1+AU637)</f>
        <v>2.7232500000000003E-2</v>
      </c>
      <c r="AQ637" s="1373">
        <v>2005</v>
      </c>
      <c r="AR637" s="1442">
        <f>+J637/1000</f>
        <v>5.4465000000000006E-2</v>
      </c>
      <c r="AS637" s="1375"/>
      <c r="AT637" s="1341">
        <v>-0.5</v>
      </c>
      <c r="AU637" s="694">
        <f>AT637</f>
        <v>-0.5</v>
      </c>
      <c r="AV637" s="16"/>
      <c r="AW637" s="16"/>
      <c r="AX637" s="19"/>
      <c r="AY637" s="20"/>
      <c r="AZ637" s="77"/>
      <c r="BA637" s="38"/>
      <c r="BB637" s="145"/>
      <c r="BC637" s="80"/>
      <c r="BD637" s="75"/>
      <c r="BE637" s="208"/>
      <c r="BF637" s="16"/>
      <c r="BG637" s="19"/>
      <c r="BH637" s="20"/>
      <c r="BI637" s="77"/>
      <c r="BJ637" s="38"/>
      <c r="BK637" s="145"/>
      <c r="BL637" s="80"/>
      <c r="BM637" s="75"/>
      <c r="BN637" s="208"/>
      <c r="BO637" s="16"/>
      <c r="BP637" s="19"/>
      <c r="BQ637" s="20"/>
      <c r="BR637" s="32"/>
      <c r="BS637" s="38"/>
      <c r="BT637" s="145"/>
      <c r="BU637" s="1251">
        <v>-1</v>
      </c>
      <c r="BV637" s="1252">
        <f>BU637</f>
        <v>-1</v>
      </c>
      <c r="BX637" s="321"/>
      <c r="BY637" s="38"/>
    </row>
    <row r="638" spans="1:77" ht="15" customHeight="1" x14ac:dyDescent="0.2">
      <c r="A638" s="56" t="s">
        <v>32</v>
      </c>
      <c r="B638" s="107"/>
      <c r="C638" s="637" t="s">
        <v>551</v>
      </c>
      <c r="D638" s="544">
        <v>1618.4</v>
      </c>
      <c r="E638" s="487" t="s">
        <v>387</v>
      </c>
      <c r="F638" s="572"/>
      <c r="G638" s="60"/>
      <c r="H638" s="61">
        <v>8.8919999999999995</v>
      </c>
      <c r="I638" s="608">
        <v>2009</v>
      </c>
      <c r="J638" s="62"/>
      <c r="K638" s="62">
        <v>10.856999999999999</v>
      </c>
      <c r="L638" s="608">
        <v>2013</v>
      </c>
      <c r="M638" s="62"/>
      <c r="N638" s="355">
        <v>10.955</v>
      </c>
      <c r="O638" s="603">
        <v>2016</v>
      </c>
      <c r="P638" s="62"/>
      <c r="Q638" s="355">
        <v>9.9214570000000002</v>
      </c>
      <c r="R638" s="603">
        <v>2016</v>
      </c>
      <c r="S638" s="62"/>
      <c r="T638" s="355">
        <v>9.9214570000000002</v>
      </c>
      <c r="U638" s="62"/>
      <c r="V638" s="62"/>
      <c r="W638" s="21">
        <f>AA638*(1+AB638)</f>
        <v>8.0027999999999992E-3</v>
      </c>
      <c r="X638" s="22">
        <f>AA638*(1+AC638)</f>
        <v>8.0027999999999992E-3</v>
      </c>
      <c r="Y638" s="50">
        <v>1990</v>
      </c>
      <c r="Z638" s="50"/>
      <c r="AA638" s="33">
        <f>H638/1000</f>
        <v>8.8919999999999989E-3</v>
      </c>
      <c r="AB638" s="395">
        <v>-0.1</v>
      </c>
      <c r="AC638" s="443">
        <f>AB638</f>
        <v>-0.1</v>
      </c>
      <c r="AD638" s="16"/>
      <c r="AE638" s="16"/>
      <c r="AF638" s="170"/>
      <c r="AG638" s="86"/>
      <c r="AH638" s="272"/>
      <c r="AI638" s="31"/>
      <c r="AJ638" s="31"/>
      <c r="AK638" s="156"/>
      <c r="AL638" s="284"/>
      <c r="AM638" s="208"/>
      <c r="AN638" s="16"/>
      <c r="AO638" s="171">
        <f>AS638*(1+AT638)</f>
        <v>1.4882185499999999E-2</v>
      </c>
      <c r="AP638" s="172">
        <f>AS638*(1+AU638)</f>
        <v>1.4882185499999999E-2</v>
      </c>
      <c r="AQ638" s="272">
        <v>2016</v>
      </c>
      <c r="AR638" s="34"/>
      <c r="AS638" s="657">
        <f>Q638/1000</f>
        <v>9.9214569999999998E-3</v>
      </c>
      <c r="AT638" s="395">
        <v>0.5</v>
      </c>
      <c r="AU638" s="443">
        <f>AT638</f>
        <v>0.5</v>
      </c>
      <c r="AV638" s="16"/>
      <c r="AW638" s="16"/>
      <c r="AX638" s="170"/>
      <c r="AY638" s="86"/>
      <c r="AZ638" s="272"/>
      <c r="BA638" s="31"/>
      <c r="BB638" s="31"/>
      <c r="BC638" s="43"/>
      <c r="BD638" s="229"/>
      <c r="BE638" s="208"/>
      <c r="BF638" s="16"/>
      <c r="BG638" s="619">
        <f>BK638*(1+BL638)</f>
        <v>5.3351999999999991E-3</v>
      </c>
      <c r="BH638" s="620">
        <f>BK638*(1+BM638)</f>
        <v>5.3351999999999991E-3</v>
      </c>
      <c r="BI638" s="617">
        <v>1990</v>
      </c>
      <c r="BJ638" s="642"/>
      <c r="BK638" s="650">
        <f>+H638/1000</f>
        <v>8.8919999999999989E-3</v>
      </c>
      <c r="BL638" s="399">
        <v>-0.4</v>
      </c>
      <c r="BM638" s="652">
        <f>BL638</f>
        <v>-0.4</v>
      </c>
      <c r="BN638" s="208"/>
      <c r="BO638" s="16"/>
      <c r="BP638" s="635">
        <f>BT638*(1+BU638)</f>
        <v>0</v>
      </c>
      <c r="BQ638" s="636">
        <f>BT638*(1+BV638)</f>
        <v>0</v>
      </c>
      <c r="BR638" s="658">
        <v>1990</v>
      </c>
      <c r="BS638" s="714"/>
      <c r="BT638" s="641">
        <f>H638/1000</f>
        <v>8.8919999999999989E-3</v>
      </c>
      <c r="BU638" s="406">
        <v>-1</v>
      </c>
      <c r="BV638" s="407">
        <f>BU638</f>
        <v>-1</v>
      </c>
      <c r="BW638" s="141"/>
      <c r="BX638" s="311"/>
      <c r="BY638" s="743"/>
    </row>
    <row r="639" spans="1:77" ht="15" customHeight="1" x14ac:dyDescent="0.2">
      <c r="A639" s="56" t="s">
        <v>32</v>
      </c>
      <c r="B639" s="56"/>
      <c r="C639" s="637" t="s">
        <v>672</v>
      </c>
      <c r="D639" s="544">
        <v>360</v>
      </c>
      <c r="E639" s="107" t="s">
        <v>631</v>
      </c>
      <c r="F639" s="604"/>
      <c r="G639" s="62"/>
      <c r="H639" s="61"/>
      <c r="I639" s="609">
        <v>2008</v>
      </c>
      <c r="J639" s="62"/>
      <c r="K639" s="62">
        <v>3.367</v>
      </c>
      <c r="L639" s="609"/>
      <c r="M639" s="62"/>
      <c r="N639" s="355"/>
      <c r="O639" s="604"/>
      <c r="P639" s="62"/>
      <c r="Q639" s="355"/>
      <c r="R639" s="604"/>
      <c r="S639" s="62"/>
      <c r="T639" s="355"/>
      <c r="U639" s="62"/>
      <c r="V639" s="62"/>
      <c r="W639" s="21">
        <f>AA639*(1+AB639)</f>
        <v>2.6936000000000004E-3</v>
      </c>
      <c r="X639" s="22">
        <f>AA639*(1+AC639)</f>
        <v>2.6936000000000004E-3</v>
      </c>
      <c r="Y639" s="50">
        <v>2008</v>
      </c>
      <c r="Z639" s="50"/>
      <c r="AA639" s="33">
        <f>K639/1000</f>
        <v>3.3670000000000002E-3</v>
      </c>
      <c r="AB639" s="395">
        <v>-0.2</v>
      </c>
      <c r="AC639" s="443">
        <f>AB639</f>
        <v>-0.2</v>
      </c>
      <c r="AD639" s="16"/>
      <c r="AE639" s="16"/>
      <c r="AF639" s="170"/>
      <c r="AG639" s="86"/>
      <c r="AH639" s="272"/>
      <c r="AI639" s="50"/>
      <c r="AJ639" s="31"/>
      <c r="AK639" s="156"/>
      <c r="AL639" s="284"/>
      <c r="AM639" s="208"/>
      <c r="AN639" s="387"/>
      <c r="AO639" s="388"/>
      <c r="AP639" s="389"/>
      <c r="AQ639" s="390"/>
      <c r="AR639" s="433"/>
      <c r="AS639" s="392"/>
      <c r="AT639" s="156"/>
      <c r="AU639" s="284"/>
      <c r="AV639" s="16"/>
      <c r="AW639" s="16"/>
      <c r="AX639" s="170"/>
      <c r="AY639" s="86"/>
      <c r="AZ639" s="272"/>
      <c r="BA639" s="50"/>
      <c r="BB639" s="31"/>
      <c r="BC639" s="156"/>
      <c r="BD639" s="341"/>
      <c r="BE639" s="208"/>
      <c r="BF639" s="16"/>
      <c r="BG639" s="170"/>
      <c r="BH639" s="86"/>
      <c r="BI639" s="272"/>
      <c r="BJ639" s="50"/>
      <c r="BK639" s="31"/>
      <c r="BL639" s="156"/>
      <c r="BM639" s="341"/>
      <c r="BN639" s="208"/>
      <c r="BO639" s="16"/>
      <c r="BP639" s="170"/>
      <c r="BQ639" s="86"/>
      <c r="BR639" s="50"/>
      <c r="BS639" s="50"/>
      <c r="BT639" s="31"/>
      <c r="BU639" s="43"/>
      <c r="BV639" s="209"/>
      <c r="BW639" s="141"/>
      <c r="BX639" s="311"/>
      <c r="BY639" s="137"/>
    </row>
    <row r="640" spans="1:77" ht="15" customHeight="1" x14ac:dyDescent="0.2">
      <c r="A640" s="56" t="s">
        <v>32</v>
      </c>
      <c r="B640" s="56"/>
      <c r="C640" s="637" t="s">
        <v>627</v>
      </c>
      <c r="D640" s="544">
        <v>84</v>
      </c>
      <c r="E640" s="161" t="s">
        <v>392</v>
      </c>
      <c r="F640" s="604"/>
      <c r="G640" s="62"/>
      <c r="H640" s="61"/>
      <c r="I640" s="609">
        <v>2001</v>
      </c>
      <c r="J640" s="62"/>
      <c r="K640" s="62">
        <v>0.47499999999999998</v>
      </c>
      <c r="L640" s="609"/>
      <c r="M640" s="62"/>
      <c r="N640" s="355"/>
      <c r="O640" s="604"/>
      <c r="P640" s="62"/>
      <c r="Q640" s="355"/>
      <c r="R640" s="604"/>
      <c r="S640" s="62"/>
      <c r="T640" s="355"/>
      <c r="U640" s="62"/>
      <c r="V640" s="62"/>
      <c r="W640" s="21">
        <f>AA640*(1+AB640)</f>
        <v>3.8000000000000002E-4</v>
      </c>
      <c r="X640" s="22">
        <f>AA640*(1+AC640)</f>
        <v>3.8000000000000002E-4</v>
      </c>
      <c r="Y640" s="50">
        <v>1990</v>
      </c>
      <c r="Z640" s="50"/>
      <c r="AA640" s="33">
        <f>K640/1000</f>
        <v>4.75E-4</v>
      </c>
      <c r="AB640" s="395">
        <v>-0.2</v>
      </c>
      <c r="AC640" s="443">
        <f>AB640</f>
        <v>-0.2</v>
      </c>
      <c r="AD640" s="16"/>
      <c r="AE640" s="16"/>
      <c r="AF640" s="170"/>
      <c r="AG640" s="86"/>
      <c r="AH640" s="272"/>
      <c r="AI640" s="50"/>
      <c r="AJ640" s="31"/>
      <c r="AK640" s="156"/>
      <c r="AL640" s="284"/>
      <c r="AM640" s="208"/>
      <c r="AN640" s="387"/>
      <c r="AO640" s="388"/>
      <c r="AP640" s="389"/>
      <c r="AQ640" s="390"/>
      <c r="AR640" s="433"/>
      <c r="AS640" s="392"/>
      <c r="AT640" s="156"/>
      <c r="AU640" s="284"/>
      <c r="AV640" s="16"/>
      <c r="AW640" s="16"/>
      <c r="AX640" s="170"/>
      <c r="AY640" s="86"/>
      <c r="AZ640" s="272"/>
      <c r="BA640" s="50"/>
      <c r="BB640" s="31"/>
      <c r="BC640" s="156"/>
      <c r="BD640" s="341"/>
      <c r="BE640" s="208"/>
      <c r="BF640" s="16"/>
      <c r="BG640" s="170"/>
      <c r="BH640" s="86"/>
      <c r="BI640" s="272"/>
      <c r="BJ640" s="50"/>
      <c r="BK640" s="31"/>
      <c r="BL640" s="156"/>
      <c r="BM640" s="341"/>
      <c r="BN640" s="208"/>
      <c r="BO640" s="16"/>
      <c r="BP640" s="170"/>
      <c r="BQ640" s="86"/>
      <c r="BR640" s="50"/>
      <c r="BS640" s="50"/>
      <c r="BT640" s="31"/>
      <c r="BU640" s="43"/>
      <c r="BV640" s="209"/>
      <c r="BW640" s="141"/>
      <c r="BX640" s="311"/>
      <c r="BY640" s="137"/>
    </row>
    <row r="641" spans="1:77" ht="15" customHeight="1" x14ac:dyDescent="0.2">
      <c r="A641" s="56" t="s">
        <v>32</v>
      </c>
      <c r="B641" s="56"/>
      <c r="C641" s="56" t="s">
        <v>3314</v>
      </c>
      <c r="D641" s="544">
        <v>77.3</v>
      </c>
      <c r="E641" s="161" t="s">
        <v>387</v>
      </c>
      <c r="F641" s="604"/>
      <c r="G641" s="62"/>
      <c r="H641" s="61"/>
      <c r="I641" s="609"/>
      <c r="J641" s="62"/>
      <c r="K641" s="62"/>
      <c r="L641" s="609"/>
      <c r="M641" s="62"/>
      <c r="N641" s="355"/>
      <c r="O641" s="604"/>
      <c r="P641" s="62"/>
      <c r="Q641" s="355">
        <v>1.5</v>
      </c>
      <c r="R641" s="604"/>
      <c r="S641" s="62"/>
      <c r="T641" s="355"/>
      <c r="U641" s="62"/>
      <c r="V641" s="62"/>
      <c r="W641" s="21"/>
      <c r="X641" s="22"/>
      <c r="Y641" s="50"/>
      <c r="Z641" s="50"/>
      <c r="AA641" s="33"/>
      <c r="AB641" s="395"/>
      <c r="AC641" s="443"/>
      <c r="AD641" s="16"/>
      <c r="AE641" s="16"/>
      <c r="AF641" s="170"/>
      <c r="AG641" s="86"/>
      <c r="AH641" s="272"/>
      <c r="AI641" s="50"/>
      <c r="AJ641" s="31"/>
      <c r="AK641" s="156"/>
      <c r="AL641" s="284"/>
      <c r="AM641" s="208"/>
      <c r="AN641" s="387"/>
      <c r="AO641" s="388"/>
      <c r="AP641" s="389"/>
      <c r="AQ641" s="390"/>
      <c r="AR641" s="433"/>
      <c r="AS641" s="392"/>
      <c r="AT641" s="156"/>
      <c r="AU641" s="284"/>
      <c r="AV641" s="16"/>
      <c r="AW641" s="16"/>
      <c r="AX641" s="170"/>
      <c r="AY641" s="86"/>
      <c r="AZ641" s="272"/>
      <c r="BA641" s="50"/>
      <c r="BB641" s="31"/>
      <c r="BC641" s="156"/>
      <c r="BD641" s="341"/>
      <c r="BE641" s="208"/>
      <c r="BF641" s="16"/>
      <c r="BG641" s="170"/>
      <c r="BH641" s="86"/>
      <c r="BI641" s="272"/>
      <c r="BJ641" s="50"/>
      <c r="BK641" s="31"/>
      <c r="BL641" s="156"/>
      <c r="BM641" s="341"/>
      <c r="BN641" s="208"/>
      <c r="BO641" s="16"/>
      <c r="BP641" s="1237">
        <f>BT641*(1+BU641)</f>
        <v>0</v>
      </c>
      <c r="BQ641" s="1238">
        <f>BT641*(1+BV641)</f>
        <v>0</v>
      </c>
      <c r="BR641" s="50">
        <v>2015</v>
      </c>
      <c r="BS641" s="50"/>
      <c r="BT641" s="40">
        <f>+Q641</f>
        <v>1.5</v>
      </c>
      <c r="BU641" s="43">
        <v>-1</v>
      </c>
      <c r="BV641" s="209">
        <f>BU641</f>
        <v>-1</v>
      </c>
      <c r="BW641" s="141"/>
      <c r="BX641" s="311"/>
      <c r="BY641" s="137"/>
    </row>
    <row r="642" spans="1:77" ht="15" customHeight="1" x14ac:dyDescent="0.2">
      <c r="A642" s="56" t="s">
        <v>32</v>
      </c>
      <c r="B642" s="56"/>
      <c r="C642" s="637" t="s">
        <v>628</v>
      </c>
      <c r="D642" s="544">
        <v>215</v>
      </c>
      <c r="E642" s="161" t="s">
        <v>468</v>
      </c>
      <c r="F642" s="604"/>
      <c r="G642" s="62"/>
      <c r="H642" s="61"/>
      <c r="I642" s="609">
        <v>2001</v>
      </c>
      <c r="J642" s="62"/>
      <c r="K642" s="63">
        <v>1.0571189999999999</v>
      </c>
      <c r="L642" s="609">
        <v>2011</v>
      </c>
      <c r="M642" s="62"/>
      <c r="N642" s="357">
        <v>1.301739</v>
      </c>
      <c r="O642" s="604">
        <v>2016</v>
      </c>
      <c r="P642" s="62"/>
      <c r="Q642" s="357">
        <v>1.0849789999999999</v>
      </c>
      <c r="R642" s="604">
        <v>2016</v>
      </c>
      <c r="S642" s="62"/>
      <c r="T642" s="357">
        <v>1.0849789999999999</v>
      </c>
      <c r="U642" s="62"/>
      <c r="V642" s="62"/>
      <c r="W642" s="1240">
        <f>AA642*(1+AB642)</f>
        <v>9.5140710000000007E-4</v>
      </c>
      <c r="X642" s="1241">
        <f>AA642*(1+AC642)</f>
        <v>9.5140710000000007E-4</v>
      </c>
      <c r="Y642" s="762">
        <v>2001</v>
      </c>
      <c r="Z642" s="762"/>
      <c r="AA642" s="1242">
        <f>K642/1000</f>
        <v>1.057119E-3</v>
      </c>
      <c r="AB642" s="394">
        <v>-0.1</v>
      </c>
      <c r="AC642" s="1243">
        <f>AB642</f>
        <v>-0.1</v>
      </c>
      <c r="AD642" s="16"/>
      <c r="AE642" s="16"/>
      <c r="AF642" s="170"/>
      <c r="AG642" s="86"/>
      <c r="AH642" s="272"/>
      <c r="AI642" s="50"/>
      <c r="AJ642" s="31"/>
      <c r="AK642" s="156"/>
      <c r="AL642" s="284"/>
      <c r="AM642" s="208"/>
      <c r="AN642" s="387"/>
      <c r="AO642" s="171">
        <f>AS642*(1+AT642)</f>
        <v>6.0255783000000003E-4</v>
      </c>
      <c r="AP642" s="172">
        <f>AS642*(1+AU642)</f>
        <v>6.0255783000000003E-4</v>
      </c>
      <c r="AQ642" s="272">
        <v>2001</v>
      </c>
      <c r="AR642" s="34"/>
      <c r="AS642" s="657">
        <f>K642/1000</f>
        <v>1.057119E-3</v>
      </c>
      <c r="AT642" s="395">
        <v>-0.43</v>
      </c>
      <c r="AU642" s="443">
        <f>AT642</f>
        <v>-0.43</v>
      </c>
      <c r="AV642" s="16"/>
      <c r="AW642" s="16"/>
      <c r="AX642" s="170"/>
      <c r="AY642" s="86"/>
      <c r="AZ642" s="272"/>
      <c r="BA642" s="50"/>
      <c r="BB642" s="31"/>
      <c r="BC642" s="156"/>
      <c r="BD642" s="341"/>
      <c r="BE642" s="208"/>
      <c r="BF642" s="16"/>
      <c r="BG642" s="635">
        <f>BK642*(1+BL642)</f>
        <v>3.3827807999999997E-4</v>
      </c>
      <c r="BH642" s="636">
        <f>BK642*(1+BM642)</f>
        <v>3.3827807999999997E-4</v>
      </c>
      <c r="BI642" s="658">
        <v>2001</v>
      </c>
      <c r="BJ642" s="714"/>
      <c r="BK642" s="641">
        <f>K642/1000</f>
        <v>1.057119E-3</v>
      </c>
      <c r="BL642" s="406">
        <v>-0.68</v>
      </c>
      <c r="BM642" s="407">
        <f>BL642</f>
        <v>-0.68</v>
      </c>
      <c r="BN642" s="208"/>
      <c r="BO642" s="16"/>
      <c r="BP642" s="635">
        <f>BT642*(1+BU642)</f>
        <v>0</v>
      </c>
      <c r="BQ642" s="636">
        <f>BT642*(1+BV642)</f>
        <v>0</v>
      </c>
      <c r="BR642" s="658">
        <v>2001</v>
      </c>
      <c r="BS642" s="714"/>
      <c r="BT642" s="641">
        <f>K642/1000</f>
        <v>1.057119E-3</v>
      </c>
      <c r="BU642" s="406">
        <v>-1</v>
      </c>
      <c r="BV642" s="407">
        <f>BU642</f>
        <v>-1</v>
      </c>
      <c r="BW642" s="141"/>
      <c r="BX642" s="311"/>
      <c r="BY642" s="743" t="s">
        <v>629</v>
      </c>
    </row>
    <row r="643" spans="1:77" ht="15" customHeight="1" x14ac:dyDescent="0.2">
      <c r="A643" s="107" t="s">
        <v>193</v>
      </c>
      <c r="B643" s="56" t="s">
        <v>1606</v>
      </c>
      <c r="C643" s="637"/>
      <c r="D643" s="544">
        <v>1.468</v>
      </c>
      <c r="E643" s="95" t="s">
        <v>2957</v>
      </c>
      <c r="F643" s="373">
        <v>1994</v>
      </c>
      <c r="G643" s="1365">
        <f>4.5/1000</f>
        <v>4.4999999999999997E-3</v>
      </c>
      <c r="H643" s="1366">
        <f>4.422/1000</f>
        <v>4.4219999999999997E-3</v>
      </c>
      <c r="I643" s="114"/>
      <c r="J643" s="93"/>
      <c r="K643" s="346"/>
      <c r="L643" s="114">
        <v>2009</v>
      </c>
      <c r="M643" s="494">
        <f>(5.1-0.144)/1000</f>
        <v>4.9559999999999995E-3</v>
      </c>
      <c r="N643" s="511">
        <f>5.1/1000</f>
        <v>5.0999999999999995E-3</v>
      </c>
      <c r="O643" s="1037"/>
      <c r="P643" s="494"/>
      <c r="Q643" s="356"/>
      <c r="R643" s="1037"/>
      <c r="S643" s="494"/>
      <c r="T643" s="356"/>
      <c r="U643" s="68"/>
      <c r="V643" s="68"/>
      <c r="W643" s="19"/>
      <c r="X643" s="20"/>
      <c r="Y643" s="145"/>
      <c r="Z643" s="38"/>
      <c r="AA643" s="145"/>
      <c r="AB643" s="80"/>
      <c r="AC643" s="209"/>
      <c r="AE643" s="16"/>
      <c r="AF643" s="136"/>
      <c r="AG643" s="59"/>
      <c r="AH643" s="77"/>
      <c r="AI643" s="38"/>
      <c r="AJ643" s="145"/>
      <c r="AK643" s="80"/>
      <c r="AL643" s="215"/>
      <c r="AM643" s="205"/>
      <c r="AN643" s="16"/>
      <c r="AO643" s="1533" t="s">
        <v>311</v>
      </c>
      <c r="AP643" s="1534"/>
      <c r="AQ643" s="77"/>
      <c r="AR643" s="38"/>
      <c r="AS643" s="145"/>
      <c r="AT643" s="80"/>
      <c r="AU643" s="215"/>
      <c r="AV643" s="16"/>
      <c r="AW643" s="16"/>
      <c r="AX643" s="19"/>
      <c r="AY643" s="20"/>
      <c r="AZ643" s="77"/>
      <c r="BA643" s="38"/>
      <c r="BB643" s="145"/>
      <c r="BC643" s="80"/>
      <c r="BD643" s="75"/>
      <c r="BE643" s="208"/>
      <c r="BF643" s="16"/>
      <c r="BG643" s="19"/>
      <c r="BH643" s="20"/>
      <c r="BI643" s="77"/>
      <c r="BJ643" s="38"/>
      <c r="BK643" s="145"/>
      <c r="BL643" s="80"/>
      <c r="BM643" s="75"/>
      <c r="BN643" s="208"/>
      <c r="BO643" s="16"/>
      <c r="BP643" s="19"/>
      <c r="BQ643" s="20"/>
      <c r="BR643" s="32"/>
      <c r="BS643" s="38"/>
      <c r="BT643" s="145"/>
      <c r="BU643" s="27"/>
      <c r="BV643" s="220"/>
      <c r="BX643" s="321" t="s">
        <v>330</v>
      </c>
      <c r="BY643" s="38"/>
    </row>
    <row r="644" spans="1:77" ht="15" customHeight="1" x14ac:dyDescent="0.2">
      <c r="A644" s="107" t="s">
        <v>161</v>
      </c>
      <c r="B644" s="56" t="s">
        <v>1606</v>
      </c>
      <c r="C644" s="637"/>
      <c r="D644" s="544">
        <v>24500.52</v>
      </c>
      <c r="E644" s="107" t="s">
        <v>2099</v>
      </c>
      <c r="F644" s="362"/>
      <c r="G644" s="62">
        <v>193.489</v>
      </c>
      <c r="H644" s="69">
        <f>G644+13.726</f>
        <v>207.215</v>
      </c>
      <c r="I644" s="74">
        <v>2002</v>
      </c>
      <c r="J644" s="68">
        <v>71.036000000000001</v>
      </c>
      <c r="K644" s="69">
        <f>J644+19.309</f>
        <v>90.344999999999999</v>
      </c>
      <c r="L644" s="74"/>
      <c r="M644" s="68"/>
      <c r="N644" s="356"/>
      <c r="O644" s="923"/>
      <c r="P644" s="68"/>
      <c r="Q644" s="356"/>
      <c r="R644" s="923"/>
      <c r="S644" s="68"/>
      <c r="T644" s="356"/>
      <c r="U644" s="68">
        <v>121.203</v>
      </c>
      <c r="V644" s="68">
        <f>U644+32.442</f>
        <v>153.64500000000001</v>
      </c>
      <c r="W644" s="19">
        <f>Z644-0.03574</f>
        <v>8.5463000000000011E-2</v>
      </c>
      <c r="X644" s="20">
        <f>W644</f>
        <v>8.5463000000000011E-2</v>
      </c>
      <c r="Y644" s="188">
        <v>2020</v>
      </c>
      <c r="Z644" s="32">
        <f>+U644/1000</f>
        <v>0.12120300000000001</v>
      </c>
      <c r="AA644" s="145"/>
      <c r="AB644" s="80"/>
      <c r="AC644" s="209"/>
      <c r="AE644" s="16"/>
      <c r="AF644" s="136"/>
      <c r="AG644" s="59"/>
      <c r="AH644" s="77"/>
      <c r="AI644" s="38"/>
      <c r="AJ644" s="145"/>
      <c r="AK644" s="80"/>
      <c r="AL644" s="215"/>
      <c r="AM644" s="205"/>
      <c r="AN644" s="16"/>
      <c r="AO644" s="136"/>
      <c r="AP644" s="59"/>
      <c r="AQ644" s="77"/>
      <c r="AR644" s="38"/>
      <c r="AS644" s="145"/>
      <c r="AT644" s="80"/>
      <c r="AU644" s="215"/>
      <c r="AV644" s="16"/>
      <c r="AW644" s="16"/>
      <c r="AX644" s="19"/>
      <c r="AY644" s="20"/>
      <c r="AZ644" s="77"/>
      <c r="BA644" s="38"/>
      <c r="BB644" s="145"/>
      <c r="BC644" s="80"/>
      <c r="BD644" s="75"/>
      <c r="BE644" s="208"/>
      <c r="BF644" s="16"/>
      <c r="BG644" s="19"/>
      <c r="BH644" s="20"/>
      <c r="BI644" s="77"/>
      <c r="BJ644" s="38"/>
      <c r="BK644" s="145"/>
      <c r="BL644" s="80"/>
      <c r="BM644" s="75"/>
      <c r="BN644" s="208"/>
      <c r="BO644" s="16"/>
      <c r="BP644" s="19"/>
      <c r="BQ644" s="20"/>
      <c r="BR644" s="32"/>
      <c r="BS644" s="38"/>
      <c r="BT644" s="145"/>
      <c r="BU644" s="27"/>
      <c r="BV644" s="220"/>
      <c r="BX644" s="321"/>
      <c r="BY644" s="38"/>
    </row>
    <row r="645" spans="1:77" ht="15" customHeight="1" x14ac:dyDescent="0.2">
      <c r="A645" s="107" t="s">
        <v>100</v>
      </c>
      <c r="B645" s="56" t="s">
        <v>1606</v>
      </c>
      <c r="C645" s="637"/>
      <c r="D645" s="544">
        <v>173149.30600000001</v>
      </c>
      <c r="E645" s="95" t="s">
        <v>3295</v>
      </c>
      <c r="F645" s="373">
        <v>1994</v>
      </c>
      <c r="G645" s="121">
        <v>181.7</v>
      </c>
      <c r="H645" s="346">
        <f>G645-6.527</f>
        <v>175.173</v>
      </c>
      <c r="I645" s="114">
        <v>2008</v>
      </c>
      <c r="J645" s="93">
        <v>329.5</v>
      </c>
      <c r="K645" s="346">
        <f>J645-9.299</f>
        <v>320.20100000000002</v>
      </c>
      <c r="L645" s="114">
        <v>2012</v>
      </c>
      <c r="M645" s="93">
        <v>374.1</v>
      </c>
      <c r="N645" s="93">
        <f>M645-9.671</f>
        <v>364.42900000000003</v>
      </c>
      <c r="O645" s="1038"/>
      <c r="P645" s="93">
        <v>405.07</v>
      </c>
      <c r="Q645" s="93">
        <f>P645-10.39</f>
        <v>394.68</v>
      </c>
      <c r="R645" s="1399">
        <v>2018</v>
      </c>
      <c r="S645" s="72">
        <v>489.87</v>
      </c>
      <c r="T645" s="378"/>
      <c r="U645" s="68"/>
      <c r="V645" s="68"/>
      <c r="W645" s="19"/>
      <c r="X645" s="20"/>
      <c r="Y645" s="145"/>
      <c r="Z645" s="38"/>
      <c r="AA645" s="145"/>
      <c r="AB645" s="80"/>
      <c r="AC645" s="209"/>
      <c r="AE645" s="16"/>
      <c r="AF645" s="136"/>
      <c r="AG645" s="59"/>
      <c r="AH645" s="77"/>
      <c r="AI645" s="38"/>
      <c r="AJ645" s="145"/>
      <c r="AK645" s="80"/>
      <c r="AL645" s="215"/>
      <c r="AM645" s="1367">
        <f>AN645-0.029</f>
        <v>1.5740000000000001</v>
      </c>
      <c r="AN645" s="49">
        <v>1.603</v>
      </c>
      <c r="AO645" s="1371">
        <f>AR645*(1+AT645)</f>
        <v>1.3379000000000001</v>
      </c>
      <c r="AP645" s="1372">
        <f>AR645*(1+AU645)</f>
        <v>0.78700000000000003</v>
      </c>
      <c r="AQ645" s="262"/>
      <c r="AR645" s="1364">
        <f>AM645</f>
        <v>1.5740000000000001</v>
      </c>
      <c r="AS645" s="1340"/>
      <c r="AT645" s="1325">
        <v>-0.15</v>
      </c>
      <c r="AU645" s="1326">
        <v>-0.5</v>
      </c>
      <c r="AV645" s="16"/>
      <c r="AW645" s="16"/>
      <c r="AX645" s="19"/>
      <c r="AY645" s="20"/>
      <c r="AZ645" s="77"/>
      <c r="BA645" s="38"/>
      <c r="BB645" s="145"/>
      <c r="BC645" s="80"/>
      <c r="BD645" s="75"/>
      <c r="BE645" s="208"/>
      <c r="BF645" s="16"/>
      <c r="BG645" s="19"/>
      <c r="BH645" s="20"/>
      <c r="BI645" s="77"/>
      <c r="BJ645" s="38"/>
      <c r="BK645" s="145"/>
      <c r="BL645" s="80"/>
      <c r="BM645" s="75"/>
      <c r="BN645" s="208"/>
      <c r="BO645" s="16"/>
      <c r="BP645" s="19"/>
      <c r="BQ645" s="20"/>
      <c r="BR645" s="32"/>
      <c r="BS645" s="38"/>
      <c r="BT645" s="145"/>
      <c r="BU645" s="80"/>
      <c r="BV645" s="215"/>
      <c r="BX645" s="321"/>
      <c r="BY645" s="38"/>
    </row>
    <row r="646" spans="1:77" ht="15" customHeight="1" x14ac:dyDescent="0.2">
      <c r="A646" s="107" t="s">
        <v>194</v>
      </c>
      <c r="B646" s="56" t="s">
        <v>1606</v>
      </c>
      <c r="C646" s="637"/>
      <c r="D646" s="544">
        <v>20.47</v>
      </c>
      <c r="E646" s="107" t="s">
        <v>332</v>
      </c>
      <c r="F646" s="362">
        <v>1994</v>
      </c>
      <c r="G646" s="62">
        <v>0.3</v>
      </c>
      <c r="H646" s="69">
        <v>0.1</v>
      </c>
      <c r="I646" s="74"/>
      <c r="J646" s="437">
        <v>8.7999999999999995E-2</v>
      </c>
      <c r="K646" s="438">
        <f>J646</f>
        <v>8.7999999999999995E-2</v>
      </c>
      <c r="L646" s="74"/>
      <c r="M646" s="68"/>
      <c r="N646" s="356"/>
      <c r="O646" s="923"/>
      <c r="P646" s="68"/>
      <c r="Q646" s="356"/>
      <c r="R646" s="923"/>
      <c r="S646" s="68"/>
      <c r="T646" s="356"/>
      <c r="U646" s="68"/>
      <c r="V646" s="68"/>
      <c r="W646" s="19"/>
      <c r="X646" s="20"/>
      <c r="Y646" s="145"/>
      <c r="Z646" s="38"/>
      <c r="AA646" s="145"/>
      <c r="AB646" s="80"/>
      <c r="AC646" s="209"/>
      <c r="AD646" s="685"/>
      <c r="AE646" s="685">
        <f>0.14/1000</f>
        <v>1.4000000000000001E-4</v>
      </c>
      <c r="AF646" s="530">
        <v>6.7999999999999999E-5</v>
      </c>
      <c r="AG646" s="510">
        <v>6.7999999999999999E-5</v>
      </c>
      <c r="AH646" s="460">
        <v>2005</v>
      </c>
      <c r="AI646" s="561">
        <f>+H646/1000</f>
        <v>1E-4</v>
      </c>
      <c r="AJ646" s="560"/>
      <c r="AK646" s="1102">
        <f>(AF646-AI646)/AI646</f>
        <v>-0.32000000000000006</v>
      </c>
      <c r="AL646" s="1103">
        <f>AK646</f>
        <v>-0.32000000000000006</v>
      </c>
      <c r="AM646" s="205"/>
      <c r="AN646" s="16"/>
      <c r="AO646" s="136"/>
      <c r="AP646" s="59"/>
      <c r="AQ646" s="77"/>
      <c r="AR646" s="38"/>
      <c r="AS646" s="145"/>
      <c r="AT646" s="80"/>
      <c r="AU646" s="215"/>
      <c r="AV646" s="16"/>
      <c r="AW646" s="16"/>
      <c r="AX646" s="19"/>
      <c r="AY646" s="20"/>
      <c r="AZ646" s="77"/>
      <c r="BA646" s="38"/>
      <c r="BB646" s="145"/>
      <c r="BC646" s="80"/>
      <c r="BD646" s="75"/>
      <c r="BE646" s="208"/>
      <c r="BF646" s="16"/>
      <c r="BG646" s="19"/>
      <c r="BH646" s="20"/>
      <c r="BI646" s="77"/>
      <c r="BJ646" s="38"/>
      <c r="BK646" s="145"/>
      <c r="BL646" s="80"/>
      <c r="BM646" s="75"/>
      <c r="BN646" s="208"/>
      <c r="BO646" s="16"/>
      <c r="BP646" s="19"/>
      <c r="BQ646" s="20"/>
      <c r="BR646" s="32"/>
      <c r="BS646" s="38"/>
      <c r="BT646" s="145"/>
      <c r="BU646" s="80"/>
      <c r="BV646" s="215"/>
      <c r="BX646" s="321"/>
      <c r="BY646" s="38"/>
    </row>
    <row r="647" spans="1:77" ht="15" customHeight="1" x14ac:dyDescent="0.2">
      <c r="A647" s="580" t="s">
        <v>195</v>
      </c>
      <c r="B647" s="56" t="s">
        <v>1606</v>
      </c>
      <c r="C647" s="637"/>
      <c r="D647" s="544">
        <v>6858.9449999999997</v>
      </c>
      <c r="E647" s="624" t="s">
        <v>3198</v>
      </c>
      <c r="F647" s="373">
        <v>1994</v>
      </c>
      <c r="G647" s="121">
        <v>4.59924</v>
      </c>
      <c r="H647" s="346">
        <v>5.0122400000000003</v>
      </c>
      <c r="I647" s="114">
        <v>2000</v>
      </c>
      <c r="J647" s="93">
        <f>K647-190.62</f>
        <v>-170.53540000000001</v>
      </c>
      <c r="K647" s="346">
        <f>14.2513+0.0562*21+0.01501*310</f>
        <v>20.084600000000002</v>
      </c>
      <c r="L647" s="114"/>
      <c r="M647" s="93"/>
      <c r="N647" s="488">
        <v>5</v>
      </c>
      <c r="O647" s="1038">
        <v>2014</v>
      </c>
      <c r="P647" s="437">
        <f>Q647+2.199</f>
        <v>12.199</v>
      </c>
      <c r="Q647" s="471">
        <v>10</v>
      </c>
      <c r="R647" s="1038"/>
      <c r="S647" s="437"/>
      <c r="T647" s="471"/>
      <c r="U647" s="68"/>
      <c r="V647" s="69"/>
      <c r="W647" s="23">
        <f>Z647*(1+AB647)</f>
        <v>2.5061200000000001E-3</v>
      </c>
      <c r="X647" s="24">
        <f>Z647*(1+AC647)</f>
        <v>2.5061200000000001E-3</v>
      </c>
      <c r="Y647" s="160">
        <v>1990</v>
      </c>
      <c r="Z647" s="19">
        <f>+H647/1000</f>
        <v>5.0122400000000003E-3</v>
      </c>
      <c r="AA647" s="136"/>
      <c r="AB647" s="399">
        <v>-0.5</v>
      </c>
      <c r="AC647" s="618">
        <v>-0.5</v>
      </c>
      <c r="AD647" s="16"/>
      <c r="AE647" s="168"/>
      <c r="AF647" s="136"/>
      <c r="AG647" s="59"/>
      <c r="AH647" s="77"/>
      <c r="AI647" s="19"/>
      <c r="AJ647" s="48"/>
      <c r="AK647" s="292"/>
      <c r="AL647" s="293"/>
      <c r="AM647" s="208"/>
      <c r="AN647" s="168"/>
      <c r="AO647" s="1548" t="s">
        <v>318</v>
      </c>
      <c r="AP647" s="1549"/>
      <c r="AQ647" s="77"/>
      <c r="AR647" s="19"/>
      <c r="AS647" s="48"/>
      <c r="AT647" s="80"/>
      <c r="AU647" s="215"/>
      <c r="AV647" s="16"/>
      <c r="AW647" s="168"/>
      <c r="AX647" s="136"/>
      <c r="AY647" s="59"/>
      <c r="AZ647" s="77"/>
      <c r="BA647" s="19"/>
      <c r="BB647" s="48"/>
      <c r="BC647" s="80"/>
      <c r="BD647" s="75"/>
      <c r="BE647" s="208"/>
      <c r="BF647" s="168"/>
      <c r="BG647" s="136"/>
      <c r="BH647" s="59"/>
      <c r="BI647" s="77"/>
      <c r="BJ647" s="19"/>
      <c r="BK647" s="48"/>
      <c r="BL647" s="80"/>
      <c r="BM647" s="75"/>
      <c r="BN647" s="208"/>
      <c r="BO647" s="168"/>
      <c r="BP647" s="19"/>
      <c r="BQ647" s="20"/>
      <c r="BR647" s="160"/>
      <c r="BS647" s="19"/>
      <c r="BT647" s="48"/>
      <c r="BU647" s="82">
        <v>-1</v>
      </c>
      <c r="BV647" s="217">
        <f>BU647</f>
        <v>-1</v>
      </c>
      <c r="BW647" s="140" t="s">
        <v>222</v>
      </c>
      <c r="BX647" s="309"/>
      <c r="BY647" s="139" t="s">
        <v>215</v>
      </c>
    </row>
    <row r="648" spans="1:77" ht="15" customHeight="1" x14ac:dyDescent="0.25">
      <c r="A648" s="56" t="s">
        <v>104</v>
      </c>
      <c r="B648" s="56" t="s">
        <v>1606</v>
      </c>
      <c r="C648" s="637"/>
      <c r="D648" s="544">
        <v>93444.322</v>
      </c>
      <c r="E648" s="1273" t="s">
        <v>3216</v>
      </c>
      <c r="F648" s="362">
        <v>1994</v>
      </c>
      <c r="G648" s="62">
        <v>100.7</v>
      </c>
      <c r="H648" s="69">
        <v>100.9</v>
      </c>
      <c r="I648" s="74">
        <v>2000</v>
      </c>
      <c r="J648" s="68">
        <v>21.766999999999999</v>
      </c>
      <c r="K648" s="69">
        <f>J648+105.111</f>
        <v>126.878</v>
      </c>
      <c r="L648" s="74"/>
      <c r="M648" s="68"/>
      <c r="N648" s="356"/>
      <c r="O648" s="923"/>
      <c r="P648" s="68"/>
      <c r="Q648" s="356"/>
      <c r="R648" s="923"/>
      <c r="S648" s="68"/>
      <c r="T648" s="356"/>
      <c r="U648" s="68"/>
      <c r="V648" s="68"/>
      <c r="W648" s="19"/>
      <c r="X648" s="20"/>
      <c r="Y648" s="145"/>
      <c r="Z648" s="38"/>
      <c r="AA648" s="145"/>
      <c r="AB648" s="80"/>
      <c r="AC648" s="209"/>
      <c r="AE648" s="16"/>
      <c r="AF648" s="136"/>
      <c r="AG648" s="59"/>
      <c r="AH648" s="77"/>
      <c r="AI648" s="38"/>
      <c r="AJ648" s="145"/>
      <c r="AK648" s="80"/>
      <c r="AL648" s="215"/>
      <c r="AM648" s="205"/>
      <c r="AN648" s="20"/>
      <c r="AO648" s="1401">
        <f>AS648*(1+AT648)</f>
        <v>0.32497778700000002</v>
      </c>
      <c r="AP648" s="1402">
        <f>AS648*(1+AU648)</f>
        <v>8.3507500000000012E-2</v>
      </c>
      <c r="AQ648" s="1451"/>
      <c r="AR648" s="1406"/>
      <c r="AS648" s="1406">
        <f>3340.3/10/1000</f>
        <v>0.33403000000000005</v>
      </c>
      <c r="AT648" s="1450">
        <v>-2.7099999999999999E-2</v>
      </c>
      <c r="AU648" s="1326">
        <v>-0.75</v>
      </c>
      <c r="AV648" s="16"/>
      <c r="AW648" s="16"/>
      <c r="AX648" s="19"/>
      <c r="AY648" s="20"/>
      <c r="AZ648" s="77"/>
      <c r="BA648" s="38"/>
      <c r="BB648" s="145"/>
      <c r="BC648" s="80"/>
      <c r="BD648" s="75"/>
      <c r="BE648" s="208"/>
      <c r="BF648" s="16"/>
      <c r="BG648" s="19"/>
      <c r="BH648" s="20"/>
      <c r="BI648" s="77"/>
      <c r="BJ648" s="38"/>
      <c r="BK648" s="145"/>
      <c r="BL648" s="80"/>
      <c r="BM648" s="75"/>
      <c r="BN648" s="208"/>
      <c r="BO648" s="16"/>
      <c r="BP648" s="19"/>
      <c r="BQ648" s="20"/>
      <c r="BR648" s="32"/>
      <c r="BS648" s="38"/>
      <c r="BT648" s="145"/>
      <c r="BU648" s="80"/>
      <c r="BV648" s="215"/>
      <c r="BX648" s="321"/>
      <c r="BY648" s="38"/>
    </row>
    <row r="649" spans="1:77" ht="15" customHeight="1" x14ac:dyDescent="0.2">
      <c r="A649" s="56" t="s">
        <v>104</v>
      </c>
      <c r="B649" s="56"/>
      <c r="C649" s="637" t="s">
        <v>2265</v>
      </c>
      <c r="D649" s="544">
        <v>354.17</v>
      </c>
      <c r="E649" s="107" t="s">
        <v>387</v>
      </c>
      <c r="F649" s="362"/>
      <c r="G649" s="62"/>
      <c r="H649" s="69"/>
      <c r="I649" s="74"/>
      <c r="J649" s="68"/>
      <c r="K649" s="68">
        <v>0.42188399999999998</v>
      </c>
      <c r="L649" s="74">
        <v>2015</v>
      </c>
      <c r="M649" s="68"/>
      <c r="N649" s="354">
        <v>0.657636</v>
      </c>
      <c r="O649" s="923">
        <v>2016</v>
      </c>
      <c r="P649" s="68"/>
      <c r="Q649" s="354">
        <v>0.45728799999999997</v>
      </c>
      <c r="R649" s="923">
        <v>2016</v>
      </c>
      <c r="S649" s="68"/>
      <c r="T649" s="354">
        <v>0.45728799999999997</v>
      </c>
      <c r="U649" s="68"/>
      <c r="V649" s="68"/>
      <c r="W649" s="633"/>
      <c r="X649" s="634"/>
      <c r="Y649" s="1170"/>
      <c r="Z649" s="1170"/>
      <c r="AA649" s="1171"/>
      <c r="AB649" s="1172"/>
      <c r="AC649" s="1173"/>
      <c r="AE649" s="16"/>
      <c r="AF649" s="677"/>
      <c r="AG649" s="678"/>
      <c r="AH649" s="617"/>
      <c r="AI649" s="428"/>
      <c r="AJ649" s="714"/>
      <c r="AK649" s="965"/>
      <c r="AL649" s="747"/>
      <c r="AM649" s="205"/>
      <c r="AN649" s="16"/>
      <c r="AO649" s="171">
        <f>AS649*(1+AT649)</f>
        <v>3.1641299999999998E-4</v>
      </c>
      <c r="AP649" s="172">
        <f>AS649*(1+AU649)</f>
        <v>3.1641299999999998E-4</v>
      </c>
      <c r="AQ649" s="272">
        <v>2010</v>
      </c>
      <c r="AR649" s="34"/>
      <c r="AS649" s="657">
        <f>K649/1000</f>
        <v>4.2188399999999997E-4</v>
      </c>
      <c r="AT649" s="395">
        <v>-0.25</v>
      </c>
      <c r="AU649" s="443">
        <f>AT649</f>
        <v>-0.25</v>
      </c>
      <c r="AV649" s="16"/>
      <c r="AW649" s="16"/>
      <c r="AX649" s="19"/>
      <c r="AY649" s="20"/>
      <c r="AZ649" s="77"/>
      <c r="BA649" s="38"/>
      <c r="BB649" s="145"/>
      <c r="BC649" s="80"/>
      <c r="BD649" s="75"/>
      <c r="BE649" s="208"/>
      <c r="BF649" s="16"/>
      <c r="BG649" s="19"/>
      <c r="BH649" s="20"/>
      <c r="BI649" s="77"/>
      <c r="BJ649" s="38"/>
      <c r="BK649" s="145"/>
      <c r="BL649" s="80"/>
      <c r="BM649" s="75"/>
      <c r="BN649" s="208"/>
      <c r="BO649" s="16"/>
      <c r="BP649" s="19"/>
      <c r="BQ649" s="20"/>
      <c r="BR649" s="32"/>
      <c r="BS649" s="38"/>
      <c r="BT649" s="145"/>
      <c r="BU649" s="80"/>
      <c r="BV649" s="215"/>
      <c r="BX649" s="321"/>
      <c r="BY649" s="38"/>
    </row>
    <row r="650" spans="1:77" ht="15" customHeight="1" x14ac:dyDescent="0.2">
      <c r="A650" s="56" t="s">
        <v>104</v>
      </c>
      <c r="B650" s="56"/>
      <c r="C650" s="637" t="s">
        <v>2266</v>
      </c>
      <c r="D650" s="544">
        <v>529</v>
      </c>
      <c r="E650" s="107" t="s">
        <v>387</v>
      </c>
      <c r="F650" s="362"/>
      <c r="G650" s="62"/>
      <c r="H650" s="69"/>
      <c r="I650" s="74"/>
      <c r="J650" s="68"/>
      <c r="K650" s="68"/>
      <c r="L650" s="74">
        <v>2011</v>
      </c>
      <c r="M650" s="68"/>
      <c r="N650" s="354">
        <v>1.6620170000000001</v>
      </c>
      <c r="O650" s="923">
        <v>2016</v>
      </c>
      <c r="P650" s="68"/>
      <c r="Q650" s="354">
        <v>1.6603699999999999</v>
      </c>
      <c r="R650" s="923">
        <v>2016</v>
      </c>
      <c r="S650" s="68"/>
      <c r="T650" s="354">
        <v>1.6603699999999999</v>
      </c>
      <c r="U650" s="68"/>
      <c r="V650" s="68"/>
      <c r="W650" s="89">
        <f>AA650*(1+AB650)</f>
        <v>9.639698600000001E-4</v>
      </c>
      <c r="X650" s="87">
        <f>+AA650*(1+AC650)</f>
        <v>9.639698600000001E-4</v>
      </c>
      <c r="Y650" s="53">
        <v>2011</v>
      </c>
      <c r="Z650" s="53"/>
      <c r="AA650" s="88">
        <f>N650/1000</f>
        <v>1.662017E-3</v>
      </c>
      <c r="AB650" s="399">
        <v>-0.42</v>
      </c>
      <c r="AC650" s="618">
        <f>AB650</f>
        <v>-0.42</v>
      </c>
      <c r="AE650" s="16"/>
      <c r="AF650" s="136"/>
      <c r="AG650" s="59"/>
      <c r="AH650" s="77"/>
      <c r="AI650" s="38"/>
      <c r="AJ650" s="145"/>
      <c r="AK650" s="80"/>
      <c r="AL650" s="215"/>
      <c r="AM650" s="205"/>
      <c r="AN650" s="16"/>
      <c r="AO650" s="822"/>
      <c r="AP650" s="823"/>
      <c r="AQ650" s="77"/>
      <c r="AR650" s="38"/>
      <c r="AS650" s="145"/>
      <c r="AT650" s="292"/>
      <c r="AU650" s="293"/>
      <c r="AV650" s="16"/>
      <c r="AW650" s="16"/>
      <c r="AX650" s="19"/>
      <c r="AY650" s="20"/>
      <c r="AZ650" s="77"/>
      <c r="BA650" s="38"/>
      <c r="BB650" s="145"/>
      <c r="BC650" s="80"/>
      <c r="BD650" s="75"/>
      <c r="BE650" s="208"/>
      <c r="BF650" s="16"/>
      <c r="BG650" s="19"/>
      <c r="BH650" s="20"/>
      <c r="BI650" s="77"/>
      <c r="BJ650" s="38"/>
      <c r="BK650" s="145"/>
      <c r="BL650" s="80"/>
      <c r="BM650" s="75"/>
      <c r="BN650" s="208"/>
      <c r="BO650" s="16"/>
      <c r="BP650" s="19"/>
      <c r="BQ650" s="20"/>
      <c r="BR650" s="32"/>
      <c r="BS650" s="38"/>
      <c r="BT650" s="145"/>
      <c r="BU650" s="80"/>
      <c r="BV650" s="215"/>
      <c r="BX650" s="321"/>
      <c r="BY650" s="444" t="s">
        <v>2267</v>
      </c>
    </row>
    <row r="651" spans="1:77" ht="15" customHeight="1" x14ac:dyDescent="0.2">
      <c r="A651" s="56" t="s">
        <v>104</v>
      </c>
      <c r="B651" s="56"/>
      <c r="C651" s="637" t="s">
        <v>3170</v>
      </c>
      <c r="D651" s="544">
        <v>3112.4360000000001</v>
      </c>
      <c r="E651" s="107" t="s">
        <v>387</v>
      </c>
      <c r="F651" s="362"/>
      <c r="G651" s="62"/>
      <c r="H651" s="69"/>
      <c r="I651" s="74"/>
      <c r="J651" s="68"/>
      <c r="K651" s="68"/>
      <c r="L651" s="74"/>
      <c r="M651" s="68"/>
      <c r="N651" s="354"/>
      <c r="O651" s="923">
        <v>2016</v>
      </c>
      <c r="P651" s="68"/>
      <c r="Q651" s="354">
        <v>8.0143660000000008</v>
      </c>
      <c r="R651" s="923"/>
      <c r="S651" s="68"/>
      <c r="T651" s="354"/>
      <c r="U651" s="68"/>
      <c r="V651" s="68"/>
      <c r="W651" s="89"/>
      <c r="X651" s="87"/>
      <c r="Y651" s="53"/>
      <c r="Z651" s="53"/>
      <c r="AA651" s="88"/>
      <c r="AB651" s="399"/>
      <c r="AC651" s="618"/>
      <c r="AE651" s="16"/>
      <c r="AF651" s="136"/>
      <c r="AG651" s="59"/>
      <c r="AH651" s="77"/>
      <c r="AI651" s="38"/>
      <c r="AJ651" s="145"/>
      <c r="AK651" s="80"/>
      <c r="AL651" s="215"/>
      <c r="AM651" s="205"/>
      <c r="AN651" s="16"/>
      <c r="AO651" s="171">
        <f>AS651*(1+AT651)</f>
        <v>5.6100561999999996E-3</v>
      </c>
      <c r="AP651" s="172">
        <f>AS651*(1+AU651)</f>
        <v>5.6100561999999996E-3</v>
      </c>
      <c r="AQ651" s="272">
        <v>2010</v>
      </c>
      <c r="AR651" s="34"/>
      <c r="AS651" s="657">
        <f>Q651/1000</f>
        <v>8.0143660000000002E-3</v>
      </c>
      <c r="AT651" s="395">
        <v>-0.3</v>
      </c>
      <c r="AU651" s="443">
        <f>AT651</f>
        <v>-0.3</v>
      </c>
      <c r="AV651" s="16"/>
      <c r="AW651" s="16"/>
      <c r="AX651" s="19"/>
      <c r="AY651" s="20"/>
      <c r="AZ651" s="77"/>
      <c r="BA651" s="38"/>
      <c r="BB651" s="145"/>
      <c r="BC651" s="80"/>
      <c r="BD651" s="75"/>
      <c r="BE651" s="208"/>
      <c r="BF651" s="16"/>
      <c r="BG651" s="19"/>
      <c r="BH651" s="20"/>
      <c r="BI651" s="77"/>
      <c r="BJ651" s="38"/>
      <c r="BK651" s="145"/>
      <c r="BL651" s="80"/>
      <c r="BM651" s="75"/>
      <c r="BN651" s="208"/>
      <c r="BO651" s="16"/>
      <c r="BP651" s="19"/>
      <c r="BQ651" s="20"/>
      <c r="BR651" s="32"/>
      <c r="BS651" s="38"/>
      <c r="BT651" s="145"/>
      <c r="BU651" s="80"/>
      <c r="BV651" s="215"/>
      <c r="BX651" s="321"/>
      <c r="BY651" s="444"/>
    </row>
    <row r="652" spans="1:77" ht="15" customHeight="1" x14ac:dyDescent="0.2">
      <c r="A652" s="56" t="s">
        <v>104</v>
      </c>
      <c r="B652" s="56"/>
      <c r="C652" s="637" t="s">
        <v>2736</v>
      </c>
      <c r="D652" s="544">
        <v>129.98099999999999</v>
      </c>
      <c r="E652" s="107" t="s">
        <v>392</v>
      </c>
      <c r="F652" s="362"/>
      <c r="G652" s="62"/>
      <c r="H652" s="69"/>
      <c r="I652" s="74"/>
      <c r="J652" s="68"/>
      <c r="K652" s="68"/>
      <c r="L652" s="74"/>
      <c r="M652" s="68"/>
      <c r="N652" s="354"/>
      <c r="O652" s="923">
        <v>2014</v>
      </c>
      <c r="P652" s="68"/>
      <c r="Q652" s="354">
        <v>8.8330000000000006E-2</v>
      </c>
      <c r="R652" s="923"/>
      <c r="S652" s="68"/>
      <c r="T652" s="354"/>
      <c r="U652" s="68"/>
      <c r="V652" s="68"/>
      <c r="W652" s="89"/>
      <c r="X652" s="87"/>
      <c r="Y652" s="53"/>
      <c r="Z652" s="53"/>
      <c r="AA652" s="88"/>
      <c r="AB652" s="399"/>
      <c r="AC652" s="618"/>
      <c r="AE652" s="16"/>
      <c r="AF652" s="1217">
        <f>AJ652*(1+AK652)</f>
        <v>7.9497000000000001E-5</v>
      </c>
      <c r="AG652" s="1218">
        <f>+AJ652*(1+AL652)</f>
        <v>7.9497000000000001E-5</v>
      </c>
      <c r="AH652" s="617">
        <v>2014</v>
      </c>
      <c r="AI652" s="428"/>
      <c r="AJ652" s="746">
        <f>+Q652/1000</f>
        <v>8.8330000000000003E-5</v>
      </c>
      <c r="AK652" s="965">
        <v>-0.1</v>
      </c>
      <c r="AL652" s="747">
        <f>AK652</f>
        <v>-0.1</v>
      </c>
      <c r="AM652" s="205"/>
      <c r="AN652" s="16"/>
      <c r="AO652" s="822"/>
      <c r="AP652" s="823"/>
      <c r="AQ652" s="77"/>
      <c r="AR652" s="38"/>
      <c r="AS652" s="145"/>
      <c r="AT652" s="292"/>
      <c r="AU652" s="293"/>
      <c r="AV652" s="16"/>
      <c r="AW652" s="16"/>
      <c r="AX652" s="19"/>
      <c r="AY652" s="20"/>
      <c r="AZ652" s="77"/>
      <c r="BA652" s="38"/>
      <c r="BB652" s="145"/>
      <c r="BC652" s="80"/>
      <c r="BD652" s="75"/>
      <c r="BE652" s="208"/>
      <c r="BF652" s="16"/>
      <c r="BG652" s="19"/>
      <c r="BH652" s="20"/>
      <c r="BI652" s="77"/>
      <c r="BJ652" s="38"/>
      <c r="BK652" s="145"/>
      <c r="BL652" s="80"/>
      <c r="BM652" s="75"/>
      <c r="BN652" s="208"/>
      <c r="BO652" s="16"/>
      <c r="BP652" s="19"/>
      <c r="BQ652" s="20"/>
      <c r="BR652" s="32"/>
      <c r="BS652" s="38"/>
      <c r="BT652" s="145"/>
      <c r="BU652" s="80"/>
      <c r="BV652" s="215"/>
      <c r="BX652" s="321"/>
      <c r="BY652" s="444"/>
    </row>
    <row r="653" spans="1:77" ht="15" customHeight="1" x14ac:dyDescent="0.2">
      <c r="A653" s="56" t="s">
        <v>104</v>
      </c>
      <c r="B653" s="56"/>
      <c r="C653" s="637" t="s">
        <v>626</v>
      </c>
      <c r="D653" s="544">
        <v>285</v>
      </c>
      <c r="E653" s="107"/>
      <c r="F653" s="362"/>
      <c r="G653" s="62"/>
      <c r="H653" s="69"/>
      <c r="I653" s="74"/>
      <c r="J653" s="68"/>
      <c r="K653" s="68"/>
      <c r="L653" s="74"/>
      <c r="M653" s="68"/>
      <c r="N653" s="356">
        <v>1.2330000000000001</v>
      </c>
      <c r="O653" s="923"/>
      <c r="P653" s="68"/>
      <c r="Q653" s="356"/>
      <c r="R653" s="923"/>
      <c r="S653" s="68"/>
      <c r="T653" s="356"/>
      <c r="U653" s="68"/>
      <c r="V653" s="68"/>
      <c r="W653" s="23">
        <f>AA653*(1+AB653)</f>
        <v>8.631E-4</v>
      </c>
      <c r="X653" s="24">
        <f>+AA653*(1+AC653)</f>
        <v>8.631E-4</v>
      </c>
      <c r="Y653" s="53">
        <v>2010</v>
      </c>
      <c r="Z653" s="53"/>
      <c r="AA653" s="36">
        <f>N653/1000</f>
        <v>1.2330000000000002E-3</v>
      </c>
      <c r="AB653" s="399">
        <v>-0.3</v>
      </c>
      <c r="AC653" s="618">
        <f>AB653</f>
        <v>-0.3</v>
      </c>
      <c r="AE653" s="16"/>
      <c r="AF653" s="136"/>
      <c r="AG653" s="59"/>
      <c r="AH653" s="77"/>
      <c r="AI653" s="38"/>
      <c r="AJ653" s="145"/>
      <c r="AK653" s="80"/>
      <c r="AL653" s="215"/>
      <c r="AM653" s="205"/>
      <c r="AN653" s="16"/>
      <c r="AO653" s="822"/>
      <c r="AP653" s="823"/>
      <c r="AQ653" s="77"/>
      <c r="AR653" s="38"/>
      <c r="AS653" s="145"/>
      <c r="AT653" s="292"/>
      <c r="AU653" s="293"/>
      <c r="AV653" s="16"/>
      <c r="AW653" s="16"/>
      <c r="AX653" s="19"/>
      <c r="AY653" s="20"/>
      <c r="AZ653" s="77"/>
      <c r="BA653" s="38"/>
      <c r="BB653" s="145"/>
      <c r="BC653" s="80"/>
      <c r="BD653" s="75"/>
      <c r="BE653" s="208"/>
      <c r="BF653" s="16"/>
      <c r="BG653" s="19"/>
      <c r="BH653" s="20"/>
      <c r="BI653" s="77"/>
      <c r="BJ653" s="38"/>
      <c r="BK653" s="145"/>
      <c r="BL653" s="80"/>
      <c r="BM653" s="75"/>
      <c r="BN653" s="208"/>
      <c r="BO653" s="16"/>
      <c r="BP653" s="19"/>
      <c r="BQ653" s="20"/>
      <c r="BR653" s="32"/>
      <c r="BS653" s="38"/>
      <c r="BT653" s="145"/>
      <c r="BU653" s="80"/>
      <c r="BV653" s="215"/>
      <c r="BX653" s="321"/>
      <c r="BY653" s="38"/>
    </row>
    <row r="654" spans="1:77" s="135" customFormat="1" ht="15" customHeight="1" x14ac:dyDescent="0.2">
      <c r="A654" s="117" t="s">
        <v>199</v>
      </c>
      <c r="B654" s="56" t="s">
        <v>1606</v>
      </c>
      <c r="C654" s="663"/>
      <c r="D654" s="545">
        <v>186.029</v>
      </c>
      <c r="E654" s="127" t="s">
        <v>3262</v>
      </c>
      <c r="F654" s="365">
        <v>1994</v>
      </c>
      <c r="G654" s="397">
        <v>0.47885</v>
      </c>
      <c r="H654" s="398">
        <v>0.56083000000000005</v>
      </c>
      <c r="I654" s="98"/>
      <c r="J654" s="99"/>
      <c r="K654" s="99"/>
      <c r="L654" s="98">
        <v>2007</v>
      </c>
      <c r="M654" s="99">
        <v>-0.433033</v>
      </c>
      <c r="N654" s="364">
        <v>0.35203400000000001</v>
      </c>
      <c r="O654" s="365"/>
      <c r="P654" s="99"/>
      <c r="Q654" s="364"/>
      <c r="R654" s="365"/>
      <c r="S654" s="99"/>
      <c r="T654" s="364"/>
      <c r="U654" s="99"/>
      <c r="V654" s="128"/>
      <c r="W654" s="129">
        <v>0</v>
      </c>
      <c r="X654" s="130">
        <v>0</v>
      </c>
      <c r="Y654" s="131"/>
      <c r="Z654" s="131"/>
      <c r="AA654" s="190"/>
      <c r="AB654" s="401"/>
      <c r="AC654" s="691"/>
      <c r="AD654" s="201"/>
      <c r="AE654" s="168"/>
      <c r="AF654" s="271"/>
      <c r="AG654" s="128"/>
      <c r="AH654" s="279"/>
      <c r="AI654" s="131"/>
      <c r="AJ654" s="48"/>
      <c r="AK654" s="257"/>
      <c r="AL654" s="298"/>
      <c r="AM654" s="1476"/>
      <c r="AN654" s="1477"/>
      <c r="AO654" s="78">
        <f>AS654*(1+AT654)</f>
        <v>0.26050516000000001</v>
      </c>
      <c r="AP654" s="47">
        <f>AS654*(1+AU654)</f>
        <v>0.26050516000000001</v>
      </c>
      <c r="AQ654" s="262">
        <v>2007</v>
      </c>
      <c r="AR654" s="1364"/>
      <c r="AS654" s="48">
        <f>+N654</f>
        <v>0.35203400000000001</v>
      </c>
      <c r="AT654" s="1325">
        <v>-0.26</v>
      </c>
      <c r="AU654" s="1326">
        <f>AT654</f>
        <v>-0.26</v>
      </c>
      <c r="AV654" s="201"/>
      <c r="AW654" s="168"/>
      <c r="AX654" s="271"/>
      <c r="AY654" s="128"/>
      <c r="AZ654" s="279"/>
      <c r="BA654" s="131"/>
      <c r="BB654" s="48"/>
      <c r="BC654" s="133"/>
      <c r="BD654" s="234"/>
      <c r="BE654" s="221"/>
      <c r="BF654" s="168"/>
      <c r="BG654" s="271"/>
      <c r="BH654" s="128"/>
      <c r="BI654" s="279"/>
      <c r="BJ654" s="131"/>
      <c r="BK654" s="48"/>
      <c r="BL654" s="133"/>
      <c r="BM654" s="234"/>
      <c r="BN654" s="221"/>
      <c r="BO654" s="168"/>
      <c r="BP654" s="202"/>
      <c r="BQ654" s="203"/>
      <c r="BR654" s="131"/>
      <c r="BS654" s="131"/>
      <c r="BT654" s="48"/>
      <c r="BU654" s="133"/>
      <c r="BV654" s="222"/>
      <c r="BW654" s="143" t="s">
        <v>152</v>
      </c>
      <c r="BX654" s="310"/>
      <c r="BY654" s="321" t="s">
        <v>223</v>
      </c>
    </row>
    <row r="655" spans="1:77" s="14" customFormat="1" ht="15" customHeight="1" x14ac:dyDescent="0.2">
      <c r="A655" s="56" t="s">
        <v>109</v>
      </c>
      <c r="B655" s="56" t="s">
        <v>1606</v>
      </c>
      <c r="C655" s="637"/>
      <c r="D655" s="544">
        <v>5078.9690000000001</v>
      </c>
      <c r="E655" s="95" t="s">
        <v>3351</v>
      </c>
      <c r="F655" s="362">
        <v>1994</v>
      </c>
      <c r="G655" s="62">
        <v>26.800370000000001</v>
      </c>
      <c r="H655" s="61">
        <f>G655</f>
        <v>26.800370000000001</v>
      </c>
      <c r="I655" s="67"/>
      <c r="J655" s="419">
        <v>40.9</v>
      </c>
      <c r="K655" s="419">
        <v>40.9</v>
      </c>
      <c r="L655" s="67"/>
      <c r="M655" s="62">
        <v>45.432839999999999</v>
      </c>
      <c r="N655" s="62">
        <f>M655</f>
        <v>45.432839999999999</v>
      </c>
      <c r="O655" s="362">
        <v>2014</v>
      </c>
      <c r="P655" s="62">
        <f>Q655</f>
        <v>50.90813</v>
      </c>
      <c r="Q655" s="355">
        <v>50.90813</v>
      </c>
      <c r="R655" s="373">
        <v>2018</v>
      </c>
      <c r="S655" s="121">
        <v>53.31268</v>
      </c>
      <c r="T655" s="915">
        <f>S655</f>
        <v>53.31268</v>
      </c>
      <c r="U655" s="62">
        <v>77.2</v>
      </c>
      <c r="V655" s="61">
        <v>77.2</v>
      </c>
      <c r="W655" s="1164">
        <f>AA655*(1+AB655)</f>
        <v>6.4848000000000003E-2</v>
      </c>
      <c r="X655" s="1165">
        <f>+AA655*(1+AC655)</f>
        <v>6.4848000000000003E-2</v>
      </c>
      <c r="Y655" s="53">
        <v>2020</v>
      </c>
      <c r="Z655" s="53"/>
      <c r="AA655" s="36">
        <f>V655/1000</f>
        <v>7.7200000000000005E-2</v>
      </c>
      <c r="AB655" s="1162">
        <v>-0.16</v>
      </c>
      <c r="AC655" s="1163">
        <v>-0.16</v>
      </c>
      <c r="AD655" s="168"/>
      <c r="AE655" s="168"/>
      <c r="AF655" s="263"/>
      <c r="AG655" s="177"/>
      <c r="AH655" s="274"/>
      <c r="AI655" s="53"/>
      <c r="AJ655" s="48"/>
      <c r="AK655" s="294"/>
      <c r="AL655" s="295"/>
      <c r="AM655" s="210"/>
      <c r="AN655" s="168"/>
      <c r="AO655" s="466">
        <v>4.7E-2</v>
      </c>
      <c r="AP655" s="467">
        <f>AO655</f>
        <v>4.7E-2</v>
      </c>
      <c r="AQ655" s="514">
        <v>2005</v>
      </c>
      <c r="AR655" s="464">
        <f>+K655/1000</f>
        <v>4.0899999999999999E-2</v>
      </c>
      <c r="AS655" s="48"/>
      <c r="AT655" s="294">
        <f>+(AR655-AO655)/AO655</f>
        <v>-0.12978723404255321</v>
      </c>
      <c r="AU655" s="295">
        <f>+(AR655-AP655)/AO655</f>
        <v>-0.12978723404255321</v>
      </c>
      <c r="AV655" s="168"/>
      <c r="AW655" s="168"/>
      <c r="AX655" s="263"/>
      <c r="AY655" s="177"/>
      <c r="AZ655" s="274"/>
      <c r="BA655" s="53"/>
      <c r="BB655" s="48"/>
      <c r="BC655" s="82"/>
      <c r="BD655" s="232"/>
      <c r="BE655" s="210"/>
      <c r="BF655" s="168"/>
      <c r="BG655" s="263"/>
      <c r="BH655" s="177"/>
      <c r="BI655" s="274"/>
      <c r="BJ655" s="53"/>
      <c r="BK655" s="48"/>
      <c r="BL655" s="82"/>
      <c r="BM655" s="232"/>
      <c r="BN655" s="210"/>
      <c r="BO655" s="168"/>
      <c r="BP655" s="23"/>
      <c r="BQ655" s="24"/>
      <c r="BR655" s="53"/>
      <c r="BS655" s="53"/>
      <c r="BT655" s="48"/>
      <c r="BU655" s="82"/>
      <c r="BV655" s="217"/>
      <c r="BW655" s="140" t="s">
        <v>216</v>
      </c>
      <c r="BX655" s="309"/>
      <c r="BY655" s="321" t="s">
        <v>224</v>
      </c>
    </row>
    <row r="656" spans="1:77" ht="15" customHeight="1" x14ac:dyDescent="0.2">
      <c r="A656" s="107" t="s">
        <v>202</v>
      </c>
      <c r="B656" s="56" t="s">
        <v>1606</v>
      </c>
      <c r="C656" s="637"/>
      <c r="D656" s="544">
        <v>526.447</v>
      </c>
      <c r="E656" s="95" t="s">
        <v>3253</v>
      </c>
      <c r="F656" s="362">
        <v>1994</v>
      </c>
      <c r="G656" s="62">
        <f>H656</f>
        <v>0.29437999999999998</v>
      </c>
      <c r="H656" s="69">
        <v>0.29437999999999998</v>
      </c>
      <c r="I656" s="74"/>
      <c r="J656" s="68">
        <f>K656</f>
        <v>0.49302000000000001</v>
      </c>
      <c r="K656" s="346">
        <v>0.49302000000000001</v>
      </c>
      <c r="L656" s="114"/>
      <c r="M656" s="93">
        <v>0.61860999999999999</v>
      </c>
      <c r="N656" s="378">
        <f>M656</f>
        <v>0.61860999999999999</v>
      </c>
      <c r="O656" s="1037"/>
      <c r="P656" s="437">
        <f>1.2*0.6</f>
        <v>0.72</v>
      </c>
      <c r="Q656" s="471"/>
      <c r="R656" s="1037"/>
      <c r="S656" s="437"/>
      <c r="T656" s="471"/>
      <c r="U656" s="68"/>
      <c r="V656" s="68"/>
      <c r="W656" s="19"/>
      <c r="X656" s="20"/>
      <c r="Y656" s="145"/>
      <c r="Z656" s="38"/>
      <c r="AA656" s="145"/>
      <c r="AB656" s="80"/>
      <c r="AC656" s="209"/>
      <c r="AE656" s="16"/>
      <c r="AF656" s="489">
        <f>AI656*(1+AK656)</f>
        <v>0.53200459999999994</v>
      </c>
      <c r="AG656" s="490">
        <f>AI656*(1+AL656)</f>
        <v>0.45158529999999997</v>
      </c>
      <c r="AH656" s="440">
        <v>2015</v>
      </c>
      <c r="AI656" s="441">
        <f>+M656</f>
        <v>0.61860999999999999</v>
      </c>
      <c r="AJ656" s="453"/>
      <c r="AK656" s="1325">
        <v>-0.14000000000000001</v>
      </c>
      <c r="AL656" s="293">
        <v>-0.27</v>
      </c>
      <c r="AM656" s="205"/>
      <c r="AN656" s="16"/>
      <c r="AO656" s="489">
        <f>AR656*(1+AT656)</f>
        <v>0.41446869999999997</v>
      </c>
      <c r="AP656" s="490">
        <f>AR656*(1+AU656)</f>
        <v>0.34023550000000002</v>
      </c>
      <c r="AQ656" s="440">
        <v>2015</v>
      </c>
      <c r="AR656" s="441">
        <f>+M656</f>
        <v>0.61860999999999999</v>
      </c>
      <c r="AS656" s="453"/>
      <c r="AT656" s="1325">
        <v>-0.33</v>
      </c>
      <c r="AU656" s="293">
        <v>-0.45</v>
      </c>
      <c r="AV656" s="16"/>
      <c r="AW656" s="16"/>
      <c r="AX656" s="19"/>
      <c r="AY656" s="20"/>
      <c r="AZ656" s="77"/>
      <c r="BA656" s="38"/>
      <c r="BB656" s="145"/>
      <c r="BC656" s="80"/>
      <c r="BD656" s="75"/>
      <c r="BE656" s="208"/>
      <c r="BF656" s="16"/>
      <c r="BG656" s="19"/>
      <c r="BH656" s="20"/>
      <c r="BI656" s="77"/>
      <c r="BJ656" s="38"/>
      <c r="BK656" s="145"/>
      <c r="BL656" s="80"/>
      <c r="BM656" s="75"/>
      <c r="BN656" s="208"/>
      <c r="BO656" s="16"/>
      <c r="BP656" s="19"/>
      <c r="BQ656" s="20"/>
      <c r="BR656" s="32"/>
      <c r="BS656" s="38"/>
      <c r="BT656" s="145"/>
      <c r="BU656" s="80"/>
      <c r="BV656" s="215"/>
      <c r="BX656" s="321"/>
      <c r="BY656" s="38"/>
    </row>
    <row r="657" spans="1:77" ht="15" customHeight="1" x14ac:dyDescent="0.2">
      <c r="A657" s="56" t="s">
        <v>142</v>
      </c>
      <c r="B657" s="56" t="s">
        <v>1606</v>
      </c>
      <c r="C657" s="637"/>
      <c r="D657" s="544">
        <v>48453.930999999997</v>
      </c>
      <c r="E657" s="624" t="s">
        <v>3335</v>
      </c>
      <c r="F657" s="373"/>
      <c r="G657" s="121">
        <v>259.00511999999998</v>
      </c>
      <c r="H657" s="346">
        <v>293.12365999999997</v>
      </c>
      <c r="I657" s="114"/>
      <c r="J657" s="93">
        <v>502.06885</v>
      </c>
      <c r="K657" s="93">
        <v>558.51862000000006</v>
      </c>
      <c r="L657" s="114"/>
      <c r="M657" s="93">
        <v>602.5</v>
      </c>
      <c r="N657" s="93">
        <v>656.3</v>
      </c>
      <c r="O657" s="1038"/>
      <c r="P657" s="93">
        <v>648.20000000000005</v>
      </c>
      <c r="Q657" s="378">
        <v>692.5</v>
      </c>
      <c r="R657" s="1399">
        <v>2018</v>
      </c>
      <c r="S657" s="93">
        <v>686.3</v>
      </c>
      <c r="T657" s="1308">
        <v>727.6</v>
      </c>
      <c r="U657" s="68">
        <f>V657</f>
        <v>776.1</v>
      </c>
      <c r="V657" s="69">
        <v>776.1</v>
      </c>
      <c r="W657" s="23">
        <f t="shared" ref="W657:W669" si="309">AA657*(1+AB657)</f>
        <v>0.54774999999999996</v>
      </c>
      <c r="X657" s="24">
        <f t="shared" ref="X657:X669" si="310">AA657*(1+AC657)</f>
        <v>0.54774999999999996</v>
      </c>
      <c r="Y657" s="53">
        <v>2020</v>
      </c>
      <c r="Z657" s="53"/>
      <c r="AA657" s="464">
        <v>0.78249999999999997</v>
      </c>
      <c r="AB657" s="399">
        <v>-0.3</v>
      </c>
      <c r="AC657" s="618">
        <v>-0.3</v>
      </c>
      <c r="AD657" s="168"/>
      <c r="AE657" s="422">
        <v>0.80969999999999998</v>
      </c>
      <c r="AF657" s="263"/>
      <c r="AG657" s="177"/>
      <c r="AH657" s="274"/>
      <c r="AI657" s="53"/>
      <c r="AJ657" s="36"/>
      <c r="AK657" s="294"/>
      <c r="AL657" s="295"/>
      <c r="AM657" s="456"/>
      <c r="AN657" s="387">
        <v>0.85060000000000002</v>
      </c>
      <c r="AO657" s="46">
        <f>+AR657*(1+AT657)</f>
        <v>0.55006560000000004</v>
      </c>
      <c r="AP657" s="47">
        <f>+AO657</f>
        <v>0.55006560000000004</v>
      </c>
      <c r="AQ657" s="262">
        <v>2017</v>
      </c>
      <c r="AR657" s="48">
        <f>+T657/1000</f>
        <v>0.72760000000000002</v>
      </c>
      <c r="AS657" s="1340"/>
      <c r="AT657" s="1325">
        <v>-0.24399999999999999</v>
      </c>
      <c r="AU657" s="1326">
        <f>AT657</f>
        <v>-0.24399999999999999</v>
      </c>
      <c r="AV657" s="168"/>
      <c r="AW657" s="168"/>
      <c r="AX657" s="263"/>
      <c r="AY657" s="177"/>
      <c r="AZ657" s="274"/>
      <c r="BA657" s="53"/>
      <c r="BB657" s="36"/>
      <c r="BC657" s="82"/>
      <c r="BD657" s="232"/>
      <c r="BE657" s="210"/>
      <c r="BF657" s="168"/>
      <c r="BG657" s="263"/>
      <c r="BH657" s="177"/>
      <c r="BI657" s="274"/>
      <c r="BJ657" s="53"/>
      <c r="BK657" s="36"/>
      <c r="BL657" s="82"/>
      <c r="BM657" s="232"/>
      <c r="BN657" s="210"/>
      <c r="BO657" s="168"/>
      <c r="BP657" s="23"/>
      <c r="BQ657" s="24"/>
      <c r="BR657" s="53"/>
      <c r="BS657" s="53"/>
      <c r="BT657" s="36"/>
      <c r="BU657" s="82"/>
      <c r="BV657" s="217"/>
      <c r="BW657" s="140" t="s">
        <v>275</v>
      </c>
      <c r="BX657" s="309"/>
      <c r="BY657" s="321" t="s">
        <v>1</v>
      </c>
    </row>
    <row r="658" spans="1:77" ht="15" customHeight="1" x14ac:dyDescent="0.2">
      <c r="A658" s="56" t="s">
        <v>142</v>
      </c>
      <c r="B658" s="56"/>
      <c r="C658" s="637" t="s">
        <v>2715</v>
      </c>
      <c r="D658" s="544">
        <v>308.00700000000001</v>
      </c>
      <c r="E658" s="624" t="s">
        <v>392</v>
      </c>
      <c r="F658" s="362"/>
      <c r="G658" s="62"/>
      <c r="H658" s="69"/>
      <c r="I658" s="74">
        <v>2008</v>
      </c>
      <c r="J658" s="68"/>
      <c r="K658" s="93">
        <v>2.7613560000000001</v>
      </c>
      <c r="L658" s="74"/>
      <c r="M658" s="68"/>
      <c r="N658" s="356"/>
      <c r="O658" s="923"/>
      <c r="P658" s="93"/>
      <c r="Q658" s="356"/>
      <c r="R658" s="923"/>
      <c r="S658" s="93"/>
      <c r="T658" s="356"/>
      <c r="U658" s="68"/>
      <c r="V658" s="68"/>
      <c r="W658" s="23"/>
      <c r="X658" s="24"/>
      <c r="Y658" s="53"/>
      <c r="Z658" s="53"/>
      <c r="AA658" s="464"/>
      <c r="AB658" s="399"/>
      <c r="AC658" s="618"/>
      <c r="AD658" s="168"/>
      <c r="AE658" s="422"/>
      <c r="AF658" s="677">
        <f>AJ658*(1+AK658)</f>
        <v>2.29192548E-3</v>
      </c>
      <c r="AG658" s="678">
        <f>+AJ658*(1+AL658)</f>
        <v>2.29192548E-3</v>
      </c>
      <c r="AH658" s="617">
        <v>2011</v>
      </c>
      <c r="AI658" s="428"/>
      <c r="AJ658" s="714">
        <f>+K658/1000</f>
        <v>2.761356E-3</v>
      </c>
      <c r="AK658" s="965">
        <v>-0.17</v>
      </c>
      <c r="AL658" s="747">
        <f>AK658</f>
        <v>-0.17</v>
      </c>
      <c r="AM658" s="456"/>
      <c r="AN658" s="387"/>
      <c r="AO658" s="454"/>
      <c r="AP658" s="439"/>
      <c r="AQ658" s="440"/>
      <c r="AR658" s="424"/>
      <c r="AS658" s="145"/>
      <c r="AT658" s="292"/>
      <c r="AU658" s="293"/>
      <c r="AV658" s="168"/>
      <c r="AW658" s="168"/>
      <c r="AX658" s="263"/>
      <c r="AY658" s="177"/>
      <c r="AZ658" s="274"/>
      <c r="BA658" s="53"/>
      <c r="BB658" s="36"/>
      <c r="BC658" s="82"/>
      <c r="BD658" s="232"/>
      <c r="BE658" s="210"/>
      <c r="BF658" s="168"/>
      <c r="BG658" s="263"/>
      <c r="BH658" s="177"/>
      <c r="BI658" s="274"/>
      <c r="BJ658" s="53"/>
      <c r="BK658" s="36"/>
      <c r="BL658" s="82"/>
      <c r="BM658" s="232"/>
      <c r="BN658" s="210"/>
      <c r="BO658" s="168"/>
      <c r="BP658" s="23"/>
      <c r="BQ658" s="24"/>
      <c r="BR658" s="53"/>
      <c r="BS658" s="53"/>
      <c r="BT658" s="36"/>
      <c r="BU658" s="82"/>
      <c r="BV658" s="217"/>
      <c r="BW658" s="140"/>
      <c r="BX658" s="309"/>
      <c r="BY658" s="321"/>
    </row>
    <row r="659" spans="1:77" ht="15" customHeight="1" x14ac:dyDescent="0.2">
      <c r="A659" s="56" t="s">
        <v>142</v>
      </c>
      <c r="B659" s="56"/>
      <c r="C659" s="637" t="s">
        <v>3317</v>
      </c>
      <c r="D659" s="544">
        <v>3438.71</v>
      </c>
      <c r="E659" s="624" t="s">
        <v>387</v>
      </c>
      <c r="F659" s="362"/>
      <c r="G659" s="62"/>
      <c r="H659" s="69"/>
      <c r="I659" s="74"/>
      <c r="J659" s="68"/>
      <c r="K659" s="93"/>
      <c r="L659" s="74"/>
      <c r="M659" s="68"/>
      <c r="N659" s="356"/>
      <c r="O659" s="923"/>
      <c r="P659" s="93"/>
      <c r="Q659" s="356"/>
      <c r="R659" s="923">
        <v>2017</v>
      </c>
      <c r="S659" s="93"/>
      <c r="T659" s="356">
        <v>17.888999999999999</v>
      </c>
      <c r="U659" s="68"/>
      <c r="V659" s="68"/>
      <c r="W659" s="23"/>
      <c r="X659" s="24"/>
      <c r="Y659" s="53"/>
      <c r="Z659" s="53"/>
      <c r="AA659" s="464"/>
      <c r="AB659" s="399"/>
      <c r="AC659" s="618"/>
      <c r="AD659" s="168"/>
      <c r="AE659" s="422"/>
      <c r="AF659" s="677"/>
      <c r="AG659" s="678"/>
      <c r="AH659" s="617"/>
      <c r="AI659" s="428"/>
      <c r="AJ659" s="714"/>
      <c r="AK659" s="965"/>
      <c r="AL659" s="747"/>
      <c r="AM659" s="456"/>
      <c r="AN659" s="387"/>
      <c r="AO659" s="454"/>
      <c r="AP659" s="439"/>
      <c r="AQ659" s="440"/>
      <c r="AR659" s="424"/>
      <c r="AS659" s="145"/>
      <c r="AT659" s="292"/>
      <c r="AU659" s="293"/>
      <c r="AV659" s="168"/>
      <c r="AW659" s="168"/>
      <c r="AX659" s="263"/>
      <c r="AY659" s="177"/>
      <c r="AZ659" s="274"/>
      <c r="BA659" s="53"/>
      <c r="BB659" s="36"/>
      <c r="BC659" s="82"/>
      <c r="BD659" s="232"/>
      <c r="BE659" s="210"/>
      <c r="BF659" s="168"/>
      <c r="BG659" s="263"/>
      <c r="BH659" s="177"/>
      <c r="BI659" s="274"/>
      <c r="BJ659" s="53"/>
      <c r="BK659" s="36"/>
      <c r="BL659" s="82"/>
      <c r="BM659" s="232"/>
      <c r="BN659" s="210"/>
      <c r="BO659" s="168"/>
      <c r="BP659" s="23">
        <v>0</v>
      </c>
      <c r="BQ659" s="24">
        <v>0</v>
      </c>
      <c r="BR659" s="53"/>
      <c r="BS659" s="53"/>
      <c r="BT659" s="36"/>
      <c r="BU659" s="82">
        <v>-1</v>
      </c>
      <c r="BV659" s="217">
        <v>-1</v>
      </c>
      <c r="BW659" s="140"/>
      <c r="BX659" s="309"/>
      <c r="BY659" s="321"/>
    </row>
    <row r="660" spans="1:77" ht="15" customHeight="1" x14ac:dyDescent="0.2">
      <c r="A660" s="56" t="s">
        <v>142</v>
      </c>
      <c r="B660" s="56"/>
      <c r="C660" s="637" t="s">
        <v>418</v>
      </c>
      <c r="D660" s="544">
        <v>1072</v>
      </c>
      <c r="E660" s="161" t="s">
        <v>467</v>
      </c>
      <c r="F660" s="362"/>
      <c r="G660" s="62"/>
      <c r="H660" s="69"/>
      <c r="I660" s="74"/>
      <c r="J660" s="68"/>
      <c r="K660" s="93">
        <v>7.6779602000000002</v>
      </c>
      <c r="L660" s="74"/>
      <c r="M660" s="68"/>
      <c r="N660" s="356"/>
      <c r="O660" s="923"/>
      <c r="P660" s="68"/>
      <c r="Q660" s="356"/>
      <c r="R660" s="923"/>
      <c r="S660" s="68"/>
      <c r="T660" s="356"/>
      <c r="U660" s="68"/>
      <c r="V660" s="68"/>
      <c r="W660" s="23">
        <f t="shared" si="309"/>
        <v>5.3745721399999996E-3</v>
      </c>
      <c r="X660" s="24">
        <f t="shared" si="310"/>
        <v>5.3745721399999996E-3</v>
      </c>
      <c r="Y660" s="53">
        <v>2005</v>
      </c>
      <c r="Z660" s="53"/>
      <c r="AA660" s="428">
        <f>K660/1000</f>
        <v>7.6779602000000002E-3</v>
      </c>
      <c r="AB660" s="399">
        <v>-0.3</v>
      </c>
      <c r="AC660" s="618">
        <v>-0.3</v>
      </c>
      <c r="AD660" s="168"/>
      <c r="AE660" s="422"/>
      <c r="AF660" s="263"/>
      <c r="AG660" s="177"/>
      <c r="AH660" s="274"/>
      <c r="AI660" s="53"/>
      <c r="AJ660" s="36"/>
      <c r="AK660" s="294"/>
      <c r="AL660" s="295"/>
      <c r="AM660" s="456"/>
      <c r="AN660" s="387"/>
      <c r="AO660" s="454"/>
      <c r="AP660" s="439"/>
      <c r="AQ660" s="440"/>
      <c r="AR660" s="424"/>
      <c r="AS660" s="145"/>
      <c r="AT660" s="292"/>
      <c r="AU660" s="293"/>
      <c r="AV660" s="168"/>
      <c r="AW660" s="168"/>
      <c r="AX660" s="263"/>
      <c r="AY660" s="177"/>
      <c r="AZ660" s="274"/>
      <c r="BA660" s="53"/>
      <c r="BB660" s="36"/>
      <c r="BC660" s="82"/>
      <c r="BD660" s="232"/>
      <c r="BE660" s="210"/>
      <c r="BF660" s="168"/>
      <c r="BG660" s="263"/>
      <c r="BH660" s="177"/>
      <c r="BI660" s="274"/>
      <c r="BJ660" s="53"/>
      <c r="BK660" s="36"/>
      <c r="BL660" s="82"/>
      <c r="BM660" s="232"/>
      <c r="BN660" s="210"/>
      <c r="BO660" s="168"/>
      <c r="BP660" s="23"/>
      <c r="BQ660" s="24"/>
      <c r="BR660" s="53"/>
      <c r="BS660" s="53"/>
      <c r="BT660" s="36"/>
      <c r="BU660" s="82"/>
      <c r="BV660" s="217"/>
      <c r="BW660" s="140"/>
      <c r="BX660" s="309"/>
      <c r="BY660" s="321"/>
    </row>
    <row r="661" spans="1:77" ht="15" customHeight="1" x14ac:dyDescent="0.2">
      <c r="A661" s="56" t="s">
        <v>142</v>
      </c>
      <c r="B661" s="56"/>
      <c r="C661" s="637" t="s">
        <v>3172</v>
      </c>
      <c r="D661" s="544">
        <v>166.05699999999999</v>
      </c>
      <c r="E661" s="161" t="s">
        <v>387</v>
      </c>
      <c r="F661" s="362"/>
      <c r="G661" s="62"/>
      <c r="H661" s="69"/>
      <c r="I661" s="74"/>
      <c r="J661" s="68"/>
      <c r="K661" s="93"/>
      <c r="L661" s="74"/>
      <c r="M661" s="68"/>
      <c r="N661" s="356"/>
      <c r="O661" s="923"/>
      <c r="P661" s="68"/>
      <c r="Q661" s="356"/>
      <c r="R661" s="923">
        <v>2017</v>
      </c>
      <c r="S661" s="68"/>
      <c r="T661" s="356">
        <v>73.914000000000001</v>
      </c>
      <c r="U661" s="68"/>
      <c r="V661" s="68"/>
      <c r="W661" s="23"/>
      <c r="X661" s="24"/>
      <c r="Y661" s="53"/>
      <c r="Z661" s="53"/>
      <c r="AA661" s="428"/>
      <c r="AB661" s="399"/>
      <c r="AC661" s="618"/>
      <c r="AD661" s="168"/>
      <c r="AE661" s="422"/>
      <c r="AF661" s="263"/>
      <c r="AG661" s="177"/>
      <c r="AH661" s="274"/>
      <c r="AI661" s="53"/>
      <c r="AJ661" s="36"/>
      <c r="AK661" s="294"/>
      <c r="AL661" s="295"/>
      <c r="AM661" s="456"/>
      <c r="AN661" s="387"/>
      <c r="AO661" s="454"/>
      <c r="AP661" s="439"/>
      <c r="AQ661" s="440"/>
      <c r="AR661" s="424"/>
      <c r="AS661" s="145"/>
      <c r="AT661" s="292"/>
      <c r="AU661" s="293"/>
      <c r="AV661" s="168"/>
      <c r="AW661" s="168"/>
      <c r="AX661" s="263"/>
      <c r="AY661" s="177"/>
      <c r="AZ661" s="274"/>
      <c r="BA661" s="53"/>
      <c r="BB661" s="36"/>
      <c r="BC661" s="82"/>
      <c r="BD661" s="232"/>
      <c r="BE661" s="210"/>
      <c r="BF661" s="168"/>
      <c r="BG661" s="263"/>
      <c r="BH661" s="177"/>
      <c r="BI661" s="274"/>
      <c r="BJ661" s="53"/>
      <c r="BK661" s="36"/>
      <c r="BL661" s="82"/>
      <c r="BM661" s="232"/>
      <c r="BN661" s="210"/>
      <c r="BO661" s="168"/>
      <c r="BP661" s="23"/>
      <c r="BQ661" s="24"/>
      <c r="BR661" s="53"/>
      <c r="BS661" s="53"/>
      <c r="BT661" s="36"/>
      <c r="BU661" s="82">
        <v>-1</v>
      </c>
      <c r="BV661" s="217">
        <f>BU661</f>
        <v>-1</v>
      </c>
      <c r="BW661" s="140"/>
      <c r="BX661" s="309"/>
      <c r="BY661" s="321"/>
    </row>
    <row r="662" spans="1:77" ht="15" customHeight="1" x14ac:dyDescent="0.2">
      <c r="A662" s="56" t="s">
        <v>142</v>
      </c>
      <c r="B662" s="56"/>
      <c r="C662" s="637" t="s">
        <v>623</v>
      </c>
      <c r="D662" s="544">
        <v>219</v>
      </c>
      <c r="E662" s="161" t="s">
        <v>392</v>
      </c>
      <c r="F662" s="362"/>
      <c r="G662" s="62"/>
      <c r="H662" s="69"/>
      <c r="I662" s="74"/>
      <c r="J662" s="68"/>
      <c r="K662" s="93"/>
      <c r="L662" s="74"/>
      <c r="M662" s="68"/>
      <c r="N662" s="356">
        <v>9.5470000000000006</v>
      </c>
      <c r="O662" s="923"/>
      <c r="P662" s="68"/>
      <c r="Q662" s="356"/>
      <c r="R662" s="923"/>
      <c r="S662" s="68"/>
      <c r="T662" s="356"/>
      <c r="U662" s="68"/>
      <c r="V662" s="68"/>
      <c r="W662" s="23">
        <f t="shared" si="309"/>
        <v>7.5421300000000002E-3</v>
      </c>
      <c r="X662" s="24">
        <f t="shared" si="310"/>
        <v>7.5421300000000002E-3</v>
      </c>
      <c r="Y662" s="53">
        <v>2005</v>
      </c>
      <c r="Z662" s="53"/>
      <c r="AA662" s="428">
        <f>N662/1000</f>
        <v>9.5469999999999999E-3</v>
      </c>
      <c r="AB662" s="399">
        <v>-0.21</v>
      </c>
      <c r="AC662" s="618">
        <f>AB662</f>
        <v>-0.21</v>
      </c>
      <c r="AD662" s="168"/>
      <c r="AE662" s="422"/>
      <c r="AF662" s="263"/>
      <c r="AG662" s="177"/>
      <c r="AH662" s="274"/>
      <c r="AI662" s="53"/>
      <c r="AJ662" s="36"/>
      <c r="AK662" s="294"/>
      <c r="AL662" s="295"/>
      <c r="AM662" s="456"/>
      <c r="AN662" s="387"/>
      <c r="AO662" s="454"/>
      <c r="AP662" s="439"/>
      <c r="AQ662" s="440"/>
      <c r="AR662" s="424"/>
      <c r="AS662" s="145"/>
      <c r="AT662" s="292"/>
      <c r="AU662" s="293"/>
      <c r="AV662" s="168"/>
      <c r="AW662" s="168"/>
      <c r="AX662" s="263"/>
      <c r="AY662" s="177"/>
      <c r="AZ662" s="274"/>
      <c r="BA662" s="53"/>
      <c r="BB662" s="36"/>
      <c r="BC662" s="82"/>
      <c r="BD662" s="232"/>
      <c r="BE662" s="210"/>
      <c r="BF662" s="168"/>
      <c r="BG662" s="263"/>
      <c r="BH662" s="177"/>
      <c r="BI662" s="274"/>
      <c r="BJ662" s="53"/>
      <c r="BK662" s="36"/>
      <c r="BL662" s="82"/>
      <c r="BM662" s="232"/>
      <c r="BN662" s="210"/>
      <c r="BO662" s="168"/>
      <c r="BP662" s="23"/>
      <c r="BQ662" s="24"/>
      <c r="BR662" s="53"/>
      <c r="BS662" s="53"/>
      <c r="BT662" s="36"/>
      <c r="BU662" s="82"/>
      <c r="BV662" s="217"/>
      <c r="BW662" s="140"/>
      <c r="BX662" s="309"/>
      <c r="BY662" s="321"/>
    </row>
    <row r="663" spans="1:77" ht="15" customHeight="1" x14ac:dyDescent="0.2">
      <c r="A663" s="56" t="s">
        <v>142</v>
      </c>
      <c r="B663" s="56"/>
      <c r="C663" s="637" t="s">
        <v>2275</v>
      </c>
      <c r="D663" s="544">
        <v>70</v>
      </c>
      <c r="E663" s="161" t="s">
        <v>387</v>
      </c>
      <c r="F663" s="362"/>
      <c r="G663" s="62"/>
      <c r="H663" s="69"/>
      <c r="I663" s="74"/>
      <c r="J663" s="68"/>
      <c r="K663" s="93"/>
      <c r="L663" s="74">
        <v>2008</v>
      </c>
      <c r="M663" s="68"/>
      <c r="N663" s="356">
        <v>1.1435820000000001</v>
      </c>
      <c r="O663" s="923"/>
      <c r="P663" s="68"/>
      <c r="Q663" s="356">
        <f>N663*0.8</f>
        <v>0.91486560000000017</v>
      </c>
      <c r="R663" s="923"/>
      <c r="S663" s="68"/>
      <c r="T663" s="356"/>
      <c r="U663" s="68"/>
      <c r="V663" s="68"/>
      <c r="W663" s="23"/>
      <c r="X663" s="24"/>
      <c r="Y663" s="53"/>
      <c r="Z663" s="53"/>
      <c r="AA663" s="428"/>
      <c r="AB663" s="399"/>
      <c r="AC663" s="618"/>
      <c r="AD663" s="168"/>
      <c r="AE663" s="422"/>
      <c r="AF663" s="263"/>
      <c r="AG663" s="177"/>
      <c r="AH663" s="274"/>
      <c r="AI663" s="53"/>
      <c r="AJ663" s="36"/>
      <c r="AK663" s="294"/>
      <c r="AL663" s="295"/>
      <c r="AM663" s="456"/>
      <c r="AN663" s="387"/>
      <c r="AO663" s="454"/>
      <c r="AP663" s="439"/>
      <c r="AQ663" s="440"/>
      <c r="AR663" s="424"/>
      <c r="AS663" s="145"/>
      <c r="AT663" s="292"/>
      <c r="AU663" s="293"/>
      <c r="AV663" s="168"/>
      <c r="AW663" s="168"/>
      <c r="AX663" s="263"/>
      <c r="AY663" s="177"/>
      <c r="AZ663" s="274"/>
      <c r="BA663" s="53"/>
      <c r="BB663" s="36"/>
      <c r="BC663" s="82"/>
      <c r="BD663" s="232"/>
      <c r="BE663" s="210"/>
      <c r="BF663" s="168"/>
      <c r="BG663" s="263"/>
      <c r="BH663" s="177"/>
      <c r="BI663" s="274"/>
      <c r="BJ663" s="53"/>
      <c r="BK663" s="36"/>
      <c r="BL663" s="82"/>
      <c r="BM663" s="232"/>
      <c r="BN663" s="210"/>
      <c r="BO663" s="168"/>
      <c r="BP663" s="23"/>
      <c r="BQ663" s="24"/>
      <c r="BR663" s="53"/>
      <c r="BS663" s="53"/>
      <c r="BT663" s="36"/>
      <c r="BU663" s="82"/>
      <c r="BV663" s="217"/>
      <c r="BW663" s="140"/>
      <c r="BX663" s="309"/>
      <c r="BY663" s="321"/>
    </row>
    <row r="664" spans="1:77" ht="15" customHeight="1" x14ac:dyDescent="0.2">
      <c r="A664" s="56" t="s">
        <v>142</v>
      </c>
      <c r="B664" s="56"/>
      <c r="C664" s="637" t="s">
        <v>2512</v>
      </c>
      <c r="D664" s="544">
        <v>2983.4839999999999</v>
      </c>
      <c r="E664" s="161" t="s">
        <v>387</v>
      </c>
      <c r="F664" s="362"/>
      <c r="G664" s="62"/>
      <c r="H664" s="69"/>
      <c r="I664" s="74"/>
      <c r="J664" s="68"/>
      <c r="K664" s="93"/>
      <c r="L664" s="74"/>
      <c r="M664" s="68"/>
      <c r="N664" s="356"/>
      <c r="O664" s="923">
        <v>2016</v>
      </c>
      <c r="P664" s="68"/>
      <c r="Q664" s="356">
        <v>69.794139999999999</v>
      </c>
      <c r="R664" s="923">
        <v>2016</v>
      </c>
      <c r="S664" s="68"/>
      <c r="T664" s="356">
        <v>69.794139999999999</v>
      </c>
      <c r="U664" s="68"/>
      <c r="V664" s="68"/>
      <c r="W664" s="23"/>
      <c r="X664" s="24"/>
      <c r="Y664" s="53"/>
      <c r="Z664" s="53"/>
      <c r="AA664" s="428"/>
      <c r="AB664" s="399"/>
      <c r="AC664" s="618"/>
      <c r="AD664" s="168"/>
      <c r="AE664" s="422"/>
      <c r="AF664" s="263"/>
      <c r="AG664" s="177"/>
      <c r="AH664" s="274"/>
      <c r="AI664" s="53"/>
      <c r="AJ664" s="36"/>
      <c r="AK664" s="294"/>
      <c r="AL664" s="295"/>
      <c r="AM664" s="456"/>
      <c r="AN664" s="387"/>
      <c r="AO664" s="454"/>
      <c r="AP664" s="439"/>
      <c r="AQ664" s="440"/>
      <c r="AR664" s="424"/>
      <c r="AS664" s="145"/>
      <c r="AT664" s="292"/>
      <c r="AU664" s="293"/>
      <c r="AV664" s="168"/>
      <c r="AW664" s="168"/>
      <c r="AX664" s="263"/>
      <c r="AY664" s="177"/>
      <c r="AZ664" s="274"/>
      <c r="BA664" s="53"/>
      <c r="BB664" s="36"/>
      <c r="BC664" s="82"/>
      <c r="BD664" s="232"/>
      <c r="BE664" s="210"/>
      <c r="BF664" s="168"/>
      <c r="BG664" s="263"/>
      <c r="BH664" s="177"/>
      <c r="BI664" s="274"/>
      <c r="BJ664" s="53"/>
      <c r="BK664" s="36"/>
      <c r="BL664" s="82"/>
      <c r="BM664" s="232"/>
      <c r="BN664" s="210"/>
      <c r="BO664" s="168"/>
      <c r="BP664" s="23"/>
      <c r="BQ664" s="24"/>
      <c r="BR664" s="53"/>
      <c r="BS664" s="53"/>
      <c r="BT664" s="36"/>
      <c r="BU664" s="82"/>
      <c r="BV664" s="217"/>
      <c r="BW664" s="140"/>
      <c r="BX664" s="309"/>
      <c r="BY664" s="321"/>
    </row>
    <row r="665" spans="1:77" ht="15" customHeight="1" x14ac:dyDescent="0.2">
      <c r="A665" s="56" t="s">
        <v>142</v>
      </c>
      <c r="B665" s="56"/>
      <c r="C665" s="637" t="s">
        <v>624</v>
      </c>
      <c r="D665" s="544">
        <v>44</v>
      </c>
      <c r="E665" s="161" t="s">
        <v>392</v>
      </c>
      <c r="F665" s="362"/>
      <c r="G665" s="62"/>
      <c r="H665" s="69"/>
      <c r="I665" s="74"/>
      <c r="J665" s="68"/>
      <c r="K665" s="93"/>
      <c r="L665" s="74"/>
      <c r="M665" s="68"/>
      <c r="N665" s="356">
        <v>0.45200000000000001</v>
      </c>
      <c r="O665" s="923"/>
      <c r="P665" s="68"/>
      <c r="Q665" s="356"/>
      <c r="R665" s="923"/>
      <c r="S665" s="68"/>
      <c r="T665" s="356"/>
      <c r="U665" s="68"/>
      <c r="V665" s="68"/>
      <c r="W665" s="89">
        <f t="shared" si="309"/>
        <v>3.1639999999999999E-4</v>
      </c>
      <c r="X665" s="87">
        <f t="shared" si="310"/>
        <v>3.1639999999999999E-4</v>
      </c>
      <c r="Y665" s="53">
        <v>2010</v>
      </c>
      <c r="Z665" s="53"/>
      <c r="AA665" s="681">
        <f>N665/1000</f>
        <v>4.5200000000000004E-4</v>
      </c>
      <c r="AB665" s="399">
        <v>-0.3</v>
      </c>
      <c r="AC665" s="618">
        <f>AB665</f>
        <v>-0.3</v>
      </c>
      <c r="AD665" s="168"/>
      <c r="AE665" s="422"/>
      <c r="AF665" s="263"/>
      <c r="AG665" s="177"/>
      <c r="AH665" s="274"/>
      <c r="AI665" s="53"/>
      <c r="AJ665" s="36"/>
      <c r="AK665" s="294"/>
      <c r="AL665" s="295"/>
      <c r="AM665" s="456"/>
      <c r="AN665" s="387"/>
      <c r="AO665" s="454"/>
      <c r="AP665" s="439"/>
      <c r="AQ665" s="440"/>
      <c r="AR665" s="424"/>
      <c r="AS665" s="145"/>
      <c r="AT665" s="292"/>
      <c r="AU665" s="293"/>
      <c r="AV665" s="168"/>
      <c r="AW665" s="168"/>
      <c r="AX665" s="263"/>
      <c r="AY665" s="177"/>
      <c r="AZ665" s="274"/>
      <c r="BA665" s="53"/>
      <c r="BB665" s="36"/>
      <c r="BC665" s="82"/>
      <c r="BD665" s="232"/>
      <c r="BE665" s="210"/>
      <c r="BF665" s="168"/>
      <c r="BG665" s="263"/>
      <c r="BH665" s="177"/>
      <c r="BI665" s="274"/>
      <c r="BJ665" s="53"/>
      <c r="BK665" s="36"/>
      <c r="BL665" s="82"/>
      <c r="BM665" s="232"/>
      <c r="BN665" s="210"/>
      <c r="BO665" s="168"/>
      <c r="BP665" s="23"/>
      <c r="BQ665" s="24"/>
      <c r="BR665" s="53"/>
      <c r="BS665" s="53"/>
      <c r="BT665" s="36"/>
      <c r="BU665" s="82"/>
      <c r="BV665" s="217"/>
      <c r="BW665" s="140"/>
      <c r="BX665" s="309"/>
      <c r="BY665" s="321"/>
    </row>
    <row r="666" spans="1:77" ht="15" customHeight="1" x14ac:dyDescent="0.2">
      <c r="A666" s="56" t="s">
        <v>142</v>
      </c>
      <c r="B666" s="56"/>
      <c r="C666" s="637" t="s">
        <v>422</v>
      </c>
      <c r="D666" s="544">
        <v>10010.983</v>
      </c>
      <c r="E666" s="161" t="s">
        <v>2274</v>
      </c>
      <c r="F666" s="362"/>
      <c r="G666" s="62"/>
      <c r="H666" s="69">
        <v>47.415999999999997</v>
      </c>
      <c r="I666" s="74"/>
      <c r="J666" s="68"/>
      <c r="K666" s="93">
        <v>49.445</v>
      </c>
      <c r="L666" s="74">
        <v>2011</v>
      </c>
      <c r="M666" s="68"/>
      <c r="N666" s="356">
        <v>49.008229999999998</v>
      </c>
      <c r="O666" s="923">
        <v>2016</v>
      </c>
      <c r="P666" s="68"/>
      <c r="Q666" s="356">
        <v>47.612664000000002</v>
      </c>
      <c r="R666" s="923">
        <v>2016</v>
      </c>
      <c r="S666" s="68"/>
      <c r="T666" s="356">
        <v>47.612664000000002</v>
      </c>
      <c r="U666" s="68"/>
      <c r="V666" s="68"/>
      <c r="W666" s="170">
        <f t="shared" si="309"/>
        <v>3.7083749999999999E-2</v>
      </c>
      <c r="X666" s="86">
        <f t="shared" si="310"/>
        <v>3.7083749999999999E-2</v>
      </c>
      <c r="Y666" s="272">
        <v>2005</v>
      </c>
      <c r="Z666" s="34"/>
      <c r="AA666" s="442">
        <f>+K666/1000</f>
        <v>4.9445000000000003E-2</v>
      </c>
      <c r="AB666" s="395">
        <v>-0.25</v>
      </c>
      <c r="AC666" s="443">
        <f>AB666</f>
        <v>-0.25</v>
      </c>
      <c r="AD666" s="168"/>
      <c r="AE666" s="422"/>
      <c r="AF666" s="263"/>
      <c r="AG666" s="177"/>
      <c r="AH666" s="274"/>
      <c r="AI666" s="53"/>
      <c r="AJ666" s="36"/>
      <c r="AK666" s="294"/>
      <c r="AL666" s="295"/>
      <c r="AM666" s="456"/>
      <c r="AN666" s="387"/>
      <c r="AO666" s="171">
        <f>AS666*(1+AT666)</f>
        <v>2.9666999999999999E-2</v>
      </c>
      <c r="AP666" s="172">
        <f>AS666*(1+AU666)</f>
        <v>2.9666999999999999E-2</v>
      </c>
      <c r="AQ666" s="272">
        <v>2005</v>
      </c>
      <c r="AR666" s="34"/>
      <c r="AS666" s="657">
        <f>K666/1000</f>
        <v>4.9445000000000003E-2</v>
      </c>
      <c r="AT666" s="395">
        <v>-0.4</v>
      </c>
      <c r="AU666" s="443">
        <f>AT666</f>
        <v>-0.4</v>
      </c>
      <c r="AV666" s="168"/>
      <c r="AW666" s="168"/>
      <c r="AX666" s="263"/>
      <c r="AY666" s="177"/>
      <c r="AZ666" s="274"/>
      <c r="BA666" s="53"/>
      <c r="BB666" s="36"/>
      <c r="BC666" s="82"/>
      <c r="BD666" s="232"/>
      <c r="BE666" s="210"/>
      <c r="BF666" s="168"/>
      <c r="BG666" s="263"/>
      <c r="BH666" s="177"/>
      <c r="BI666" s="274"/>
      <c r="BJ666" s="53"/>
      <c r="BK666" s="36"/>
      <c r="BL666" s="82"/>
      <c r="BM666" s="232"/>
      <c r="BN666" s="210"/>
      <c r="BO666" s="168"/>
      <c r="BP666" s="23"/>
      <c r="BQ666" s="24"/>
      <c r="BR666" s="53"/>
      <c r="BS666" s="53"/>
      <c r="BT666" s="36"/>
      <c r="BU666" s="82">
        <v>-1</v>
      </c>
      <c r="BV666" s="217">
        <f>BU666</f>
        <v>-1</v>
      </c>
      <c r="BW666" s="140"/>
      <c r="BX666" s="309"/>
      <c r="BY666" s="321"/>
    </row>
    <row r="667" spans="1:77" ht="15" customHeight="1" x14ac:dyDescent="0.2">
      <c r="A667" s="56" t="s">
        <v>142</v>
      </c>
      <c r="B667" s="56"/>
      <c r="C667" s="637" t="s">
        <v>2276</v>
      </c>
      <c r="D667" s="544">
        <v>1235.0930000000001</v>
      </c>
      <c r="E667" s="161" t="s">
        <v>387</v>
      </c>
      <c r="F667" s="362"/>
      <c r="G667" s="62"/>
      <c r="H667" s="69"/>
      <c r="I667" s="74"/>
      <c r="J667" s="68"/>
      <c r="K667" s="93">
        <v>5.8280209999999997</v>
      </c>
      <c r="L667" s="74"/>
      <c r="M667" s="68"/>
      <c r="N667" s="356"/>
      <c r="O667" s="923">
        <v>2016</v>
      </c>
      <c r="P667" s="68"/>
      <c r="Q667" s="356">
        <v>5.7751549999999998</v>
      </c>
      <c r="R667" s="923">
        <v>2016</v>
      </c>
      <c r="S667" s="68"/>
      <c r="T667" s="356">
        <v>5.7751549999999998</v>
      </c>
      <c r="U667" s="68"/>
      <c r="V667" s="68"/>
      <c r="W667" s="171">
        <f t="shared" ref="W667" si="311">AA667*(1+AB667)</f>
        <v>4.6624168000000002E-3</v>
      </c>
      <c r="X667" s="172">
        <f t="shared" ref="X667" si="312">AA667*(1+AC667)</f>
        <v>4.6624168000000002E-3</v>
      </c>
      <c r="Y667" s="272">
        <v>2005</v>
      </c>
      <c r="Z667" s="34"/>
      <c r="AA667" s="657">
        <f>+K667/1000</f>
        <v>5.8280210000000001E-3</v>
      </c>
      <c r="AB667" s="395">
        <v>-0.2</v>
      </c>
      <c r="AC667" s="443">
        <f>AB667</f>
        <v>-0.2</v>
      </c>
      <c r="AD667" s="168"/>
      <c r="AE667" s="422"/>
      <c r="AF667" s="263"/>
      <c r="AG667" s="177"/>
      <c r="AH667" s="274"/>
      <c r="AI667" s="53"/>
      <c r="AJ667" s="36"/>
      <c r="AK667" s="294"/>
      <c r="AL667" s="295"/>
      <c r="AM667" s="456"/>
      <c r="AN667" s="387"/>
      <c r="AO667" s="171">
        <f>AS667*(1+AT667)</f>
        <v>3.4968126E-3</v>
      </c>
      <c r="AP667" s="172">
        <f>AS667*(1+AU667)</f>
        <v>3.4968126E-3</v>
      </c>
      <c r="AQ667" s="272">
        <v>2005</v>
      </c>
      <c r="AR667" s="34"/>
      <c r="AS667" s="657">
        <f>K667/1000</f>
        <v>5.8280210000000001E-3</v>
      </c>
      <c r="AT667" s="395">
        <v>-0.4</v>
      </c>
      <c r="AU667" s="443">
        <f>AT667</f>
        <v>-0.4</v>
      </c>
      <c r="AV667" s="168"/>
      <c r="AW667" s="168"/>
      <c r="AX667" s="263"/>
      <c r="AY667" s="177"/>
      <c r="AZ667" s="274"/>
      <c r="BA667" s="53"/>
      <c r="BB667" s="36"/>
      <c r="BC667" s="82"/>
      <c r="BD667" s="232"/>
      <c r="BE667" s="210"/>
      <c r="BF667" s="168"/>
      <c r="BG667" s="263"/>
      <c r="BH667" s="177"/>
      <c r="BI667" s="274"/>
      <c r="BJ667" s="53"/>
      <c r="BK667" s="36"/>
      <c r="BL667" s="82"/>
      <c r="BM667" s="232"/>
      <c r="BN667" s="210"/>
      <c r="BO667" s="168"/>
      <c r="BP667" s="23"/>
      <c r="BQ667" s="24"/>
      <c r="BR667" s="53"/>
      <c r="BS667" s="53"/>
      <c r="BT667" s="36"/>
      <c r="BU667" s="82"/>
      <c r="BV667" s="217"/>
      <c r="BW667" s="140"/>
      <c r="BX667" s="309"/>
      <c r="BY667" s="321"/>
    </row>
    <row r="668" spans="1:77" ht="15" customHeight="1" x14ac:dyDescent="0.2">
      <c r="A668" s="56" t="s">
        <v>142</v>
      </c>
      <c r="B668" s="56"/>
      <c r="C668" s="637" t="s">
        <v>2224</v>
      </c>
      <c r="D668" s="544">
        <v>52</v>
      </c>
      <c r="E668" s="161" t="s">
        <v>387</v>
      </c>
      <c r="F668" s="362"/>
      <c r="G668" s="62"/>
      <c r="H668" s="69"/>
      <c r="I668" s="74"/>
      <c r="J668" s="68"/>
      <c r="K668" s="93"/>
      <c r="L668" s="74">
        <v>2009</v>
      </c>
      <c r="M668" s="68"/>
      <c r="N668" s="354">
        <v>0.23049700000000001</v>
      </c>
      <c r="O668" s="923"/>
      <c r="P668" s="68"/>
      <c r="Q668" s="354">
        <f>N668*0.8</f>
        <v>0.18439760000000002</v>
      </c>
      <c r="R668" s="923"/>
      <c r="S668" s="68"/>
      <c r="T668" s="354"/>
      <c r="U668" s="68"/>
      <c r="V668" s="68"/>
      <c r="W668" s="170"/>
      <c r="X668" s="86"/>
      <c r="Y668" s="272"/>
      <c r="Z668" s="34"/>
      <c r="AA668" s="442"/>
      <c r="AB668" s="395"/>
      <c r="AC668" s="443"/>
      <c r="AD668" s="168"/>
      <c r="AE668" s="422"/>
      <c r="AF668" s="263"/>
      <c r="AG668" s="177"/>
      <c r="AH668" s="274"/>
      <c r="AI668" s="53"/>
      <c r="AJ668" s="36"/>
      <c r="AK668" s="294"/>
      <c r="AL668" s="295"/>
      <c r="AM668" s="456"/>
      <c r="AN668" s="387"/>
      <c r="AO668" s="171"/>
      <c r="AP668" s="172"/>
      <c r="AQ668" s="272"/>
      <c r="AR668" s="34"/>
      <c r="AS668" s="657"/>
      <c r="AT668" s="395"/>
      <c r="AU668" s="443"/>
      <c r="AV668" s="168"/>
      <c r="AW668" s="168"/>
      <c r="AX668" s="263"/>
      <c r="AY668" s="177"/>
      <c r="AZ668" s="274"/>
      <c r="BA668" s="53"/>
      <c r="BB668" s="36"/>
      <c r="BC668" s="82"/>
      <c r="BD668" s="232"/>
      <c r="BE668" s="210"/>
      <c r="BF668" s="168"/>
      <c r="BG668" s="263"/>
      <c r="BH668" s="177"/>
      <c r="BI668" s="274"/>
      <c r="BJ668" s="53"/>
      <c r="BK668" s="36"/>
      <c r="BL668" s="82"/>
      <c r="BM668" s="232"/>
      <c r="BN668" s="210"/>
      <c r="BO668" s="168"/>
      <c r="BP668" s="23"/>
      <c r="BQ668" s="24"/>
      <c r="BR668" s="53"/>
      <c r="BS668" s="53"/>
      <c r="BT668" s="36"/>
      <c r="BU668" s="82"/>
      <c r="BV668" s="217"/>
      <c r="BW668" s="140"/>
      <c r="BX668" s="309"/>
      <c r="BY668" s="321"/>
    </row>
    <row r="669" spans="1:77" ht="15" customHeight="1" x14ac:dyDescent="0.2">
      <c r="A669" s="56" t="s">
        <v>142</v>
      </c>
      <c r="B669" s="56"/>
      <c r="C669" s="637" t="s">
        <v>625</v>
      </c>
      <c r="D669" s="544">
        <v>326</v>
      </c>
      <c r="E669" s="161" t="s">
        <v>392</v>
      </c>
      <c r="F669" s="362"/>
      <c r="G669" s="62"/>
      <c r="H669" s="69"/>
      <c r="I669" s="74"/>
      <c r="J669" s="68"/>
      <c r="K669" s="93"/>
      <c r="L669" s="74">
        <v>2012</v>
      </c>
      <c r="M669" s="68"/>
      <c r="N669" s="356">
        <v>1.9279999999999999</v>
      </c>
      <c r="O669" s="923"/>
      <c r="P669" s="68"/>
      <c r="Q669" s="356"/>
      <c r="R669" s="923"/>
      <c r="S669" s="68"/>
      <c r="T669" s="356"/>
      <c r="U669" s="68"/>
      <c r="V669" s="68"/>
      <c r="W669" s="170">
        <f t="shared" si="309"/>
        <v>1.42672E-3</v>
      </c>
      <c r="X669" s="86">
        <f t="shared" si="310"/>
        <v>1.42672E-3</v>
      </c>
      <c r="Y669" s="272">
        <v>2005</v>
      </c>
      <c r="Z669" s="34"/>
      <c r="AA669" s="442">
        <f>+N669/1000</f>
        <v>1.928E-3</v>
      </c>
      <c r="AB669" s="395">
        <v>-0.26</v>
      </c>
      <c r="AC669" s="443">
        <f>AB669</f>
        <v>-0.26</v>
      </c>
      <c r="AD669" s="168"/>
      <c r="AE669" s="422"/>
      <c r="AF669" s="263"/>
      <c r="AG669" s="177"/>
      <c r="AH669" s="274"/>
      <c r="AI669" s="53"/>
      <c r="AJ669" s="36"/>
      <c r="AK669" s="294"/>
      <c r="AL669" s="295"/>
      <c r="AM669" s="456"/>
      <c r="AN669" s="387"/>
      <c r="AO669" s="171"/>
      <c r="AP669" s="172"/>
      <c r="AQ669" s="272"/>
      <c r="AR669" s="34"/>
      <c r="AS669" s="657"/>
      <c r="AT669" s="395"/>
      <c r="AU669" s="443"/>
      <c r="AV669" s="168"/>
      <c r="AW669" s="168"/>
      <c r="AX669" s="263"/>
      <c r="AY669" s="177"/>
      <c r="AZ669" s="274"/>
      <c r="BA669" s="53"/>
      <c r="BB669" s="36"/>
      <c r="BC669" s="82"/>
      <c r="BD669" s="232"/>
      <c r="BE669" s="210"/>
      <c r="BF669" s="168"/>
      <c r="BG669" s="263"/>
      <c r="BH669" s="177"/>
      <c r="BI669" s="274"/>
      <c r="BJ669" s="53"/>
      <c r="BK669" s="36"/>
      <c r="BL669" s="82"/>
      <c r="BM669" s="232"/>
      <c r="BN669" s="210"/>
      <c r="BO669" s="168"/>
      <c r="BP669" s="23"/>
      <c r="BQ669" s="24"/>
      <c r="BR669" s="53"/>
      <c r="BS669" s="53"/>
      <c r="BT669" s="36"/>
      <c r="BU669" s="82"/>
      <c r="BV669" s="217"/>
      <c r="BW669" s="140"/>
      <c r="BX669" s="309"/>
      <c r="BY669" s="321"/>
    </row>
    <row r="670" spans="1:77" ht="15" customHeight="1" x14ac:dyDescent="0.2">
      <c r="A670" s="573" t="s">
        <v>111</v>
      </c>
      <c r="B670" s="56" t="s">
        <v>1606</v>
      </c>
      <c r="C670" s="637"/>
      <c r="D670" s="544">
        <v>20758.778999999999</v>
      </c>
      <c r="E670" s="107" t="s">
        <v>3263</v>
      </c>
      <c r="F670" s="362">
        <v>1994</v>
      </c>
      <c r="G670" s="62">
        <v>57.5</v>
      </c>
      <c r="H670" s="69">
        <v>29.6</v>
      </c>
      <c r="I670" s="74">
        <v>2000</v>
      </c>
      <c r="J670" s="68">
        <v>12.58896</v>
      </c>
      <c r="K670" s="69">
        <v>18.842949999999998</v>
      </c>
      <c r="L670" s="74"/>
      <c r="M670" s="68"/>
      <c r="N670" s="356"/>
      <c r="O670" s="923"/>
      <c r="P670" s="68"/>
      <c r="Q670" s="356"/>
      <c r="R670" s="923"/>
      <c r="S670" s="68"/>
      <c r="T670" s="356"/>
      <c r="U670" s="68"/>
      <c r="V670" s="68"/>
      <c r="W670" s="19"/>
      <c r="X670" s="20"/>
      <c r="Y670" s="145"/>
      <c r="Z670" s="38"/>
      <c r="AA670" s="145"/>
      <c r="AB670" s="80"/>
      <c r="AC670" s="209"/>
      <c r="AE670" s="16"/>
      <c r="AF670" s="136"/>
      <c r="AG670" s="59"/>
      <c r="AH670" s="77"/>
      <c r="AI670" s="38"/>
      <c r="AJ670" s="145"/>
      <c r="AK670" s="80"/>
      <c r="AL670" s="215"/>
      <c r="AM670" s="207">
        <f>(25+16+6+2.4+3.4+6.5)/1000</f>
        <v>5.9299999999999999E-2</v>
      </c>
      <c r="AN670" s="47"/>
      <c r="AO670" s="46">
        <f>AR670*(1+AT670)</f>
        <v>5.6927999999999999E-2</v>
      </c>
      <c r="AP670" s="47">
        <f>AR670*(1+AU670)</f>
        <v>5.3073500000000003E-2</v>
      </c>
      <c r="AQ670" s="262">
        <v>2030</v>
      </c>
      <c r="AR670" s="48">
        <f>+AM670</f>
        <v>5.9299999999999999E-2</v>
      </c>
      <c r="AS670" s="1340"/>
      <c r="AT670" s="1325">
        <v>-0.04</v>
      </c>
      <c r="AU670" s="1346">
        <v>-0.105</v>
      </c>
      <c r="AV670" s="16"/>
      <c r="AW670" s="16"/>
      <c r="AX670" s="19"/>
      <c r="AY670" s="20"/>
      <c r="AZ670" s="77"/>
      <c r="BA670" s="38"/>
      <c r="BB670" s="145"/>
      <c r="BC670" s="80"/>
      <c r="BD670" s="75"/>
      <c r="BE670" s="208"/>
      <c r="BF670" s="16"/>
      <c r="BG670" s="19"/>
      <c r="BH670" s="20"/>
      <c r="BI670" s="77"/>
      <c r="BJ670" s="38"/>
      <c r="BK670" s="145"/>
      <c r="BL670" s="80"/>
      <c r="BM670" s="75"/>
      <c r="BN670" s="208"/>
      <c r="BO670" s="16"/>
      <c r="BP670" s="19"/>
      <c r="BQ670" s="20"/>
      <c r="BR670" s="32"/>
      <c r="BS670" s="38"/>
      <c r="BT670" s="145"/>
      <c r="BU670" s="80"/>
      <c r="BV670" s="215"/>
      <c r="BX670" s="321"/>
      <c r="BY670" s="38"/>
    </row>
    <row r="671" spans="1:77" ht="15" customHeight="1" x14ac:dyDescent="0.2">
      <c r="A671" s="56" t="s">
        <v>249</v>
      </c>
      <c r="B671" s="56" t="s">
        <v>1606</v>
      </c>
      <c r="C671" s="315"/>
      <c r="D671" s="544">
        <v>23400</v>
      </c>
      <c r="E671" s="107" t="s">
        <v>292</v>
      </c>
      <c r="F671" s="362"/>
      <c r="G671" s="62">
        <v>128.40600000000001</v>
      </c>
      <c r="H671" s="69">
        <v>147.10900000000001</v>
      </c>
      <c r="I671" s="74"/>
      <c r="J671" s="488">
        <v>267.5</v>
      </c>
      <c r="K671" s="69">
        <v>267.67599999999999</v>
      </c>
      <c r="L671" s="74">
        <v>2008</v>
      </c>
      <c r="M671" s="68">
        <v>284.51499999999999</v>
      </c>
      <c r="N671" s="356">
        <v>264.70699999999999</v>
      </c>
      <c r="O671" s="923"/>
      <c r="P671" s="68"/>
      <c r="Q671" s="356"/>
      <c r="R671" s="923"/>
      <c r="S671" s="68"/>
      <c r="T671" s="356"/>
      <c r="U671" s="68">
        <f>W671/0.39</f>
        <v>0.6858974358974359</v>
      </c>
      <c r="V671" s="68">
        <f>X671/0.39</f>
        <v>0.68634871794871788</v>
      </c>
      <c r="W671" s="19">
        <f>J671/1000</f>
        <v>0.26750000000000002</v>
      </c>
      <c r="X671" s="20">
        <f>K671/1000</f>
        <v>0.26767599999999997</v>
      </c>
      <c r="Y671" s="145"/>
      <c r="Z671" s="38"/>
      <c r="AA671" s="145"/>
      <c r="AB671" s="80"/>
      <c r="AC671" s="209"/>
      <c r="AE671" s="16"/>
      <c r="AF671" s="136"/>
      <c r="AG671" s="59"/>
      <c r="AH671" s="77"/>
      <c r="AI671" s="38"/>
      <c r="AJ671" s="145"/>
      <c r="AK671" s="80"/>
      <c r="AL671" s="215"/>
      <c r="AM671" s="456">
        <f>AO671*2</f>
        <v>0.42800000000000005</v>
      </c>
      <c r="AN671" s="387"/>
      <c r="AO671" s="454">
        <f>AR671*(1+AT671)</f>
        <v>0.21400000000000002</v>
      </c>
      <c r="AP671" s="439">
        <f>AR671*(1+AU671)</f>
        <v>0.21400000000000002</v>
      </c>
      <c r="AQ671" s="440">
        <v>2005</v>
      </c>
      <c r="AR671" s="424">
        <f>+J671/1000</f>
        <v>0.26750000000000002</v>
      </c>
      <c r="AS671" s="453"/>
      <c r="AT671" s="292">
        <v>-0.2</v>
      </c>
      <c r="AU671" s="293">
        <v>-0.2</v>
      </c>
      <c r="AV671" s="16"/>
      <c r="AW671" s="16"/>
      <c r="AX671" s="19"/>
      <c r="AY671" s="20"/>
      <c r="AZ671" s="77"/>
      <c r="BA671" s="38"/>
      <c r="BB671" s="145"/>
      <c r="BC671" s="80"/>
      <c r="BD671" s="75"/>
      <c r="BE671" s="208"/>
      <c r="BF671" s="16"/>
      <c r="BG671" s="19"/>
      <c r="BH671" s="20"/>
      <c r="BI671" s="77"/>
      <c r="BJ671" s="38"/>
      <c r="BK671" s="145"/>
      <c r="BL671" s="80"/>
      <c r="BM671" s="75"/>
      <c r="BN671" s="456"/>
      <c r="BO671" s="387"/>
      <c r="BP671" s="454">
        <f>BS671*(1+BU671)</f>
        <v>0.13375000000000001</v>
      </c>
      <c r="BQ671" s="439">
        <f>BS671*(1+BV671)</f>
        <v>0.13375000000000001</v>
      </c>
      <c r="BR671" s="497">
        <v>2005</v>
      </c>
      <c r="BS671" s="441">
        <f>+J671/1000</f>
        <v>0.26750000000000002</v>
      </c>
      <c r="BT671" s="453"/>
      <c r="BU671" s="292">
        <v>-0.5</v>
      </c>
      <c r="BV671" s="293">
        <v>-0.5</v>
      </c>
      <c r="BX671" s="139" t="s">
        <v>302</v>
      </c>
      <c r="BY671" s="444" t="s">
        <v>293</v>
      </c>
    </row>
    <row r="672" spans="1:77" ht="15" customHeight="1" x14ac:dyDescent="0.2">
      <c r="A672" s="56" t="s">
        <v>249</v>
      </c>
      <c r="B672" s="56"/>
      <c r="C672" s="163" t="s">
        <v>2505</v>
      </c>
      <c r="D672" s="544">
        <v>434</v>
      </c>
      <c r="E672" s="107" t="s">
        <v>2279</v>
      </c>
      <c r="F672" s="362"/>
      <c r="G672" s="62"/>
      <c r="H672" s="69"/>
      <c r="I672" s="74"/>
      <c r="J672" s="488"/>
      <c r="K672" s="69"/>
      <c r="L672" s="74">
        <v>2011</v>
      </c>
      <c r="M672" s="68"/>
      <c r="N672" s="356">
        <v>10.739613</v>
      </c>
      <c r="O672" s="923"/>
      <c r="P672" s="68"/>
      <c r="Q672" s="356"/>
      <c r="R672" s="923"/>
      <c r="S672" s="68"/>
      <c r="T672" s="356"/>
      <c r="U672" s="68"/>
      <c r="V672" s="68"/>
      <c r="W672" s="89">
        <f t="shared" ref="W672" si="313">AA672*(1+AB672)</f>
        <v>1.0202632349999999E-2</v>
      </c>
      <c r="X672" s="87">
        <f t="shared" ref="X672" si="314">AA672*(1+AC672)</f>
        <v>1.0202632349999999E-2</v>
      </c>
      <c r="Y672" s="53">
        <v>2011</v>
      </c>
      <c r="Z672" s="53"/>
      <c r="AA672" s="681">
        <f>N672/1000</f>
        <v>1.0739613E-2</v>
      </c>
      <c r="AB672" s="399">
        <v>-0.05</v>
      </c>
      <c r="AC672" s="618">
        <f>AB672</f>
        <v>-0.05</v>
      </c>
      <c r="AE672" s="16"/>
      <c r="AF672" s="677">
        <f>AJ672*(1+AK672)</f>
        <v>9.6656516999999997E-3</v>
      </c>
      <c r="AG672" s="678">
        <f>+AJ672*(1+AL672)</f>
        <v>9.6656516999999997E-3</v>
      </c>
      <c r="AH672" s="617">
        <v>2011</v>
      </c>
      <c r="AI672" s="428"/>
      <c r="AJ672" s="714">
        <f>+N672/1000</f>
        <v>1.0739613E-2</v>
      </c>
      <c r="AK672" s="965">
        <v>-0.1</v>
      </c>
      <c r="AL672" s="747">
        <f>AK672</f>
        <v>-0.1</v>
      </c>
      <c r="AM672" s="456"/>
      <c r="AN672" s="387"/>
      <c r="AO672" s="454"/>
      <c r="AP672" s="439"/>
      <c r="AQ672" s="440"/>
      <c r="AR672" s="424"/>
      <c r="AS672" s="453"/>
      <c r="AT672" s="292"/>
      <c r="AU672" s="293"/>
      <c r="AV672" s="16"/>
      <c r="AW672" s="16"/>
      <c r="AX672" s="19"/>
      <c r="AY672" s="20"/>
      <c r="AZ672" s="77"/>
      <c r="BA672" s="38"/>
      <c r="BB672" s="145"/>
      <c r="BC672" s="80"/>
      <c r="BD672" s="75"/>
      <c r="BE672" s="208"/>
      <c r="BF672" s="16"/>
      <c r="BG672" s="19"/>
      <c r="BH672" s="20"/>
      <c r="BI672" s="77"/>
      <c r="BJ672" s="38"/>
      <c r="BK672" s="145"/>
      <c r="BL672" s="80"/>
      <c r="BM672" s="75"/>
      <c r="BN672" s="456"/>
      <c r="BO672" s="387"/>
      <c r="BP672" s="454"/>
      <c r="BQ672" s="439"/>
      <c r="BR672" s="497"/>
      <c r="BS672" s="441"/>
      <c r="BT672" s="453"/>
      <c r="BU672" s="292"/>
      <c r="BV672" s="293"/>
      <c r="BX672" s="139"/>
      <c r="BY672" s="444"/>
    </row>
    <row r="673" spans="1:77" ht="15" customHeight="1" x14ac:dyDescent="0.2">
      <c r="A673" s="56" t="s">
        <v>249</v>
      </c>
      <c r="B673" s="56"/>
      <c r="C673" s="163" t="s">
        <v>421</v>
      </c>
      <c r="D673" s="544">
        <v>2773.1979999999999</v>
      </c>
      <c r="E673" s="107" t="s">
        <v>2106</v>
      </c>
      <c r="F673" s="362"/>
      <c r="G673" s="62"/>
      <c r="H673" s="69"/>
      <c r="I673" s="74"/>
      <c r="J673" s="488"/>
      <c r="K673" s="69">
        <v>67.372855999999999</v>
      </c>
      <c r="L673" s="74">
        <v>2011</v>
      </c>
      <c r="M673" s="68"/>
      <c r="N673" s="356">
        <v>63.640300000000003</v>
      </c>
      <c r="O673" s="923">
        <v>2014</v>
      </c>
      <c r="P673" s="68"/>
      <c r="Q673" s="356">
        <v>58.755764130000003</v>
      </c>
      <c r="R673" s="923"/>
      <c r="S673" s="68"/>
      <c r="T673" s="356"/>
      <c r="U673" s="68"/>
      <c r="V673" s="68"/>
      <c r="W673" s="23">
        <f>AA673*(1+AB673)</f>
        <v>5.3898284800000001E-2</v>
      </c>
      <c r="X673" s="24">
        <f>AA673*(1+AC673)</f>
        <v>5.3898284800000001E-2</v>
      </c>
      <c r="Y673" s="53">
        <v>2005</v>
      </c>
      <c r="Z673" s="53"/>
      <c r="AA673" s="428">
        <f>K673/1000</f>
        <v>6.7372855999999995E-2</v>
      </c>
      <c r="AB673" s="399">
        <v>-0.2</v>
      </c>
      <c r="AC673" s="618">
        <f>AB673</f>
        <v>-0.2</v>
      </c>
      <c r="AE673" s="16"/>
      <c r="AF673" s="136"/>
      <c r="AG673" s="59"/>
      <c r="AH673" s="77"/>
      <c r="AI673" s="38"/>
      <c r="AJ673" s="145"/>
      <c r="AK673" s="80"/>
      <c r="AL673" s="215"/>
      <c r="AM673" s="456"/>
      <c r="AN673" s="387"/>
      <c r="AO673" s="409">
        <f>AR673*(1+AT673)</f>
        <v>5.3898284800000001E-2</v>
      </c>
      <c r="AP673" s="713">
        <f>AR673*(1+AU673)</f>
        <v>5.3898284800000001E-2</v>
      </c>
      <c r="AQ673" s="640">
        <v>2005</v>
      </c>
      <c r="AR673" s="714">
        <f>+K673/1000</f>
        <v>6.7372855999999995E-2</v>
      </c>
      <c r="AS673" s="541"/>
      <c r="AT673" s="406">
        <v>-0.2</v>
      </c>
      <c r="AU673" s="407">
        <f>AT673</f>
        <v>-0.2</v>
      </c>
      <c r="AV673" s="16"/>
      <c r="AW673" s="16"/>
      <c r="AX673" s="19"/>
      <c r="AY673" s="20"/>
      <c r="AZ673" s="77"/>
      <c r="BA673" s="38"/>
      <c r="BB673" s="145"/>
      <c r="BC673" s="80"/>
      <c r="BD673" s="75"/>
      <c r="BE673" s="208"/>
      <c r="BF673" s="16"/>
      <c r="BG673" s="19"/>
      <c r="BH673" s="20"/>
      <c r="BI673" s="77"/>
      <c r="BJ673" s="38"/>
      <c r="BK673" s="145"/>
      <c r="BL673" s="80"/>
      <c r="BM673" s="75"/>
      <c r="BN673" s="456"/>
      <c r="BO673" s="387"/>
      <c r="BP673" s="409">
        <v>0</v>
      </c>
      <c r="BQ673" s="713">
        <v>0</v>
      </c>
      <c r="BR673" s="658"/>
      <c r="BS673" s="158"/>
      <c r="BT673" s="541"/>
      <c r="BU673" s="406">
        <v>-1</v>
      </c>
      <c r="BV673" s="407">
        <v>-1</v>
      </c>
      <c r="BX673" s="139"/>
      <c r="BY673" s="444"/>
    </row>
    <row r="674" spans="1:77" ht="15" customHeight="1" x14ac:dyDescent="0.2">
      <c r="A674" s="56" t="s">
        <v>249</v>
      </c>
      <c r="B674" s="56"/>
      <c r="C674" s="163" t="s">
        <v>2732</v>
      </c>
      <c r="D674" s="544">
        <v>2792</v>
      </c>
      <c r="E674" s="107" t="s">
        <v>3173</v>
      </c>
      <c r="F674" s="362"/>
      <c r="G674" s="62"/>
      <c r="H674" s="69"/>
      <c r="I674" s="74"/>
      <c r="J674" s="488"/>
      <c r="K674" s="69">
        <v>18.581188000000001</v>
      </c>
      <c r="L674" s="74"/>
      <c r="M674" s="68"/>
      <c r="N674" s="1389"/>
      <c r="O674" s="923"/>
      <c r="P674" s="68"/>
      <c r="Q674" s="356"/>
      <c r="R674" s="923"/>
      <c r="S674" s="68"/>
      <c r="T674" s="356"/>
      <c r="U674" s="68"/>
      <c r="V674" s="68"/>
      <c r="W674" s="23">
        <f>AA674*(1+AB674)</f>
        <v>1.4864950400000002E-2</v>
      </c>
      <c r="X674" s="24">
        <f>AA674*(1+AC674)</f>
        <v>1.4864950400000002E-2</v>
      </c>
      <c r="Y674" s="53">
        <v>2005</v>
      </c>
      <c r="Z674" s="53"/>
      <c r="AA674" s="428">
        <f>K674/1000</f>
        <v>1.8581188000000002E-2</v>
      </c>
      <c r="AB674" s="399">
        <v>-0.2</v>
      </c>
      <c r="AC674" s="618">
        <f>AB674</f>
        <v>-0.2</v>
      </c>
      <c r="AE674" s="16"/>
      <c r="AF674" s="136"/>
      <c r="AG674" s="59"/>
      <c r="AH674" s="77"/>
      <c r="AI674" s="38"/>
      <c r="AJ674" s="145"/>
      <c r="AK674" s="80"/>
      <c r="AL674" s="215"/>
      <c r="AM674" s="456"/>
      <c r="AN674" s="387"/>
      <c r="AO674" s="454"/>
      <c r="AP674" s="439"/>
      <c r="AQ674" s="440"/>
      <c r="AR674" s="424"/>
      <c r="AS674" s="453"/>
      <c r="AT674" s="292"/>
      <c r="AU674" s="293"/>
      <c r="AV674" s="16"/>
      <c r="AW674" s="16"/>
      <c r="AX674" s="19"/>
      <c r="AY674" s="20"/>
      <c r="AZ674" s="77"/>
      <c r="BA674" s="38"/>
      <c r="BB674" s="145"/>
      <c r="BC674" s="80"/>
      <c r="BD674" s="75"/>
      <c r="BE674" s="208"/>
      <c r="BF674" s="16"/>
      <c r="BG674" s="19"/>
      <c r="BH674" s="20"/>
      <c r="BI674" s="77"/>
      <c r="BJ674" s="38"/>
      <c r="BK674" s="145"/>
      <c r="BL674" s="80"/>
      <c r="BM674" s="75"/>
      <c r="BN674" s="456"/>
      <c r="BO674" s="387"/>
      <c r="BP674" s="409">
        <f>BS674*(1+BU674)</f>
        <v>9.290594000000001E-3</v>
      </c>
      <c r="BQ674" s="713">
        <f>BS674*(1+BV674)</f>
        <v>9.290594000000001E-3</v>
      </c>
      <c r="BR674" s="658">
        <v>2005</v>
      </c>
      <c r="BS674" s="714">
        <f>+K674/1000</f>
        <v>1.8581188000000002E-2</v>
      </c>
      <c r="BT674" s="541"/>
      <c r="BU674" s="406">
        <v>-0.5</v>
      </c>
      <c r="BV674" s="407">
        <f>BU674</f>
        <v>-0.5</v>
      </c>
      <c r="BX674" s="139"/>
      <c r="BY674" s="444"/>
    </row>
    <row r="675" spans="1:77" ht="15" customHeight="1" x14ac:dyDescent="0.2">
      <c r="A675" s="56" t="s">
        <v>249</v>
      </c>
      <c r="B675" s="56"/>
      <c r="C675" s="163" t="s">
        <v>2506</v>
      </c>
      <c r="D675" s="544">
        <v>1886.0329999999999</v>
      </c>
      <c r="E675" s="107" t="s">
        <v>387</v>
      </c>
      <c r="F675" s="362"/>
      <c r="G675" s="62"/>
      <c r="H675" s="69"/>
      <c r="I675" s="74"/>
      <c r="J675" s="488"/>
      <c r="K675" s="69">
        <v>19.510421999999998</v>
      </c>
      <c r="L675" s="74"/>
      <c r="M675" s="68"/>
      <c r="N675" s="356"/>
      <c r="O675" s="923">
        <v>2014</v>
      </c>
      <c r="P675" s="68"/>
      <c r="Q675" s="356">
        <v>21.458525000000002</v>
      </c>
      <c r="R675" s="923"/>
      <c r="S675" s="68"/>
      <c r="T675" s="356"/>
      <c r="U675" s="68"/>
      <c r="V675" s="68"/>
      <c r="W675" s="23"/>
      <c r="X675" s="24"/>
      <c r="Y675" s="53"/>
      <c r="Z675" s="53"/>
      <c r="AA675" s="428"/>
      <c r="AB675" s="399"/>
      <c r="AC675" s="618"/>
      <c r="AE675" s="16"/>
      <c r="AF675" s="136"/>
      <c r="AG675" s="59"/>
      <c r="AH675" s="77"/>
      <c r="AI675" s="38"/>
      <c r="AJ675" s="145"/>
      <c r="AK675" s="80"/>
      <c r="AL675" s="215"/>
      <c r="AM675" s="456"/>
      <c r="AN675" s="387"/>
      <c r="AO675" s="454"/>
      <c r="AP675" s="439"/>
      <c r="AQ675" s="440"/>
      <c r="AR675" s="424"/>
      <c r="AS675" s="453"/>
      <c r="AT675" s="292"/>
      <c r="AU675" s="293"/>
      <c r="AV675" s="16"/>
      <c r="AW675" s="16"/>
      <c r="AX675" s="19"/>
      <c r="AY675" s="20"/>
      <c r="AZ675" s="77"/>
      <c r="BA675" s="38"/>
      <c r="BB675" s="145"/>
      <c r="BC675" s="80"/>
      <c r="BD675" s="75"/>
      <c r="BE675" s="208"/>
      <c r="BF675" s="16"/>
      <c r="BG675" s="19"/>
      <c r="BH675" s="20"/>
      <c r="BI675" s="77"/>
      <c r="BJ675" s="38"/>
      <c r="BK675" s="145"/>
      <c r="BL675" s="80"/>
      <c r="BM675" s="75"/>
      <c r="BN675" s="456"/>
      <c r="BO675" s="387"/>
      <c r="BP675" s="409">
        <f>BS675*(1+BU675)</f>
        <v>9.7552109999999997E-3</v>
      </c>
      <c r="BQ675" s="713">
        <f>BS675*(1+BV675)</f>
        <v>9.7552109999999997E-3</v>
      </c>
      <c r="BR675" s="658">
        <v>2005</v>
      </c>
      <c r="BS675" s="714">
        <f>+K675/1000</f>
        <v>1.9510421999999999E-2</v>
      </c>
      <c r="BT675" s="541"/>
      <c r="BU675" s="406">
        <v>-0.5</v>
      </c>
      <c r="BV675" s="407">
        <f>BU675</f>
        <v>-0.5</v>
      </c>
      <c r="BX675" s="139"/>
      <c r="BY675" s="444"/>
    </row>
    <row r="676" spans="1:77" ht="15" customHeight="1" x14ac:dyDescent="0.2">
      <c r="A676" s="56" t="s">
        <v>249</v>
      </c>
      <c r="B676" s="56"/>
      <c r="C676" s="163" t="s">
        <v>423</v>
      </c>
      <c r="D676" s="544">
        <v>2645.0410000000002</v>
      </c>
      <c r="E676" s="107" t="s">
        <v>2281</v>
      </c>
      <c r="F676" s="362"/>
      <c r="G676" s="62"/>
      <c r="H676" s="69">
        <v>10.3627</v>
      </c>
      <c r="I676" s="74"/>
      <c r="J676" s="488"/>
      <c r="K676" s="69">
        <v>13.073632</v>
      </c>
      <c r="L676" s="74">
        <v>2008</v>
      </c>
      <c r="M676" s="68"/>
      <c r="N676" s="356">
        <v>16.546253</v>
      </c>
      <c r="O676" s="923"/>
      <c r="P676" s="68"/>
      <c r="Q676" s="356">
        <v>12.114538</v>
      </c>
      <c r="R676" s="923"/>
      <c r="S676" s="68"/>
      <c r="T676" s="356"/>
      <c r="U676" s="68"/>
      <c r="V676" s="68"/>
      <c r="W676" s="1164">
        <f>AA676*(1+AB676)</f>
        <v>1.3073632E-2</v>
      </c>
      <c r="X676" s="1165">
        <f>AA676*(1+AC676)</f>
        <v>1.3073632E-2</v>
      </c>
      <c r="Y676" s="53">
        <v>2005</v>
      </c>
      <c r="Z676" s="53"/>
      <c r="AA676" s="428">
        <f>K676/1000</f>
        <v>1.3073632E-2</v>
      </c>
      <c r="AB676" s="1162">
        <v>0</v>
      </c>
      <c r="AC676" s="1163">
        <f>AB676</f>
        <v>0</v>
      </c>
      <c r="AE676" s="16"/>
      <c r="AF676" s="136"/>
      <c r="AG676" s="59"/>
      <c r="AH676" s="77"/>
      <c r="AI676" s="38"/>
      <c r="AJ676" s="145"/>
      <c r="AK676" s="80"/>
      <c r="AL676" s="215"/>
      <c r="AM676" s="456"/>
      <c r="AN676" s="387"/>
      <c r="AO676" s="409">
        <f>AR676*(1+AT676)</f>
        <v>9.1515423999999988E-3</v>
      </c>
      <c r="AP676" s="713">
        <f>AR676*(1+AU676)</f>
        <v>9.1515423999999988E-3</v>
      </c>
      <c r="AQ676" s="640">
        <v>2005</v>
      </c>
      <c r="AR676" s="714">
        <f>+K676/1000</f>
        <v>1.3073632E-2</v>
      </c>
      <c r="AS676" s="541"/>
      <c r="AT676" s="406">
        <v>-0.3</v>
      </c>
      <c r="AU676" s="407">
        <f>AT676</f>
        <v>-0.3</v>
      </c>
      <c r="AV676" s="16"/>
      <c r="AW676" s="16"/>
      <c r="AX676" s="19"/>
      <c r="AY676" s="20"/>
      <c r="AZ676" s="77"/>
      <c r="BA676" s="38"/>
      <c r="BB676" s="145"/>
      <c r="BC676" s="80"/>
      <c r="BD676" s="75"/>
      <c r="BE676" s="208"/>
      <c r="BF676" s="16"/>
      <c r="BG676" s="19"/>
      <c r="BH676" s="20"/>
      <c r="BI676" s="77"/>
      <c r="BJ676" s="38"/>
      <c r="BK676" s="145"/>
      <c r="BL676" s="80"/>
      <c r="BM676" s="75"/>
      <c r="BN676" s="456"/>
      <c r="BO676" s="387"/>
      <c r="BP676" s="409">
        <f>BS676*(1+BU676)</f>
        <v>0</v>
      </c>
      <c r="BQ676" s="713">
        <f>BS676*(1+BV676)</f>
        <v>0</v>
      </c>
      <c r="BR676" s="658">
        <v>2005</v>
      </c>
      <c r="BS676" s="714">
        <f>+K676/1000</f>
        <v>1.3073632E-2</v>
      </c>
      <c r="BT676" s="541"/>
      <c r="BU676" s="406">
        <v>-1</v>
      </c>
      <c r="BV676" s="407">
        <f>BU676</f>
        <v>-1</v>
      </c>
      <c r="BX676" s="139"/>
      <c r="BY676" s="444"/>
    </row>
    <row r="677" spans="1:77" ht="15" customHeight="1" x14ac:dyDescent="0.2">
      <c r="A677" s="56" t="s">
        <v>249</v>
      </c>
      <c r="B677" s="56"/>
      <c r="C677" s="163" t="s">
        <v>2282</v>
      </c>
      <c r="D677" s="544">
        <v>2188.0169999999998</v>
      </c>
      <c r="E677" s="107" t="s">
        <v>2507</v>
      </c>
      <c r="F677" s="362"/>
      <c r="G677" s="62"/>
      <c r="H677" s="69"/>
      <c r="I677" s="74"/>
      <c r="J677" s="488"/>
      <c r="K677" s="69">
        <v>30.840055499999998</v>
      </c>
      <c r="L677" s="74"/>
      <c r="M677" s="68"/>
      <c r="N677" s="356"/>
      <c r="O677" s="923">
        <v>2013</v>
      </c>
      <c r="P677" s="68"/>
      <c r="Q677" s="378">
        <v>30.073752259999999</v>
      </c>
      <c r="R677" s="923"/>
      <c r="S677" s="68"/>
      <c r="T677" s="378"/>
      <c r="U677" s="68"/>
      <c r="V677" s="68"/>
      <c r="W677" s="23"/>
      <c r="X677" s="24"/>
      <c r="Y677" s="53"/>
      <c r="Z677" s="53"/>
      <c r="AA677" s="428"/>
      <c r="AB677" s="399"/>
      <c r="AC677" s="618"/>
      <c r="AE677" s="16"/>
      <c r="AF677" s="136"/>
      <c r="AG677" s="59"/>
      <c r="AH677" s="77"/>
      <c r="AI677" s="38"/>
      <c r="AJ677" s="145"/>
      <c r="AK677" s="80"/>
      <c r="AL677" s="215"/>
      <c r="AM677" s="456"/>
      <c r="AN677" s="387"/>
      <c r="AO677" s="409"/>
      <c r="AP677" s="713"/>
      <c r="AQ677" s="640"/>
      <c r="AR677" s="714"/>
      <c r="AS677" s="541"/>
      <c r="AT677" s="406"/>
      <c r="AU677" s="407"/>
      <c r="AV677" s="16"/>
      <c r="AW677" s="16"/>
      <c r="AX677" s="19"/>
      <c r="AY677" s="20"/>
      <c r="AZ677" s="77"/>
      <c r="BA677" s="38"/>
      <c r="BB677" s="145"/>
      <c r="BC677" s="80"/>
      <c r="BD677" s="75"/>
      <c r="BE677" s="208"/>
      <c r="BF677" s="16"/>
      <c r="BG677" s="19"/>
      <c r="BH677" s="20"/>
      <c r="BI677" s="77"/>
      <c r="BJ677" s="38"/>
      <c r="BK677" s="145"/>
      <c r="BL677" s="80"/>
      <c r="BM677" s="75"/>
      <c r="BN677" s="456"/>
      <c r="BO677" s="387"/>
      <c r="BP677" s="409">
        <f>BS677*(1+BU677)</f>
        <v>0</v>
      </c>
      <c r="BQ677" s="713">
        <f>BS677*(1+BV677)</f>
        <v>0</v>
      </c>
      <c r="BR677" s="658">
        <v>2005</v>
      </c>
      <c r="BS677" s="714">
        <f>+K677/1000</f>
        <v>3.0840055499999998E-2</v>
      </c>
      <c r="BT677" s="541"/>
      <c r="BU677" s="406">
        <v>-1</v>
      </c>
      <c r="BV677" s="407">
        <f>BU677</f>
        <v>-1</v>
      </c>
      <c r="BX677" s="139"/>
      <c r="BY677" s="444"/>
    </row>
    <row r="678" spans="1:77" ht="15" customHeight="1" x14ac:dyDescent="0.2">
      <c r="A678" s="56" t="s">
        <v>249</v>
      </c>
      <c r="B678" s="56"/>
      <c r="C678" s="163" t="s">
        <v>2221</v>
      </c>
      <c r="D678" s="544">
        <v>4018.6959999999999</v>
      </c>
      <c r="E678" s="107" t="s">
        <v>387</v>
      </c>
      <c r="F678" s="362"/>
      <c r="G678" s="62"/>
      <c r="H678" s="69"/>
      <c r="I678" s="74"/>
      <c r="J678" s="488"/>
      <c r="K678" s="69">
        <v>19.835303</v>
      </c>
      <c r="L678" s="74">
        <v>2008</v>
      </c>
      <c r="M678" s="68"/>
      <c r="N678" s="356">
        <v>19.122373</v>
      </c>
      <c r="O678" s="923"/>
      <c r="P678" s="68"/>
      <c r="Q678" s="356">
        <v>18.235085999999999</v>
      </c>
      <c r="R678" s="923"/>
      <c r="S678" s="68"/>
      <c r="T678" s="356"/>
      <c r="U678" s="68"/>
      <c r="V678" s="68"/>
      <c r="W678" s="89">
        <f>AA678*(1+AB678)</f>
        <v>1.9835302999999999E-2</v>
      </c>
      <c r="X678" s="87">
        <f>AA678*(1+AC678)</f>
        <v>1.9835302999999999E-2</v>
      </c>
      <c r="Y678" s="53">
        <v>2006</v>
      </c>
      <c r="Z678" s="53"/>
      <c r="AA678" s="681">
        <f>K678/1000</f>
        <v>1.9835302999999999E-2</v>
      </c>
      <c r="AB678" s="399">
        <v>0</v>
      </c>
      <c r="AC678" s="618">
        <f>AB678</f>
        <v>0</v>
      </c>
      <c r="AE678" s="16"/>
      <c r="AF678" s="677">
        <f>AJ678*(1+AK678)</f>
        <v>1.5297898399999999E-2</v>
      </c>
      <c r="AG678" s="678">
        <f>+AJ678*(1+AL678)</f>
        <v>1.5297898399999999E-2</v>
      </c>
      <c r="AH678" s="617">
        <v>2008</v>
      </c>
      <c r="AI678" s="428"/>
      <c r="AJ678" s="714">
        <f>+N678/1000</f>
        <v>1.9122372999999998E-2</v>
      </c>
      <c r="AK678" s="965">
        <v>-0.2</v>
      </c>
      <c r="AL678" s="747">
        <f>AK678</f>
        <v>-0.2</v>
      </c>
      <c r="AM678" s="456"/>
      <c r="AN678" s="387"/>
      <c r="AO678" s="409">
        <f>AR678*(1+AT678)</f>
        <v>1.3884712099999998E-2</v>
      </c>
      <c r="AP678" s="713">
        <f>AR678*(1+AU678)</f>
        <v>1.3884712099999998E-2</v>
      </c>
      <c r="AQ678" s="640">
        <v>2005</v>
      </c>
      <c r="AR678" s="714">
        <f>+K678/1000</f>
        <v>1.9835302999999999E-2</v>
      </c>
      <c r="AS678" s="541"/>
      <c r="AT678" s="406">
        <v>-0.3</v>
      </c>
      <c r="AU678" s="407">
        <f>AT678</f>
        <v>-0.3</v>
      </c>
      <c r="AV678" s="16"/>
      <c r="AW678" s="16"/>
      <c r="AX678" s="19"/>
      <c r="AY678" s="20"/>
      <c r="AZ678" s="77"/>
      <c r="BA678" s="38"/>
      <c r="BB678" s="145"/>
      <c r="BC678" s="80"/>
      <c r="BD678" s="75"/>
      <c r="BE678" s="208"/>
      <c r="BF678" s="16"/>
      <c r="BG678" s="19"/>
      <c r="BH678" s="20"/>
      <c r="BI678" s="77"/>
      <c r="BJ678" s="38"/>
      <c r="BK678" s="145"/>
      <c r="BL678" s="80"/>
      <c r="BM678" s="75"/>
      <c r="BN678" s="456"/>
      <c r="BO678" s="387"/>
      <c r="BP678" s="409"/>
      <c r="BQ678" s="713"/>
      <c r="BR678" s="658"/>
      <c r="BS678" s="714"/>
      <c r="BT678" s="541"/>
      <c r="BU678" s="406"/>
      <c r="BV678" s="407"/>
      <c r="BX678" s="139"/>
      <c r="BY678" s="444"/>
    </row>
    <row r="679" spans="1:77" ht="15" customHeight="1" x14ac:dyDescent="0.2">
      <c r="A679" s="56" t="s">
        <v>249</v>
      </c>
      <c r="B679" s="56"/>
      <c r="C679" s="163" t="s">
        <v>2283</v>
      </c>
      <c r="D679" s="544">
        <v>816.63599999999997</v>
      </c>
      <c r="E679" s="107" t="s">
        <v>2280</v>
      </c>
      <c r="F679" s="362"/>
      <c r="G679" s="62"/>
      <c r="H679" s="69"/>
      <c r="I679" s="74"/>
      <c r="J679" s="488"/>
      <c r="K679" s="69"/>
      <c r="L679" s="74"/>
      <c r="M679" s="68"/>
      <c r="N679" s="356"/>
      <c r="O679" s="923">
        <v>2013</v>
      </c>
      <c r="P679" s="68"/>
      <c r="Q679" s="356">
        <v>4.6326999999999998</v>
      </c>
      <c r="R679" s="923"/>
      <c r="S679" s="68"/>
      <c r="T679" s="356"/>
      <c r="U679" s="68"/>
      <c r="V679" s="68"/>
      <c r="W679" s="23"/>
      <c r="X679" s="24"/>
      <c r="Y679" s="53"/>
      <c r="Z679" s="53"/>
      <c r="AA679" s="428"/>
      <c r="AB679" s="399"/>
      <c r="AC679" s="618"/>
      <c r="AE679" s="16"/>
      <c r="AF679" s="677"/>
      <c r="AG679" s="678"/>
      <c r="AH679" s="617"/>
      <c r="AI679" s="428"/>
      <c r="AJ679" s="714"/>
      <c r="AK679" s="965"/>
      <c r="AL679" s="747"/>
      <c r="AM679" s="456"/>
      <c r="AN679" s="387"/>
      <c r="AO679" s="409">
        <f>AR679*(1+AT679)</f>
        <v>3.70616E-3</v>
      </c>
      <c r="AP679" s="713">
        <f>AR679*(1+AU679)</f>
        <v>3.70616E-3</v>
      </c>
      <c r="AQ679" s="640">
        <v>2013</v>
      </c>
      <c r="AR679" s="714">
        <f>+Q679/1000</f>
        <v>4.6327E-3</v>
      </c>
      <c r="AS679" s="541"/>
      <c r="AT679" s="406">
        <v>-0.2</v>
      </c>
      <c r="AU679" s="407">
        <f>AT679</f>
        <v>-0.2</v>
      </c>
      <c r="AV679" s="16"/>
      <c r="AW679" s="16"/>
      <c r="AX679" s="19"/>
      <c r="AY679" s="20"/>
      <c r="AZ679" s="77"/>
      <c r="BA679" s="38"/>
      <c r="BB679" s="145"/>
      <c r="BC679" s="80"/>
      <c r="BD679" s="75"/>
      <c r="BE679" s="208"/>
      <c r="BF679" s="16"/>
      <c r="BG679" s="19"/>
      <c r="BH679" s="20"/>
      <c r="BI679" s="77"/>
      <c r="BJ679" s="38"/>
      <c r="BK679" s="145"/>
      <c r="BL679" s="80"/>
      <c r="BM679" s="75"/>
      <c r="BN679" s="456"/>
      <c r="BO679" s="387"/>
      <c r="BP679" s="409"/>
      <c r="BQ679" s="713"/>
      <c r="BR679" s="658"/>
      <c r="BS679" s="714"/>
      <c r="BT679" s="541"/>
      <c r="BU679" s="406"/>
      <c r="BV679" s="407"/>
      <c r="BX679" s="139"/>
      <c r="BY679" s="444"/>
    </row>
    <row r="680" spans="1:77" ht="15" customHeight="1" x14ac:dyDescent="0.2">
      <c r="A680" s="56" t="s">
        <v>249</v>
      </c>
      <c r="B680" s="56"/>
      <c r="C680" s="163" t="s">
        <v>2284</v>
      </c>
      <c r="D680" s="544">
        <v>458</v>
      </c>
      <c r="E680" s="107" t="s">
        <v>2285</v>
      </c>
      <c r="F680" s="362"/>
      <c r="G680" s="62"/>
      <c r="H680" s="69"/>
      <c r="I680" s="74"/>
      <c r="J680" s="488"/>
      <c r="K680" s="69"/>
      <c r="L680" s="74">
        <v>2009</v>
      </c>
      <c r="M680" s="68"/>
      <c r="N680" s="356">
        <v>3.8044929999999999</v>
      </c>
      <c r="O680" s="923"/>
      <c r="P680" s="68"/>
      <c r="Q680" s="356"/>
      <c r="R680" s="923"/>
      <c r="S680" s="68"/>
      <c r="T680" s="356"/>
      <c r="U680" s="68"/>
      <c r="V680" s="68"/>
      <c r="W680" s="89">
        <f>AA680*(1+AB680)</f>
        <v>2.4729204499999999E-3</v>
      </c>
      <c r="X680" s="87">
        <f>AA680*(1+AC680)</f>
        <v>2.4729204499999999E-3</v>
      </c>
      <c r="Y680" s="53">
        <v>2009</v>
      </c>
      <c r="Z680" s="53"/>
      <c r="AA680" s="681">
        <f>N680/1000</f>
        <v>3.8044929999999999E-3</v>
      </c>
      <c r="AB680" s="399">
        <v>-0.35</v>
      </c>
      <c r="AC680" s="618">
        <f>AB680</f>
        <v>-0.35</v>
      </c>
      <c r="AE680" s="16"/>
      <c r="AF680" s="677"/>
      <c r="AG680" s="678"/>
      <c r="AH680" s="617"/>
      <c r="AI680" s="428"/>
      <c r="AJ680" s="714"/>
      <c r="AK680" s="965"/>
      <c r="AL680" s="747"/>
      <c r="AM680" s="456"/>
      <c r="AN680" s="387"/>
      <c r="AO680" s="409"/>
      <c r="AP680" s="713"/>
      <c r="AQ680" s="640"/>
      <c r="AR680" s="714"/>
      <c r="AS680" s="541"/>
      <c r="AT680" s="406"/>
      <c r="AU680" s="407"/>
      <c r="AV680" s="16"/>
      <c r="AW680" s="16"/>
      <c r="AX680" s="19"/>
      <c r="AY680" s="20"/>
      <c r="AZ680" s="77"/>
      <c r="BA680" s="38"/>
      <c r="BB680" s="145"/>
      <c r="BC680" s="80"/>
      <c r="BD680" s="75"/>
      <c r="BE680" s="208"/>
      <c r="BF680" s="16"/>
      <c r="BG680" s="19"/>
      <c r="BH680" s="20"/>
      <c r="BI680" s="77"/>
      <c r="BJ680" s="38"/>
      <c r="BK680" s="145"/>
      <c r="BL680" s="80"/>
      <c r="BM680" s="75"/>
      <c r="BN680" s="456"/>
      <c r="BO680" s="387"/>
      <c r="BP680" s="409"/>
      <c r="BQ680" s="713"/>
      <c r="BR680" s="658"/>
      <c r="BS680" s="714"/>
      <c r="BT680" s="541"/>
      <c r="BU680" s="406"/>
      <c r="BV680" s="407"/>
      <c r="BX680" s="139"/>
      <c r="BY680" s="444"/>
    </row>
    <row r="681" spans="1:77" ht="15" customHeight="1" x14ac:dyDescent="0.2">
      <c r="A681" s="117" t="s">
        <v>116</v>
      </c>
      <c r="B681" s="56" t="s">
        <v>1606</v>
      </c>
      <c r="C681" s="637"/>
      <c r="D681" s="544">
        <v>66402.316000000006</v>
      </c>
      <c r="E681" s="95" t="s">
        <v>3354</v>
      </c>
      <c r="F681" s="374">
        <v>1994</v>
      </c>
      <c r="G681" s="104">
        <v>153.96</v>
      </c>
      <c r="H681" s="346">
        <f>G681+12</f>
        <v>165.96</v>
      </c>
      <c r="I681" s="114"/>
      <c r="J681" s="93">
        <v>248.44291999999999</v>
      </c>
      <c r="K681" s="346">
        <v>306.78334999999998</v>
      </c>
      <c r="L681" s="114"/>
      <c r="M681" s="93">
        <v>273.71280000000002</v>
      </c>
      <c r="N681" s="93">
        <v>339.54052999999999</v>
      </c>
      <c r="O681" s="1038"/>
      <c r="P681" s="93">
        <v>258.57987000000003</v>
      </c>
      <c r="Q681" s="378">
        <v>345.91744</v>
      </c>
      <c r="R681" s="1038">
        <v>2018</v>
      </c>
      <c r="S681" s="93">
        <v>286.68047000000001</v>
      </c>
      <c r="T681" s="378">
        <v>372.64877000000001</v>
      </c>
      <c r="U681" s="68"/>
      <c r="V681" s="68"/>
      <c r="W681" s="27"/>
      <c r="X681" s="28"/>
      <c r="Y681" s="145"/>
      <c r="Z681" s="38"/>
      <c r="AA681" s="145"/>
      <c r="AB681" s="80"/>
      <c r="AC681" s="209"/>
      <c r="AE681" s="16"/>
      <c r="AF681" s="136"/>
      <c r="AG681" s="59"/>
      <c r="AH681" s="77"/>
      <c r="AI681" s="38"/>
      <c r="AJ681" s="145"/>
      <c r="AK681" s="80"/>
      <c r="AL681" s="215"/>
      <c r="AM681" s="456"/>
      <c r="AN681" s="47">
        <f>555/1000</f>
        <v>0.55500000000000005</v>
      </c>
      <c r="AO681" s="78">
        <f>AS681*(1+AT681)</f>
        <v>0.38850000000000001</v>
      </c>
      <c r="AP681" s="47">
        <f>AS681*(1+AU681)</f>
        <v>0.33300000000000002</v>
      </c>
      <c r="AQ681" s="262">
        <v>2030</v>
      </c>
      <c r="AR681" s="48"/>
      <c r="AS681" s="48">
        <f>AN681</f>
        <v>0.55500000000000005</v>
      </c>
      <c r="AT681" s="1325">
        <v>-0.3</v>
      </c>
      <c r="AU681" s="1326">
        <v>-0.4</v>
      </c>
      <c r="AV681" s="16"/>
      <c r="AW681" s="16"/>
      <c r="AX681" s="19"/>
      <c r="AY681" s="20"/>
      <c r="AZ681" s="77"/>
      <c r="BA681" s="38"/>
      <c r="BB681" s="145"/>
      <c r="BC681" s="80"/>
      <c r="BD681" s="75"/>
      <c r="BE681" s="208"/>
      <c r="BF681" s="16"/>
      <c r="BG681" s="19"/>
      <c r="BH681" s="20"/>
      <c r="BI681" s="77"/>
      <c r="BJ681" s="38"/>
      <c r="BK681" s="145"/>
      <c r="BL681" s="80"/>
      <c r="BM681" s="75"/>
      <c r="BN681" s="208"/>
      <c r="BO681" s="16"/>
      <c r="BP681" s="19"/>
      <c r="BQ681" s="20"/>
      <c r="BR681" s="32"/>
      <c r="BS681" s="38"/>
      <c r="BT681" s="145"/>
      <c r="BU681" s="80"/>
      <c r="BV681" s="215"/>
      <c r="BX681" s="321"/>
      <c r="BY681" s="38"/>
    </row>
    <row r="682" spans="1:77" ht="15" customHeight="1" x14ac:dyDescent="0.2">
      <c r="A682" s="117" t="s">
        <v>116</v>
      </c>
      <c r="B682" s="56"/>
      <c r="C682" s="637" t="s">
        <v>2737</v>
      </c>
      <c r="D682" s="544">
        <v>8.8569999999999993</v>
      </c>
      <c r="E682" s="107" t="s">
        <v>392</v>
      </c>
      <c r="F682" s="374"/>
      <c r="G682" s="104"/>
      <c r="H682" s="69"/>
      <c r="I682" s="74"/>
      <c r="J682" s="68"/>
      <c r="K682" s="69"/>
      <c r="L682" s="74"/>
      <c r="M682" s="68"/>
      <c r="N682" s="356"/>
      <c r="O682" s="923">
        <v>2014</v>
      </c>
      <c r="P682" s="68"/>
      <c r="Q682" s="356">
        <v>3.4329999999999998</v>
      </c>
      <c r="R682" s="923"/>
      <c r="S682" s="68"/>
      <c r="T682" s="356"/>
      <c r="U682" s="68"/>
      <c r="V682" s="68"/>
      <c r="W682" s="89">
        <f>AA682*(1+AB682)</f>
        <v>2.9180499999999997E-3</v>
      </c>
      <c r="X682" s="87">
        <f>AA682*(1+AC682)</f>
        <v>2.9180499999999997E-3</v>
      </c>
      <c r="Y682" s="53">
        <v>2009</v>
      </c>
      <c r="Z682" s="53"/>
      <c r="AA682" s="681">
        <f>Q682/1000</f>
        <v>3.4329999999999999E-3</v>
      </c>
      <c r="AB682" s="399">
        <v>-0.15</v>
      </c>
      <c r="AC682" s="618">
        <f>AB682</f>
        <v>-0.15</v>
      </c>
      <c r="AE682" s="16"/>
      <c r="AF682" s="136"/>
      <c r="AG682" s="59"/>
      <c r="AH682" s="77"/>
      <c r="AI682" s="38"/>
      <c r="AJ682" s="145"/>
      <c r="AK682" s="80"/>
      <c r="AL682" s="215"/>
      <c r="AM682" s="456"/>
      <c r="AN682" s="387"/>
      <c r="AO682" s="454"/>
      <c r="AP682" s="439"/>
      <c r="AQ682" s="440"/>
      <c r="AR682" s="424"/>
      <c r="AS682" s="453"/>
      <c r="AT682" s="292"/>
      <c r="AU682" s="293"/>
      <c r="AV682" s="16"/>
      <c r="AW682" s="16"/>
      <c r="AX682" s="19"/>
      <c r="AY682" s="20"/>
      <c r="AZ682" s="77"/>
      <c r="BA682" s="38"/>
      <c r="BB682" s="145"/>
      <c r="BC682" s="80"/>
      <c r="BD682" s="75"/>
      <c r="BE682" s="208"/>
      <c r="BF682" s="16"/>
      <c r="BG682" s="19"/>
      <c r="BH682" s="20"/>
      <c r="BI682" s="77"/>
      <c r="BJ682" s="38"/>
      <c r="BK682" s="145"/>
      <c r="BL682" s="80"/>
      <c r="BM682" s="75"/>
      <c r="BN682" s="208"/>
      <c r="BO682" s="16"/>
      <c r="BP682" s="19"/>
      <c r="BQ682" s="20"/>
      <c r="BR682" s="32"/>
      <c r="BS682" s="38"/>
      <c r="BT682" s="145"/>
      <c r="BU682" s="80"/>
      <c r="BV682" s="215"/>
      <c r="BX682" s="321"/>
      <c r="BY682" s="38"/>
    </row>
    <row r="683" spans="1:77" ht="15" customHeight="1" x14ac:dyDescent="0.2">
      <c r="A683" s="117" t="s">
        <v>116</v>
      </c>
      <c r="B683" s="56"/>
      <c r="C683" s="637" t="s">
        <v>2738</v>
      </c>
      <c r="D683" s="544"/>
      <c r="E683" s="107" t="s">
        <v>392</v>
      </c>
      <c r="F683" s="374"/>
      <c r="G683" s="104"/>
      <c r="H683" s="69"/>
      <c r="I683" s="74"/>
      <c r="J683" s="68"/>
      <c r="K683" s="69"/>
      <c r="L683" s="74"/>
      <c r="M683" s="68"/>
      <c r="N683" s="356"/>
      <c r="O683" s="923">
        <v>2013</v>
      </c>
      <c r="P683" s="68"/>
      <c r="Q683" s="356">
        <v>0.12039999999999999</v>
      </c>
      <c r="R683" s="923"/>
      <c r="S683" s="68"/>
      <c r="T683" s="356"/>
      <c r="U683" s="68"/>
      <c r="V683" s="68"/>
      <c r="W683" s="757">
        <f t="shared" ref="W683" si="315">AA683*(1+AB683)</f>
        <v>1.0836E-4</v>
      </c>
      <c r="X683" s="758">
        <f t="shared" ref="X683" si="316">AA683*(1+AC683)</f>
        <v>1.0836E-4</v>
      </c>
      <c r="Y683" s="272">
        <v>2013</v>
      </c>
      <c r="Z683" s="34"/>
      <c r="AA683" s="756">
        <f>+Q683/1000</f>
        <v>1.204E-4</v>
      </c>
      <c r="AB683" s="395">
        <v>-0.1</v>
      </c>
      <c r="AC683" s="443">
        <f>AB683</f>
        <v>-0.1</v>
      </c>
      <c r="AE683" s="16"/>
      <c r="AF683" s="136"/>
      <c r="AG683" s="59"/>
      <c r="AH683" s="77"/>
      <c r="AI683" s="38"/>
      <c r="AJ683" s="145"/>
      <c r="AK683" s="80"/>
      <c r="AL683" s="215"/>
      <c r="AM683" s="456"/>
      <c r="AN683" s="387"/>
      <c r="AO683" s="454"/>
      <c r="AP683" s="439"/>
      <c r="AQ683" s="440"/>
      <c r="AR683" s="424"/>
      <c r="AS683" s="453"/>
      <c r="AT683" s="292"/>
      <c r="AU683" s="293"/>
      <c r="AV683" s="16"/>
      <c r="AW683" s="16"/>
      <c r="AX683" s="19"/>
      <c r="AY683" s="20"/>
      <c r="AZ683" s="77"/>
      <c r="BA683" s="38"/>
      <c r="BB683" s="145"/>
      <c r="BC683" s="80"/>
      <c r="BD683" s="75"/>
      <c r="BE683" s="208"/>
      <c r="BF683" s="16"/>
      <c r="BG683" s="19"/>
      <c r="BH683" s="20"/>
      <c r="BI683" s="77"/>
      <c r="BJ683" s="38"/>
      <c r="BK683" s="145"/>
      <c r="BL683" s="80"/>
      <c r="BM683" s="75"/>
      <c r="BN683" s="208"/>
      <c r="BO683" s="16"/>
      <c r="BP683" s="19"/>
      <c r="BQ683" s="20"/>
      <c r="BR683" s="32"/>
      <c r="BS683" s="38"/>
      <c r="BT683" s="145"/>
      <c r="BU683" s="80"/>
      <c r="BV683" s="215"/>
      <c r="BX683" s="321"/>
      <c r="BY683" s="38"/>
    </row>
    <row r="684" spans="1:77" ht="15" customHeight="1" x14ac:dyDescent="0.2">
      <c r="A684" s="117" t="s">
        <v>116</v>
      </c>
      <c r="B684" s="56"/>
      <c r="C684" s="637" t="s">
        <v>3323</v>
      </c>
      <c r="D684" s="544">
        <v>21.071000000000002</v>
      </c>
      <c r="E684" s="95" t="s">
        <v>387</v>
      </c>
      <c r="F684" s="374"/>
      <c r="G684" s="104"/>
      <c r="H684" s="69"/>
      <c r="I684" s="74"/>
      <c r="J684" s="68"/>
      <c r="K684" s="18">
        <v>1.4884710000000001E-2</v>
      </c>
      <c r="L684" s="74"/>
      <c r="M684" s="68"/>
      <c r="N684" s="68"/>
      <c r="O684" s="923"/>
      <c r="P684" s="68"/>
      <c r="Q684" s="356"/>
      <c r="R684" s="923"/>
      <c r="S684" s="68"/>
      <c r="T684" s="356"/>
      <c r="U684" s="68"/>
      <c r="V684" s="68"/>
      <c r="W684" s="757"/>
      <c r="X684" s="758"/>
      <c r="Y684" s="272"/>
      <c r="Z684" s="34"/>
      <c r="AA684" s="756"/>
      <c r="AB684" s="395"/>
      <c r="AC684" s="443"/>
      <c r="AE684" s="16"/>
      <c r="AF684" s="707">
        <f>AJ684*(1+AK684)</f>
        <v>1.1163532500000001E-5</v>
      </c>
      <c r="AG684" s="708">
        <f>+AJ684*(1+AL684)</f>
        <v>1.1163532500000001E-5</v>
      </c>
      <c r="AH684" s="617">
        <v>2008</v>
      </c>
      <c r="AI684" s="428"/>
      <c r="AJ684" s="700">
        <f>+K684/1000</f>
        <v>1.4884710000000001E-5</v>
      </c>
      <c r="AK684" s="965">
        <v>-0.25</v>
      </c>
      <c r="AL684" s="747">
        <f>AK684</f>
        <v>-0.25</v>
      </c>
      <c r="AM684" s="456"/>
      <c r="AN684" s="387"/>
      <c r="AO684" s="454"/>
      <c r="AP684" s="439"/>
      <c r="AQ684" s="440"/>
      <c r="AR684" s="424"/>
      <c r="AS684" s="453"/>
      <c r="AT684" s="292"/>
      <c r="AU684" s="293"/>
      <c r="AV684" s="16"/>
      <c r="AW684" s="16"/>
      <c r="AX684" s="19"/>
      <c r="AY684" s="20"/>
      <c r="AZ684" s="77"/>
      <c r="BA684" s="38"/>
      <c r="BB684" s="145"/>
      <c r="BC684" s="80"/>
      <c r="BD684" s="75"/>
      <c r="BE684" s="208"/>
      <c r="BF684" s="16"/>
      <c r="BG684" s="19"/>
      <c r="BH684" s="20"/>
      <c r="BI684" s="77"/>
      <c r="BJ684" s="38"/>
      <c r="BK684" s="145"/>
      <c r="BL684" s="80"/>
      <c r="BM684" s="75"/>
      <c r="BN684" s="208"/>
      <c r="BO684" s="16"/>
      <c r="BP684" s="19"/>
      <c r="BQ684" s="20"/>
      <c r="BR684" s="32"/>
      <c r="BS684" s="38"/>
      <c r="BT684" s="145"/>
      <c r="BU684" s="80"/>
      <c r="BV684" s="215"/>
      <c r="BX684" s="321"/>
      <c r="BY684" s="38"/>
    </row>
    <row r="685" spans="1:77" ht="15" customHeight="1" x14ac:dyDescent="0.2">
      <c r="A685" s="117" t="s">
        <v>205</v>
      </c>
      <c r="B685" s="56" t="s">
        <v>1606</v>
      </c>
      <c r="C685" s="637"/>
      <c r="D685" s="544">
        <v>1079.45</v>
      </c>
      <c r="E685" s="95" t="s">
        <v>2958</v>
      </c>
      <c r="F685" s="373">
        <v>2005</v>
      </c>
      <c r="G685" s="567">
        <f>0.01501306</f>
        <v>1.501306E-2</v>
      </c>
      <c r="H685" s="1254">
        <f>G685-0.00030274</f>
        <v>1.4710320000000001E-2</v>
      </c>
      <c r="I685" s="114"/>
      <c r="J685" s="511">
        <v>1.24476E-2</v>
      </c>
      <c r="K685" s="1254">
        <f>J685-0.0011505</f>
        <v>1.1297099999999999E-2</v>
      </c>
      <c r="L685" s="114"/>
      <c r="M685" s="511">
        <v>1.48261E-2</v>
      </c>
      <c r="N685" s="511">
        <f>M685-0.0020603</f>
        <v>1.2765800000000001E-2</v>
      </c>
      <c r="O685" s="1038"/>
      <c r="P685" s="511">
        <v>3.82512E-3</v>
      </c>
      <c r="Q685" s="1362">
        <f>P685+0.00147873</f>
        <v>5.3038499999999997E-3</v>
      </c>
      <c r="R685" s="923"/>
      <c r="S685" s="167"/>
      <c r="T685" s="375"/>
      <c r="U685" s="68"/>
      <c r="V685" s="68"/>
      <c r="W685" s="27"/>
      <c r="X685" s="28"/>
      <c r="Y685" s="145"/>
      <c r="Z685" s="38"/>
      <c r="AA685" s="145"/>
      <c r="AB685" s="80"/>
      <c r="AC685" s="209"/>
      <c r="AE685" s="16"/>
      <c r="AF685" s="136"/>
      <c r="AG685" s="59"/>
      <c r="AH685" s="77"/>
      <c r="AI685" s="38"/>
      <c r="AJ685" s="145"/>
      <c r="AK685" s="80"/>
      <c r="AL685" s="215"/>
      <c r="AM685" s="205"/>
      <c r="AN685" s="16"/>
      <c r="AO685" s="136"/>
      <c r="AP685" s="59"/>
      <c r="AQ685" s="77"/>
      <c r="AR685" s="38"/>
      <c r="AS685" s="145"/>
      <c r="AT685" s="80"/>
      <c r="AU685" s="215"/>
      <c r="AV685" s="16"/>
      <c r="AW685" s="16"/>
      <c r="AX685" s="19"/>
      <c r="AY685" s="20"/>
      <c r="AZ685" s="77"/>
      <c r="BA685" s="38"/>
      <c r="BB685" s="145"/>
      <c r="BC685" s="80"/>
      <c r="BD685" s="75"/>
      <c r="BE685" s="208"/>
      <c r="BF685" s="16"/>
      <c r="BG685" s="19"/>
      <c r="BH685" s="20"/>
      <c r="BI685" s="77"/>
      <c r="BJ685" s="38"/>
      <c r="BK685" s="145"/>
      <c r="BL685" s="80"/>
      <c r="BM685" s="75"/>
      <c r="BN685" s="208"/>
      <c r="BO685" s="16"/>
      <c r="BP685" s="19"/>
      <c r="BQ685" s="20"/>
      <c r="BR685" s="32"/>
      <c r="BS685" s="38"/>
      <c r="BT685" s="145"/>
      <c r="BU685" s="80"/>
      <c r="BV685" s="215"/>
      <c r="BX685" s="321"/>
      <c r="BY685" s="38"/>
    </row>
    <row r="686" spans="1:77" ht="15" customHeight="1" x14ac:dyDescent="0.25">
      <c r="A686" s="117" t="s">
        <v>206</v>
      </c>
      <c r="B686" s="56" t="s">
        <v>1606</v>
      </c>
      <c r="C686" s="637"/>
      <c r="D686" s="544">
        <v>104.098</v>
      </c>
      <c r="E686" s="95" t="s">
        <v>3199</v>
      </c>
      <c r="F686" s="373">
        <v>1994</v>
      </c>
      <c r="G686" s="122">
        <f>H686-0.28561</f>
        <v>9.0120000000000033E-2</v>
      </c>
      <c r="H686" s="1292">
        <v>0.37573000000000001</v>
      </c>
      <c r="I686" s="114">
        <v>2000</v>
      </c>
      <c r="J686" s="1330">
        <f>K686-0.14766</f>
        <v>0.10769000000000001</v>
      </c>
      <c r="K686" s="1292">
        <v>0.25535000000000002</v>
      </c>
      <c r="L686" s="114">
        <v>2006</v>
      </c>
      <c r="M686" s="1330">
        <f>N686-0.187</f>
        <v>0.12341000000000002</v>
      </c>
      <c r="N686" s="1330">
        <f>0.31041</f>
        <v>0.31041000000000002</v>
      </c>
      <c r="O686" s="1037"/>
      <c r="P686" s="563"/>
      <c r="Q686" s="562"/>
      <c r="R686" s="1037"/>
      <c r="S686" s="563"/>
      <c r="T686" s="562"/>
      <c r="U686" s="68"/>
      <c r="V686" s="68"/>
      <c r="W686" s="27"/>
      <c r="X686" s="28"/>
      <c r="Y686" s="145"/>
      <c r="Z686" s="38"/>
      <c r="AA686" s="145"/>
      <c r="AB686" s="80"/>
      <c r="AC686" s="209"/>
      <c r="AE686" s="16"/>
      <c r="AF686" s="136"/>
      <c r="AG686" s="59"/>
      <c r="AH686" s="77"/>
      <c r="AI686" s="38"/>
      <c r="AJ686" s="145"/>
      <c r="AK686" s="80"/>
      <c r="AL686" s="215"/>
      <c r="AM686" s="1417"/>
      <c r="AN686" s="1404"/>
      <c r="AO686" s="1401">
        <f>+AR686-0.016</f>
        <v>0.29441000000000001</v>
      </c>
      <c r="AP686" s="1402">
        <f>AO686</f>
        <v>0.29441000000000001</v>
      </c>
      <c r="AQ686" s="1403">
        <v>2006</v>
      </c>
      <c r="AR686" s="1406">
        <f>+N686</f>
        <v>0.31041000000000002</v>
      </c>
      <c r="AS686" s="1405"/>
      <c r="AT686" s="1418"/>
      <c r="AU686" s="1419"/>
      <c r="AV686" s="16"/>
      <c r="AW686" s="16"/>
      <c r="AX686" s="19"/>
      <c r="AY686" s="20"/>
      <c r="AZ686" s="77"/>
      <c r="BA686" s="38"/>
      <c r="BB686" s="145"/>
      <c r="BC686" s="80"/>
      <c r="BD686" s="75"/>
      <c r="BE686" s="208"/>
      <c r="BF686" s="16"/>
      <c r="BG686" s="19"/>
      <c r="BH686" s="20"/>
      <c r="BI686" s="77"/>
      <c r="BJ686" s="38"/>
      <c r="BK686" s="145"/>
      <c r="BL686" s="80"/>
      <c r="BM686" s="75"/>
      <c r="BN686" s="208"/>
      <c r="BO686" s="16"/>
      <c r="BP686" s="19"/>
      <c r="BQ686" s="20"/>
      <c r="BR686" s="32"/>
      <c r="BS686" s="38"/>
      <c r="BT686" s="145"/>
      <c r="BU686" s="80"/>
      <c r="BV686" s="215"/>
      <c r="BX686" s="321"/>
      <c r="BY686" s="38"/>
    </row>
    <row r="687" spans="1:77" ht="15" customHeight="1" x14ac:dyDescent="0.2">
      <c r="A687" s="117" t="s">
        <v>207</v>
      </c>
      <c r="B687" s="56" t="s">
        <v>1606</v>
      </c>
      <c r="C687" s="637"/>
      <c r="D687" s="544">
        <v>9.827</v>
      </c>
      <c r="E687" s="95" t="s">
        <v>2959</v>
      </c>
      <c r="F687" s="373">
        <v>1994</v>
      </c>
      <c r="G687" s="122">
        <v>0.06</v>
      </c>
      <c r="H687" s="1292">
        <v>0.06</v>
      </c>
      <c r="I687" s="436">
        <v>2002</v>
      </c>
      <c r="J687" s="494">
        <v>1.6920000000000001E-2</v>
      </c>
      <c r="K687" s="495">
        <v>1.695E-2</v>
      </c>
      <c r="L687" s="114"/>
      <c r="M687" s="494">
        <v>0.02</v>
      </c>
      <c r="N687" s="494">
        <v>0.02</v>
      </c>
      <c r="O687" s="923"/>
      <c r="P687" s="494"/>
      <c r="Q687" s="496"/>
      <c r="R687" s="923"/>
      <c r="S687" s="494"/>
      <c r="T687" s="496"/>
      <c r="U687" s="68"/>
      <c r="V687" s="68"/>
      <c r="W687" s="27"/>
      <c r="X687" s="28"/>
      <c r="Y687" s="145"/>
      <c r="Z687" s="38"/>
      <c r="AA687" s="145"/>
      <c r="AB687" s="80"/>
      <c r="AC687" s="209"/>
      <c r="AE687" s="16"/>
      <c r="AF687" s="1533" t="s">
        <v>311</v>
      </c>
      <c r="AG687" s="1534"/>
      <c r="AH687" s="77"/>
      <c r="AI687" s="38"/>
      <c r="AJ687" s="145"/>
      <c r="AK687" s="80"/>
      <c r="AL687" s="215"/>
      <c r="AM687" s="205"/>
      <c r="AN687" s="16"/>
      <c r="AO687" s="136"/>
      <c r="AP687" s="59"/>
      <c r="AQ687" s="77"/>
      <c r="AR687" s="38"/>
      <c r="AS687" s="145"/>
      <c r="AT687" s="80"/>
      <c r="AU687" s="215"/>
      <c r="AV687" s="16"/>
      <c r="AW687" s="16"/>
      <c r="AX687" s="19"/>
      <c r="AY687" s="20"/>
      <c r="AZ687" s="77"/>
      <c r="BA687" s="38"/>
      <c r="BB687" s="145"/>
      <c r="BC687" s="80"/>
      <c r="BD687" s="75"/>
      <c r="BE687" s="208"/>
      <c r="BF687" s="16"/>
      <c r="BG687" s="19"/>
      <c r="BH687" s="20"/>
      <c r="BI687" s="77"/>
      <c r="BJ687" s="38"/>
      <c r="BK687" s="145"/>
      <c r="BL687" s="80"/>
      <c r="BM687" s="75"/>
      <c r="BN687" s="208"/>
      <c r="BO687" s="16"/>
      <c r="BP687" s="19"/>
      <c r="BQ687" s="20"/>
      <c r="BR687" s="32"/>
      <c r="BS687" s="38"/>
      <c r="BT687" s="145"/>
      <c r="BU687" s="80"/>
      <c r="BV687" s="215"/>
      <c r="BX687" s="832" t="s">
        <v>331</v>
      </c>
      <c r="BY687" s="38"/>
    </row>
    <row r="688" spans="1:77" ht="15" customHeight="1" x14ac:dyDescent="0.2">
      <c r="A688" s="117" t="s">
        <v>208</v>
      </c>
      <c r="B688" s="56" t="s">
        <v>1606</v>
      </c>
      <c r="C688" s="637"/>
      <c r="D688" s="544">
        <v>236.29900000000001</v>
      </c>
      <c r="E688" s="95" t="s">
        <v>3331</v>
      </c>
      <c r="F688" s="373">
        <v>1994</v>
      </c>
      <c r="G688" s="104">
        <f>H688-1.1534</f>
        <v>-0.5534</v>
      </c>
      <c r="H688" s="346">
        <v>0.6</v>
      </c>
      <c r="I688" s="114"/>
      <c r="J688" s="93">
        <v>-7.2937500000000002</v>
      </c>
      <c r="K688" s="346">
        <v>0.61694000000000004</v>
      </c>
      <c r="L688" s="114"/>
      <c r="M688" s="93">
        <v>-3.15</v>
      </c>
      <c r="N688" s="93">
        <v>0.6</v>
      </c>
      <c r="O688" s="1038"/>
      <c r="P688" s="93">
        <v>-6.3635000000000002</v>
      </c>
      <c r="Q688" s="378">
        <v>0.61019999999999996</v>
      </c>
      <c r="R688" s="1038">
        <v>2017</v>
      </c>
      <c r="S688" s="93"/>
      <c r="T688" s="378">
        <v>0.60020899999999999</v>
      </c>
      <c r="U688" s="68"/>
      <c r="V688" s="68"/>
      <c r="W688" s="27"/>
      <c r="X688" s="28"/>
      <c r="Y688" s="145"/>
      <c r="Z688" s="38"/>
      <c r="AA688" s="145"/>
      <c r="AB688" s="80"/>
      <c r="AC688" s="209"/>
      <c r="AE688" s="16"/>
      <c r="AF688" s="136"/>
      <c r="AG688" s="59"/>
      <c r="AH688" s="77"/>
      <c r="AI688" s="38"/>
      <c r="AJ688" s="145"/>
      <c r="AK688" s="80"/>
      <c r="AL688" s="215"/>
      <c r="AM688" s="205"/>
      <c r="AN688" s="16"/>
      <c r="AO688" s="1561" t="s">
        <v>311</v>
      </c>
      <c r="AP688" s="1562"/>
      <c r="AQ688" s="440"/>
      <c r="AR688" s="498"/>
      <c r="AS688" s="145"/>
      <c r="AT688" s="80"/>
      <c r="AU688" s="215"/>
      <c r="AV688" s="16"/>
      <c r="AW688" s="20"/>
      <c r="AX688" s="16"/>
      <c r="AY688" s="20"/>
      <c r="AZ688" s="77"/>
      <c r="BA688" s="38"/>
      <c r="BB688" s="145"/>
      <c r="BC688" s="80"/>
      <c r="BD688" s="75"/>
      <c r="BE688" s="208"/>
      <c r="BF688" s="16"/>
      <c r="BG688" s="19"/>
      <c r="BH688" s="20"/>
      <c r="BI688" s="77"/>
      <c r="BJ688" s="38"/>
      <c r="BK688" s="145"/>
      <c r="BL688" s="80"/>
      <c r="BM688" s="75"/>
      <c r="BN688" s="208"/>
      <c r="BO688" s="16"/>
      <c r="BP688" s="19"/>
      <c r="BQ688" s="20"/>
      <c r="BR688" s="32"/>
      <c r="BS688" s="38"/>
      <c r="BT688" s="145"/>
      <c r="BU688" s="80"/>
      <c r="BV688" s="215"/>
      <c r="BX688" s="321"/>
      <c r="BY688" s="38"/>
    </row>
    <row r="689" spans="1:77" ht="15" customHeight="1" x14ac:dyDescent="0.2">
      <c r="A689" s="117" t="s">
        <v>125</v>
      </c>
      <c r="B689" s="56" t="s">
        <v>1606</v>
      </c>
      <c r="C689" s="637"/>
      <c r="D689" s="544">
        <v>89047.396999999997</v>
      </c>
      <c r="E689" s="95" t="s">
        <v>2960</v>
      </c>
      <c r="F689" s="373">
        <v>1994</v>
      </c>
      <c r="G689" s="104">
        <v>103.83199999999999</v>
      </c>
      <c r="H689" s="69">
        <f>G689-19.378</f>
        <v>84.453999999999994</v>
      </c>
      <c r="I689" s="74">
        <v>2000</v>
      </c>
      <c r="J689" s="68">
        <v>150.90100000000001</v>
      </c>
      <c r="K689" s="69">
        <f>J689-15.105</f>
        <v>135.79600000000002</v>
      </c>
      <c r="L689" s="74"/>
      <c r="M689" s="68">
        <v>252.6215</v>
      </c>
      <c r="N689" s="356">
        <f>M689+20.7207</f>
        <v>273.34219999999999</v>
      </c>
      <c r="O689" s="923">
        <v>2014</v>
      </c>
      <c r="P689" s="68">
        <v>283.96553</v>
      </c>
      <c r="Q689" s="356">
        <v>321.50571000000002</v>
      </c>
      <c r="R689" s="923"/>
      <c r="S689" s="68"/>
      <c r="T689" s="356"/>
      <c r="U689" s="68">
        <f>474.1</f>
        <v>474.1</v>
      </c>
      <c r="V689" s="68"/>
      <c r="W689" s="27"/>
      <c r="X689" s="28"/>
      <c r="Y689" s="145"/>
      <c r="Z689" s="38"/>
      <c r="AA689" s="145"/>
      <c r="AB689" s="80"/>
      <c r="AC689" s="209"/>
      <c r="AE689" s="16"/>
      <c r="AF689" s="136"/>
      <c r="AG689" s="59"/>
      <c r="AH689" s="77"/>
      <c r="AI689" s="38"/>
      <c r="AJ689" s="145"/>
      <c r="AK689" s="80"/>
      <c r="AL689" s="215"/>
      <c r="AM689" s="1367">
        <f>927.9/1000</f>
        <v>0.92789999999999995</v>
      </c>
      <c r="AN689" s="78"/>
      <c r="AO689" s="1368">
        <f>AR689*(1+AT689)</f>
        <v>0.67736699999999994</v>
      </c>
      <c r="AP689" s="1369">
        <f>AR689*(1+AU689)</f>
        <v>0.52426349999999988</v>
      </c>
      <c r="AQ689" s="262">
        <v>2030</v>
      </c>
      <c r="AR689" s="1364">
        <f>AM689</f>
        <v>0.92789999999999995</v>
      </c>
      <c r="AS689" s="1340"/>
      <c r="AT689" s="1325">
        <v>-0.27</v>
      </c>
      <c r="AU689" s="1326">
        <v>-0.435</v>
      </c>
      <c r="AV689" s="16"/>
      <c r="AW689" s="20"/>
      <c r="AX689" s="16"/>
      <c r="AY689" s="20"/>
      <c r="AZ689" s="77"/>
      <c r="BA689" s="38"/>
      <c r="BB689" s="145"/>
      <c r="BC689" s="80"/>
      <c r="BD689" s="75"/>
      <c r="BE689" s="208"/>
      <c r="BF689" s="16"/>
      <c r="BG689" s="19"/>
      <c r="BH689" s="20"/>
      <c r="BI689" s="77"/>
      <c r="BJ689" s="38"/>
      <c r="BK689" s="145"/>
      <c r="BL689" s="80"/>
      <c r="BM689" s="75"/>
      <c r="BN689" s="208"/>
      <c r="BO689" s="16"/>
      <c r="BP689" s="19"/>
      <c r="BQ689" s="20"/>
      <c r="BR689" s="32"/>
      <c r="BS689" s="38"/>
      <c r="BT689" s="145"/>
      <c r="BU689" s="80"/>
      <c r="BV689" s="215"/>
      <c r="BW689" s="1" t="s">
        <v>275</v>
      </c>
      <c r="BX689" s="321" t="s">
        <v>276</v>
      </c>
      <c r="BY689" s="38"/>
    </row>
    <row r="690" spans="1:77" ht="15" customHeight="1" x14ac:dyDescent="0.2">
      <c r="A690" s="117" t="s">
        <v>125</v>
      </c>
      <c r="B690" s="56"/>
      <c r="C690" s="637" t="s">
        <v>2719</v>
      </c>
      <c r="D690" s="544">
        <v>93.953999999999994</v>
      </c>
      <c r="E690" s="95" t="s">
        <v>392</v>
      </c>
      <c r="F690" s="373"/>
      <c r="G690" s="104"/>
      <c r="H690" s="69"/>
      <c r="I690" s="74"/>
      <c r="J690" s="68"/>
      <c r="K690" s="69"/>
      <c r="L690" s="74"/>
      <c r="M690" s="68"/>
      <c r="N690" s="356"/>
      <c r="O690" s="923">
        <v>2016</v>
      </c>
      <c r="P690" s="68"/>
      <c r="Q690" s="356">
        <v>0.37095</v>
      </c>
      <c r="R690" s="923">
        <v>2016</v>
      </c>
      <c r="S690" s="68"/>
      <c r="T690" s="356">
        <v>0.37095</v>
      </c>
      <c r="U690" s="68"/>
      <c r="V690" s="68"/>
      <c r="W690" s="27"/>
      <c r="X690" s="28"/>
      <c r="Y690" s="145"/>
      <c r="Z690" s="38"/>
      <c r="AA690" s="145"/>
      <c r="AB690" s="80"/>
      <c r="AC690" s="209"/>
      <c r="AE690" s="16"/>
      <c r="AF690" s="136"/>
      <c r="AG690" s="59"/>
      <c r="AH690" s="77"/>
      <c r="AI690" s="38"/>
      <c r="AJ690" s="145"/>
      <c r="AK690" s="80"/>
      <c r="AL690" s="215"/>
      <c r="AM690" s="205"/>
      <c r="AN690" s="16"/>
      <c r="AO690" s="638">
        <f>AS690*(1+AT690)</f>
        <v>2.9676000000000003E-4</v>
      </c>
      <c r="AP690" s="639">
        <f>AS690*(1+AU690)</f>
        <v>2.9676000000000003E-4</v>
      </c>
      <c r="AQ690" s="640">
        <v>2016</v>
      </c>
      <c r="AR690" s="714"/>
      <c r="AS690" s="746">
        <f>+Q690/1000</f>
        <v>3.7094999999999999E-4</v>
      </c>
      <c r="AT690" s="406">
        <v>-0.2</v>
      </c>
      <c r="AU690" s="407">
        <f>AT690</f>
        <v>-0.2</v>
      </c>
      <c r="AV690" s="16"/>
      <c r="AW690" s="20"/>
      <c r="AX690" s="16"/>
      <c r="AY690" s="20"/>
      <c r="AZ690" s="77"/>
      <c r="BA690" s="38"/>
      <c r="BB690" s="145"/>
      <c r="BC690" s="80"/>
      <c r="BD690" s="75"/>
      <c r="BE690" s="208"/>
      <c r="BF690" s="16"/>
      <c r="BG690" s="19"/>
      <c r="BH690" s="20"/>
      <c r="BI690" s="77"/>
      <c r="BJ690" s="38"/>
      <c r="BK690" s="145"/>
      <c r="BL690" s="80"/>
      <c r="BM690" s="75"/>
      <c r="BN690" s="208"/>
      <c r="BO690" s="16"/>
      <c r="BP690" s="19"/>
      <c r="BQ690" s="20"/>
      <c r="BR690" s="32"/>
      <c r="BS690" s="38"/>
      <c r="BT690" s="145"/>
      <c r="BU690" s="80"/>
      <c r="BV690" s="215"/>
      <c r="BX690" s="321"/>
      <c r="BY690" s="38"/>
    </row>
    <row r="691" spans="1:77" ht="15" customHeight="1" x14ac:dyDescent="0.2">
      <c r="A691" s="117" t="s">
        <v>125</v>
      </c>
      <c r="B691" s="56"/>
      <c r="C691" s="637" t="s">
        <v>2717</v>
      </c>
      <c r="D691" s="544">
        <v>374.54399999999998</v>
      </c>
      <c r="E691" s="95" t="s">
        <v>392</v>
      </c>
      <c r="F691" s="373"/>
      <c r="G691" s="104"/>
      <c r="H691" s="69"/>
      <c r="I691" s="74"/>
      <c r="J691" s="68"/>
      <c r="K691" s="69"/>
      <c r="L691" s="74">
        <v>2011</v>
      </c>
      <c r="M691" s="68"/>
      <c r="N691" s="356">
        <v>6.9480000000000004</v>
      </c>
      <c r="O691" s="923"/>
      <c r="P691" s="68"/>
      <c r="Q691" s="356"/>
      <c r="R691" s="923"/>
      <c r="S691" s="68"/>
      <c r="T691" s="356"/>
      <c r="U691" s="68"/>
      <c r="V691" s="68"/>
      <c r="W691" s="89">
        <f>AA691*(1+AB691)</f>
        <v>5.5584000000000007E-3</v>
      </c>
      <c r="X691" s="87">
        <f>AA691*(1+AC691)</f>
        <v>5.5584000000000007E-3</v>
      </c>
      <c r="Y691" s="53">
        <v>2011</v>
      </c>
      <c r="Z691" s="53"/>
      <c r="AA691" s="681">
        <f>N691/1000</f>
        <v>6.9480000000000002E-3</v>
      </c>
      <c r="AB691" s="399">
        <v>-0.2</v>
      </c>
      <c r="AC691" s="618">
        <f>AB691</f>
        <v>-0.2</v>
      </c>
      <c r="AE691" s="16"/>
      <c r="AF691" s="136"/>
      <c r="AG691" s="59"/>
      <c r="AH691" s="77"/>
      <c r="AI691" s="38"/>
      <c r="AJ691" s="145"/>
      <c r="AK691" s="80"/>
      <c r="AL691" s="215"/>
      <c r="AM691" s="205"/>
      <c r="AN691" s="16"/>
      <c r="AO691" s="1215"/>
      <c r="AP691" s="1216"/>
      <c r="AQ691" s="440"/>
      <c r="AR691" s="498"/>
      <c r="AS691" s="145"/>
      <c r="AT691" s="80"/>
      <c r="AU691" s="215"/>
      <c r="AV691" s="16"/>
      <c r="AW691" s="20"/>
      <c r="AX691" s="16"/>
      <c r="AY691" s="20"/>
      <c r="AZ691" s="77"/>
      <c r="BA691" s="38"/>
      <c r="BB691" s="145"/>
      <c r="BC691" s="80"/>
      <c r="BD691" s="75"/>
      <c r="BE691" s="208"/>
      <c r="BF691" s="16"/>
      <c r="BG691" s="19"/>
      <c r="BH691" s="20"/>
      <c r="BI691" s="77"/>
      <c r="BJ691" s="38"/>
      <c r="BK691" s="145"/>
      <c r="BL691" s="80"/>
      <c r="BM691" s="75"/>
      <c r="BN691" s="208"/>
      <c r="BO691" s="16"/>
      <c r="BP691" s="19"/>
      <c r="BQ691" s="20"/>
      <c r="BR691" s="32"/>
      <c r="BS691" s="38"/>
      <c r="BT691" s="145"/>
      <c r="BU691" s="80"/>
      <c r="BV691" s="215"/>
      <c r="BX691" s="321"/>
      <c r="BY691" s="38"/>
    </row>
    <row r="692" spans="1:77" ht="15" customHeight="1" x14ac:dyDescent="0.2">
      <c r="A692" s="109" t="s">
        <v>125</v>
      </c>
      <c r="B692" s="109"/>
      <c r="C692" s="661" t="s">
        <v>2716</v>
      </c>
      <c r="D692" s="623">
        <v>1046.252</v>
      </c>
      <c r="E692" s="1104" t="s">
        <v>392</v>
      </c>
      <c r="F692" s="369"/>
      <c r="G692" s="105"/>
      <c r="H692" s="102"/>
      <c r="I692" s="100"/>
      <c r="J692" s="101"/>
      <c r="K692" s="102"/>
      <c r="L692" s="100"/>
      <c r="M692" s="1105"/>
      <c r="N692" s="370"/>
      <c r="O692" s="379">
        <v>2016</v>
      </c>
      <c r="P692" s="1105"/>
      <c r="Q692" s="370">
        <v>3.524311</v>
      </c>
      <c r="R692" s="379">
        <v>2016</v>
      </c>
      <c r="S692" s="1105"/>
      <c r="T692" s="370">
        <v>3.524311</v>
      </c>
      <c r="U692" s="522"/>
      <c r="V692" s="101"/>
      <c r="W692" s="410"/>
      <c r="X692" s="165"/>
      <c r="Y692" s="189"/>
      <c r="Z692" s="42"/>
      <c r="AA692" s="37"/>
      <c r="AB692" s="81"/>
      <c r="AC692" s="689"/>
      <c r="AD692" s="282"/>
      <c r="AE692" s="169"/>
      <c r="AF692" s="774"/>
      <c r="AG692" s="97"/>
      <c r="AH692" s="260"/>
      <c r="AI692" s="42"/>
      <c r="AJ692" s="146"/>
      <c r="AK692" s="81"/>
      <c r="AL692" s="224"/>
      <c r="AM692" s="523"/>
      <c r="AN692" s="524"/>
      <c r="AO692" s="635">
        <f>AS692*(1+AT692)</f>
        <v>2.6432332499999999E-3</v>
      </c>
      <c r="AP692" s="636">
        <f>AS692*(1+AU692)</f>
        <v>2.6432332499999999E-3</v>
      </c>
      <c r="AQ692" s="1219">
        <v>2016</v>
      </c>
      <c r="AR692" s="1220"/>
      <c r="AS692" s="1223">
        <f>Q692/1000</f>
        <v>3.524311E-3</v>
      </c>
      <c r="AT692" s="1221">
        <v>-0.25</v>
      </c>
      <c r="AU692" s="1222">
        <f>AT692</f>
        <v>-0.25</v>
      </c>
      <c r="AV692" s="169"/>
      <c r="AW692" s="165"/>
      <c r="AX692" s="169"/>
      <c r="AY692" s="165"/>
      <c r="AZ692" s="260"/>
      <c r="BA692" s="42"/>
      <c r="BB692" s="146"/>
      <c r="BC692" s="81"/>
      <c r="BD692" s="235"/>
      <c r="BE692" s="223"/>
      <c r="BF692" s="169"/>
      <c r="BG692" s="410"/>
      <c r="BH692" s="165"/>
      <c r="BI692" s="260"/>
      <c r="BJ692" s="42"/>
      <c r="BK692" s="146"/>
      <c r="BL692" s="81"/>
      <c r="BM692" s="235"/>
      <c r="BN692" s="223"/>
      <c r="BO692" s="169"/>
      <c r="BP692" s="410"/>
      <c r="BQ692" s="165"/>
      <c r="BR692" s="37"/>
      <c r="BS692" s="42"/>
      <c r="BT692" s="146"/>
      <c r="BU692" s="81"/>
      <c r="BV692" s="224"/>
      <c r="BW692" s="340"/>
      <c r="BX692" s="833"/>
      <c r="BY692" s="259"/>
    </row>
    <row r="693" spans="1:77" ht="15" customHeight="1" x14ac:dyDescent="0.2">
      <c r="A693" s="54" t="s">
        <v>257</v>
      </c>
      <c r="B693" s="54"/>
      <c r="C693" s="54"/>
      <c r="D693" s="626"/>
      <c r="E693" s="624" t="s">
        <v>230</v>
      </c>
      <c r="F693" s="358"/>
      <c r="G693" s="4"/>
      <c r="H693" s="4"/>
      <c r="I693" s="719"/>
      <c r="J693" s="720"/>
      <c r="K693" s="721"/>
      <c r="L693" s="717"/>
      <c r="M693" s="4"/>
      <c r="N693" s="347"/>
      <c r="O693" s="1041"/>
      <c r="P693" s="4"/>
      <c r="Q693" s="347"/>
      <c r="R693" s="1041"/>
      <c r="S693" s="4"/>
      <c r="T693" s="347"/>
      <c r="U693" s="4"/>
      <c r="V693" s="59"/>
      <c r="W693" s="19"/>
      <c r="X693" s="20"/>
      <c r="Y693" s="50">
        <v>1990</v>
      </c>
      <c r="Z693" s="50"/>
      <c r="AA693" s="31"/>
      <c r="AB693" s="395">
        <v>-0.2</v>
      </c>
      <c r="AC693" s="443">
        <v>-0.3</v>
      </c>
      <c r="AD693" s="16"/>
      <c r="AE693" s="16"/>
      <c r="AF693" s="170"/>
      <c r="AG693" s="86"/>
      <c r="AH693" s="272"/>
      <c r="AI693" s="50"/>
      <c r="AJ693" s="31"/>
      <c r="AK693" s="156"/>
      <c r="AL693" s="284"/>
      <c r="AM693" s="208"/>
      <c r="AN693" s="387"/>
      <c r="AO693" s="847"/>
      <c r="AP693" s="848"/>
      <c r="AQ693" s="390">
        <v>1990</v>
      </c>
      <c r="AR693" s="391"/>
      <c r="AS693" s="392"/>
      <c r="AT693" s="156">
        <v>-0.55000000000000004</v>
      </c>
      <c r="AU693" s="284">
        <f>Goal2030</f>
        <v>-0.55000000000000004</v>
      </c>
      <c r="AV693" s="16"/>
      <c r="AW693" s="16"/>
      <c r="AX693" s="170"/>
      <c r="AY693" s="86"/>
      <c r="AZ693" s="272"/>
      <c r="BA693" s="50"/>
      <c r="BB693" s="31"/>
      <c r="BC693" s="156"/>
      <c r="BD693" s="341"/>
      <c r="BE693" s="208"/>
      <c r="BF693" s="16"/>
      <c r="BG693" s="170"/>
      <c r="BH693" s="86"/>
      <c r="BI693" s="272"/>
      <c r="BJ693" s="50"/>
      <c r="BK693" s="31"/>
      <c r="BL693" s="156"/>
      <c r="BM693" s="341"/>
      <c r="BN693" s="208"/>
      <c r="BO693" s="16"/>
      <c r="BP693" s="388"/>
      <c r="BQ693" s="389"/>
      <c r="BR693" s="391">
        <v>1990</v>
      </c>
      <c r="BS693" s="391"/>
      <c r="BT693" s="392">
        <f>+H693/1000</f>
        <v>0</v>
      </c>
      <c r="BU693" s="156">
        <v>-0.8</v>
      </c>
      <c r="BV693" s="284">
        <v>-0.95</v>
      </c>
      <c r="BW693" s="393"/>
      <c r="BX693" s="312"/>
      <c r="BY693" s="137" t="s">
        <v>225</v>
      </c>
    </row>
    <row r="694" spans="1:77" ht="15" customHeight="1" x14ac:dyDescent="0.2">
      <c r="A694" s="57" t="s">
        <v>3</v>
      </c>
      <c r="B694" s="583" t="s">
        <v>1606</v>
      </c>
      <c r="C694" s="57"/>
      <c r="D694" s="546">
        <v>8401.9240000000009</v>
      </c>
      <c r="E694" s="1101" t="s">
        <v>2895</v>
      </c>
      <c r="F694" s="729"/>
      <c r="G694" s="730">
        <v>66.682000000000002</v>
      </c>
      <c r="H694" s="723">
        <v>78.67</v>
      </c>
      <c r="I694" s="1282"/>
      <c r="J694" s="1283">
        <v>81.906999999999996</v>
      </c>
      <c r="K694" s="1283">
        <v>92.566999999999993</v>
      </c>
      <c r="L694" s="1282"/>
      <c r="M694" s="1283">
        <v>78.89</v>
      </c>
      <c r="N694" s="1283">
        <v>84.753</v>
      </c>
      <c r="O694" s="1284"/>
      <c r="P694" s="1283">
        <v>74.346000000000004</v>
      </c>
      <c r="Q694" s="796">
        <v>78.897000000000006</v>
      </c>
      <c r="R694" s="1284">
        <v>2017</v>
      </c>
      <c r="S694" s="1283">
        <v>77.355000000000004</v>
      </c>
      <c r="T694" s="796">
        <v>82.260999999999996</v>
      </c>
      <c r="U694" s="73"/>
      <c r="V694" s="66"/>
      <c r="W694" s="592"/>
      <c r="X694" s="593"/>
      <c r="Y694" s="52">
        <v>1990</v>
      </c>
      <c r="Z694" s="52"/>
      <c r="AA694" s="596"/>
      <c r="AB694" s="824">
        <v>-0.2</v>
      </c>
      <c r="AC694" s="825">
        <v>-0.3</v>
      </c>
      <c r="AD694" s="164"/>
      <c r="AE694" s="164"/>
      <c r="AF694" s="25"/>
      <c r="AG694" s="26"/>
      <c r="AH694" s="275"/>
      <c r="AI694" s="52"/>
      <c r="AJ694" s="35"/>
      <c r="AK694" s="287"/>
      <c r="AL694" s="288"/>
      <c r="AM694" s="211"/>
      <c r="AN694" s="164"/>
      <c r="AO694" s="76"/>
      <c r="AP694" s="44"/>
      <c r="AQ694" s="275"/>
      <c r="AR694" s="52"/>
      <c r="AS694" s="35"/>
      <c r="AT694" s="840">
        <v>0.55000000000000004</v>
      </c>
      <c r="AU694" s="688">
        <v>0.55000000000000004</v>
      </c>
      <c r="AV694" s="164"/>
      <c r="AW694" s="164"/>
      <c r="AX694" s="76"/>
      <c r="AY694" s="44"/>
      <c r="AZ694" s="275"/>
      <c r="BA694" s="52"/>
      <c r="BB694" s="35"/>
      <c r="BC694" s="45"/>
      <c r="BD694" s="343"/>
      <c r="BE694" s="211"/>
      <c r="BF694" s="164"/>
      <c r="BG694" s="76"/>
      <c r="BH694" s="44"/>
      <c r="BI694" s="275"/>
      <c r="BJ694" s="52"/>
      <c r="BK694" s="35"/>
      <c r="BL694" s="45"/>
      <c r="BM694" s="343"/>
      <c r="BN694" s="211"/>
      <c r="BO694" s="164"/>
      <c r="BP694" s="76"/>
      <c r="BQ694" s="44"/>
      <c r="BR694" s="299">
        <v>1990</v>
      </c>
      <c r="BS694" s="52"/>
      <c r="BT694" s="35"/>
      <c r="BU694" s="79"/>
      <c r="BV694" s="212"/>
      <c r="BW694" s="304"/>
      <c r="BX694" s="313"/>
      <c r="BY694" s="138"/>
    </row>
    <row r="695" spans="1:77" ht="15" customHeight="1" x14ac:dyDescent="0.2">
      <c r="A695" s="57" t="s">
        <v>3</v>
      </c>
      <c r="B695" s="583" t="s">
        <v>455</v>
      </c>
      <c r="C695" s="57"/>
      <c r="D695" s="546">
        <v>550</v>
      </c>
      <c r="E695" s="162" t="s">
        <v>1609</v>
      </c>
      <c r="F695" s="358"/>
      <c r="G695" s="65"/>
      <c r="H695" s="73"/>
      <c r="I695" s="90"/>
      <c r="J695" s="73"/>
      <c r="K695" s="66">
        <v>4.7711680000000003</v>
      </c>
      <c r="L695" s="717"/>
      <c r="M695" s="73"/>
      <c r="N695" s="359"/>
      <c r="O695" s="1041"/>
      <c r="P695" s="73"/>
      <c r="Q695" s="359">
        <f>K695*0.82</f>
        <v>3.9123577599999999</v>
      </c>
      <c r="R695" s="1041"/>
      <c r="S695" s="73"/>
      <c r="T695" s="359"/>
      <c r="U695" s="73"/>
      <c r="V695" s="66"/>
      <c r="W695" s="1132">
        <f>AA695*(1+AB695)</f>
        <v>4.0077811199999997E-3</v>
      </c>
      <c r="X695" s="1133">
        <f>AA695*(1+AC695)</f>
        <v>4.0077811199999997E-3</v>
      </c>
      <c r="Y695" s="52">
        <v>2005</v>
      </c>
      <c r="Z695" s="52"/>
      <c r="AA695" s="596">
        <f>+K695/1000</f>
        <v>4.7711680000000001E-3</v>
      </c>
      <c r="AB695" s="1109">
        <v>-0.16</v>
      </c>
      <c r="AC695" s="1110">
        <f>AB695</f>
        <v>-0.16</v>
      </c>
      <c r="AD695" s="164"/>
      <c r="AE695" s="164"/>
      <c r="AF695" s="25"/>
      <c r="AG695" s="26"/>
      <c r="AH695" s="275"/>
      <c r="AI695" s="52"/>
      <c r="AJ695" s="35"/>
      <c r="AK695" s="287"/>
      <c r="AL695" s="288"/>
      <c r="AM695" s="211"/>
      <c r="AN695" s="164"/>
      <c r="AO695" s="76"/>
      <c r="AP695" s="44"/>
      <c r="AQ695" s="275"/>
      <c r="AR695" s="52"/>
      <c r="AS695" s="35"/>
      <c r="AT695" s="45"/>
      <c r="AU695" s="286"/>
      <c r="AV695" s="164"/>
      <c r="AW695" s="164"/>
      <c r="AX695" s="76"/>
      <c r="AY695" s="44"/>
      <c r="AZ695" s="275"/>
      <c r="BA695" s="52"/>
      <c r="BB695" s="35"/>
      <c r="BC695" s="45"/>
      <c r="BD695" s="343"/>
      <c r="BE695" s="211"/>
      <c r="BF695" s="164"/>
      <c r="BG695" s="76"/>
      <c r="BH695" s="44"/>
      <c r="BI695" s="275"/>
      <c r="BJ695" s="52"/>
      <c r="BK695" s="35"/>
      <c r="BL695" s="45"/>
      <c r="BM695" s="343"/>
      <c r="BN695" s="211"/>
      <c r="BO695" s="164"/>
      <c r="BP695" s="76"/>
      <c r="BQ695" s="44"/>
      <c r="BR695" s="299"/>
      <c r="BS695" s="52"/>
      <c r="BT695" s="35"/>
      <c r="BU695" s="79"/>
      <c r="BV695" s="212"/>
      <c r="BW695" s="304"/>
      <c r="BX695" s="313"/>
      <c r="BY695" s="138"/>
    </row>
    <row r="696" spans="1:77" ht="15" customHeight="1" x14ac:dyDescent="0.2">
      <c r="A696" s="57" t="s">
        <v>3</v>
      </c>
      <c r="B696" s="583" t="s">
        <v>2246</v>
      </c>
      <c r="C696" s="57"/>
      <c r="D696" s="546">
        <v>1636.778</v>
      </c>
      <c r="E696" s="162" t="s">
        <v>2921</v>
      </c>
      <c r="F696" s="358"/>
      <c r="G696" s="65"/>
      <c r="H696" s="73"/>
      <c r="I696" s="90"/>
      <c r="J696" s="73"/>
      <c r="K696" s="66">
        <v>13.071</v>
      </c>
      <c r="L696" s="717"/>
      <c r="M696" s="73"/>
      <c r="N696" s="359"/>
      <c r="O696" s="1041">
        <v>2014</v>
      </c>
      <c r="P696" s="73"/>
      <c r="Q696" s="359">
        <v>10.933</v>
      </c>
      <c r="R696" s="1041">
        <v>2017</v>
      </c>
      <c r="S696" s="73">
        <v>11.64</v>
      </c>
      <c r="T696" s="359">
        <v>18.247</v>
      </c>
      <c r="U696" s="73"/>
      <c r="V696" s="66"/>
      <c r="W696" s="594">
        <f>AA696*(1+AB696)</f>
        <v>1.0979639999999999E-2</v>
      </c>
      <c r="X696" s="595">
        <f>AA696*(1+AC696)</f>
        <v>1.0979639999999999E-2</v>
      </c>
      <c r="Y696" s="52">
        <v>2005</v>
      </c>
      <c r="Z696" s="52"/>
      <c r="AA696" s="596">
        <f>+K696/1000</f>
        <v>1.3070999999999999E-2</v>
      </c>
      <c r="AB696" s="256">
        <v>-0.16</v>
      </c>
      <c r="AC696" s="688">
        <f>AB696</f>
        <v>-0.16</v>
      </c>
      <c r="AD696" s="164"/>
      <c r="AE696" s="164"/>
      <c r="AF696" s="25"/>
      <c r="AG696" s="26"/>
      <c r="AH696" s="275"/>
      <c r="AI696" s="52"/>
      <c r="AJ696" s="35"/>
      <c r="AK696" s="287"/>
      <c r="AL696" s="288"/>
      <c r="AM696" s="211"/>
      <c r="AN696" s="164"/>
      <c r="AO696" s="594">
        <f>AS696*(1+AT696)</f>
        <v>8.36544E-3</v>
      </c>
      <c r="AP696" s="595">
        <f>AS696*(1+AU696)</f>
        <v>8.36544E-3</v>
      </c>
      <c r="AQ696" s="275">
        <v>2005</v>
      </c>
      <c r="AR696" s="52"/>
      <c r="AS696" s="35">
        <f>+K696/1000</f>
        <v>1.3070999999999999E-2</v>
      </c>
      <c r="AT696" s="79">
        <v>-0.36</v>
      </c>
      <c r="AU696" s="212">
        <f>+AT696</f>
        <v>-0.36</v>
      </c>
      <c r="AV696" s="164"/>
      <c r="AW696" s="164"/>
      <c r="AX696" s="76"/>
      <c r="AY696" s="44"/>
      <c r="AZ696" s="275"/>
      <c r="BA696" s="52"/>
      <c r="BB696" s="35"/>
      <c r="BC696" s="45"/>
      <c r="BD696" s="343"/>
      <c r="BE696" s="211"/>
      <c r="BF696" s="164"/>
      <c r="BG696" s="76"/>
      <c r="BH696" s="44"/>
      <c r="BI696" s="275"/>
      <c r="BJ696" s="52"/>
      <c r="BK696" s="35"/>
      <c r="BL696" s="45"/>
      <c r="BM696" s="343"/>
      <c r="BN696" s="211"/>
      <c r="BO696" s="164"/>
      <c r="BP696" s="76"/>
      <c r="BQ696" s="44"/>
      <c r="BR696" s="299"/>
      <c r="BS696" s="52"/>
      <c r="BT696" s="35"/>
      <c r="BU696" s="79"/>
      <c r="BV696" s="212"/>
      <c r="BW696" s="304"/>
      <c r="BX696" s="313"/>
      <c r="BY696" s="138"/>
    </row>
    <row r="697" spans="1:77" ht="15" customHeight="1" x14ac:dyDescent="0.2">
      <c r="A697" s="57" t="s">
        <v>3</v>
      </c>
      <c r="B697" s="583"/>
      <c r="C697" s="583" t="s">
        <v>751</v>
      </c>
      <c r="D697" s="546">
        <v>9.3140000000000001</v>
      </c>
      <c r="E697" s="162" t="s">
        <v>631</v>
      </c>
      <c r="F697" s="358"/>
      <c r="G697" s="65"/>
      <c r="H697" s="735">
        <v>5.8750999999999998E-2</v>
      </c>
      <c r="I697" s="90"/>
      <c r="J697" s="73"/>
      <c r="K697" s="66"/>
      <c r="L697" s="717"/>
      <c r="M697" s="73"/>
      <c r="N697" s="359"/>
      <c r="O697" s="1041"/>
      <c r="P697" s="73"/>
      <c r="Q697" s="359"/>
      <c r="R697" s="1041"/>
      <c r="S697" s="73"/>
      <c r="T697" s="359"/>
      <c r="U697" s="73"/>
      <c r="V697" s="66"/>
      <c r="W697" s="740">
        <f>AA697*(1+AB697)</f>
        <v>4.2300720000000001E-5</v>
      </c>
      <c r="X697" s="741">
        <f>AA697*(1+AC697)</f>
        <v>4.2300720000000001E-5</v>
      </c>
      <c r="Y697" s="52">
        <v>1990</v>
      </c>
      <c r="Z697" s="52"/>
      <c r="AA697" s="739">
        <f>+H697/1000</f>
        <v>5.8751E-5</v>
      </c>
      <c r="AB697" s="256">
        <v>-0.28000000000000003</v>
      </c>
      <c r="AC697" s="688">
        <f>AB697</f>
        <v>-0.28000000000000003</v>
      </c>
      <c r="AD697" s="164"/>
      <c r="AE697" s="164"/>
      <c r="AF697" s="25"/>
      <c r="AG697" s="26"/>
      <c r="AH697" s="275"/>
      <c r="AI697" s="52"/>
      <c r="AJ697" s="35"/>
      <c r="AK697" s="287"/>
      <c r="AL697" s="288"/>
      <c r="AM697" s="211"/>
      <c r="AN697" s="164"/>
      <c r="AO697" s="76"/>
      <c r="AP697" s="44"/>
      <c r="AQ697" s="275"/>
      <c r="AR697" s="52"/>
      <c r="AS697" s="35"/>
      <c r="AT697" s="45"/>
      <c r="AU697" s="286"/>
      <c r="AV697" s="164"/>
      <c r="AW697" s="164"/>
      <c r="AX697" s="76"/>
      <c r="AY697" s="44"/>
      <c r="AZ697" s="275"/>
      <c r="BA697" s="52"/>
      <c r="BB697" s="35"/>
      <c r="BC697" s="45"/>
      <c r="BD697" s="343"/>
      <c r="BE697" s="211"/>
      <c r="BF697" s="164"/>
      <c r="BG697" s="76"/>
      <c r="BH697" s="44"/>
      <c r="BI697" s="275"/>
      <c r="BJ697" s="52"/>
      <c r="BK697" s="35"/>
      <c r="BL697" s="45"/>
      <c r="BM697" s="343"/>
      <c r="BN697" s="211"/>
      <c r="BO697" s="164"/>
      <c r="BP697" s="76"/>
      <c r="BQ697" s="44"/>
      <c r="BR697" s="299"/>
      <c r="BS697" s="52"/>
      <c r="BT697" s="35"/>
      <c r="BU697" s="79"/>
      <c r="BV697" s="212"/>
      <c r="BW697" s="304"/>
      <c r="BX697" s="313"/>
      <c r="BY697" s="138"/>
    </row>
    <row r="698" spans="1:77" ht="15" customHeight="1" x14ac:dyDescent="0.2">
      <c r="A698" s="57" t="s">
        <v>3</v>
      </c>
      <c r="B698" s="583"/>
      <c r="C698" s="583" t="s">
        <v>749</v>
      </c>
      <c r="D698" s="546">
        <v>98</v>
      </c>
      <c r="E698" s="162" t="s">
        <v>631</v>
      </c>
      <c r="F698" s="358"/>
      <c r="G698" s="65"/>
      <c r="H698" s="73"/>
      <c r="I698" s="90"/>
      <c r="J698" s="73"/>
      <c r="K698" s="66"/>
      <c r="L698" s="717">
        <v>2011</v>
      </c>
      <c r="M698" s="73"/>
      <c r="N698" s="359">
        <v>0.72472599999999998</v>
      </c>
      <c r="O698" s="1041"/>
      <c r="P698" s="73"/>
      <c r="Q698" s="359"/>
      <c r="R698" s="1041"/>
      <c r="S698" s="73"/>
      <c r="T698" s="359"/>
      <c r="U698" s="73"/>
      <c r="V698" s="66"/>
      <c r="W698" s="594">
        <f>AA698*(1+AB698)</f>
        <v>4.3483559999999999E-4</v>
      </c>
      <c r="X698" s="595">
        <f>AA698*(1+AC698)</f>
        <v>4.3483559999999999E-4</v>
      </c>
      <c r="Y698" s="52">
        <v>2011</v>
      </c>
      <c r="Z698" s="52"/>
      <c r="AA698" s="596">
        <f>+N698/1000</f>
        <v>7.2472599999999997E-4</v>
      </c>
      <c r="AB698" s="256">
        <v>-0.4</v>
      </c>
      <c r="AC698" s="688">
        <f>AB698</f>
        <v>-0.4</v>
      </c>
      <c r="AD698" s="164"/>
      <c r="AE698" s="164"/>
      <c r="AF698" s="25"/>
      <c r="AG698" s="26"/>
      <c r="AH698" s="275"/>
      <c r="AI698" s="52"/>
      <c r="AJ698" s="35"/>
      <c r="AK698" s="287"/>
      <c r="AL698" s="288"/>
      <c r="AM698" s="211"/>
      <c r="AN698" s="164"/>
      <c r="AO698" s="76"/>
      <c r="AP698" s="44"/>
      <c r="AQ698" s="275"/>
      <c r="AR698" s="52"/>
      <c r="AS698" s="35"/>
      <c r="AT698" s="45"/>
      <c r="AU698" s="286"/>
      <c r="AV698" s="164"/>
      <c r="AW698" s="164"/>
      <c r="AX698" s="76"/>
      <c r="AY698" s="44"/>
      <c r="AZ698" s="275"/>
      <c r="BA698" s="52"/>
      <c r="BB698" s="35"/>
      <c r="BC698" s="45"/>
      <c r="BD698" s="343"/>
      <c r="BE698" s="211"/>
      <c r="BF698" s="164"/>
      <c r="BG698" s="76"/>
      <c r="BH698" s="44"/>
      <c r="BI698" s="275"/>
      <c r="BJ698" s="52"/>
      <c r="BK698" s="35"/>
      <c r="BL698" s="45"/>
      <c r="BM698" s="343"/>
      <c r="BN698" s="211"/>
      <c r="BO698" s="164"/>
      <c r="BP698" s="76"/>
      <c r="BQ698" s="44"/>
      <c r="BR698" s="299"/>
      <c r="BS698" s="52"/>
      <c r="BT698" s="35"/>
      <c r="BU698" s="79"/>
      <c r="BV698" s="212"/>
      <c r="BW698" s="304"/>
      <c r="BX698" s="313"/>
      <c r="BY698" s="138"/>
    </row>
    <row r="699" spans="1:77" ht="15" customHeight="1" x14ac:dyDescent="0.2">
      <c r="A699" s="57" t="s">
        <v>3</v>
      </c>
      <c r="B699" s="583"/>
      <c r="C699" s="583" t="s">
        <v>750</v>
      </c>
      <c r="D699" s="546">
        <v>15.582000000000001</v>
      </c>
      <c r="E699" s="162" t="s">
        <v>631</v>
      </c>
      <c r="F699" s="358"/>
      <c r="G699" s="65"/>
      <c r="H699" s="73"/>
      <c r="I699" s="90">
        <v>2001</v>
      </c>
      <c r="J699" s="73"/>
      <c r="K699" s="734">
        <v>8.0352999999999994E-2</v>
      </c>
      <c r="L699" s="717"/>
      <c r="M699" s="73"/>
      <c r="N699" s="359"/>
      <c r="O699" s="1041"/>
      <c r="P699" s="73"/>
      <c r="Q699" s="359"/>
      <c r="R699" s="1041"/>
      <c r="S699" s="73"/>
      <c r="T699" s="359"/>
      <c r="U699" s="73"/>
      <c r="V699" s="66"/>
      <c r="W699" s="740">
        <f>AA699*(1+AB699)</f>
        <v>6.0264749999999996E-5</v>
      </c>
      <c r="X699" s="741">
        <f>AA699*(1+AC699)</f>
        <v>6.0264749999999996E-5</v>
      </c>
      <c r="Y699" s="52">
        <v>2001</v>
      </c>
      <c r="Z699" s="52"/>
      <c r="AA699" s="739">
        <f>+K699/1000</f>
        <v>8.0352999999999995E-5</v>
      </c>
      <c r="AB699" s="256">
        <v>-0.25</v>
      </c>
      <c r="AC699" s="688">
        <f>AB699</f>
        <v>-0.25</v>
      </c>
      <c r="AD699" s="164"/>
      <c r="AE699" s="164"/>
      <c r="AF699" s="25"/>
      <c r="AG699" s="26"/>
      <c r="AH699" s="275"/>
      <c r="AI699" s="52"/>
      <c r="AJ699" s="35"/>
      <c r="AK699" s="287"/>
      <c r="AL699" s="288"/>
      <c r="AM699" s="211"/>
      <c r="AN699" s="164"/>
      <c r="AO699" s="76"/>
      <c r="AP699" s="44"/>
      <c r="AQ699" s="275"/>
      <c r="AR699" s="52"/>
      <c r="AS699" s="35"/>
      <c r="AT699" s="45"/>
      <c r="AU699" s="286"/>
      <c r="AV699" s="164"/>
      <c r="AW699" s="164"/>
      <c r="AX699" s="76"/>
      <c r="AY699" s="44"/>
      <c r="AZ699" s="275"/>
      <c r="BA699" s="52"/>
      <c r="BB699" s="35"/>
      <c r="BC699" s="45"/>
      <c r="BD699" s="343"/>
      <c r="BE699" s="211"/>
      <c r="BF699" s="164"/>
      <c r="BG699" s="76"/>
      <c r="BH699" s="44"/>
      <c r="BI699" s="275"/>
      <c r="BJ699" s="52"/>
      <c r="BK699" s="35"/>
      <c r="BL699" s="45"/>
      <c r="BM699" s="343"/>
      <c r="BN699" s="211"/>
      <c r="BO699" s="164"/>
      <c r="BP699" s="76"/>
      <c r="BQ699" s="44"/>
      <c r="BR699" s="299"/>
      <c r="BS699" s="52"/>
      <c r="BT699" s="35"/>
      <c r="BU699" s="79"/>
      <c r="BV699" s="212"/>
      <c r="BW699" s="304"/>
      <c r="BX699" s="313"/>
      <c r="BY699" s="138"/>
    </row>
    <row r="700" spans="1:77" ht="15" customHeight="1" x14ac:dyDescent="0.2">
      <c r="A700" s="57" t="s">
        <v>6</v>
      </c>
      <c r="B700" s="583" t="s">
        <v>1606</v>
      </c>
      <c r="C700" s="57"/>
      <c r="D700" s="546">
        <v>10941.288</v>
      </c>
      <c r="E700" s="1101" t="s">
        <v>2896</v>
      </c>
      <c r="F700" s="1266"/>
      <c r="G700" s="1267">
        <v>143.27311</v>
      </c>
      <c r="H700" s="1268">
        <v>146.58661000000001</v>
      </c>
      <c r="I700" s="1269"/>
      <c r="J700" s="1270">
        <v>143.74726000000001</v>
      </c>
      <c r="K700" s="1270">
        <v>145.28384</v>
      </c>
      <c r="L700" s="1269"/>
      <c r="M700" s="1270">
        <v>132.59098</v>
      </c>
      <c r="N700" s="1270">
        <v>132.92198999999999</v>
      </c>
      <c r="O700" s="1271"/>
      <c r="P700" s="1270">
        <v>116.82599999999999</v>
      </c>
      <c r="Q700" s="1272">
        <v>117.122</v>
      </c>
      <c r="R700" s="1271">
        <v>2017</v>
      </c>
      <c r="S700" s="1270">
        <v>114.28049</v>
      </c>
      <c r="T700" s="1272">
        <v>114.5399</v>
      </c>
      <c r="U700" s="73"/>
      <c r="V700" s="66"/>
      <c r="W700" s="592"/>
      <c r="X700" s="593"/>
      <c r="Y700" s="52">
        <v>1990</v>
      </c>
      <c r="Z700" s="52"/>
      <c r="AA700" s="596"/>
      <c r="AB700" s="824">
        <v>-0.2</v>
      </c>
      <c r="AC700" s="825">
        <v>-0.3</v>
      </c>
      <c r="AD700" s="164"/>
      <c r="AE700" s="164"/>
      <c r="AF700" s="25"/>
      <c r="AG700" s="26"/>
      <c r="AH700" s="275"/>
      <c r="AI700" s="52"/>
      <c r="AJ700" s="35"/>
      <c r="AK700" s="289"/>
      <c r="AL700" s="290"/>
      <c r="AM700" s="211"/>
      <c r="AN700" s="164"/>
      <c r="AO700" s="76"/>
      <c r="AP700" s="44"/>
      <c r="AQ700" s="275"/>
      <c r="AR700" s="52"/>
      <c r="AS700" s="35"/>
      <c r="AT700" s="840">
        <v>0.55000000000000004</v>
      </c>
      <c r="AU700" s="688">
        <v>0.55000000000000004</v>
      </c>
      <c r="AV700" s="164"/>
      <c r="AW700" s="164"/>
      <c r="AX700" s="76"/>
      <c r="AY700" s="44"/>
      <c r="AZ700" s="275"/>
      <c r="BA700" s="52"/>
      <c r="BB700" s="35"/>
      <c r="BC700" s="79"/>
      <c r="BD700" s="230"/>
      <c r="BE700" s="211"/>
      <c r="BF700" s="164"/>
      <c r="BG700" s="76"/>
      <c r="BH700" s="44"/>
      <c r="BI700" s="275"/>
      <c r="BJ700" s="52"/>
      <c r="BK700" s="35"/>
      <c r="BL700" s="79"/>
      <c r="BM700" s="230"/>
      <c r="BN700" s="211"/>
      <c r="BO700" s="164"/>
      <c r="BP700" s="76"/>
      <c r="BQ700" s="44"/>
      <c r="BR700" s="299">
        <v>1990</v>
      </c>
      <c r="BS700" s="52"/>
      <c r="BT700" s="35"/>
      <c r="BU700" s="79">
        <v>-0.8</v>
      </c>
      <c r="BV700" s="212">
        <v>-0.95</v>
      </c>
      <c r="BW700" s="304"/>
      <c r="BX700" s="313"/>
      <c r="BY700" s="300" t="s">
        <v>264</v>
      </c>
    </row>
    <row r="701" spans="1:77" ht="15" customHeight="1" x14ac:dyDescent="0.2">
      <c r="A701" s="57" t="s">
        <v>6</v>
      </c>
      <c r="B701" s="583" t="s">
        <v>1626</v>
      </c>
      <c r="C701" s="57"/>
      <c r="D701" s="546">
        <v>3240</v>
      </c>
      <c r="E701" s="162" t="s">
        <v>2565</v>
      </c>
      <c r="F701" s="358"/>
      <c r="G701" s="65"/>
      <c r="H701" s="73">
        <v>54.588999999999999</v>
      </c>
      <c r="I701" s="90">
        <v>2006</v>
      </c>
      <c r="J701" s="73"/>
      <c r="K701" s="66">
        <v>47.762</v>
      </c>
      <c r="L701" s="717"/>
      <c r="M701" s="73"/>
      <c r="N701" s="359"/>
      <c r="O701" s="1041"/>
      <c r="P701" s="73"/>
      <c r="Q701" s="359">
        <v>36.457980999999997</v>
      </c>
      <c r="R701" s="1041"/>
      <c r="S701" s="73"/>
      <c r="T701" s="359"/>
      <c r="U701" s="735"/>
      <c r="V701" s="66"/>
      <c r="W701" s="1134">
        <f t="shared" ref="W701:W706" si="317">AA701*(1+AB701)</f>
        <v>3.8212299999999998E-2</v>
      </c>
      <c r="X701" s="1135">
        <f t="shared" ref="X701:X706" si="318">AA701*(1+AC701)</f>
        <v>3.8212299999999998E-2</v>
      </c>
      <c r="Y701" s="52">
        <v>1990</v>
      </c>
      <c r="Z701" s="52"/>
      <c r="AA701" s="739">
        <f>+H701/1000</f>
        <v>5.4588999999999999E-2</v>
      </c>
      <c r="AB701" s="1109">
        <v>-0.3</v>
      </c>
      <c r="AC701" s="1110">
        <f t="shared" ref="AC701:AC706" si="319">AB701</f>
        <v>-0.3</v>
      </c>
      <c r="AD701" s="164"/>
      <c r="AE701" s="164"/>
      <c r="AF701" s="25"/>
      <c r="AG701" s="26"/>
      <c r="AH701" s="275"/>
      <c r="AI701" s="52"/>
      <c r="AJ701" s="35"/>
      <c r="AK701" s="289"/>
      <c r="AL701" s="290"/>
      <c r="AM701" s="211"/>
      <c r="AN701" s="164"/>
      <c r="AO701" s="76"/>
      <c r="AP701" s="44"/>
      <c r="AQ701" s="275"/>
      <c r="AR701" s="52"/>
      <c r="AS701" s="35"/>
      <c r="AT701" s="840"/>
      <c r="AU701" s="212"/>
      <c r="AV701" s="164"/>
      <c r="AW701" s="164"/>
      <c r="AX701" s="76"/>
      <c r="AY701" s="44"/>
      <c r="AZ701" s="275"/>
      <c r="BA701" s="52"/>
      <c r="BB701" s="35"/>
      <c r="BC701" s="79"/>
      <c r="BD701" s="230"/>
      <c r="BE701" s="211"/>
      <c r="BF701" s="164"/>
      <c r="BG701" s="76"/>
      <c r="BH701" s="44"/>
      <c r="BI701" s="275"/>
      <c r="BJ701" s="52"/>
      <c r="BK701" s="35"/>
      <c r="BL701" s="79"/>
      <c r="BM701" s="230"/>
      <c r="BN701" s="211"/>
      <c r="BO701" s="164"/>
      <c r="BP701" s="584">
        <f>+BT701*(1+BU701)</f>
        <v>1.0917799999999997E-2</v>
      </c>
      <c r="BQ701" s="585">
        <f>BT701*(1+BV701)</f>
        <v>2.7294500000000022E-3</v>
      </c>
      <c r="BR701" s="299">
        <v>1990</v>
      </c>
      <c r="BS701" s="52"/>
      <c r="BT701" s="35">
        <f>+H701/1000</f>
        <v>5.4588999999999999E-2</v>
      </c>
      <c r="BU701" s="79">
        <v>-0.8</v>
      </c>
      <c r="BV701" s="212">
        <v>-0.95</v>
      </c>
      <c r="BW701" s="304"/>
      <c r="BX701" s="313"/>
      <c r="BY701" s="736" t="s">
        <v>1627</v>
      </c>
    </row>
    <row r="702" spans="1:77" ht="15" customHeight="1" x14ac:dyDescent="0.2">
      <c r="A702" s="57" t="s">
        <v>6</v>
      </c>
      <c r="B702" s="583" t="s">
        <v>477</v>
      </c>
      <c r="C702" s="583" t="s">
        <v>757</v>
      </c>
      <c r="D702" s="546">
        <v>5.1909999999999998</v>
      </c>
      <c r="E702" s="162" t="s">
        <v>631</v>
      </c>
      <c r="F702" s="358"/>
      <c r="G702" s="65"/>
      <c r="H702" s="735">
        <v>1.9140000000000001E-2</v>
      </c>
      <c r="I702" s="90"/>
      <c r="J702" s="73"/>
      <c r="K702" s="66"/>
      <c r="L702" s="717"/>
      <c r="M702" s="73"/>
      <c r="N702" s="359"/>
      <c r="O702" s="1041"/>
      <c r="P702" s="73"/>
      <c r="Q702" s="359"/>
      <c r="R702" s="1041"/>
      <c r="S702" s="73"/>
      <c r="T702" s="359"/>
      <c r="U702" s="73"/>
      <c r="V702" s="66"/>
      <c r="W702" s="740">
        <f t="shared" si="317"/>
        <v>1.4163599999999999E-5</v>
      </c>
      <c r="X702" s="741">
        <f t="shared" si="318"/>
        <v>1.4163599999999999E-5</v>
      </c>
      <c r="Y702" s="52">
        <v>1990</v>
      </c>
      <c r="Z702" s="52"/>
      <c r="AA702" s="739">
        <f>+H702/1000</f>
        <v>1.914E-5</v>
      </c>
      <c r="AB702" s="256">
        <v>-0.26</v>
      </c>
      <c r="AC702" s="688">
        <f t="shared" si="319"/>
        <v>-0.26</v>
      </c>
      <c r="AD702" s="164"/>
      <c r="AE702" s="164"/>
      <c r="AF702" s="25"/>
      <c r="AG702" s="26"/>
      <c r="AH702" s="275"/>
      <c r="AI702" s="52"/>
      <c r="AJ702" s="35"/>
      <c r="AK702" s="289"/>
      <c r="AL702" s="290"/>
      <c r="AM702" s="211"/>
      <c r="AN702" s="164"/>
      <c r="AO702" s="76"/>
      <c r="AP702" s="44"/>
      <c r="AQ702" s="275"/>
      <c r="AR702" s="52"/>
      <c r="AS702" s="35"/>
      <c r="AT702" s="79"/>
      <c r="AU702" s="212"/>
      <c r="AV702" s="164"/>
      <c r="AW702" s="164"/>
      <c r="AX702" s="76"/>
      <c r="AY702" s="44"/>
      <c r="AZ702" s="275"/>
      <c r="BA702" s="52"/>
      <c r="BB702" s="35"/>
      <c r="BC702" s="79"/>
      <c r="BD702" s="230"/>
      <c r="BE702" s="211"/>
      <c r="BF702" s="164"/>
      <c r="BG702" s="76"/>
      <c r="BH702" s="44"/>
      <c r="BI702" s="275"/>
      <c r="BJ702" s="52"/>
      <c r="BK702" s="35"/>
      <c r="BL702" s="79"/>
      <c r="BM702" s="230"/>
      <c r="BN702" s="211"/>
      <c r="BO702" s="164"/>
      <c r="BP702" s="584"/>
      <c r="BQ702" s="585"/>
      <c r="BR702" s="299"/>
      <c r="BS702" s="52"/>
      <c r="BT702" s="35"/>
      <c r="BU702" s="79"/>
      <c r="BV702" s="212"/>
      <c r="BW702" s="304"/>
      <c r="BX702" s="313"/>
      <c r="BY702" s="300"/>
    </row>
    <row r="703" spans="1:77" ht="15" customHeight="1" x14ac:dyDescent="0.2">
      <c r="A703" s="57" t="s">
        <v>6</v>
      </c>
      <c r="B703" s="583" t="s">
        <v>477</v>
      </c>
      <c r="C703" s="583" t="s">
        <v>754</v>
      </c>
      <c r="D703" s="546">
        <v>25</v>
      </c>
      <c r="E703" s="162" t="s">
        <v>631</v>
      </c>
      <c r="F703" s="358"/>
      <c r="G703" s="65"/>
      <c r="H703" s="73"/>
      <c r="I703" s="90">
        <v>2006</v>
      </c>
      <c r="J703" s="73"/>
      <c r="K703" s="734">
        <v>0.104958</v>
      </c>
      <c r="L703" s="717"/>
      <c r="M703" s="73"/>
      <c r="N703" s="359"/>
      <c r="O703" s="1041"/>
      <c r="P703" s="73"/>
      <c r="Q703" s="359"/>
      <c r="R703" s="1041"/>
      <c r="S703" s="73"/>
      <c r="T703" s="359"/>
      <c r="U703" s="73"/>
      <c r="V703" s="66"/>
      <c r="W703" s="740">
        <f t="shared" si="317"/>
        <v>7.5569759999999993E-5</v>
      </c>
      <c r="X703" s="741">
        <f t="shared" si="318"/>
        <v>7.5569759999999993E-5</v>
      </c>
      <c r="Y703" s="52">
        <v>2006</v>
      </c>
      <c r="Z703" s="52"/>
      <c r="AA703" s="739">
        <f>+K703/1000</f>
        <v>1.0495799999999999E-4</v>
      </c>
      <c r="AB703" s="256">
        <v>-0.28000000000000003</v>
      </c>
      <c r="AC703" s="688">
        <f t="shared" si="319"/>
        <v>-0.28000000000000003</v>
      </c>
      <c r="AD703" s="164"/>
      <c r="AE703" s="164"/>
      <c r="AF703" s="25"/>
      <c r="AG703" s="26"/>
      <c r="AH703" s="275"/>
      <c r="AI703" s="52"/>
      <c r="AJ703" s="35"/>
      <c r="AK703" s="289"/>
      <c r="AL703" s="290"/>
      <c r="AM703" s="211"/>
      <c r="AN703" s="164"/>
      <c r="AO703" s="76"/>
      <c r="AP703" s="44"/>
      <c r="AQ703" s="275"/>
      <c r="AR703" s="52"/>
      <c r="AS703" s="35"/>
      <c r="AT703" s="79"/>
      <c r="AU703" s="212"/>
      <c r="AV703" s="164"/>
      <c r="AW703" s="164"/>
      <c r="AX703" s="76"/>
      <c r="AY703" s="44"/>
      <c r="AZ703" s="275"/>
      <c r="BA703" s="52"/>
      <c r="BB703" s="35"/>
      <c r="BC703" s="79"/>
      <c r="BD703" s="230"/>
      <c r="BE703" s="211"/>
      <c r="BF703" s="164"/>
      <c r="BG703" s="76"/>
      <c r="BH703" s="44"/>
      <c r="BI703" s="275"/>
      <c r="BJ703" s="52"/>
      <c r="BK703" s="35"/>
      <c r="BL703" s="79"/>
      <c r="BM703" s="230"/>
      <c r="BN703" s="211"/>
      <c r="BO703" s="164"/>
      <c r="BP703" s="584"/>
      <c r="BQ703" s="585"/>
      <c r="BR703" s="299"/>
      <c r="BS703" s="52"/>
      <c r="BT703" s="35"/>
      <c r="BU703" s="79"/>
      <c r="BV703" s="212"/>
      <c r="BW703" s="304"/>
      <c r="BX703" s="313"/>
      <c r="BY703" s="300"/>
    </row>
    <row r="704" spans="1:77" ht="15" customHeight="1" x14ac:dyDescent="0.2">
      <c r="A704" s="57" t="s">
        <v>6</v>
      </c>
      <c r="B704" s="583" t="s">
        <v>477</v>
      </c>
      <c r="C704" s="583" t="s">
        <v>752</v>
      </c>
      <c r="D704" s="546">
        <v>5.6319999999999997</v>
      </c>
      <c r="E704" s="162" t="s">
        <v>631</v>
      </c>
      <c r="F704" s="358"/>
      <c r="G704" s="65"/>
      <c r="H704" s="735">
        <v>3.9632000000000001E-2</v>
      </c>
      <c r="I704" s="90"/>
      <c r="J704" s="73"/>
      <c r="K704" s="66"/>
      <c r="L704" s="717"/>
      <c r="M704" s="73"/>
      <c r="N704" s="359"/>
      <c r="O704" s="1041"/>
      <c r="P704" s="73"/>
      <c r="Q704" s="359"/>
      <c r="R704" s="1041"/>
      <c r="S704" s="73"/>
      <c r="T704" s="359"/>
      <c r="U704" s="73"/>
      <c r="V704" s="66"/>
      <c r="W704" s="740">
        <f t="shared" si="317"/>
        <v>2.7742400000000001E-5</v>
      </c>
      <c r="X704" s="741">
        <f t="shared" si="318"/>
        <v>2.7742400000000001E-5</v>
      </c>
      <c r="Y704" s="52">
        <v>1990</v>
      </c>
      <c r="Z704" s="52"/>
      <c r="AA704" s="739">
        <f>+H704/1000</f>
        <v>3.9632000000000003E-5</v>
      </c>
      <c r="AB704" s="256">
        <v>-0.3</v>
      </c>
      <c r="AC704" s="688">
        <f t="shared" si="319"/>
        <v>-0.3</v>
      </c>
      <c r="AD704" s="164"/>
      <c r="AE704" s="164"/>
      <c r="AF704" s="25"/>
      <c r="AG704" s="26"/>
      <c r="AH704" s="275"/>
      <c r="AI704" s="52"/>
      <c r="AJ704" s="35"/>
      <c r="AK704" s="289"/>
      <c r="AL704" s="290"/>
      <c r="AM704" s="211"/>
      <c r="AN704" s="164"/>
      <c r="AO704" s="76"/>
      <c r="AP704" s="44"/>
      <c r="AQ704" s="275"/>
      <c r="AR704" s="52"/>
      <c r="AS704" s="35"/>
      <c r="AT704" s="79"/>
      <c r="AU704" s="212"/>
      <c r="AV704" s="164"/>
      <c r="AW704" s="164"/>
      <c r="AX704" s="76"/>
      <c r="AY704" s="44"/>
      <c r="AZ704" s="275"/>
      <c r="BA704" s="52"/>
      <c r="BB704" s="35"/>
      <c r="BC704" s="79"/>
      <c r="BD704" s="230"/>
      <c r="BE704" s="211"/>
      <c r="BF704" s="164"/>
      <c r="BG704" s="76"/>
      <c r="BH704" s="44"/>
      <c r="BI704" s="275"/>
      <c r="BJ704" s="52"/>
      <c r="BK704" s="35"/>
      <c r="BL704" s="79"/>
      <c r="BM704" s="230"/>
      <c r="BN704" s="211"/>
      <c r="BO704" s="164"/>
      <c r="BP704" s="584"/>
      <c r="BQ704" s="585"/>
      <c r="BR704" s="299"/>
      <c r="BS704" s="52"/>
      <c r="BT704" s="35"/>
      <c r="BU704" s="79"/>
      <c r="BV704" s="212"/>
      <c r="BW704" s="304"/>
      <c r="BX704" s="313"/>
      <c r="BY704" s="300"/>
    </row>
    <row r="705" spans="1:77" ht="15" customHeight="1" x14ac:dyDescent="0.2">
      <c r="A705" s="57" t="s">
        <v>6</v>
      </c>
      <c r="B705" s="57"/>
      <c r="C705" s="583" t="s">
        <v>761</v>
      </c>
      <c r="D705" s="546">
        <v>4.7</v>
      </c>
      <c r="E705" s="162" t="s">
        <v>631</v>
      </c>
      <c r="F705" s="358"/>
      <c r="G705" s="65"/>
      <c r="H705" s="73"/>
      <c r="I705" s="90">
        <v>2003</v>
      </c>
      <c r="J705" s="73"/>
      <c r="K705" s="734">
        <v>2.3262000000000001E-2</v>
      </c>
      <c r="L705" s="717"/>
      <c r="M705" s="73"/>
      <c r="N705" s="359"/>
      <c r="O705" s="1041"/>
      <c r="P705" s="73"/>
      <c r="Q705" s="359"/>
      <c r="R705" s="1041"/>
      <c r="S705" s="73"/>
      <c r="T705" s="359"/>
      <c r="U705" s="73"/>
      <c r="V705" s="66"/>
      <c r="W705" s="740">
        <f t="shared" si="317"/>
        <v>1.5585540000000001E-5</v>
      </c>
      <c r="X705" s="741">
        <f t="shared" si="318"/>
        <v>1.5585540000000001E-5</v>
      </c>
      <c r="Y705" s="52">
        <v>2003</v>
      </c>
      <c r="Z705" s="52"/>
      <c r="AA705" s="739">
        <f>+K705/1000</f>
        <v>2.3262000000000002E-5</v>
      </c>
      <c r="AB705" s="256">
        <v>-0.33</v>
      </c>
      <c r="AC705" s="688">
        <f t="shared" si="319"/>
        <v>-0.33</v>
      </c>
      <c r="AD705" s="164"/>
      <c r="AE705" s="164"/>
      <c r="AF705" s="25"/>
      <c r="AG705" s="26"/>
      <c r="AH705" s="275"/>
      <c r="AI705" s="52"/>
      <c r="AJ705" s="35"/>
      <c r="AK705" s="289"/>
      <c r="AL705" s="290"/>
      <c r="AM705" s="211"/>
      <c r="AN705" s="164"/>
      <c r="AO705" s="76"/>
      <c r="AP705" s="44"/>
      <c r="AQ705" s="275"/>
      <c r="AR705" s="52"/>
      <c r="AS705" s="35"/>
      <c r="AT705" s="79"/>
      <c r="AU705" s="212"/>
      <c r="AV705" s="164"/>
      <c r="AW705" s="164"/>
      <c r="AX705" s="76"/>
      <c r="AY705" s="44"/>
      <c r="AZ705" s="275"/>
      <c r="BA705" s="52"/>
      <c r="BB705" s="35"/>
      <c r="BC705" s="79"/>
      <c r="BD705" s="230"/>
      <c r="BE705" s="211"/>
      <c r="BF705" s="164"/>
      <c r="BG705" s="76"/>
      <c r="BH705" s="44"/>
      <c r="BI705" s="275"/>
      <c r="BJ705" s="52"/>
      <c r="BK705" s="35"/>
      <c r="BL705" s="79"/>
      <c r="BM705" s="230"/>
      <c r="BN705" s="211"/>
      <c r="BO705" s="164"/>
      <c r="BP705" s="584"/>
      <c r="BQ705" s="585"/>
      <c r="BR705" s="299"/>
      <c r="BS705" s="52"/>
      <c r="BT705" s="35"/>
      <c r="BU705" s="79"/>
      <c r="BV705" s="212"/>
      <c r="BW705" s="304"/>
      <c r="BX705" s="313"/>
      <c r="BY705" s="300"/>
    </row>
    <row r="706" spans="1:77" ht="15" customHeight="1" x14ac:dyDescent="0.2">
      <c r="A706" s="57" t="s">
        <v>6</v>
      </c>
      <c r="B706" s="57"/>
      <c r="C706" s="583" t="s">
        <v>755</v>
      </c>
      <c r="D706" s="546">
        <v>5.7450000000000001</v>
      </c>
      <c r="E706" s="162" t="s">
        <v>631</v>
      </c>
      <c r="F706" s="358"/>
      <c r="G706" s="65"/>
      <c r="H706" s="73"/>
      <c r="I706" s="90">
        <v>2006</v>
      </c>
      <c r="J706" s="73"/>
      <c r="K706" s="734">
        <v>3.2710999999999997E-2</v>
      </c>
      <c r="L706" s="717"/>
      <c r="M706" s="73"/>
      <c r="N706" s="359"/>
      <c r="O706" s="1041"/>
      <c r="P706" s="73"/>
      <c r="Q706" s="359"/>
      <c r="R706" s="1041"/>
      <c r="S706" s="73"/>
      <c r="T706" s="359"/>
      <c r="U706" s="73"/>
      <c r="V706" s="66"/>
      <c r="W706" s="740">
        <f t="shared" si="317"/>
        <v>2.3551919999999999E-5</v>
      </c>
      <c r="X706" s="741">
        <f t="shared" si="318"/>
        <v>2.3551919999999999E-5</v>
      </c>
      <c r="Y706" s="52">
        <v>2006</v>
      </c>
      <c r="Z706" s="52"/>
      <c r="AA706" s="739">
        <f>+K706/1000</f>
        <v>3.2710999999999999E-5</v>
      </c>
      <c r="AB706" s="256">
        <v>-0.28000000000000003</v>
      </c>
      <c r="AC706" s="688">
        <f t="shared" si="319"/>
        <v>-0.28000000000000003</v>
      </c>
      <c r="AD706" s="164"/>
      <c r="AE706" s="164"/>
      <c r="AF706" s="25"/>
      <c r="AG706" s="26"/>
      <c r="AH706" s="275"/>
      <c r="AI706" s="52"/>
      <c r="AJ706" s="35"/>
      <c r="AK706" s="289"/>
      <c r="AL706" s="290"/>
      <c r="AM706" s="211"/>
      <c r="AN706" s="164"/>
      <c r="AO706" s="76"/>
      <c r="AP706" s="44"/>
      <c r="AQ706" s="275"/>
      <c r="AR706" s="52"/>
      <c r="AS706" s="35"/>
      <c r="AT706" s="79"/>
      <c r="AU706" s="212"/>
      <c r="AV706" s="164"/>
      <c r="AW706" s="164"/>
      <c r="AX706" s="76"/>
      <c r="AY706" s="44"/>
      <c r="AZ706" s="275"/>
      <c r="BA706" s="52"/>
      <c r="BB706" s="35"/>
      <c r="BC706" s="79"/>
      <c r="BD706" s="230"/>
      <c r="BE706" s="211"/>
      <c r="BF706" s="164"/>
      <c r="BG706" s="76"/>
      <c r="BH706" s="44"/>
      <c r="BI706" s="275"/>
      <c r="BJ706" s="52"/>
      <c r="BK706" s="35"/>
      <c r="BL706" s="79"/>
      <c r="BM706" s="230"/>
      <c r="BN706" s="211"/>
      <c r="BO706" s="164"/>
      <c r="BP706" s="584"/>
      <c r="BQ706" s="585"/>
      <c r="BR706" s="299"/>
      <c r="BS706" s="52"/>
      <c r="BT706" s="35"/>
      <c r="BU706" s="79"/>
      <c r="BV706" s="212"/>
      <c r="BW706" s="304"/>
      <c r="BX706" s="313"/>
      <c r="BY706" s="300"/>
    </row>
    <row r="707" spans="1:77" ht="15" customHeight="1" x14ac:dyDescent="0.2">
      <c r="A707" s="57" t="s">
        <v>6</v>
      </c>
      <c r="B707" s="57"/>
      <c r="C707" s="583" t="s">
        <v>497</v>
      </c>
      <c r="D707" s="546">
        <v>512</v>
      </c>
      <c r="E707" s="162" t="s">
        <v>762</v>
      </c>
      <c r="F707" s="358"/>
      <c r="G707" s="65"/>
      <c r="H707" s="73"/>
      <c r="I707" s="90"/>
      <c r="J707" s="73"/>
      <c r="K707" s="66">
        <v>4.0999999999999996</v>
      </c>
      <c r="L707" s="717">
        <v>2012</v>
      </c>
      <c r="M707" s="73"/>
      <c r="N707" s="359">
        <v>3.0209999999999999</v>
      </c>
      <c r="O707" s="1041"/>
      <c r="P707" s="73"/>
      <c r="Q707" s="359"/>
      <c r="R707" s="1041"/>
      <c r="S707" s="73"/>
      <c r="T707" s="359"/>
      <c r="U707" s="73"/>
      <c r="V707" s="66"/>
      <c r="W707" s="594">
        <f t="shared" ref="W707:W744" si="320">AA707*(1+AB707)</f>
        <v>3.2799999999999999E-3</v>
      </c>
      <c r="X707" s="595">
        <f t="shared" ref="X707:X744" si="321">AA707*(1+AC707)</f>
        <v>3.2799999999999999E-3</v>
      </c>
      <c r="Y707" s="52">
        <v>2005</v>
      </c>
      <c r="Z707" s="52"/>
      <c r="AA707" s="596">
        <f>+K707/1000</f>
        <v>4.0999999999999995E-3</v>
      </c>
      <c r="AB707" s="256">
        <v>-0.2</v>
      </c>
      <c r="AC707" s="688">
        <f t="shared" ref="AC707:AC744" si="322">AB707</f>
        <v>-0.2</v>
      </c>
      <c r="AD707" s="164"/>
      <c r="AE707" s="164"/>
      <c r="AF707" s="25"/>
      <c r="AG707" s="26"/>
      <c r="AH707" s="275"/>
      <c r="AI707" s="52"/>
      <c r="AJ707" s="35"/>
      <c r="AK707" s="289"/>
      <c r="AL707" s="290"/>
      <c r="AM707" s="211"/>
      <c r="AN707" s="164"/>
      <c r="AO707" s="788">
        <f t="shared" ref="AO707" si="323">AS707*(1+AT707)</f>
        <v>2.0499999999999997E-3</v>
      </c>
      <c r="AP707" s="789">
        <f t="shared" ref="AP707" si="324">AS707*(1+AU707)</f>
        <v>2.0499999999999997E-3</v>
      </c>
      <c r="AQ707" s="275">
        <v>2005</v>
      </c>
      <c r="AR707" s="52"/>
      <c r="AS707" s="787">
        <f>+K707/1000</f>
        <v>4.0999999999999995E-3</v>
      </c>
      <c r="AT707" s="79">
        <v>-0.5</v>
      </c>
      <c r="AU707" s="212">
        <f>+AT707</f>
        <v>-0.5</v>
      </c>
      <c r="AV707" s="164"/>
      <c r="AW707" s="164"/>
      <c r="AX707" s="76"/>
      <c r="AY707" s="44"/>
      <c r="AZ707" s="275"/>
      <c r="BA707" s="52"/>
      <c r="BB707" s="35"/>
      <c r="BC707" s="79"/>
      <c r="BD707" s="230"/>
      <c r="BE707" s="211"/>
      <c r="BF707" s="164"/>
      <c r="BG707" s="76"/>
      <c r="BH707" s="44"/>
      <c r="BI707" s="275"/>
      <c r="BJ707" s="52"/>
      <c r="BK707" s="35"/>
      <c r="BL707" s="79"/>
      <c r="BM707" s="230"/>
      <c r="BN707" s="211"/>
      <c r="BO707" s="164"/>
      <c r="BP707" s="584">
        <f>+BT707*(1+BU707)</f>
        <v>0</v>
      </c>
      <c r="BQ707" s="585">
        <f>BT707*(1+BV707)</f>
        <v>0</v>
      </c>
      <c r="BR707" s="299">
        <v>2010</v>
      </c>
      <c r="BS707" s="52"/>
      <c r="BT707" s="35">
        <f>+N707/1000</f>
        <v>3.0209999999999998E-3</v>
      </c>
      <c r="BU707" s="79">
        <v>-1</v>
      </c>
      <c r="BV707" s="212">
        <f>+BU707</f>
        <v>-1</v>
      </c>
      <c r="BW707" s="304"/>
      <c r="BX707" s="313"/>
      <c r="BY707" s="300"/>
    </row>
    <row r="708" spans="1:77" ht="15" customHeight="1" x14ac:dyDescent="0.2">
      <c r="A708" s="57" t="s">
        <v>6</v>
      </c>
      <c r="B708" s="57"/>
      <c r="C708" s="583" t="s">
        <v>2846</v>
      </c>
      <c r="D708" s="546">
        <v>10.413</v>
      </c>
      <c r="E708" s="162" t="s">
        <v>631</v>
      </c>
      <c r="F708" s="358"/>
      <c r="G708" s="65"/>
      <c r="H708" s="73"/>
      <c r="I708" s="90">
        <v>2006</v>
      </c>
      <c r="J708" s="73"/>
      <c r="K708" s="790">
        <v>4.3903999999999999E-2</v>
      </c>
      <c r="L708" s="717"/>
      <c r="M708" s="73"/>
      <c r="N708" s="359"/>
      <c r="O708" s="1041"/>
      <c r="P708" s="73"/>
      <c r="Q708" s="359"/>
      <c r="R708" s="1041"/>
      <c r="S708" s="73"/>
      <c r="T708" s="359"/>
      <c r="U708" s="73"/>
      <c r="V708" s="66"/>
      <c r="W708" s="594"/>
      <c r="X708" s="595"/>
      <c r="Y708" s="52"/>
      <c r="Z708" s="52"/>
      <c r="AA708" s="596"/>
      <c r="AB708" s="256"/>
      <c r="AC708" s="688"/>
      <c r="AD708" s="164"/>
      <c r="AE708" s="164"/>
      <c r="AF708" s="25"/>
      <c r="AG708" s="26"/>
      <c r="AH708" s="275"/>
      <c r="AI708" s="52"/>
      <c r="AJ708" s="35"/>
      <c r="AK708" s="289"/>
      <c r="AL708" s="290"/>
      <c r="AM708" s="211"/>
      <c r="AN708" s="164"/>
      <c r="AO708" s="788">
        <f t="shared" ref="AO708" si="325">AS708*(1+AT708)</f>
        <v>2.5025280000000001E-5</v>
      </c>
      <c r="AP708" s="789">
        <f t="shared" ref="AP708" si="326">AS708*(1+AU708)</f>
        <v>2.5025280000000001E-5</v>
      </c>
      <c r="AQ708" s="275">
        <v>2006</v>
      </c>
      <c r="AR708" s="52"/>
      <c r="AS708" s="787">
        <f>+K708/1000</f>
        <v>4.3903999999999998E-5</v>
      </c>
      <c r="AT708" s="79">
        <v>-0.43</v>
      </c>
      <c r="AU708" s="212">
        <f>+AT708</f>
        <v>-0.43</v>
      </c>
      <c r="AV708" s="164"/>
      <c r="AW708" s="164"/>
      <c r="AX708" s="76"/>
      <c r="AY708" s="44"/>
      <c r="AZ708" s="275"/>
      <c r="BA708" s="52"/>
      <c r="BB708" s="35"/>
      <c r="BC708" s="79"/>
      <c r="BD708" s="230"/>
      <c r="BE708" s="211"/>
      <c r="BF708" s="164"/>
      <c r="BG708" s="76"/>
      <c r="BH708" s="44"/>
      <c r="BI708" s="275"/>
      <c r="BJ708" s="52"/>
      <c r="BK708" s="35"/>
      <c r="BL708" s="79"/>
      <c r="BM708" s="230"/>
      <c r="BN708" s="211"/>
      <c r="BO708" s="164"/>
      <c r="BP708" s="584"/>
      <c r="BQ708" s="585"/>
      <c r="BR708" s="299"/>
      <c r="BS708" s="52"/>
      <c r="BT708" s="35"/>
      <c r="BU708" s="79"/>
      <c r="BV708" s="212"/>
      <c r="BW708" s="304"/>
      <c r="BX708" s="313"/>
      <c r="BY708" s="300"/>
    </row>
    <row r="709" spans="1:77" ht="15" customHeight="1" x14ac:dyDescent="0.2">
      <c r="A709" s="57" t="s">
        <v>6</v>
      </c>
      <c r="B709" s="57"/>
      <c r="C709" s="583" t="s">
        <v>2373</v>
      </c>
      <c r="D709" s="546">
        <v>8</v>
      </c>
      <c r="E709" s="162" t="s">
        <v>631</v>
      </c>
      <c r="F709" s="358"/>
      <c r="G709" s="65"/>
      <c r="H709" s="73">
        <v>0.11870699999999999</v>
      </c>
      <c r="I709" s="90"/>
      <c r="J709" s="73"/>
      <c r="K709" s="66"/>
      <c r="L709" s="717"/>
      <c r="M709" s="73"/>
      <c r="N709" s="359"/>
      <c r="O709" s="1041"/>
      <c r="P709" s="73"/>
      <c r="Q709" s="359"/>
      <c r="R709" s="1041"/>
      <c r="S709" s="73"/>
      <c r="T709" s="359"/>
      <c r="U709" s="73"/>
      <c r="V709" s="66"/>
      <c r="W709" s="594">
        <f t="shared" ref="W709:W715" si="327">AA709*(1+AB709)</f>
        <v>8.6656109999999986E-5</v>
      </c>
      <c r="X709" s="595">
        <f t="shared" ref="X709:X715" si="328">AA709*(1+AC709)</f>
        <v>8.6656109999999986E-5</v>
      </c>
      <c r="Y709" s="52">
        <v>1990</v>
      </c>
      <c r="Z709" s="52"/>
      <c r="AA709" s="596">
        <f>+H709/1000</f>
        <v>1.1870699999999999E-4</v>
      </c>
      <c r="AB709" s="256">
        <v>-0.27</v>
      </c>
      <c r="AC709" s="688">
        <f t="shared" ref="AC709:AC715" si="329">AB709</f>
        <v>-0.27</v>
      </c>
      <c r="AD709" s="164"/>
      <c r="AE709" s="164"/>
      <c r="AF709" s="25"/>
      <c r="AG709" s="26"/>
      <c r="AH709" s="275"/>
      <c r="AI709" s="52"/>
      <c r="AJ709" s="35"/>
      <c r="AK709" s="289"/>
      <c r="AL709" s="290"/>
      <c r="AM709" s="211"/>
      <c r="AN709" s="164"/>
      <c r="AO709" s="76"/>
      <c r="AP709" s="44"/>
      <c r="AQ709" s="275"/>
      <c r="AR709" s="52"/>
      <c r="AS709" s="35"/>
      <c r="AT709" s="79"/>
      <c r="AU709" s="212"/>
      <c r="AV709" s="164"/>
      <c r="AW709" s="164"/>
      <c r="AX709" s="76"/>
      <c r="AY709" s="44"/>
      <c r="AZ709" s="275"/>
      <c r="BA709" s="52"/>
      <c r="BB709" s="35"/>
      <c r="BC709" s="79"/>
      <c r="BD709" s="230"/>
      <c r="BE709" s="211"/>
      <c r="BF709" s="164"/>
      <c r="BG709" s="76"/>
      <c r="BH709" s="44"/>
      <c r="BI709" s="275"/>
      <c r="BJ709" s="52"/>
      <c r="BK709" s="35"/>
      <c r="BL709" s="79"/>
      <c r="BM709" s="230"/>
      <c r="BN709" s="211"/>
      <c r="BO709" s="164"/>
      <c r="BP709" s="584"/>
      <c r="BQ709" s="585"/>
      <c r="BR709" s="299"/>
      <c r="BS709" s="52"/>
      <c r="BT709" s="35"/>
      <c r="BU709" s="79"/>
      <c r="BV709" s="212"/>
      <c r="BW709" s="304"/>
      <c r="BX709" s="313"/>
      <c r="BY709" s="300"/>
    </row>
    <row r="710" spans="1:77" ht="15" customHeight="1" x14ac:dyDescent="0.2">
      <c r="A710" s="57" t="s">
        <v>6</v>
      </c>
      <c r="B710" s="57"/>
      <c r="C710" s="583" t="s">
        <v>2467</v>
      </c>
      <c r="D710" s="546">
        <v>19.754000000000001</v>
      </c>
      <c r="E710" s="162" t="s">
        <v>631</v>
      </c>
      <c r="F710" s="358"/>
      <c r="G710" s="65"/>
      <c r="H710" s="73"/>
      <c r="I710" s="90">
        <v>2006</v>
      </c>
      <c r="J710" s="73"/>
      <c r="K710" s="790">
        <v>0.10913100000000001</v>
      </c>
      <c r="L710" s="717"/>
      <c r="M710" s="73"/>
      <c r="N710" s="359"/>
      <c r="O710" s="1041"/>
      <c r="P710" s="73"/>
      <c r="Q710" s="359"/>
      <c r="R710" s="1041"/>
      <c r="S710" s="73"/>
      <c r="T710" s="359"/>
      <c r="U710" s="73"/>
      <c r="V710" s="66"/>
      <c r="W710" s="594"/>
      <c r="X710" s="595"/>
      <c r="Y710" s="52"/>
      <c r="Z710" s="52"/>
      <c r="AA710" s="596"/>
      <c r="AB710" s="256"/>
      <c r="AC710" s="688"/>
      <c r="AD710" s="164"/>
      <c r="AE710" s="164"/>
      <c r="AF710" s="25"/>
      <c r="AG710" s="26"/>
      <c r="AH710" s="275"/>
      <c r="AI710" s="52"/>
      <c r="AJ710" s="35"/>
      <c r="AK710" s="289"/>
      <c r="AL710" s="290"/>
      <c r="AM710" s="211"/>
      <c r="AN710" s="164"/>
      <c r="AO710" s="788">
        <f t="shared" ref="AO710" si="330">AS710*(1+AT710)</f>
        <v>5.2382880000000002E-5</v>
      </c>
      <c r="AP710" s="789">
        <f t="shared" ref="AP710" si="331">AS710*(1+AU710)</f>
        <v>5.2382880000000002E-5</v>
      </c>
      <c r="AQ710" s="275">
        <v>2006</v>
      </c>
      <c r="AR710" s="52"/>
      <c r="AS710" s="739">
        <f>+K710/1000</f>
        <v>1.0913100000000001E-4</v>
      </c>
      <c r="AT710" s="79">
        <v>-0.52</v>
      </c>
      <c r="AU710" s="212">
        <f>+AT710</f>
        <v>-0.52</v>
      </c>
      <c r="AV710" s="164"/>
      <c r="AW710" s="164"/>
      <c r="AX710" s="76"/>
      <c r="AY710" s="44"/>
      <c r="AZ710" s="275"/>
      <c r="BA710" s="52"/>
      <c r="BB710" s="35"/>
      <c r="BC710" s="79"/>
      <c r="BD710" s="230"/>
      <c r="BE710" s="211"/>
      <c r="BF710" s="164"/>
      <c r="BG710" s="76"/>
      <c r="BH710" s="44"/>
      <c r="BI710" s="275"/>
      <c r="BJ710" s="52"/>
      <c r="BK710" s="35"/>
      <c r="BL710" s="79"/>
      <c r="BM710" s="230"/>
      <c r="BN710" s="211"/>
      <c r="BO710" s="164"/>
      <c r="BP710" s="584"/>
      <c r="BQ710" s="585"/>
      <c r="BR710" s="299"/>
      <c r="BS710" s="52"/>
      <c r="BT710" s="35"/>
      <c r="BU710" s="79"/>
      <c r="BV710" s="212"/>
      <c r="BW710" s="304"/>
      <c r="BX710" s="313"/>
      <c r="BY710" s="300"/>
    </row>
    <row r="711" spans="1:77" ht="15" customHeight="1" x14ac:dyDescent="0.2">
      <c r="A711" s="57" t="s">
        <v>6</v>
      </c>
      <c r="B711" s="57"/>
      <c r="C711" s="583" t="s">
        <v>2849</v>
      </c>
      <c r="D711" s="546">
        <v>7.5780000000000003</v>
      </c>
      <c r="E711" s="162" t="s">
        <v>631</v>
      </c>
      <c r="F711" s="358"/>
      <c r="G711" s="65"/>
      <c r="H711" s="73"/>
      <c r="I711" s="90">
        <v>2006</v>
      </c>
      <c r="J711" s="73"/>
      <c r="K711" s="790">
        <f>0.028539</f>
        <v>2.8538999999999998E-2</v>
      </c>
      <c r="L711" s="717"/>
      <c r="M711" s="73"/>
      <c r="N711" s="359"/>
      <c r="O711" s="1041"/>
      <c r="P711" s="73"/>
      <c r="Q711" s="359"/>
      <c r="R711" s="1041"/>
      <c r="S711" s="73"/>
      <c r="T711" s="359"/>
      <c r="U711" s="73"/>
      <c r="V711" s="66"/>
      <c r="W711" s="594"/>
      <c r="X711" s="595"/>
      <c r="Y711" s="52"/>
      <c r="Z711" s="52"/>
      <c r="AA711" s="596"/>
      <c r="AB711" s="256"/>
      <c r="AC711" s="688"/>
      <c r="AD711" s="164"/>
      <c r="AE711" s="164"/>
      <c r="AF711" s="25"/>
      <c r="AG711" s="26"/>
      <c r="AH711" s="275"/>
      <c r="AI711" s="52"/>
      <c r="AJ711" s="35"/>
      <c r="AK711" s="289"/>
      <c r="AL711" s="290"/>
      <c r="AM711" s="211"/>
      <c r="AN711" s="164"/>
      <c r="AO711" s="788">
        <f t="shared" ref="AO711" si="332">AS711*(1+AT711)</f>
        <v>1.6552620000000003E-5</v>
      </c>
      <c r="AP711" s="789">
        <f t="shared" ref="AP711" si="333">AS711*(1+AU711)</f>
        <v>1.6552620000000003E-5</v>
      </c>
      <c r="AQ711" s="275">
        <v>2006</v>
      </c>
      <c r="AR711" s="52"/>
      <c r="AS711" s="739">
        <f>+K711/1000</f>
        <v>2.8538999999999999E-5</v>
      </c>
      <c r="AT711" s="79">
        <v>-0.42</v>
      </c>
      <c r="AU711" s="212">
        <f>+AT711</f>
        <v>-0.42</v>
      </c>
      <c r="AV711" s="164"/>
      <c r="AW711" s="164"/>
      <c r="AX711" s="76"/>
      <c r="AY711" s="44"/>
      <c r="AZ711" s="275"/>
      <c r="BA711" s="52"/>
      <c r="BB711" s="35"/>
      <c r="BC711" s="79"/>
      <c r="BD711" s="230"/>
      <c r="BE711" s="211"/>
      <c r="BF711" s="164"/>
      <c r="BG711" s="76"/>
      <c r="BH711" s="44"/>
      <c r="BI711" s="275"/>
      <c r="BJ711" s="52"/>
      <c r="BK711" s="35"/>
      <c r="BL711" s="79"/>
      <c r="BM711" s="230"/>
      <c r="BN711" s="211"/>
      <c r="BO711" s="164"/>
      <c r="BP711" s="584"/>
      <c r="BQ711" s="585"/>
      <c r="BR711" s="299"/>
      <c r="BS711" s="52"/>
      <c r="BT711" s="35"/>
      <c r="BU711" s="79"/>
      <c r="BV711" s="212"/>
      <c r="BW711" s="304"/>
      <c r="BX711" s="313"/>
      <c r="BY711" s="300"/>
    </row>
    <row r="712" spans="1:77" ht="15" customHeight="1" x14ac:dyDescent="0.2">
      <c r="A712" s="57" t="s">
        <v>6</v>
      </c>
      <c r="B712" s="57"/>
      <c r="C712" s="583" t="s">
        <v>2850</v>
      </c>
      <c r="D712" s="546">
        <v>20.791</v>
      </c>
      <c r="E712" s="162" t="s">
        <v>631</v>
      </c>
      <c r="F712" s="358"/>
      <c r="G712" s="65"/>
      <c r="H712" s="73"/>
      <c r="I712" s="90">
        <v>2006</v>
      </c>
      <c r="J712" s="73"/>
      <c r="K712" s="790">
        <f>0.125117</f>
        <v>0.12511700000000001</v>
      </c>
      <c r="L712" s="717"/>
      <c r="M712" s="73"/>
      <c r="N712" s="359"/>
      <c r="O712" s="1041"/>
      <c r="P712" s="73"/>
      <c r="Q712" s="359"/>
      <c r="R712" s="1041"/>
      <c r="S712" s="73"/>
      <c r="T712" s="359"/>
      <c r="U712" s="73"/>
      <c r="V712" s="66"/>
      <c r="W712" s="594"/>
      <c r="X712" s="595"/>
      <c r="Y712" s="52"/>
      <c r="Z712" s="52"/>
      <c r="AA712" s="596"/>
      <c r="AB712" s="256"/>
      <c r="AC712" s="688"/>
      <c r="AD712" s="164"/>
      <c r="AE712" s="164"/>
      <c r="AF712" s="25"/>
      <c r="AG712" s="26"/>
      <c r="AH712" s="275"/>
      <c r="AI712" s="52"/>
      <c r="AJ712" s="35"/>
      <c r="AK712" s="289"/>
      <c r="AL712" s="290"/>
      <c r="AM712" s="211"/>
      <c r="AN712" s="164"/>
      <c r="AO712" s="788">
        <f t="shared" ref="AO712" si="334">AS712*(1+AT712)</f>
        <v>7.3819030000000008E-5</v>
      </c>
      <c r="AP712" s="789">
        <f t="shared" ref="AP712" si="335">AS712*(1+AU712)</f>
        <v>7.3819030000000008E-5</v>
      </c>
      <c r="AQ712" s="275">
        <v>2006</v>
      </c>
      <c r="AR712" s="52"/>
      <c r="AS712" s="739">
        <f>+K712/1000</f>
        <v>1.25117E-4</v>
      </c>
      <c r="AT712" s="79">
        <v>-0.41</v>
      </c>
      <c r="AU712" s="212">
        <f>+AT712</f>
        <v>-0.41</v>
      </c>
      <c r="AV712" s="164"/>
      <c r="AW712" s="164"/>
      <c r="AX712" s="76"/>
      <c r="AY712" s="44"/>
      <c r="AZ712" s="275"/>
      <c r="BA712" s="52"/>
      <c r="BB712" s="35"/>
      <c r="BC712" s="79"/>
      <c r="BD712" s="230"/>
      <c r="BE712" s="211"/>
      <c r="BF712" s="164"/>
      <c r="BG712" s="76"/>
      <c r="BH712" s="44"/>
      <c r="BI712" s="275"/>
      <c r="BJ712" s="52"/>
      <c r="BK712" s="35"/>
      <c r="BL712" s="79"/>
      <c r="BM712" s="230"/>
      <c r="BN712" s="211"/>
      <c r="BO712" s="164"/>
      <c r="BP712" s="584"/>
      <c r="BQ712" s="585"/>
      <c r="BR712" s="299"/>
      <c r="BS712" s="52"/>
      <c r="BT712" s="35"/>
      <c r="BU712" s="79"/>
      <c r="BV712" s="212"/>
      <c r="BW712" s="304"/>
      <c r="BX712" s="313"/>
      <c r="BY712" s="300"/>
    </row>
    <row r="713" spans="1:77" ht="15" customHeight="1" x14ac:dyDescent="0.2">
      <c r="A713" s="57" t="s">
        <v>6</v>
      </c>
      <c r="B713" s="57"/>
      <c r="C713" s="583" t="s">
        <v>2649</v>
      </c>
      <c r="D713" s="546">
        <v>1.4059999999999999</v>
      </c>
      <c r="E713" s="162" t="s">
        <v>631</v>
      </c>
      <c r="F713" s="358"/>
      <c r="G713" s="65"/>
      <c r="H713" s="73"/>
      <c r="I713" s="90">
        <v>2006</v>
      </c>
      <c r="J713" s="73"/>
      <c r="K713" s="790">
        <v>5.2469999999999999E-3</v>
      </c>
      <c r="L713" s="717"/>
      <c r="M713" s="73"/>
      <c r="N713" s="359"/>
      <c r="O713" s="1041"/>
      <c r="P713" s="73"/>
      <c r="Q713" s="359"/>
      <c r="R713" s="1041"/>
      <c r="S713" s="73"/>
      <c r="T713" s="359"/>
      <c r="U713" s="73"/>
      <c r="V713" s="66"/>
      <c r="W713" s="788">
        <f t="shared" ref="W713" si="336">AA713*(1+AB713)</f>
        <v>3.7778399999999999E-6</v>
      </c>
      <c r="X713" s="789">
        <f t="shared" ref="X713" si="337">AA713*(1+AC713)</f>
        <v>3.7778399999999999E-6</v>
      </c>
      <c r="Y713" s="52">
        <v>2005</v>
      </c>
      <c r="Z713" s="52"/>
      <c r="AA713" s="787">
        <f>+K713/1000</f>
        <v>5.2469999999999999E-6</v>
      </c>
      <c r="AB713" s="256">
        <v>-0.28000000000000003</v>
      </c>
      <c r="AC713" s="688">
        <f t="shared" ref="AC713" si="338">AB713</f>
        <v>-0.28000000000000003</v>
      </c>
      <c r="AD713" s="164"/>
      <c r="AE713" s="164"/>
      <c r="AF713" s="25"/>
      <c r="AG713" s="26"/>
      <c r="AH713" s="275"/>
      <c r="AI713" s="52"/>
      <c r="AJ713" s="35"/>
      <c r="AK713" s="289"/>
      <c r="AL713" s="290"/>
      <c r="AM713" s="211"/>
      <c r="AN713" s="164"/>
      <c r="AO713" s="740"/>
      <c r="AP713" s="741"/>
      <c r="AQ713" s="275"/>
      <c r="AR713" s="52"/>
      <c r="AS713" s="739"/>
      <c r="AT713" s="79"/>
      <c r="AU713" s="212"/>
      <c r="AV713" s="164"/>
      <c r="AW713" s="164"/>
      <c r="AX713" s="76"/>
      <c r="AY713" s="44"/>
      <c r="AZ713" s="275"/>
      <c r="BA713" s="52"/>
      <c r="BB713" s="35"/>
      <c r="BC713" s="79"/>
      <c r="BD713" s="230"/>
      <c r="BE713" s="211"/>
      <c r="BF713" s="164"/>
      <c r="BG713" s="76"/>
      <c r="BH713" s="44"/>
      <c r="BI713" s="275"/>
      <c r="BJ713" s="52"/>
      <c r="BK713" s="35"/>
      <c r="BL713" s="79"/>
      <c r="BM713" s="230"/>
      <c r="BN713" s="211"/>
      <c r="BO713" s="164"/>
      <c r="BP713" s="584"/>
      <c r="BQ713" s="585"/>
      <c r="BR713" s="299"/>
      <c r="BS713" s="52"/>
      <c r="BT713" s="35"/>
      <c r="BU713" s="79"/>
      <c r="BV713" s="212"/>
      <c r="BW713" s="304"/>
      <c r="BX713" s="313"/>
      <c r="BY713" s="300"/>
    </row>
    <row r="714" spans="1:77" ht="15" customHeight="1" x14ac:dyDescent="0.2">
      <c r="A714" s="57" t="s">
        <v>6</v>
      </c>
      <c r="B714" s="57"/>
      <c r="C714" s="583" t="s">
        <v>2474</v>
      </c>
      <c r="D714" s="546">
        <v>31.181000000000001</v>
      </c>
      <c r="E714" s="162" t="s">
        <v>631</v>
      </c>
      <c r="F714" s="358"/>
      <c r="G714" s="65"/>
      <c r="H714" s="73"/>
      <c r="I714" s="90">
        <v>2006</v>
      </c>
      <c r="J714" s="73"/>
      <c r="K714" s="790">
        <v>0.17660699999999999</v>
      </c>
      <c r="L714" s="717"/>
      <c r="M714" s="73"/>
      <c r="N714" s="359"/>
      <c r="O714" s="1041"/>
      <c r="P714" s="73"/>
      <c r="Q714" s="359"/>
      <c r="R714" s="1041"/>
      <c r="S714" s="73"/>
      <c r="T714" s="359"/>
      <c r="U714" s="73"/>
      <c r="V714" s="66"/>
      <c r="W714" s="594"/>
      <c r="X714" s="595"/>
      <c r="Y714" s="52"/>
      <c r="Z714" s="52"/>
      <c r="AA714" s="596"/>
      <c r="AB714" s="256"/>
      <c r="AC714" s="688"/>
      <c r="AD714" s="164"/>
      <c r="AE714" s="164"/>
      <c r="AF714" s="25"/>
      <c r="AG714" s="26"/>
      <c r="AH714" s="275"/>
      <c r="AI714" s="52"/>
      <c r="AJ714" s="35"/>
      <c r="AK714" s="289"/>
      <c r="AL714" s="290"/>
      <c r="AM714" s="211"/>
      <c r="AN714" s="164"/>
      <c r="AO714" s="788">
        <f t="shared" ref="AO714" si="339">AS714*(1+AT714)</f>
        <v>9.889992E-5</v>
      </c>
      <c r="AP714" s="789">
        <f t="shared" ref="AP714" si="340">AS714*(1+AU714)</f>
        <v>9.889992E-5</v>
      </c>
      <c r="AQ714" s="275">
        <v>2006</v>
      </c>
      <c r="AR714" s="52"/>
      <c r="AS714" s="787">
        <f>+K714/1000</f>
        <v>1.7660699999999998E-4</v>
      </c>
      <c r="AT714" s="79">
        <v>-0.44</v>
      </c>
      <c r="AU714" s="212">
        <f>+AT714</f>
        <v>-0.44</v>
      </c>
      <c r="AV714" s="164"/>
      <c r="AW714" s="164"/>
      <c r="AX714" s="76"/>
      <c r="AY714" s="44"/>
      <c r="AZ714" s="275"/>
      <c r="BA714" s="52"/>
      <c r="BB714" s="35"/>
      <c r="BC714" s="79"/>
      <c r="BD714" s="230"/>
      <c r="BE714" s="211"/>
      <c r="BF714" s="164"/>
      <c r="BG714" s="76"/>
      <c r="BH714" s="44"/>
      <c r="BI714" s="275"/>
      <c r="BJ714" s="52"/>
      <c r="BK714" s="35"/>
      <c r="BL714" s="79"/>
      <c r="BM714" s="230"/>
      <c r="BN714" s="211"/>
      <c r="BO714" s="164"/>
      <c r="BP714" s="584"/>
      <c r="BQ714" s="585"/>
      <c r="BR714" s="299"/>
      <c r="BS714" s="52"/>
      <c r="BT714" s="35"/>
      <c r="BU714" s="79"/>
      <c r="BV714" s="212"/>
      <c r="BW714" s="304"/>
      <c r="BX714" s="313"/>
      <c r="BY714" s="300"/>
    </row>
    <row r="715" spans="1:77" ht="15" customHeight="1" x14ac:dyDescent="0.2">
      <c r="A715" s="57" t="s">
        <v>6</v>
      </c>
      <c r="B715" s="57"/>
      <c r="C715" s="583" t="s">
        <v>2378</v>
      </c>
      <c r="D715" s="546">
        <v>1.4059999999999999</v>
      </c>
      <c r="E715" s="162" t="s">
        <v>631</v>
      </c>
      <c r="F715" s="358"/>
      <c r="G715" s="65"/>
      <c r="H715" s="73"/>
      <c r="I715" s="90">
        <v>2006</v>
      </c>
      <c r="J715" s="73"/>
      <c r="K715" s="734">
        <f>0.005247</f>
        <v>5.2469999999999999E-3</v>
      </c>
      <c r="L715" s="717"/>
      <c r="M715" s="73"/>
      <c r="N715" s="359"/>
      <c r="O715" s="1041"/>
      <c r="P715" s="73"/>
      <c r="Q715" s="359"/>
      <c r="R715" s="1041"/>
      <c r="S715" s="73"/>
      <c r="T715" s="359"/>
      <c r="U715" s="73"/>
      <c r="V715" s="66"/>
      <c r="W715" s="788">
        <f t="shared" si="327"/>
        <v>3.7778399999999999E-6</v>
      </c>
      <c r="X715" s="789">
        <f t="shared" si="328"/>
        <v>3.7778399999999999E-6</v>
      </c>
      <c r="Y715" s="52">
        <v>2008</v>
      </c>
      <c r="Z715" s="52"/>
      <c r="AA715" s="787">
        <f>+K715/1000</f>
        <v>5.2469999999999999E-6</v>
      </c>
      <c r="AB715" s="256">
        <v>-0.28000000000000003</v>
      </c>
      <c r="AC715" s="688">
        <f t="shared" si="329"/>
        <v>-0.28000000000000003</v>
      </c>
      <c r="AD715" s="164"/>
      <c r="AE715" s="164"/>
      <c r="AF715" s="25"/>
      <c r="AG715" s="26"/>
      <c r="AH715" s="275"/>
      <c r="AI715" s="52"/>
      <c r="AJ715" s="35"/>
      <c r="AK715" s="289"/>
      <c r="AL715" s="290"/>
      <c r="AM715" s="211"/>
      <c r="AN715" s="164"/>
      <c r="AO715" s="76"/>
      <c r="AP715" s="44"/>
      <c r="AQ715" s="275"/>
      <c r="AR715" s="52"/>
      <c r="AS715" s="35"/>
      <c r="AT715" s="79"/>
      <c r="AU715" s="212"/>
      <c r="AV715" s="164"/>
      <c r="AW715" s="164"/>
      <c r="AX715" s="76"/>
      <c r="AY715" s="44"/>
      <c r="AZ715" s="275"/>
      <c r="BA715" s="52"/>
      <c r="BB715" s="35"/>
      <c r="BC715" s="79"/>
      <c r="BD715" s="230"/>
      <c r="BE715" s="211"/>
      <c r="BF715" s="164"/>
      <c r="BG715" s="76"/>
      <c r="BH715" s="44"/>
      <c r="BI715" s="275"/>
      <c r="BJ715" s="52"/>
      <c r="BK715" s="35"/>
      <c r="BL715" s="79"/>
      <c r="BM715" s="230"/>
      <c r="BN715" s="211"/>
      <c r="BO715" s="164"/>
      <c r="BP715" s="584"/>
      <c r="BQ715" s="585"/>
      <c r="BR715" s="299"/>
      <c r="BS715" s="52"/>
      <c r="BT715" s="35"/>
      <c r="BU715" s="79"/>
      <c r="BV715" s="212"/>
      <c r="BW715" s="304"/>
      <c r="BX715" s="313"/>
      <c r="BY715" s="300"/>
    </row>
    <row r="716" spans="1:77" ht="15" customHeight="1" x14ac:dyDescent="0.2">
      <c r="A716" s="57" t="s">
        <v>6</v>
      </c>
      <c r="B716" s="57"/>
      <c r="C716" s="583" t="s">
        <v>759</v>
      </c>
      <c r="D716" s="546">
        <v>19.663</v>
      </c>
      <c r="E716" s="162" t="s">
        <v>631</v>
      </c>
      <c r="F716" s="358"/>
      <c r="G716" s="65"/>
      <c r="H716" s="73"/>
      <c r="I716" s="90"/>
      <c r="J716" s="73"/>
      <c r="K716" s="66"/>
      <c r="L716" s="717">
        <v>2008</v>
      </c>
      <c r="M716" s="73"/>
      <c r="N716" s="738">
        <v>7.0954000000000003E-2</v>
      </c>
      <c r="O716" s="1041"/>
      <c r="P716" s="73"/>
      <c r="Q716" s="738"/>
      <c r="R716" s="1041"/>
      <c r="S716" s="73"/>
      <c r="T716" s="738"/>
      <c r="U716" s="73"/>
      <c r="V716" s="66"/>
      <c r="W716" s="740">
        <f t="shared" si="320"/>
        <v>4.6120099999999999E-5</v>
      </c>
      <c r="X716" s="741">
        <f t="shared" si="321"/>
        <v>4.6120099999999999E-5</v>
      </c>
      <c r="Y716" s="52">
        <v>2008</v>
      </c>
      <c r="Z716" s="52"/>
      <c r="AA716" s="739">
        <f>+N716/1000</f>
        <v>7.0953999999999999E-5</v>
      </c>
      <c r="AB716" s="256">
        <v>-0.35</v>
      </c>
      <c r="AC716" s="688">
        <f t="shared" si="322"/>
        <v>-0.35</v>
      </c>
      <c r="AD716" s="164"/>
      <c r="AE716" s="164"/>
      <c r="AF716" s="25"/>
      <c r="AG716" s="26"/>
      <c r="AH716" s="275"/>
      <c r="AI716" s="52"/>
      <c r="AJ716" s="35"/>
      <c r="AK716" s="289"/>
      <c r="AL716" s="290"/>
      <c r="AM716" s="211"/>
      <c r="AN716" s="164"/>
      <c r="AO716" s="76"/>
      <c r="AP716" s="44"/>
      <c r="AQ716" s="275"/>
      <c r="AR716" s="52"/>
      <c r="AS716" s="35"/>
      <c r="AT716" s="79"/>
      <c r="AU716" s="212"/>
      <c r="AV716" s="164"/>
      <c r="AW716" s="164"/>
      <c r="AX716" s="76"/>
      <c r="AY716" s="44"/>
      <c r="AZ716" s="275"/>
      <c r="BA716" s="52"/>
      <c r="BB716" s="35"/>
      <c r="BC716" s="79"/>
      <c r="BD716" s="230"/>
      <c r="BE716" s="211"/>
      <c r="BF716" s="164"/>
      <c r="BG716" s="76"/>
      <c r="BH716" s="44"/>
      <c r="BI716" s="275"/>
      <c r="BJ716" s="52"/>
      <c r="BK716" s="35"/>
      <c r="BL716" s="79"/>
      <c r="BM716" s="230"/>
      <c r="BN716" s="211"/>
      <c r="BO716" s="164"/>
      <c r="BP716" s="584"/>
      <c r="BQ716" s="585"/>
      <c r="BR716" s="299"/>
      <c r="BS716" s="52"/>
      <c r="BT716" s="35"/>
      <c r="BU716" s="79"/>
      <c r="BV716" s="212"/>
      <c r="BW716" s="304"/>
      <c r="BX716" s="313"/>
      <c r="BY716" s="300"/>
    </row>
    <row r="717" spans="1:77" ht="15" customHeight="1" x14ac:dyDescent="0.2">
      <c r="A717" s="57" t="s">
        <v>6</v>
      </c>
      <c r="B717" s="57"/>
      <c r="C717" s="583" t="s">
        <v>2853</v>
      </c>
      <c r="D717" s="546">
        <v>10.922000000000001</v>
      </c>
      <c r="E717" s="162" t="s">
        <v>631</v>
      </c>
      <c r="F717" s="358"/>
      <c r="G717" s="65"/>
      <c r="H717" s="73"/>
      <c r="I717" s="90">
        <v>2006</v>
      </c>
      <c r="J717" s="73"/>
      <c r="K717" s="790">
        <v>5.5855000000000002E-2</v>
      </c>
      <c r="L717" s="717"/>
      <c r="M717" s="73"/>
      <c r="N717" s="738"/>
      <c r="O717" s="1041"/>
      <c r="P717" s="73"/>
      <c r="Q717" s="738"/>
      <c r="R717" s="1041"/>
      <c r="S717" s="73"/>
      <c r="T717" s="738"/>
      <c r="U717" s="73"/>
      <c r="V717" s="66"/>
      <c r="W717" s="740"/>
      <c r="X717" s="741"/>
      <c r="Y717" s="52"/>
      <c r="Z717" s="52"/>
      <c r="AA717" s="739"/>
      <c r="AB717" s="256"/>
      <c r="AC717" s="688"/>
      <c r="AD717" s="164"/>
      <c r="AE717" s="164"/>
      <c r="AF717" s="25"/>
      <c r="AG717" s="26"/>
      <c r="AH717" s="275"/>
      <c r="AI717" s="52"/>
      <c r="AJ717" s="35"/>
      <c r="AK717" s="289"/>
      <c r="AL717" s="290"/>
      <c r="AM717" s="211"/>
      <c r="AN717" s="164"/>
      <c r="AO717" s="788">
        <f t="shared" ref="AO717" si="341">AS717*(1+AT717)</f>
        <v>2.0666349999999999E-5</v>
      </c>
      <c r="AP717" s="789">
        <f t="shared" ref="AP717" si="342">AS717*(1+AU717)</f>
        <v>2.0666349999999999E-5</v>
      </c>
      <c r="AQ717" s="275">
        <v>2006</v>
      </c>
      <c r="AR717" s="52"/>
      <c r="AS717" s="787">
        <f t="shared" ref="AS717:AS722" si="343">+K717/1000</f>
        <v>5.5855E-5</v>
      </c>
      <c r="AT717" s="79">
        <v>-0.63</v>
      </c>
      <c r="AU717" s="212">
        <f t="shared" ref="AU717:AU722" si="344">AT717</f>
        <v>-0.63</v>
      </c>
      <c r="AV717" s="164"/>
      <c r="AW717" s="164"/>
      <c r="AX717" s="76"/>
      <c r="AY717" s="44"/>
      <c r="AZ717" s="275"/>
      <c r="BA717" s="52"/>
      <c r="BB717" s="35"/>
      <c r="BC717" s="79"/>
      <c r="BD717" s="230"/>
      <c r="BE717" s="211"/>
      <c r="BF717" s="164"/>
      <c r="BG717" s="76"/>
      <c r="BH717" s="44"/>
      <c r="BI717" s="275"/>
      <c r="BJ717" s="52"/>
      <c r="BK717" s="35"/>
      <c r="BL717" s="79"/>
      <c r="BM717" s="230"/>
      <c r="BN717" s="211"/>
      <c r="BO717" s="164"/>
      <c r="BP717" s="584"/>
      <c r="BQ717" s="585"/>
      <c r="BR717" s="299"/>
      <c r="BS717" s="52"/>
      <c r="BT717" s="35"/>
      <c r="BU717" s="79"/>
      <c r="BV717" s="212"/>
      <c r="BW717" s="304"/>
      <c r="BX717" s="313"/>
      <c r="BY717" s="300"/>
    </row>
    <row r="718" spans="1:77" ht="15" customHeight="1" x14ac:dyDescent="0.2">
      <c r="A718" s="57" t="s">
        <v>6</v>
      </c>
      <c r="B718" s="57"/>
      <c r="C718" s="583" t="s">
        <v>2854</v>
      </c>
      <c r="D718" s="546">
        <v>16.495000000000001</v>
      </c>
      <c r="E718" s="162" t="s">
        <v>631</v>
      </c>
      <c r="F718" s="358"/>
      <c r="G718" s="65"/>
      <c r="H718" s="73"/>
      <c r="I718" s="90">
        <v>2006</v>
      </c>
      <c r="J718" s="73"/>
      <c r="K718" s="790">
        <v>7.3446999999999998E-2</v>
      </c>
      <c r="L718" s="717"/>
      <c r="M718" s="73"/>
      <c r="N718" s="738"/>
      <c r="O718" s="1041"/>
      <c r="P718" s="73"/>
      <c r="Q718" s="738"/>
      <c r="R718" s="1041"/>
      <c r="S718" s="73"/>
      <c r="T718" s="738"/>
      <c r="U718" s="73"/>
      <c r="V718" s="66"/>
      <c r="W718" s="740"/>
      <c r="X718" s="741"/>
      <c r="Y718" s="52"/>
      <c r="Z718" s="52"/>
      <c r="AA718" s="739"/>
      <c r="AB718" s="256"/>
      <c r="AC718" s="688"/>
      <c r="AD718" s="164"/>
      <c r="AE718" s="164"/>
      <c r="AF718" s="25"/>
      <c r="AG718" s="26"/>
      <c r="AH718" s="275"/>
      <c r="AI718" s="52"/>
      <c r="AJ718" s="35"/>
      <c r="AK718" s="289"/>
      <c r="AL718" s="290"/>
      <c r="AM718" s="211"/>
      <c r="AN718" s="164"/>
      <c r="AO718" s="788">
        <f t="shared" ref="AO718" si="345">AS718*(1+AT718)</f>
        <v>3.7457970000000004E-5</v>
      </c>
      <c r="AP718" s="789">
        <f t="shared" ref="AP718" si="346">AS718*(1+AU718)</f>
        <v>3.7457970000000004E-5</v>
      </c>
      <c r="AQ718" s="275">
        <v>2006</v>
      </c>
      <c r="AR718" s="52"/>
      <c r="AS718" s="787">
        <f t="shared" si="343"/>
        <v>7.3447000000000003E-5</v>
      </c>
      <c r="AT718" s="79">
        <v>-0.49</v>
      </c>
      <c r="AU718" s="212">
        <f t="shared" si="344"/>
        <v>-0.49</v>
      </c>
      <c r="AV718" s="164"/>
      <c r="AW718" s="164"/>
      <c r="AX718" s="76"/>
      <c r="AY718" s="44"/>
      <c r="AZ718" s="275"/>
      <c r="BA718" s="52"/>
      <c r="BB718" s="35"/>
      <c r="BC718" s="79"/>
      <c r="BD718" s="230"/>
      <c r="BE718" s="211"/>
      <c r="BF718" s="164"/>
      <c r="BG718" s="76"/>
      <c r="BH718" s="44"/>
      <c r="BI718" s="275"/>
      <c r="BJ718" s="52"/>
      <c r="BK718" s="35"/>
      <c r="BL718" s="79"/>
      <c r="BM718" s="230"/>
      <c r="BN718" s="211"/>
      <c r="BO718" s="164"/>
      <c r="BP718" s="584"/>
      <c r="BQ718" s="585"/>
      <c r="BR718" s="299"/>
      <c r="BS718" s="52"/>
      <c r="BT718" s="35"/>
      <c r="BU718" s="79"/>
      <c r="BV718" s="212"/>
      <c r="BW718" s="304"/>
      <c r="BX718" s="313"/>
      <c r="BY718" s="300"/>
    </row>
    <row r="719" spans="1:77" ht="15" customHeight="1" x14ac:dyDescent="0.2">
      <c r="A719" s="57" t="s">
        <v>6</v>
      </c>
      <c r="B719" s="57"/>
      <c r="C719" s="583" t="s">
        <v>2435</v>
      </c>
      <c r="D719" s="546">
        <v>21.919</v>
      </c>
      <c r="E719" s="162" t="s">
        <v>631</v>
      </c>
      <c r="F719" s="358"/>
      <c r="G719" s="65"/>
      <c r="H719" s="73"/>
      <c r="I719" s="90">
        <v>2006</v>
      </c>
      <c r="J719" s="73"/>
      <c r="K719" s="790">
        <v>6.6492999999999997E-2</v>
      </c>
      <c r="L719" s="717"/>
      <c r="M719" s="73"/>
      <c r="N719" s="738"/>
      <c r="O719" s="1041"/>
      <c r="P719" s="73"/>
      <c r="Q719" s="738"/>
      <c r="R719" s="1041"/>
      <c r="S719" s="73"/>
      <c r="T719" s="738"/>
      <c r="U719" s="73"/>
      <c r="V719" s="66"/>
      <c r="W719" s="740"/>
      <c r="X719" s="741"/>
      <c r="Y719" s="52"/>
      <c r="Z719" s="52"/>
      <c r="AA719" s="739"/>
      <c r="AB719" s="256"/>
      <c r="AC719" s="688"/>
      <c r="AD719" s="164"/>
      <c r="AE719" s="164"/>
      <c r="AF719" s="25"/>
      <c r="AG719" s="26"/>
      <c r="AH719" s="275"/>
      <c r="AI719" s="52"/>
      <c r="AJ719" s="35"/>
      <c r="AK719" s="289"/>
      <c r="AL719" s="290"/>
      <c r="AM719" s="211"/>
      <c r="AN719" s="164"/>
      <c r="AO719" s="788">
        <f t="shared" ref="AO719" si="347">AS719*(1+AT719)</f>
        <v>1.9947900000000003E-5</v>
      </c>
      <c r="AP719" s="789">
        <f t="shared" ref="AP719" si="348">AS719*(1+AU719)</f>
        <v>1.9947900000000003E-5</v>
      </c>
      <c r="AQ719" s="275">
        <v>2006</v>
      </c>
      <c r="AR719" s="52"/>
      <c r="AS719" s="787">
        <f t="shared" si="343"/>
        <v>6.6493000000000002E-5</v>
      </c>
      <c r="AT719" s="79">
        <v>-0.7</v>
      </c>
      <c r="AU719" s="212">
        <f t="shared" si="344"/>
        <v>-0.7</v>
      </c>
      <c r="AV719" s="164"/>
      <c r="AW719" s="164"/>
      <c r="AX719" s="76"/>
      <c r="AY719" s="44"/>
      <c r="AZ719" s="275"/>
      <c r="BA719" s="52"/>
      <c r="BB719" s="35"/>
      <c r="BC719" s="79"/>
      <c r="BD719" s="230"/>
      <c r="BE719" s="211"/>
      <c r="BF719" s="164"/>
      <c r="BG719" s="76"/>
      <c r="BH719" s="44"/>
      <c r="BI719" s="275"/>
      <c r="BJ719" s="52"/>
      <c r="BK719" s="35"/>
      <c r="BL719" s="79"/>
      <c r="BM719" s="230"/>
      <c r="BN719" s="211"/>
      <c r="BO719" s="164"/>
      <c r="BP719" s="584"/>
      <c r="BQ719" s="585"/>
      <c r="BR719" s="299"/>
      <c r="BS719" s="52"/>
      <c r="BT719" s="35"/>
      <c r="BU719" s="79"/>
      <c r="BV719" s="212"/>
      <c r="BW719" s="304"/>
      <c r="BX719" s="313"/>
      <c r="BY719" s="300"/>
    </row>
    <row r="720" spans="1:77" ht="15" customHeight="1" x14ac:dyDescent="0.2">
      <c r="A720" s="57" t="s">
        <v>6</v>
      </c>
      <c r="B720" s="57"/>
      <c r="C720" s="583" t="s">
        <v>2855</v>
      </c>
      <c r="D720" s="546">
        <v>28.65</v>
      </c>
      <c r="E720" s="162" t="s">
        <v>631</v>
      </c>
      <c r="F720" s="358"/>
      <c r="G720" s="65"/>
      <c r="H720" s="73"/>
      <c r="I720" s="90">
        <v>2006</v>
      </c>
      <c r="J720" s="73"/>
      <c r="K720" s="790">
        <v>0.221168</v>
      </c>
      <c r="L720" s="717"/>
      <c r="M720" s="73"/>
      <c r="N720" s="738"/>
      <c r="O720" s="1041"/>
      <c r="P720" s="73"/>
      <c r="Q720" s="738"/>
      <c r="R720" s="1041"/>
      <c r="S720" s="73"/>
      <c r="T720" s="738"/>
      <c r="U720" s="73"/>
      <c r="V720" s="66"/>
      <c r="W720" s="740"/>
      <c r="X720" s="741"/>
      <c r="Y720" s="52"/>
      <c r="Z720" s="52"/>
      <c r="AA720" s="739"/>
      <c r="AB720" s="256"/>
      <c r="AC720" s="688"/>
      <c r="AD720" s="164"/>
      <c r="AE720" s="164"/>
      <c r="AF720" s="25"/>
      <c r="AG720" s="26"/>
      <c r="AH720" s="275"/>
      <c r="AI720" s="52"/>
      <c r="AJ720" s="35"/>
      <c r="AK720" s="289"/>
      <c r="AL720" s="290"/>
      <c r="AM720" s="211"/>
      <c r="AN720" s="164"/>
      <c r="AO720" s="788">
        <f t="shared" ref="AO720" si="349">AS720*(1+AT720)</f>
        <v>1.2164240000000001E-4</v>
      </c>
      <c r="AP720" s="789">
        <f t="shared" ref="AP720" si="350">AS720*(1+AU720)</f>
        <v>1.2164240000000001E-4</v>
      </c>
      <c r="AQ720" s="275">
        <v>2006</v>
      </c>
      <c r="AR720" s="52"/>
      <c r="AS720" s="787">
        <f t="shared" si="343"/>
        <v>2.2116799999999999E-4</v>
      </c>
      <c r="AT720" s="79">
        <v>-0.45</v>
      </c>
      <c r="AU720" s="212">
        <f t="shared" si="344"/>
        <v>-0.45</v>
      </c>
      <c r="AV720" s="164"/>
      <c r="AW720" s="164"/>
      <c r="AX720" s="76"/>
      <c r="AY720" s="44"/>
      <c r="AZ720" s="275"/>
      <c r="BA720" s="52"/>
      <c r="BB720" s="35"/>
      <c r="BC720" s="79"/>
      <c r="BD720" s="230"/>
      <c r="BE720" s="211"/>
      <c r="BF720" s="164"/>
      <c r="BG720" s="76"/>
      <c r="BH720" s="44"/>
      <c r="BI720" s="275"/>
      <c r="BJ720" s="52"/>
      <c r="BK720" s="35"/>
      <c r="BL720" s="79"/>
      <c r="BM720" s="230"/>
      <c r="BN720" s="211"/>
      <c r="BO720" s="164"/>
      <c r="BP720" s="584"/>
      <c r="BQ720" s="585"/>
      <c r="BR720" s="299"/>
      <c r="BS720" s="52"/>
      <c r="BT720" s="35"/>
      <c r="BU720" s="79"/>
      <c r="BV720" s="212"/>
      <c r="BW720" s="304"/>
      <c r="BX720" s="313"/>
      <c r="BY720" s="300"/>
    </row>
    <row r="721" spans="1:77" ht="15" customHeight="1" x14ac:dyDescent="0.2">
      <c r="A721" s="57" t="s">
        <v>6</v>
      </c>
      <c r="B721" s="57"/>
      <c r="C721" s="583" t="s">
        <v>2856</v>
      </c>
      <c r="D721" s="546">
        <v>12.711</v>
      </c>
      <c r="E721" s="162" t="s">
        <v>631</v>
      </c>
      <c r="F721" s="358"/>
      <c r="G721" s="65"/>
      <c r="H721" s="73"/>
      <c r="I721" s="90">
        <v>2006</v>
      </c>
      <c r="J721" s="73"/>
      <c r="K721" s="790">
        <v>0.100646</v>
      </c>
      <c r="L721" s="717"/>
      <c r="M721" s="73"/>
      <c r="N721" s="738"/>
      <c r="O721" s="1041"/>
      <c r="P721" s="73"/>
      <c r="Q721" s="738"/>
      <c r="R721" s="1041"/>
      <c r="S721" s="73"/>
      <c r="T721" s="738"/>
      <c r="U721" s="73"/>
      <c r="V721" s="66"/>
      <c r="W721" s="740"/>
      <c r="X721" s="741"/>
      <c r="Y721" s="52"/>
      <c r="Z721" s="52"/>
      <c r="AA721" s="739"/>
      <c r="AB721" s="256"/>
      <c r="AC721" s="688"/>
      <c r="AD721" s="164"/>
      <c r="AE721" s="164"/>
      <c r="AF721" s="25"/>
      <c r="AG721" s="26"/>
      <c r="AH721" s="275"/>
      <c r="AI721" s="52"/>
      <c r="AJ721" s="35"/>
      <c r="AK721" s="289"/>
      <c r="AL721" s="290"/>
      <c r="AM721" s="211"/>
      <c r="AN721" s="164"/>
      <c r="AO721" s="788">
        <f t="shared" ref="AO721" si="351">AS721*(1+AT721)</f>
        <v>5.7368220000000006E-5</v>
      </c>
      <c r="AP721" s="789">
        <f t="shared" ref="AP721" si="352">AS721*(1+AU721)</f>
        <v>5.7368220000000006E-5</v>
      </c>
      <c r="AQ721" s="275">
        <v>2006</v>
      </c>
      <c r="AR721" s="52"/>
      <c r="AS721" s="787">
        <f t="shared" si="343"/>
        <v>1.00646E-4</v>
      </c>
      <c r="AT721" s="79">
        <v>-0.43</v>
      </c>
      <c r="AU721" s="212">
        <f t="shared" si="344"/>
        <v>-0.43</v>
      </c>
      <c r="AV721" s="164"/>
      <c r="AW721" s="164"/>
      <c r="AX721" s="76"/>
      <c r="AY721" s="44"/>
      <c r="AZ721" s="275"/>
      <c r="BA721" s="52"/>
      <c r="BB721" s="35"/>
      <c r="BC721" s="79"/>
      <c r="BD721" s="230"/>
      <c r="BE721" s="211"/>
      <c r="BF721" s="164"/>
      <c r="BG721" s="76"/>
      <c r="BH721" s="44"/>
      <c r="BI721" s="275"/>
      <c r="BJ721" s="52"/>
      <c r="BK721" s="35"/>
      <c r="BL721" s="79"/>
      <c r="BM721" s="230"/>
      <c r="BN721" s="211"/>
      <c r="BO721" s="164"/>
      <c r="BP721" s="584"/>
      <c r="BQ721" s="585"/>
      <c r="BR721" s="299"/>
      <c r="BS721" s="52"/>
      <c r="BT721" s="35"/>
      <c r="BU721" s="79"/>
      <c r="BV721" s="212"/>
      <c r="BW721" s="304"/>
      <c r="BX721" s="313"/>
      <c r="BY721" s="300"/>
    </row>
    <row r="722" spans="1:77" ht="15" customHeight="1" x14ac:dyDescent="0.2">
      <c r="A722" s="57" t="s">
        <v>6</v>
      </c>
      <c r="B722" s="57"/>
      <c r="C722" s="583" t="s">
        <v>2857</v>
      </c>
      <c r="D722" s="546">
        <v>5.0250000000000004</v>
      </c>
      <c r="E722" s="162" t="s">
        <v>631</v>
      </c>
      <c r="F722" s="358"/>
      <c r="G722" s="65"/>
      <c r="H722" s="73"/>
      <c r="I722" s="90">
        <v>2006</v>
      </c>
      <c r="J722" s="73"/>
      <c r="K722" s="790">
        <v>2.6338E-2</v>
      </c>
      <c r="L722" s="717"/>
      <c r="M722" s="73"/>
      <c r="N722" s="738"/>
      <c r="O722" s="1041"/>
      <c r="P722" s="73"/>
      <c r="Q722" s="738"/>
      <c r="R722" s="1041"/>
      <c r="S722" s="73"/>
      <c r="T722" s="738"/>
      <c r="U722" s="73"/>
      <c r="V722" s="66"/>
      <c r="W722" s="740"/>
      <c r="X722" s="741"/>
      <c r="Y722" s="52"/>
      <c r="Z722" s="52"/>
      <c r="AA722" s="739"/>
      <c r="AB722" s="256"/>
      <c r="AC722" s="688"/>
      <c r="AD722" s="164"/>
      <c r="AE722" s="164"/>
      <c r="AF722" s="25"/>
      <c r="AG722" s="26"/>
      <c r="AH722" s="275"/>
      <c r="AI722" s="52"/>
      <c r="AJ722" s="35"/>
      <c r="AK722" s="289"/>
      <c r="AL722" s="290"/>
      <c r="AM722" s="211"/>
      <c r="AN722" s="164"/>
      <c r="AO722" s="788">
        <f t="shared" ref="AO722" si="353">AS722*(1+AT722)</f>
        <v>9.2182999999999995E-6</v>
      </c>
      <c r="AP722" s="789">
        <f t="shared" ref="AP722" si="354">AS722*(1+AU722)</f>
        <v>9.2182999999999995E-6</v>
      </c>
      <c r="AQ722" s="275">
        <v>2006</v>
      </c>
      <c r="AR722" s="52"/>
      <c r="AS722" s="787">
        <f t="shared" si="343"/>
        <v>2.6338000000000001E-5</v>
      </c>
      <c r="AT722" s="79">
        <v>-0.65</v>
      </c>
      <c r="AU722" s="212">
        <f t="shared" si="344"/>
        <v>-0.65</v>
      </c>
      <c r="AV722" s="164"/>
      <c r="AW722" s="164"/>
      <c r="AX722" s="76"/>
      <c r="AY722" s="44"/>
      <c r="AZ722" s="275"/>
      <c r="BA722" s="52"/>
      <c r="BB722" s="35"/>
      <c r="BC722" s="79"/>
      <c r="BD722" s="230"/>
      <c r="BE722" s="211"/>
      <c r="BF722" s="164"/>
      <c r="BG722" s="76"/>
      <c r="BH722" s="44"/>
      <c r="BI722" s="275"/>
      <c r="BJ722" s="52"/>
      <c r="BK722" s="35"/>
      <c r="BL722" s="79"/>
      <c r="BM722" s="230"/>
      <c r="BN722" s="211"/>
      <c r="BO722" s="164"/>
      <c r="BP722" s="584"/>
      <c r="BQ722" s="585"/>
      <c r="BR722" s="299"/>
      <c r="BS722" s="52"/>
      <c r="BT722" s="35"/>
      <c r="BU722" s="79"/>
      <c r="BV722" s="212"/>
      <c r="BW722" s="304"/>
      <c r="BX722" s="313"/>
      <c r="BY722" s="300"/>
    </row>
    <row r="723" spans="1:77" ht="15" customHeight="1" x14ac:dyDescent="0.2">
      <c r="A723" s="57" t="s">
        <v>6</v>
      </c>
      <c r="B723" s="57"/>
      <c r="C723" s="583" t="s">
        <v>2379</v>
      </c>
      <c r="D723" s="546">
        <v>8.3569999999999993</v>
      </c>
      <c r="E723" s="162" t="s">
        <v>631</v>
      </c>
      <c r="F723" s="358"/>
      <c r="G723" s="65"/>
      <c r="H723" s="73"/>
      <c r="I723" s="90">
        <v>2006</v>
      </c>
      <c r="J723" s="73"/>
      <c r="K723" s="734">
        <v>3.3446999999999998E-2</v>
      </c>
      <c r="L723" s="717"/>
      <c r="M723" s="73"/>
      <c r="N723" s="738"/>
      <c r="O723" s="1041"/>
      <c r="P723" s="73"/>
      <c r="Q723" s="738"/>
      <c r="R723" s="1041"/>
      <c r="S723" s="73"/>
      <c r="T723" s="738"/>
      <c r="U723" s="73"/>
      <c r="V723" s="66"/>
      <c r="W723" s="740">
        <f t="shared" si="320"/>
        <v>2.3078429999999998E-5</v>
      </c>
      <c r="X723" s="741">
        <f t="shared" si="321"/>
        <v>2.3078429999999998E-5</v>
      </c>
      <c r="Y723" s="52">
        <v>2006</v>
      </c>
      <c r="Z723" s="52"/>
      <c r="AA723" s="739">
        <f>+K723/1000</f>
        <v>3.3447E-5</v>
      </c>
      <c r="AB723" s="256">
        <v>-0.31</v>
      </c>
      <c r="AC723" s="688">
        <f t="shared" si="322"/>
        <v>-0.31</v>
      </c>
      <c r="AD723" s="164"/>
      <c r="AE723" s="164"/>
      <c r="AF723" s="25"/>
      <c r="AG723" s="26"/>
      <c r="AH723" s="275"/>
      <c r="AI723" s="52"/>
      <c r="AJ723" s="35"/>
      <c r="AK723" s="289"/>
      <c r="AL723" s="290"/>
      <c r="AM723" s="211"/>
      <c r="AN723" s="164"/>
      <c r="AO723" s="76"/>
      <c r="AP723" s="44"/>
      <c r="AQ723" s="275"/>
      <c r="AR723" s="52"/>
      <c r="AS723" s="35"/>
      <c r="AT723" s="79"/>
      <c r="AU723" s="212"/>
      <c r="AV723" s="164"/>
      <c r="AW723" s="164"/>
      <c r="AX723" s="76"/>
      <c r="AY723" s="44"/>
      <c r="AZ723" s="275"/>
      <c r="BA723" s="52"/>
      <c r="BB723" s="35"/>
      <c r="BC723" s="79"/>
      <c r="BD723" s="230"/>
      <c r="BE723" s="211"/>
      <c r="BF723" s="164"/>
      <c r="BG723" s="76"/>
      <c r="BH723" s="44"/>
      <c r="BI723" s="275"/>
      <c r="BJ723" s="52"/>
      <c r="BK723" s="35"/>
      <c r="BL723" s="79"/>
      <c r="BM723" s="230"/>
      <c r="BN723" s="211"/>
      <c r="BO723" s="164"/>
      <c r="BP723" s="584"/>
      <c r="BQ723" s="585"/>
      <c r="BR723" s="299"/>
      <c r="BS723" s="52"/>
      <c r="BT723" s="35"/>
      <c r="BU723" s="79"/>
      <c r="BV723" s="212"/>
      <c r="BW723" s="304"/>
      <c r="BX723" s="313"/>
      <c r="BY723" s="300"/>
    </row>
    <row r="724" spans="1:77" ht="15" customHeight="1" x14ac:dyDescent="0.2">
      <c r="A724" s="57" t="s">
        <v>6</v>
      </c>
      <c r="B724" s="57"/>
      <c r="C724" s="583" t="s">
        <v>760</v>
      </c>
      <c r="D724" s="546">
        <v>9.1359999999999992</v>
      </c>
      <c r="E724" s="162" t="s">
        <v>631</v>
      </c>
      <c r="F724" s="358"/>
      <c r="G724" s="65"/>
      <c r="H724" s="73"/>
      <c r="I724" s="90"/>
      <c r="J724" s="73"/>
      <c r="K724" s="66"/>
      <c r="L724" s="717">
        <v>2008</v>
      </c>
      <c r="M724" s="73"/>
      <c r="N724" s="738">
        <v>6.8432999999999994E-2</v>
      </c>
      <c r="O724" s="1041"/>
      <c r="P724" s="73"/>
      <c r="Q724" s="738"/>
      <c r="R724" s="1041"/>
      <c r="S724" s="73"/>
      <c r="T724" s="738"/>
      <c r="U724" s="73"/>
      <c r="V724" s="66"/>
      <c r="W724" s="740">
        <f t="shared" si="320"/>
        <v>5.1324749999999997E-5</v>
      </c>
      <c r="X724" s="741">
        <f t="shared" si="321"/>
        <v>5.1324749999999997E-5</v>
      </c>
      <c r="Y724" s="52">
        <v>2008</v>
      </c>
      <c r="Z724" s="52"/>
      <c r="AA724" s="739">
        <f>+N724/1000</f>
        <v>6.8433E-5</v>
      </c>
      <c r="AB724" s="256">
        <v>-0.25</v>
      </c>
      <c r="AC724" s="688">
        <f t="shared" si="322"/>
        <v>-0.25</v>
      </c>
      <c r="AD724" s="164"/>
      <c r="AE724" s="164"/>
      <c r="AF724" s="25"/>
      <c r="AG724" s="26"/>
      <c r="AH724" s="275"/>
      <c r="AI724" s="52"/>
      <c r="AJ724" s="35"/>
      <c r="AK724" s="289"/>
      <c r="AL724" s="290"/>
      <c r="AM724" s="211"/>
      <c r="AN724" s="164"/>
      <c r="AO724" s="76"/>
      <c r="AP724" s="44"/>
      <c r="AQ724" s="275"/>
      <c r="AR724" s="52"/>
      <c r="AS724" s="35"/>
      <c r="AT724" s="79"/>
      <c r="AU724" s="212"/>
      <c r="AV724" s="164"/>
      <c r="AW724" s="164"/>
      <c r="AX724" s="76"/>
      <c r="AY724" s="44"/>
      <c r="AZ724" s="275"/>
      <c r="BA724" s="52"/>
      <c r="BB724" s="35"/>
      <c r="BC724" s="79"/>
      <c r="BD724" s="230"/>
      <c r="BE724" s="211"/>
      <c r="BF724" s="164"/>
      <c r="BG724" s="76"/>
      <c r="BH724" s="44"/>
      <c r="BI724" s="275"/>
      <c r="BJ724" s="52"/>
      <c r="BK724" s="35"/>
      <c r="BL724" s="79"/>
      <c r="BM724" s="230"/>
      <c r="BN724" s="211"/>
      <c r="BO724" s="164"/>
      <c r="BP724" s="584"/>
      <c r="BQ724" s="585"/>
      <c r="BR724" s="299"/>
      <c r="BS724" s="52"/>
      <c r="BT724" s="35"/>
      <c r="BU724" s="79"/>
      <c r="BV724" s="212"/>
      <c r="BW724" s="304"/>
      <c r="BX724" s="313"/>
      <c r="BY724" s="300"/>
    </row>
    <row r="725" spans="1:77" ht="15" customHeight="1" x14ac:dyDescent="0.2">
      <c r="A725" s="57" t="s">
        <v>6</v>
      </c>
      <c r="B725" s="57"/>
      <c r="C725" s="583" t="s">
        <v>2859</v>
      </c>
      <c r="D725" s="546">
        <v>5.2430000000000003</v>
      </c>
      <c r="E725" s="162" t="s">
        <v>631</v>
      </c>
      <c r="F725" s="358"/>
      <c r="G725" s="65"/>
      <c r="H725" s="73"/>
      <c r="I725" s="90">
        <v>2006</v>
      </c>
      <c r="J725" s="73"/>
      <c r="K725" s="790">
        <v>5.5034E-2</v>
      </c>
      <c r="L725" s="717"/>
      <c r="M725" s="73"/>
      <c r="N725" s="738"/>
      <c r="O725" s="1041"/>
      <c r="P725" s="73"/>
      <c r="Q725" s="738"/>
      <c r="R725" s="1041"/>
      <c r="S725" s="73"/>
      <c r="T725" s="738"/>
      <c r="U725" s="73"/>
      <c r="V725" s="66"/>
      <c r="W725" s="740"/>
      <c r="X725" s="741"/>
      <c r="Y725" s="52"/>
      <c r="Z725" s="52"/>
      <c r="AA725" s="739"/>
      <c r="AB725" s="256"/>
      <c r="AC725" s="688"/>
      <c r="AD725" s="164"/>
      <c r="AE725" s="164"/>
      <c r="AF725" s="25"/>
      <c r="AG725" s="26"/>
      <c r="AH725" s="275"/>
      <c r="AI725" s="52"/>
      <c r="AJ725" s="35"/>
      <c r="AK725" s="289"/>
      <c r="AL725" s="290"/>
      <c r="AM725" s="211"/>
      <c r="AN725" s="164"/>
      <c r="AO725" s="788">
        <f t="shared" ref="AO725" si="355">AS725*(1+AT725)</f>
        <v>2.4214959999999998E-5</v>
      </c>
      <c r="AP725" s="789">
        <f t="shared" ref="AP725" si="356">AS725*(1+AU725)</f>
        <v>2.4214959999999998E-5</v>
      </c>
      <c r="AQ725" s="275">
        <v>2006</v>
      </c>
      <c r="AR725" s="52"/>
      <c r="AS725" s="787">
        <f>+K725/1000</f>
        <v>5.5034000000000002E-5</v>
      </c>
      <c r="AT725" s="79">
        <v>-0.56000000000000005</v>
      </c>
      <c r="AU725" s="212">
        <f>AT725</f>
        <v>-0.56000000000000005</v>
      </c>
      <c r="AV725" s="164"/>
      <c r="AW725" s="164"/>
      <c r="AX725" s="76"/>
      <c r="AY725" s="44"/>
      <c r="AZ725" s="275"/>
      <c r="BA725" s="52"/>
      <c r="BB725" s="35"/>
      <c r="BC725" s="79"/>
      <c r="BD725" s="230"/>
      <c r="BE725" s="211"/>
      <c r="BF725" s="164"/>
      <c r="BG725" s="76"/>
      <c r="BH725" s="44"/>
      <c r="BI725" s="275"/>
      <c r="BJ725" s="52"/>
      <c r="BK725" s="35"/>
      <c r="BL725" s="79"/>
      <c r="BM725" s="230"/>
      <c r="BN725" s="211"/>
      <c r="BO725" s="164"/>
      <c r="BP725" s="584"/>
      <c r="BQ725" s="585"/>
      <c r="BR725" s="299"/>
      <c r="BS725" s="52"/>
      <c r="BT725" s="35"/>
      <c r="BU725" s="79"/>
      <c r="BV725" s="212"/>
      <c r="BW725" s="304"/>
      <c r="BX725" s="313"/>
      <c r="BY725" s="300"/>
    </row>
    <row r="726" spans="1:77" ht="15" customHeight="1" x14ac:dyDescent="0.2">
      <c r="A726" s="57" t="s">
        <v>6</v>
      </c>
      <c r="B726" s="57"/>
      <c r="C726" s="583" t="s">
        <v>753</v>
      </c>
      <c r="D726" s="546">
        <v>16.306999999999999</v>
      </c>
      <c r="E726" s="162" t="s">
        <v>631</v>
      </c>
      <c r="F726" s="358"/>
      <c r="G726" s="65"/>
      <c r="H726" s="73"/>
      <c r="I726" s="90"/>
      <c r="J726" s="73"/>
      <c r="K726" s="66"/>
      <c r="L726" s="717">
        <v>2011</v>
      </c>
      <c r="M726" s="73"/>
      <c r="N726" s="738">
        <v>4.6167E-2</v>
      </c>
      <c r="O726" s="1041"/>
      <c r="P726" s="73"/>
      <c r="Q726" s="738"/>
      <c r="R726" s="1041"/>
      <c r="S726" s="73"/>
      <c r="T726" s="738"/>
      <c r="U726" s="73"/>
      <c r="V726" s="66"/>
      <c r="W726" s="740">
        <f t="shared" si="320"/>
        <v>2.77002E-5</v>
      </c>
      <c r="X726" s="741">
        <f t="shared" si="321"/>
        <v>2.77002E-5</v>
      </c>
      <c r="Y726" s="52">
        <v>2011</v>
      </c>
      <c r="Z726" s="52"/>
      <c r="AA726" s="739">
        <f>+N726/1000</f>
        <v>4.6167E-5</v>
      </c>
      <c r="AB726" s="256">
        <v>-0.4</v>
      </c>
      <c r="AC726" s="688">
        <f t="shared" si="322"/>
        <v>-0.4</v>
      </c>
      <c r="AD726" s="164"/>
      <c r="AE726" s="164"/>
      <c r="AF726" s="25"/>
      <c r="AG726" s="26"/>
      <c r="AH726" s="275"/>
      <c r="AI726" s="52"/>
      <c r="AJ726" s="35"/>
      <c r="AK726" s="289"/>
      <c r="AL726" s="290"/>
      <c r="AM726" s="211"/>
      <c r="AN726" s="164"/>
      <c r="AO726" s="76"/>
      <c r="AP726" s="44"/>
      <c r="AQ726" s="275"/>
      <c r="AR726" s="52"/>
      <c r="AS726" s="35"/>
      <c r="AT726" s="79"/>
      <c r="AU726" s="212"/>
      <c r="AV726" s="164"/>
      <c r="AW726" s="164"/>
      <c r="AX726" s="76"/>
      <c r="AY726" s="44"/>
      <c r="AZ726" s="275"/>
      <c r="BA726" s="52"/>
      <c r="BB726" s="35"/>
      <c r="BC726" s="79"/>
      <c r="BD726" s="230"/>
      <c r="BE726" s="211"/>
      <c r="BF726" s="164"/>
      <c r="BG726" s="76"/>
      <c r="BH726" s="44"/>
      <c r="BI726" s="275"/>
      <c r="BJ726" s="52"/>
      <c r="BK726" s="35"/>
      <c r="BL726" s="79"/>
      <c r="BM726" s="230"/>
      <c r="BN726" s="211"/>
      <c r="BO726" s="164"/>
      <c r="BP726" s="584"/>
      <c r="BQ726" s="585"/>
      <c r="BR726" s="299"/>
      <c r="BS726" s="52"/>
      <c r="BT726" s="35"/>
      <c r="BU726" s="79"/>
      <c r="BV726" s="212"/>
      <c r="BW726" s="304"/>
      <c r="BX726" s="313"/>
      <c r="BY726" s="300"/>
    </row>
    <row r="727" spans="1:77" ht="15" customHeight="1" x14ac:dyDescent="0.2">
      <c r="A727" s="57" t="s">
        <v>6</v>
      </c>
      <c r="B727" s="57"/>
      <c r="C727" s="583" t="s">
        <v>2838</v>
      </c>
      <c r="D727" s="546">
        <v>7.3239999999999998</v>
      </c>
      <c r="E727" s="162" t="s">
        <v>631</v>
      </c>
      <c r="F727" s="358"/>
      <c r="G727" s="65"/>
      <c r="H727" s="73"/>
      <c r="I727" s="90">
        <v>2006</v>
      </c>
      <c r="J727" s="73"/>
      <c r="K727" s="734">
        <v>4.8977E-2</v>
      </c>
      <c r="L727" s="717"/>
      <c r="M727" s="73"/>
      <c r="N727" s="738"/>
      <c r="O727" s="1041"/>
      <c r="P727" s="73"/>
      <c r="Q727" s="738"/>
      <c r="R727" s="1041"/>
      <c r="S727" s="73"/>
      <c r="T727" s="738"/>
      <c r="U727" s="73"/>
      <c r="V727" s="66"/>
      <c r="W727" s="740"/>
      <c r="X727" s="741"/>
      <c r="Y727" s="52"/>
      <c r="Z727" s="52"/>
      <c r="AA727" s="739"/>
      <c r="AB727" s="256"/>
      <c r="AC727" s="688"/>
      <c r="AD727" s="164"/>
      <c r="AE727" s="164"/>
      <c r="AF727" s="25"/>
      <c r="AG727" s="26"/>
      <c r="AH727" s="275"/>
      <c r="AI727" s="52"/>
      <c r="AJ727" s="35"/>
      <c r="AK727" s="289"/>
      <c r="AL727" s="290"/>
      <c r="AM727" s="211"/>
      <c r="AN727" s="164"/>
      <c r="AO727" s="788">
        <f t="shared" ref="AO727" si="357">AS727*(1+AT727)</f>
        <v>2.93862E-5</v>
      </c>
      <c r="AP727" s="789">
        <f t="shared" ref="AP727" si="358">AS727*(1+AU727)</f>
        <v>2.93862E-5</v>
      </c>
      <c r="AQ727" s="275">
        <v>2008</v>
      </c>
      <c r="AR727" s="52"/>
      <c r="AS727" s="739">
        <f>+K727/1000</f>
        <v>4.8977000000000002E-5</v>
      </c>
      <c r="AT727" s="79">
        <v>-0.4</v>
      </c>
      <c r="AU727" s="212">
        <f>AT727</f>
        <v>-0.4</v>
      </c>
      <c r="AV727" s="164"/>
      <c r="AW727" s="164"/>
      <c r="AX727" s="76"/>
      <c r="AY727" s="44"/>
      <c r="AZ727" s="275"/>
      <c r="BA727" s="52"/>
      <c r="BB727" s="35"/>
      <c r="BC727" s="79"/>
      <c r="BD727" s="230"/>
      <c r="BE727" s="211"/>
      <c r="BF727" s="164"/>
      <c r="BG727" s="76"/>
      <c r="BH727" s="44"/>
      <c r="BI727" s="275"/>
      <c r="BJ727" s="52"/>
      <c r="BK727" s="35"/>
      <c r="BL727" s="79"/>
      <c r="BM727" s="230"/>
      <c r="BN727" s="211"/>
      <c r="BO727" s="164"/>
      <c r="BP727" s="584"/>
      <c r="BQ727" s="585"/>
      <c r="BR727" s="299"/>
      <c r="BS727" s="52"/>
      <c r="BT727" s="35"/>
      <c r="BU727" s="79"/>
      <c r="BV727" s="212"/>
      <c r="BW727" s="304"/>
      <c r="BX727" s="313"/>
      <c r="BY727" s="300"/>
    </row>
    <row r="728" spans="1:77" ht="15" customHeight="1" x14ac:dyDescent="0.2">
      <c r="A728" s="57" t="s">
        <v>6</v>
      </c>
      <c r="B728" s="57"/>
      <c r="C728" s="583" t="s">
        <v>2865</v>
      </c>
      <c r="D728" s="546">
        <v>9.3670000000000009</v>
      </c>
      <c r="E728" s="162" t="s">
        <v>631</v>
      </c>
      <c r="F728" s="358"/>
      <c r="G728" s="65"/>
      <c r="H728" s="73"/>
      <c r="I728" s="90">
        <v>2006</v>
      </c>
      <c r="J728" s="73"/>
      <c r="K728" s="734">
        <v>5.2080000000000001E-2</v>
      </c>
      <c r="L728" s="717"/>
      <c r="M728" s="73"/>
      <c r="N728" s="738"/>
      <c r="O728" s="1041"/>
      <c r="P728" s="73"/>
      <c r="Q728" s="738"/>
      <c r="R728" s="1041"/>
      <c r="S728" s="73"/>
      <c r="T728" s="738"/>
      <c r="U728" s="73"/>
      <c r="V728" s="66"/>
      <c r="W728" s="740"/>
      <c r="X728" s="741"/>
      <c r="Y728" s="52"/>
      <c r="Z728" s="52"/>
      <c r="AA728" s="739"/>
      <c r="AB728" s="256"/>
      <c r="AC728" s="688"/>
      <c r="AD728" s="164"/>
      <c r="AE728" s="164"/>
      <c r="AF728" s="25"/>
      <c r="AG728" s="26"/>
      <c r="AH728" s="275"/>
      <c r="AI728" s="52"/>
      <c r="AJ728" s="35"/>
      <c r="AK728" s="289"/>
      <c r="AL728" s="290"/>
      <c r="AM728" s="211"/>
      <c r="AN728" s="164"/>
      <c r="AO728" s="788">
        <f t="shared" ref="AO728" si="359">AS728*(1+AT728)</f>
        <v>3.0206400000000006E-5</v>
      </c>
      <c r="AP728" s="789">
        <f t="shared" ref="AP728" si="360">AS728*(1+AU728)</f>
        <v>3.0206400000000006E-5</v>
      </c>
      <c r="AQ728" s="275">
        <v>2008</v>
      </c>
      <c r="AR728" s="52"/>
      <c r="AS728" s="739">
        <f>+K728/1000</f>
        <v>5.2080000000000003E-5</v>
      </c>
      <c r="AT728" s="79">
        <v>-0.42</v>
      </c>
      <c r="AU728" s="212">
        <f>AT728</f>
        <v>-0.42</v>
      </c>
      <c r="AV728" s="164"/>
      <c r="AW728" s="164"/>
      <c r="AX728" s="76"/>
      <c r="AY728" s="44"/>
      <c r="AZ728" s="275"/>
      <c r="BA728" s="52"/>
      <c r="BB728" s="35"/>
      <c r="BC728" s="79"/>
      <c r="BD728" s="230"/>
      <c r="BE728" s="211"/>
      <c r="BF728" s="164"/>
      <c r="BG728" s="76"/>
      <c r="BH728" s="44"/>
      <c r="BI728" s="275"/>
      <c r="BJ728" s="52"/>
      <c r="BK728" s="35"/>
      <c r="BL728" s="79"/>
      <c r="BM728" s="230"/>
      <c r="BN728" s="211"/>
      <c r="BO728" s="164"/>
      <c r="BP728" s="584"/>
      <c r="BQ728" s="585"/>
      <c r="BR728" s="299"/>
      <c r="BS728" s="52"/>
      <c r="BT728" s="35"/>
      <c r="BU728" s="79"/>
      <c r="BV728" s="212"/>
      <c r="BW728" s="304"/>
      <c r="BX728" s="313"/>
      <c r="BY728" s="300"/>
    </row>
    <row r="729" spans="1:77" ht="15" customHeight="1" x14ac:dyDescent="0.2">
      <c r="A729" s="57" t="s">
        <v>6</v>
      </c>
      <c r="B729" s="57"/>
      <c r="C729" s="583" t="s">
        <v>2470</v>
      </c>
      <c r="D729" s="546">
        <v>3.6120000000000001</v>
      </c>
      <c r="E729" s="162" t="s">
        <v>631</v>
      </c>
      <c r="F729" s="358"/>
      <c r="G729" s="65"/>
      <c r="H729" s="73"/>
      <c r="I729" s="90"/>
      <c r="J729" s="73"/>
      <c r="K729" s="734">
        <v>2.5198000000000002E-2</v>
      </c>
      <c r="L729" s="717"/>
      <c r="M729" s="73"/>
      <c r="N729" s="738"/>
      <c r="O729" s="1041"/>
      <c r="P729" s="73"/>
      <c r="Q729" s="738"/>
      <c r="R729" s="1041"/>
      <c r="S729" s="73"/>
      <c r="T729" s="738"/>
      <c r="U729" s="73"/>
      <c r="V729" s="66"/>
      <c r="W729" s="740"/>
      <c r="X729" s="741"/>
      <c r="Y729" s="52"/>
      <c r="Z729" s="52"/>
      <c r="AA729" s="739"/>
      <c r="AB729" s="256"/>
      <c r="AC729" s="688"/>
      <c r="AD729" s="164"/>
      <c r="AE729" s="164"/>
      <c r="AF729" s="25"/>
      <c r="AG729" s="26"/>
      <c r="AH729" s="275"/>
      <c r="AI729" s="52"/>
      <c r="AJ729" s="35"/>
      <c r="AK729" s="289"/>
      <c r="AL729" s="290"/>
      <c r="AM729" s="211"/>
      <c r="AN729" s="164"/>
      <c r="AO729" s="788">
        <f t="shared" ref="AO729" si="361">AS729*(1+AT729)</f>
        <v>1.4866820000000003E-5</v>
      </c>
      <c r="AP729" s="789">
        <f t="shared" ref="AP729" si="362">AS729*(1+AU729)</f>
        <v>1.4866820000000003E-5</v>
      </c>
      <c r="AQ729" s="275">
        <v>2006</v>
      </c>
      <c r="AR729" s="52"/>
      <c r="AS729" s="739">
        <f>+K729/1000</f>
        <v>2.5198000000000002E-5</v>
      </c>
      <c r="AT729" s="79">
        <v>-0.41</v>
      </c>
      <c r="AU729" s="212">
        <f>+AT729</f>
        <v>-0.41</v>
      </c>
      <c r="AV729" s="164"/>
      <c r="AW729" s="164"/>
      <c r="AX729" s="76"/>
      <c r="AY729" s="44"/>
      <c r="AZ729" s="275"/>
      <c r="BA729" s="52"/>
      <c r="BB729" s="35"/>
      <c r="BC729" s="79"/>
      <c r="BD729" s="230"/>
      <c r="BE729" s="211"/>
      <c r="BF729" s="164"/>
      <c r="BG729" s="76"/>
      <c r="BH729" s="44"/>
      <c r="BI729" s="275"/>
      <c r="BJ729" s="52"/>
      <c r="BK729" s="35"/>
      <c r="BL729" s="79"/>
      <c r="BM729" s="230"/>
      <c r="BN729" s="211"/>
      <c r="BO729" s="164"/>
      <c r="BP729" s="584"/>
      <c r="BQ729" s="585"/>
      <c r="BR729" s="299"/>
      <c r="BS729" s="52"/>
      <c r="BT729" s="35"/>
      <c r="BU729" s="79"/>
      <c r="BV729" s="212"/>
      <c r="BW729" s="304"/>
      <c r="BX729" s="313"/>
      <c r="BY729" s="300"/>
    </row>
    <row r="730" spans="1:77" ht="15" customHeight="1" x14ac:dyDescent="0.2">
      <c r="A730" s="57" t="s">
        <v>6</v>
      </c>
      <c r="B730" s="57"/>
      <c r="C730" s="583" t="s">
        <v>2866</v>
      </c>
      <c r="D730" s="546">
        <v>3.3</v>
      </c>
      <c r="E730" s="162" t="s">
        <v>631</v>
      </c>
      <c r="F730" s="358"/>
      <c r="G730" s="65"/>
      <c r="H730" s="73"/>
      <c r="I730" s="90">
        <v>2006</v>
      </c>
      <c r="J730" s="73"/>
      <c r="K730" s="734">
        <v>1.789E-2</v>
      </c>
      <c r="L730" s="717"/>
      <c r="M730" s="73"/>
      <c r="N730" s="738"/>
      <c r="O730" s="1041"/>
      <c r="P730" s="73"/>
      <c r="Q730" s="738"/>
      <c r="R730" s="1041"/>
      <c r="S730" s="73"/>
      <c r="T730" s="738"/>
      <c r="U730" s="73"/>
      <c r="V730" s="66"/>
      <c r="W730" s="740"/>
      <c r="X730" s="741"/>
      <c r="Y730" s="52"/>
      <c r="Z730" s="52"/>
      <c r="AA730" s="739"/>
      <c r="AB730" s="256"/>
      <c r="AC730" s="688"/>
      <c r="AD730" s="164"/>
      <c r="AE730" s="164"/>
      <c r="AF730" s="25"/>
      <c r="AG730" s="26"/>
      <c r="AH730" s="275"/>
      <c r="AI730" s="52"/>
      <c r="AJ730" s="35"/>
      <c r="AK730" s="289"/>
      <c r="AL730" s="290"/>
      <c r="AM730" s="211"/>
      <c r="AN730" s="164"/>
      <c r="AO730" s="788">
        <f t="shared" ref="AO730" si="363">AS730*(1+AT730)</f>
        <v>6.0825999999999992E-6</v>
      </c>
      <c r="AP730" s="789">
        <f t="shared" ref="AP730" si="364">AS730*(1+AU730)</f>
        <v>6.0825999999999992E-6</v>
      </c>
      <c r="AQ730" s="275">
        <v>2006</v>
      </c>
      <c r="AR730" s="52"/>
      <c r="AS730" s="739">
        <f>+K730/1000</f>
        <v>1.789E-5</v>
      </c>
      <c r="AT730" s="79">
        <v>-0.66</v>
      </c>
      <c r="AU730" s="212">
        <f>+AT730</f>
        <v>-0.66</v>
      </c>
      <c r="AV730" s="164"/>
      <c r="AW730" s="164"/>
      <c r="AX730" s="76"/>
      <c r="AY730" s="44"/>
      <c r="AZ730" s="275"/>
      <c r="BA730" s="52"/>
      <c r="BB730" s="35"/>
      <c r="BC730" s="79"/>
      <c r="BD730" s="230"/>
      <c r="BE730" s="211"/>
      <c r="BF730" s="164"/>
      <c r="BG730" s="76"/>
      <c r="BH730" s="44"/>
      <c r="BI730" s="275"/>
      <c r="BJ730" s="52"/>
      <c r="BK730" s="35"/>
      <c r="BL730" s="79"/>
      <c r="BM730" s="230"/>
      <c r="BN730" s="211"/>
      <c r="BO730" s="164"/>
      <c r="BP730" s="584"/>
      <c r="BQ730" s="585"/>
      <c r="BR730" s="299"/>
      <c r="BS730" s="52"/>
      <c r="BT730" s="35"/>
      <c r="BU730" s="79"/>
      <c r="BV730" s="212"/>
      <c r="BW730" s="304"/>
      <c r="BX730" s="313"/>
      <c r="BY730" s="300"/>
    </row>
    <row r="731" spans="1:77" ht="15" customHeight="1" x14ac:dyDescent="0.2">
      <c r="A731" s="57" t="s">
        <v>6</v>
      </c>
      <c r="B731" s="57"/>
      <c r="C731" s="583" t="s">
        <v>758</v>
      </c>
      <c r="D731" s="546">
        <v>14.292999999999999</v>
      </c>
      <c r="E731" s="162" t="s">
        <v>631</v>
      </c>
      <c r="F731" s="358"/>
      <c r="G731" s="65"/>
      <c r="H731" s="73"/>
      <c r="I731" s="90"/>
      <c r="J731" s="73"/>
      <c r="K731" s="66"/>
      <c r="L731" s="717">
        <v>2008</v>
      </c>
      <c r="M731" s="73"/>
      <c r="N731" s="738">
        <v>0.103064</v>
      </c>
      <c r="O731" s="1041"/>
      <c r="P731" s="73"/>
      <c r="Q731" s="738"/>
      <c r="R731" s="1041"/>
      <c r="S731" s="73"/>
      <c r="T731" s="738"/>
      <c r="U731" s="73"/>
      <c r="V731" s="66"/>
      <c r="W731" s="740">
        <f t="shared" si="320"/>
        <v>6.9052879999999996E-5</v>
      </c>
      <c r="X731" s="741">
        <f t="shared" si="321"/>
        <v>6.9052879999999996E-5</v>
      </c>
      <c r="Y731" s="52">
        <v>2008</v>
      </c>
      <c r="Z731" s="52"/>
      <c r="AA731" s="739">
        <f>+N731/1000</f>
        <v>1.03064E-4</v>
      </c>
      <c r="AB731" s="256">
        <v>-0.33</v>
      </c>
      <c r="AC731" s="688">
        <f t="shared" si="322"/>
        <v>-0.33</v>
      </c>
      <c r="AD731" s="164"/>
      <c r="AE731" s="164"/>
      <c r="AF731" s="25"/>
      <c r="AG731" s="26"/>
      <c r="AH731" s="275"/>
      <c r="AI731" s="52"/>
      <c r="AJ731" s="35"/>
      <c r="AK731" s="289"/>
      <c r="AL731" s="290"/>
      <c r="AM731" s="211"/>
      <c r="AN731" s="164"/>
      <c r="AO731" s="76"/>
      <c r="AP731" s="44"/>
      <c r="AQ731" s="275"/>
      <c r="AR731" s="52"/>
      <c r="AS731" s="35"/>
      <c r="AT731" s="79"/>
      <c r="AU731" s="212"/>
      <c r="AV731" s="164"/>
      <c r="AW731" s="164"/>
      <c r="AX731" s="76"/>
      <c r="AY731" s="44"/>
      <c r="AZ731" s="275"/>
      <c r="BA731" s="52"/>
      <c r="BB731" s="35"/>
      <c r="BC731" s="79"/>
      <c r="BD731" s="230"/>
      <c r="BE731" s="211"/>
      <c r="BF731" s="164"/>
      <c r="BG731" s="76"/>
      <c r="BH731" s="44"/>
      <c r="BI731" s="275"/>
      <c r="BJ731" s="52"/>
      <c r="BK731" s="35"/>
      <c r="BL731" s="79"/>
      <c r="BM731" s="230"/>
      <c r="BN731" s="211"/>
      <c r="BO731" s="164"/>
      <c r="BP731" s="584"/>
      <c r="BQ731" s="585"/>
      <c r="BR731" s="299"/>
      <c r="BS731" s="52"/>
      <c r="BT731" s="35"/>
      <c r="BU731" s="79"/>
      <c r="BV731" s="212"/>
      <c r="BW731" s="304"/>
      <c r="BX731" s="313"/>
      <c r="BY731" s="300"/>
    </row>
    <row r="732" spans="1:77" ht="15" customHeight="1" x14ac:dyDescent="0.2">
      <c r="A732" s="57" t="s">
        <v>6</v>
      </c>
      <c r="B732" s="57"/>
      <c r="C732" s="583" t="s">
        <v>2870</v>
      </c>
      <c r="D732" s="546">
        <v>12.439</v>
      </c>
      <c r="E732" s="162" t="s">
        <v>2565</v>
      </c>
      <c r="F732" s="358"/>
      <c r="G732" s="65"/>
      <c r="H732" s="73"/>
      <c r="I732" s="90">
        <v>2006</v>
      </c>
      <c r="J732" s="73"/>
      <c r="K732" s="790">
        <v>7.4580999999999995E-2</v>
      </c>
      <c r="L732" s="717"/>
      <c r="M732" s="73"/>
      <c r="N732" s="738"/>
      <c r="O732" s="1041"/>
      <c r="P732" s="73"/>
      <c r="Q732" s="738"/>
      <c r="R732" s="1041"/>
      <c r="S732" s="73"/>
      <c r="T732" s="738"/>
      <c r="U732" s="73"/>
      <c r="V732" s="66"/>
      <c r="W732" s="740"/>
      <c r="X732" s="741"/>
      <c r="Y732" s="52"/>
      <c r="Z732" s="52"/>
      <c r="AA732" s="739"/>
      <c r="AB732" s="256"/>
      <c r="AC732" s="688"/>
      <c r="AD732" s="164"/>
      <c r="AE732" s="164"/>
      <c r="AF732" s="25"/>
      <c r="AG732" s="26"/>
      <c r="AH732" s="275"/>
      <c r="AI732" s="52"/>
      <c r="AJ732" s="35"/>
      <c r="AK732" s="289"/>
      <c r="AL732" s="290"/>
      <c r="AM732" s="211"/>
      <c r="AN732" s="164"/>
      <c r="AO732" s="788">
        <f t="shared" ref="AO732" si="365">AS732*(1+AT732)</f>
        <v>3.5053069999999996E-5</v>
      </c>
      <c r="AP732" s="789">
        <f t="shared" ref="AP732" si="366">AS732*(1+AU732)</f>
        <v>3.5053069999999996E-5</v>
      </c>
      <c r="AQ732" s="275">
        <v>2006</v>
      </c>
      <c r="AR732" s="52"/>
      <c r="AS732" s="739">
        <f>+K732/1000</f>
        <v>7.4580999999999996E-5</v>
      </c>
      <c r="AT732" s="79">
        <v>-0.53</v>
      </c>
      <c r="AU732" s="212">
        <f>+AT732</f>
        <v>-0.53</v>
      </c>
      <c r="AV732" s="164"/>
      <c r="AW732" s="164"/>
      <c r="AX732" s="76"/>
      <c r="AY732" s="44"/>
      <c r="AZ732" s="275"/>
      <c r="BA732" s="52"/>
      <c r="BB732" s="35"/>
      <c r="BC732" s="79"/>
      <c r="BD732" s="230"/>
      <c r="BE732" s="211"/>
      <c r="BF732" s="164"/>
      <c r="BG732" s="76"/>
      <c r="BH732" s="44"/>
      <c r="BI732" s="275"/>
      <c r="BJ732" s="52"/>
      <c r="BK732" s="35"/>
      <c r="BL732" s="79"/>
      <c r="BM732" s="230"/>
      <c r="BN732" s="211"/>
      <c r="BO732" s="164"/>
      <c r="BP732" s="584"/>
      <c r="BQ732" s="585"/>
      <c r="BR732" s="299"/>
      <c r="BS732" s="52"/>
      <c r="BT732" s="35"/>
      <c r="BU732" s="79"/>
      <c r="BV732" s="212"/>
      <c r="BW732" s="304"/>
      <c r="BX732" s="313"/>
      <c r="BY732" s="300"/>
    </row>
    <row r="733" spans="1:77" ht="15" customHeight="1" x14ac:dyDescent="0.2">
      <c r="A733" s="57" t="s">
        <v>6</v>
      </c>
      <c r="B733" s="57"/>
      <c r="C733" s="583" t="s">
        <v>2380</v>
      </c>
      <c r="D733" s="546">
        <v>1.8129999999999999</v>
      </c>
      <c r="E733" s="162" t="s">
        <v>631</v>
      </c>
      <c r="F733" s="358"/>
      <c r="G733" s="65"/>
      <c r="H733" s="73"/>
      <c r="I733" s="90">
        <v>2006</v>
      </c>
      <c r="J733" s="73"/>
      <c r="K733" s="790">
        <v>7.6169999999999996E-3</v>
      </c>
      <c r="L733" s="717"/>
      <c r="M733" s="73"/>
      <c r="N733" s="738"/>
      <c r="O733" s="1041"/>
      <c r="P733" s="73"/>
      <c r="Q733" s="738"/>
      <c r="R733" s="1041"/>
      <c r="S733" s="73"/>
      <c r="T733" s="738"/>
      <c r="U733" s="73"/>
      <c r="V733" s="66"/>
      <c r="W733" s="788">
        <f t="shared" ref="W733" si="367">AA733*(1+AB733)</f>
        <v>5.7889199999999995E-6</v>
      </c>
      <c r="X733" s="789">
        <f t="shared" ref="X733" si="368">AA733*(1+AC733)</f>
        <v>5.7889199999999995E-6</v>
      </c>
      <c r="Y733" s="52">
        <v>2006</v>
      </c>
      <c r="Z733" s="52"/>
      <c r="AA733" s="787">
        <f t="shared" ref="AA733:AA744" si="369">+K733/1000</f>
        <v>7.6169999999999992E-6</v>
      </c>
      <c r="AB733" s="256">
        <v>-0.24</v>
      </c>
      <c r="AC733" s="688">
        <f t="shared" ref="AC733" si="370">AB733</f>
        <v>-0.24</v>
      </c>
      <c r="AD733" s="164"/>
      <c r="AE733" s="164"/>
      <c r="AF733" s="25"/>
      <c r="AG733" s="26"/>
      <c r="AH733" s="275"/>
      <c r="AI733" s="52"/>
      <c r="AJ733" s="35"/>
      <c r="AK733" s="289"/>
      <c r="AL733" s="290"/>
      <c r="AM733" s="211"/>
      <c r="AN733" s="164"/>
      <c r="AO733" s="76"/>
      <c r="AP733" s="44"/>
      <c r="AQ733" s="275"/>
      <c r="AR733" s="52"/>
      <c r="AS733" s="35"/>
      <c r="AT733" s="79"/>
      <c r="AU733" s="212"/>
      <c r="AV733" s="164"/>
      <c r="AW733" s="164"/>
      <c r="AX733" s="76"/>
      <c r="AY733" s="44"/>
      <c r="AZ733" s="275"/>
      <c r="BA733" s="52"/>
      <c r="BB733" s="35"/>
      <c r="BC733" s="79"/>
      <c r="BD733" s="230"/>
      <c r="BE733" s="211"/>
      <c r="BF733" s="164"/>
      <c r="BG733" s="76"/>
      <c r="BH733" s="44"/>
      <c r="BI733" s="275"/>
      <c r="BJ733" s="52"/>
      <c r="BK733" s="35"/>
      <c r="BL733" s="79"/>
      <c r="BM733" s="230"/>
      <c r="BN733" s="211"/>
      <c r="BO733" s="164"/>
      <c r="BP733" s="584"/>
      <c r="BQ733" s="585"/>
      <c r="BR733" s="299"/>
      <c r="BS733" s="52"/>
      <c r="BT733" s="35"/>
      <c r="BU733" s="79"/>
      <c r="BV733" s="212"/>
      <c r="BW733" s="304"/>
      <c r="BX733" s="313"/>
      <c r="BY733" s="300"/>
    </row>
    <row r="734" spans="1:77" ht="15" customHeight="1" x14ac:dyDescent="0.2">
      <c r="A734" s="57" t="s">
        <v>6</v>
      </c>
      <c r="B734" s="57"/>
      <c r="C734" s="583" t="s">
        <v>2376</v>
      </c>
      <c r="D734" s="546">
        <v>5.4080000000000004</v>
      </c>
      <c r="E734" s="162" t="s">
        <v>631</v>
      </c>
      <c r="F734" s="358"/>
      <c r="G734" s="65"/>
      <c r="H734" s="73"/>
      <c r="I734" s="90">
        <v>2006</v>
      </c>
      <c r="J734" s="73"/>
      <c r="K734" s="734">
        <v>2.5623E-2</v>
      </c>
      <c r="L734" s="717"/>
      <c r="M734" s="73"/>
      <c r="N734" s="738"/>
      <c r="O734" s="1041"/>
      <c r="P734" s="73"/>
      <c r="Q734" s="738"/>
      <c r="R734" s="1041"/>
      <c r="S734" s="73"/>
      <c r="T734" s="738"/>
      <c r="U734" s="73"/>
      <c r="V734" s="66"/>
      <c r="W734" s="788">
        <f t="shared" si="320"/>
        <v>1.9473479999999998E-5</v>
      </c>
      <c r="X734" s="789">
        <f t="shared" si="321"/>
        <v>1.9473479999999998E-5</v>
      </c>
      <c r="Y734" s="52">
        <v>2006</v>
      </c>
      <c r="Z734" s="52"/>
      <c r="AA734" s="787">
        <f t="shared" si="369"/>
        <v>2.5622999999999998E-5</v>
      </c>
      <c r="AB734" s="256">
        <v>-0.24</v>
      </c>
      <c r="AC734" s="688">
        <f t="shared" si="322"/>
        <v>-0.24</v>
      </c>
      <c r="AD734" s="164"/>
      <c r="AE734" s="164"/>
      <c r="AF734" s="25"/>
      <c r="AG734" s="26"/>
      <c r="AH734" s="275"/>
      <c r="AI734" s="52"/>
      <c r="AJ734" s="35"/>
      <c r="AK734" s="289"/>
      <c r="AL734" s="290"/>
      <c r="AM734" s="211"/>
      <c r="AN734" s="164"/>
      <c r="AO734" s="76"/>
      <c r="AP734" s="44"/>
      <c r="AQ734" s="275"/>
      <c r="AR734" s="52"/>
      <c r="AS734" s="35"/>
      <c r="AT734" s="79"/>
      <c r="AU734" s="212"/>
      <c r="AV734" s="164"/>
      <c r="AW734" s="164"/>
      <c r="AX734" s="76"/>
      <c r="AY734" s="44"/>
      <c r="AZ734" s="275"/>
      <c r="BA734" s="52"/>
      <c r="BB734" s="35"/>
      <c r="BC734" s="79"/>
      <c r="BD734" s="230"/>
      <c r="BE734" s="211"/>
      <c r="BF734" s="164"/>
      <c r="BG734" s="76"/>
      <c r="BH734" s="44"/>
      <c r="BI734" s="275"/>
      <c r="BJ734" s="52"/>
      <c r="BK734" s="35"/>
      <c r="BL734" s="79"/>
      <c r="BM734" s="230"/>
      <c r="BN734" s="211"/>
      <c r="BO734" s="164"/>
      <c r="BP734" s="584"/>
      <c r="BQ734" s="585"/>
      <c r="BR734" s="299"/>
      <c r="BS734" s="52"/>
      <c r="BT734" s="35"/>
      <c r="BU734" s="79"/>
      <c r="BV734" s="212"/>
      <c r="BW734" s="304"/>
      <c r="BX734" s="313"/>
      <c r="BY734" s="300"/>
    </row>
    <row r="735" spans="1:77" ht="15" customHeight="1" x14ac:dyDescent="0.2">
      <c r="A735" s="57" t="s">
        <v>6</v>
      </c>
      <c r="B735" s="57"/>
      <c r="C735" s="583" t="s">
        <v>2372</v>
      </c>
      <c r="D735" s="546">
        <v>7.3</v>
      </c>
      <c r="E735" s="162" t="s">
        <v>631</v>
      </c>
      <c r="F735" s="358"/>
      <c r="G735" s="65"/>
      <c r="H735" s="73"/>
      <c r="I735" s="90">
        <v>2006</v>
      </c>
      <c r="J735" s="73"/>
      <c r="K735" s="734">
        <v>3.6355999999999999E-2</v>
      </c>
      <c r="L735" s="717"/>
      <c r="M735" s="73"/>
      <c r="N735" s="738"/>
      <c r="O735" s="1041"/>
      <c r="P735" s="73"/>
      <c r="Q735" s="738"/>
      <c r="R735" s="1041"/>
      <c r="S735" s="73"/>
      <c r="T735" s="738"/>
      <c r="U735" s="73"/>
      <c r="V735" s="66"/>
      <c r="W735" s="740">
        <f t="shared" ref="W735" si="371">AA735*(1+AB735)</f>
        <v>2.7630560000000003E-5</v>
      </c>
      <c r="X735" s="741">
        <f t="shared" ref="X735" si="372">AA735*(1+AC735)</f>
        <v>2.7630560000000003E-5</v>
      </c>
      <c r="Y735" s="52">
        <v>2006</v>
      </c>
      <c r="Z735" s="52"/>
      <c r="AA735" s="739">
        <f t="shared" si="369"/>
        <v>3.6356000000000002E-5</v>
      </c>
      <c r="AB735" s="256">
        <v>-0.24</v>
      </c>
      <c r="AC735" s="688">
        <f t="shared" ref="AC735" si="373">AB735</f>
        <v>-0.24</v>
      </c>
      <c r="AD735" s="164"/>
      <c r="AE735" s="164"/>
      <c r="AF735" s="25"/>
      <c r="AG735" s="26"/>
      <c r="AH735" s="275"/>
      <c r="AI735" s="52"/>
      <c r="AJ735" s="35"/>
      <c r="AK735" s="289"/>
      <c r="AL735" s="290"/>
      <c r="AM735" s="211"/>
      <c r="AN735" s="164"/>
      <c r="AO735" s="76"/>
      <c r="AP735" s="44"/>
      <c r="AQ735" s="275"/>
      <c r="AR735" s="52"/>
      <c r="AS735" s="35"/>
      <c r="AT735" s="79"/>
      <c r="AU735" s="212"/>
      <c r="AV735" s="164"/>
      <c r="AW735" s="164"/>
      <c r="AX735" s="76"/>
      <c r="AY735" s="44"/>
      <c r="AZ735" s="275"/>
      <c r="BA735" s="52"/>
      <c r="BB735" s="35"/>
      <c r="BC735" s="79"/>
      <c r="BD735" s="230"/>
      <c r="BE735" s="211"/>
      <c r="BF735" s="164"/>
      <c r="BG735" s="76"/>
      <c r="BH735" s="44"/>
      <c r="BI735" s="275"/>
      <c r="BJ735" s="52"/>
      <c r="BK735" s="35"/>
      <c r="BL735" s="79"/>
      <c r="BM735" s="230"/>
      <c r="BN735" s="211"/>
      <c r="BO735" s="164"/>
      <c r="BP735" s="584"/>
      <c r="BQ735" s="585"/>
      <c r="BR735" s="299"/>
      <c r="BS735" s="52"/>
      <c r="BT735" s="35"/>
      <c r="BU735" s="79"/>
      <c r="BV735" s="212"/>
      <c r="BW735" s="304"/>
      <c r="BX735" s="313"/>
      <c r="BY735" s="300"/>
    </row>
    <row r="736" spans="1:77" ht="15" customHeight="1" x14ac:dyDescent="0.2">
      <c r="A736" s="57" t="s">
        <v>6</v>
      </c>
      <c r="B736" s="57"/>
      <c r="C736" s="583" t="s">
        <v>2873</v>
      </c>
      <c r="D736" s="546">
        <v>8.8729999999999993</v>
      </c>
      <c r="E736" s="162" t="s">
        <v>631</v>
      </c>
      <c r="F736" s="358"/>
      <c r="G736" s="65"/>
      <c r="H736" s="73"/>
      <c r="I736" s="90">
        <v>2006</v>
      </c>
      <c r="J736" s="73"/>
      <c r="K736" s="734">
        <v>4.2021999999999997E-2</v>
      </c>
      <c r="L736" s="717"/>
      <c r="M736" s="73"/>
      <c r="N736" s="738"/>
      <c r="O736" s="1041"/>
      <c r="P736" s="73"/>
      <c r="Q736" s="738"/>
      <c r="R736" s="1041"/>
      <c r="S736" s="73"/>
      <c r="T736" s="738"/>
      <c r="U736" s="73"/>
      <c r="V736" s="66"/>
      <c r="W736" s="740"/>
      <c r="X736" s="741"/>
      <c r="Y736" s="52"/>
      <c r="Z736" s="52"/>
      <c r="AA736" s="739"/>
      <c r="AB736" s="256"/>
      <c r="AC736" s="688"/>
      <c r="AD736" s="164"/>
      <c r="AE736" s="164"/>
      <c r="AF736" s="25"/>
      <c r="AG736" s="26"/>
      <c r="AH736" s="275"/>
      <c r="AI736" s="52"/>
      <c r="AJ736" s="35"/>
      <c r="AK736" s="289"/>
      <c r="AL736" s="290"/>
      <c r="AM736" s="211"/>
      <c r="AN736" s="164"/>
      <c r="AO736" s="740">
        <f t="shared" ref="AO736" si="374">AS736*(1+AT736)</f>
        <v>2.3532320000000003E-5</v>
      </c>
      <c r="AP736" s="741">
        <f t="shared" ref="AP736" si="375">AS736*(1+AU736)</f>
        <v>2.3532320000000003E-5</v>
      </c>
      <c r="AQ736" s="275">
        <v>2006</v>
      </c>
      <c r="AR736" s="52"/>
      <c r="AS736" s="739">
        <f t="shared" ref="AS736:AS741" si="376">+K736/1000</f>
        <v>4.2021999999999998E-5</v>
      </c>
      <c r="AT736" s="79">
        <v>-0.44</v>
      </c>
      <c r="AU736" s="212">
        <f>+AT736</f>
        <v>-0.44</v>
      </c>
      <c r="AV736" s="164"/>
      <c r="AW736" s="164"/>
      <c r="AX736" s="76"/>
      <c r="AY736" s="44"/>
      <c r="AZ736" s="275"/>
      <c r="BA736" s="52"/>
      <c r="BB736" s="35"/>
      <c r="BC736" s="79"/>
      <c r="BD736" s="230"/>
      <c r="BE736" s="211"/>
      <c r="BF736" s="164"/>
      <c r="BG736" s="76"/>
      <c r="BH736" s="44"/>
      <c r="BI736" s="275"/>
      <c r="BJ736" s="52"/>
      <c r="BK736" s="35"/>
      <c r="BL736" s="79"/>
      <c r="BM736" s="230"/>
      <c r="BN736" s="211"/>
      <c r="BO736" s="164"/>
      <c r="BP736" s="584"/>
      <c r="BQ736" s="585"/>
      <c r="BR736" s="299"/>
      <c r="BS736" s="52"/>
      <c r="BT736" s="35"/>
      <c r="BU736" s="79"/>
      <c r="BV736" s="212"/>
      <c r="BW736" s="304"/>
      <c r="BX736" s="313"/>
      <c r="BY736" s="300"/>
    </row>
    <row r="737" spans="1:77" ht="15" customHeight="1" x14ac:dyDescent="0.2">
      <c r="A737" s="57" t="s">
        <v>6</v>
      </c>
      <c r="B737" s="57"/>
      <c r="C737" s="583" t="s">
        <v>2874</v>
      </c>
      <c r="D737" s="546">
        <v>10.263999999999999</v>
      </c>
      <c r="E737" s="162" t="s">
        <v>631</v>
      </c>
      <c r="F737" s="358"/>
      <c r="G737" s="65"/>
      <c r="H737" s="73"/>
      <c r="I737" s="90">
        <v>2006</v>
      </c>
      <c r="J737" s="73"/>
      <c r="K737" s="734">
        <v>4.1467999999999998E-2</v>
      </c>
      <c r="L737" s="717"/>
      <c r="M737" s="73"/>
      <c r="N737" s="738"/>
      <c r="O737" s="1041"/>
      <c r="P737" s="73"/>
      <c r="Q737" s="738"/>
      <c r="R737" s="1041"/>
      <c r="S737" s="73"/>
      <c r="T737" s="738"/>
      <c r="U737" s="73"/>
      <c r="V737" s="66"/>
      <c r="W737" s="740"/>
      <c r="X737" s="741"/>
      <c r="Y737" s="52"/>
      <c r="Z737" s="52"/>
      <c r="AA737" s="739"/>
      <c r="AB737" s="256"/>
      <c r="AC737" s="688"/>
      <c r="AD737" s="164"/>
      <c r="AE737" s="164"/>
      <c r="AF737" s="25"/>
      <c r="AG737" s="26"/>
      <c r="AH737" s="275"/>
      <c r="AI737" s="52"/>
      <c r="AJ737" s="35"/>
      <c r="AK737" s="289"/>
      <c r="AL737" s="290"/>
      <c r="AM737" s="211"/>
      <c r="AN737" s="164"/>
      <c r="AO737" s="740">
        <f t="shared" ref="AO737" si="377">AS737*(1+AT737)</f>
        <v>2.3222080000000001E-5</v>
      </c>
      <c r="AP737" s="741">
        <f t="shared" ref="AP737" si="378">AS737*(1+AU737)</f>
        <v>2.3222080000000001E-5</v>
      </c>
      <c r="AQ737" s="275">
        <v>2006</v>
      </c>
      <c r="AR737" s="52"/>
      <c r="AS737" s="739">
        <f t="shared" si="376"/>
        <v>4.1467999999999997E-5</v>
      </c>
      <c r="AT737" s="79">
        <v>-0.44</v>
      </c>
      <c r="AU737" s="212">
        <f>+AT737</f>
        <v>-0.44</v>
      </c>
      <c r="AV737" s="164"/>
      <c r="AW737" s="164"/>
      <c r="AX737" s="76"/>
      <c r="AY737" s="44"/>
      <c r="AZ737" s="275"/>
      <c r="BA737" s="52"/>
      <c r="BB737" s="35"/>
      <c r="BC737" s="79"/>
      <c r="BD737" s="230"/>
      <c r="BE737" s="211"/>
      <c r="BF737" s="164"/>
      <c r="BG737" s="76"/>
      <c r="BH737" s="44"/>
      <c r="BI737" s="275"/>
      <c r="BJ737" s="52"/>
      <c r="BK737" s="35"/>
      <c r="BL737" s="79"/>
      <c r="BM737" s="230"/>
      <c r="BN737" s="211"/>
      <c r="BO737" s="164"/>
      <c r="BP737" s="584"/>
      <c r="BQ737" s="585"/>
      <c r="BR737" s="299"/>
      <c r="BS737" s="52"/>
      <c r="BT737" s="35"/>
      <c r="BU737" s="79"/>
      <c r="BV737" s="212"/>
      <c r="BW737" s="304"/>
      <c r="BX737" s="313"/>
      <c r="BY737" s="300"/>
    </row>
    <row r="738" spans="1:77" ht="15" customHeight="1" x14ac:dyDescent="0.2">
      <c r="A738" s="57" t="s">
        <v>6</v>
      </c>
      <c r="B738" s="57"/>
      <c r="C738" s="583" t="s">
        <v>2875</v>
      </c>
      <c r="D738" s="546">
        <v>17.093</v>
      </c>
      <c r="E738" s="162" t="s">
        <v>631</v>
      </c>
      <c r="F738" s="358"/>
      <c r="G738" s="65"/>
      <c r="H738" s="73"/>
      <c r="I738" s="90">
        <v>2006</v>
      </c>
      <c r="J738" s="73"/>
      <c r="K738" s="734">
        <v>4.6149000000000003E-2</v>
      </c>
      <c r="L738" s="717"/>
      <c r="M738" s="73"/>
      <c r="N738" s="738"/>
      <c r="O738" s="1041"/>
      <c r="P738" s="73"/>
      <c r="Q738" s="738"/>
      <c r="R738" s="1041"/>
      <c r="S738" s="73"/>
      <c r="T738" s="738"/>
      <c r="U738" s="73"/>
      <c r="V738" s="66"/>
      <c r="W738" s="740"/>
      <c r="X738" s="741"/>
      <c r="Y738" s="52"/>
      <c r="Z738" s="52"/>
      <c r="AA738" s="739"/>
      <c r="AB738" s="256"/>
      <c r="AC738" s="688"/>
      <c r="AD738" s="164"/>
      <c r="AE738" s="164"/>
      <c r="AF738" s="25"/>
      <c r="AG738" s="26"/>
      <c r="AH738" s="275"/>
      <c r="AI738" s="52"/>
      <c r="AJ738" s="35"/>
      <c r="AK738" s="289"/>
      <c r="AL738" s="290"/>
      <c r="AM738" s="211"/>
      <c r="AN738" s="164"/>
      <c r="AO738" s="740">
        <f t="shared" ref="AO738" si="379">AS738*(1+AT738)</f>
        <v>2.3074500000000001E-5</v>
      </c>
      <c r="AP738" s="741">
        <f t="shared" ref="AP738" si="380">AS738*(1+AU738)</f>
        <v>2.3074500000000001E-5</v>
      </c>
      <c r="AQ738" s="275">
        <v>2006</v>
      </c>
      <c r="AR738" s="52"/>
      <c r="AS738" s="739">
        <f t="shared" si="376"/>
        <v>4.6149000000000001E-5</v>
      </c>
      <c r="AT738" s="79">
        <v>-0.5</v>
      </c>
      <c r="AU738" s="212">
        <f>+AT738</f>
        <v>-0.5</v>
      </c>
      <c r="AV738" s="164"/>
      <c r="AW738" s="164"/>
      <c r="AX738" s="76"/>
      <c r="AY738" s="44"/>
      <c r="AZ738" s="275"/>
      <c r="BA738" s="52"/>
      <c r="BB738" s="35"/>
      <c r="BC738" s="79"/>
      <c r="BD738" s="230"/>
      <c r="BE738" s="211"/>
      <c r="BF738" s="164"/>
      <c r="BG738" s="76"/>
      <c r="BH738" s="44"/>
      <c r="BI738" s="275"/>
      <c r="BJ738" s="52"/>
      <c r="BK738" s="35"/>
      <c r="BL738" s="79"/>
      <c r="BM738" s="230"/>
      <c r="BN738" s="211"/>
      <c r="BO738" s="164"/>
      <c r="BP738" s="584"/>
      <c r="BQ738" s="585"/>
      <c r="BR738" s="299"/>
      <c r="BS738" s="52"/>
      <c r="BT738" s="35"/>
      <c r="BU738" s="79"/>
      <c r="BV738" s="212"/>
      <c r="BW738" s="304"/>
      <c r="BX738" s="313"/>
      <c r="BY738" s="300"/>
    </row>
    <row r="739" spans="1:77" ht="15" customHeight="1" x14ac:dyDescent="0.2">
      <c r="A739" s="57" t="s">
        <v>6</v>
      </c>
      <c r="B739" s="57"/>
      <c r="C739" s="583" t="s">
        <v>2468</v>
      </c>
      <c r="D739" s="546">
        <v>19.081</v>
      </c>
      <c r="E739" s="162" t="s">
        <v>631</v>
      </c>
      <c r="F739" s="358"/>
      <c r="G739" s="65"/>
      <c r="H739" s="73"/>
      <c r="I739" s="90">
        <v>2006</v>
      </c>
      <c r="J739" s="73"/>
      <c r="K739" s="734">
        <v>0.11225499999999999</v>
      </c>
      <c r="L739" s="717"/>
      <c r="M739" s="73"/>
      <c r="N739" s="738"/>
      <c r="O739" s="1041"/>
      <c r="P739" s="73"/>
      <c r="Q739" s="738"/>
      <c r="R739" s="1041"/>
      <c r="S739" s="73"/>
      <c r="T739" s="738"/>
      <c r="U739" s="73"/>
      <c r="V739" s="66"/>
      <c r="W739" s="740"/>
      <c r="X739" s="741"/>
      <c r="Y739" s="52"/>
      <c r="Z739" s="52"/>
      <c r="AA739" s="739"/>
      <c r="AB739" s="256"/>
      <c r="AC739" s="688"/>
      <c r="AD739" s="164"/>
      <c r="AE739" s="164"/>
      <c r="AF739" s="25"/>
      <c r="AG739" s="26"/>
      <c r="AH739" s="275"/>
      <c r="AI739" s="52"/>
      <c r="AJ739" s="35"/>
      <c r="AK739" s="289"/>
      <c r="AL739" s="290"/>
      <c r="AM739" s="211"/>
      <c r="AN739" s="164"/>
      <c r="AO739" s="740">
        <f t="shared" ref="AO739" si="381">AS739*(1+AT739)</f>
        <v>6.0617700000000001E-5</v>
      </c>
      <c r="AP739" s="741">
        <f t="shared" ref="AP739" si="382">AS739*(1+AU739)</f>
        <v>6.0617700000000001E-5</v>
      </c>
      <c r="AQ739" s="275">
        <v>2006</v>
      </c>
      <c r="AR739" s="52"/>
      <c r="AS739" s="739">
        <f t="shared" si="376"/>
        <v>1.1225499999999999E-4</v>
      </c>
      <c r="AT739" s="79">
        <v>-0.46</v>
      </c>
      <c r="AU739" s="212">
        <f>+AT739</f>
        <v>-0.46</v>
      </c>
      <c r="AV739" s="164"/>
      <c r="AW739" s="164"/>
      <c r="AX739" s="76"/>
      <c r="AY739" s="44"/>
      <c r="AZ739" s="275"/>
      <c r="BA739" s="52"/>
      <c r="BB739" s="35"/>
      <c r="BC739" s="79"/>
      <c r="BD739" s="230"/>
      <c r="BE739" s="211"/>
      <c r="BF739" s="164"/>
      <c r="BG739" s="76"/>
      <c r="BH739" s="44"/>
      <c r="BI739" s="275"/>
      <c r="BJ739" s="52"/>
      <c r="BK739" s="35"/>
      <c r="BL739" s="79"/>
      <c r="BM739" s="230"/>
      <c r="BN739" s="211"/>
      <c r="BO739" s="164"/>
      <c r="BP739" s="584"/>
      <c r="BQ739" s="585"/>
      <c r="BR739" s="299"/>
      <c r="BS739" s="52"/>
      <c r="BT739" s="35"/>
      <c r="BU739" s="79"/>
      <c r="BV739" s="212"/>
      <c r="BW739" s="304"/>
      <c r="BX739" s="313"/>
      <c r="BY739" s="300"/>
    </row>
    <row r="740" spans="1:77" ht="15" customHeight="1" x14ac:dyDescent="0.2">
      <c r="A740" s="57" t="s">
        <v>6</v>
      </c>
      <c r="B740" s="57"/>
      <c r="C740" s="583" t="s">
        <v>2434</v>
      </c>
      <c r="D740" s="546">
        <v>6.7060000000000004</v>
      </c>
      <c r="E740" s="162" t="s">
        <v>631</v>
      </c>
      <c r="F740" s="358"/>
      <c r="G740" s="65"/>
      <c r="H740" s="73"/>
      <c r="I740" s="90">
        <v>2006</v>
      </c>
      <c r="J740" s="73"/>
      <c r="K740" s="734">
        <v>3.2680000000000001E-2</v>
      </c>
      <c r="L740" s="717"/>
      <c r="M740" s="73"/>
      <c r="N740" s="738"/>
      <c r="O740" s="1041"/>
      <c r="P740" s="73"/>
      <c r="Q740" s="738"/>
      <c r="R740" s="1041"/>
      <c r="S740" s="73"/>
      <c r="T740" s="738"/>
      <c r="U740" s="73"/>
      <c r="V740" s="66"/>
      <c r="W740" s="740"/>
      <c r="X740" s="741"/>
      <c r="Y740" s="52"/>
      <c r="Z740" s="52"/>
      <c r="AA740" s="739"/>
      <c r="AB740" s="256"/>
      <c r="AC740" s="688"/>
      <c r="AD740" s="164"/>
      <c r="AE740" s="164"/>
      <c r="AF740" s="25"/>
      <c r="AG740" s="26"/>
      <c r="AH740" s="275"/>
      <c r="AI740" s="52"/>
      <c r="AJ740" s="35"/>
      <c r="AK740" s="289"/>
      <c r="AL740" s="290"/>
      <c r="AM740" s="211"/>
      <c r="AN740" s="164"/>
      <c r="AO740" s="740">
        <f t="shared" ref="AO740" si="383">AS740*(1+AT740)</f>
        <v>1.9607999999999999E-5</v>
      </c>
      <c r="AP740" s="741">
        <f t="shared" ref="AP740" si="384">AS740*(1+AU740)</f>
        <v>1.9607999999999999E-5</v>
      </c>
      <c r="AQ740" s="275">
        <v>2006</v>
      </c>
      <c r="AR740" s="52"/>
      <c r="AS740" s="739">
        <f t="shared" si="376"/>
        <v>3.2679999999999999E-5</v>
      </c>
      <c r="AT740" s="79">
        <v>-0.4</v>
      </c>
      <c r="AU740" s="212">
        <f>AT740</f>
        <v>-0.4</v>
      </c>
      <c r="AV740" s="164"/>
      <c r="AW740" s="164"/>
      <c r="AX740" s="76"/>
      <c r="AY740" s="44"/>
      <c r="AZ740" s="275"/>
      <c r="BA740" s="52"/>
      <c r="BB740" s="35"/>
      <c r="BC740" s="79"/>
      <c r="BD740" s="230"/>
      <c r="BE740" s="211"/>
      <c r="BF740" s="164"/>
      <c r="BG740" s="76"/>
      <c r="BH740" s="44"/>
      <c r="BI740" s="275"/>
      <c r="BJ740" s="52"/>
      <c r="BK740" s="35"/>
      <c r="BL740" s="79"/>
      <c r="BM740" s="230"/>
      <c r="BN740" s="211"/>
      <c r="BO740" s="164"/>
      <c r="BP740" s="584"/>
      <c r="BQ740" s="585"/>
      <c r="BR740" s="299"/>
      <c r="BS740" s="52"/>
      <c r="BT740" s="35"/>
      <c r="BU740" s="79"/>
      <c r="BV740" s="212"/>
      <c r="BW740" s="304"/>
      <c r="BX740" s="313"/>
      <c r="BY740" s="300"/>
    </row>
    <row r="741" spans="1:77" ht="15" customHeight="1" x14ac:dyDescent="0.2">
      <c r="A741" s="57" t="s">
        <v>6</v>
      </c>
      <c r="B741" s="57"/>
      <c r="C741" s="583" t="s">
        <v>2879</v>
      </c>
      <c r="D741" s="546">
        <v>7.1719999999999997</v>
      </c>
      <c r="E741" s="162" t="s">
        <v>631</v>
      </c>
      <c r="F741" s="358"/>
      <c r="G741" s="65"/>
      <c r="H741" s="73"/>
      <c r="I741" s="90">
        <v>2006</v>
      </c>
      <c r="J741" s="73"/>
      <c r="K741" s="734">
        <v>5.2595999999999997E-2</v>
      </c>
      <c r="L741" s="717"/>
      <c r="M741" s="73"/>
      <c r="N741" s="738"/>
      <c r="O741" s="1041"/>
      <c r="P741" s="73"/>
      <c r="Q741" s="738"/>
      <c r="R741" s="1041"/>
      <c r="S741" s="73"/>
      <c r="T741" s="738"/>
      <c r="U741" s="73"/>
      <c r="V741" s="66"/>
      <c r="W741" s="740"/>
      <c r="X741" s="741"/>
      <c r="Y741" s="52"/>
      <c r="Z741" s="52"/>
      <c r="AA741" s="739"/>
      <c r="AB741" s="256"/>
      <c r="AC741" s="688"/>
      <c r="AD741" s="164"/>
      <c r="AE741" s="164"/>
      <c r="AF741" s="25"/>
      <c r="AG741" s="26"/>
      <c r="AH741" s="275"/>
      <c r="AI741" s="52"/>
      <c r="AJ741" s="35"/>
      <c r="AK741" s="289"/>
      <c r="AL741" s="290"/>
      <c r="AM741" s="211"/>
      <c r="AN741" s="164"/>
      <c r="AO741" s="740">
        <f t="shared" ref="AO741" si="385">AS741*(1+AT741)</f>
        <v>2.5772039999999996E-5</v>
      </c>
      <c r="AP741" s="741">
        <f t="shared" ref="AP741" si="386">AS741*(1+AU741)</f>
        <v>2.5772039999999996E-5</v>
      </c>
      <c r="AQ741" s="275">
        <v>2006</v>
      </c>
      <c r="AR741" s="52"/>
      <c r="AS741" s="739">
        <f t="shared" si="376"/>
        <v>5.2595999999999996E-5</v>
      </c>
      <c r="AT741" s="79">
        <v>-0.51</v>
      </c>
      <c r="AU741" s="212">
        <f>AT741</f>
        <v>-0.51</v>
      </c>
      <c r="AV741" s="164"/>
      <c r="AW741" s="164"/>
      <c r="AX741" s="76"/>
      <c r="AY741" s="44"/>
      <c r="AZ741" s="275"/>
      <c r="BA741" s="52"/>
      <c r="BB741" s="35"/>
      <c r="BC741" s="79"/>
      <c r="BD741" s="230"/>
      <c r="BE741" s="211"/>
      <c r="BF741" s="164"/>
      <c r="BG741" s="76"/>
      <c r="BH741" s="44"/>
      <c r="BI741" s="275"/>
      <c r="BJ741" s="52"/>
      <c r="BK741" s="35"/>
      <c r="BL741" s="79"/>
      <c r="BM741" s="230"/>
      <c r="BN741" s="211"/>
      <c r="BO741" s="164"/>
      <c r="BP741" s="584"/>
      <c r="BQ741" s="585"/>
      <c r="BR741" s="299"/>
      <c r="BS741" s="52"/>
      <c r="BT741" s="35"/>
      <c r="BU741" s="79"/>
      <c r="BV741" s="212"/>
      <c r="BW741" s="304"/>
      <c r="BX741" s="313"/>
      <c r="BY741" s="300"/>
    </row>
    <row r="742" spans="1:77" ht="15" customHeight="1" x14ac:dyDescent="0.2">
      <c r="A742" s="57" t="s">
        <v>6</v>
      </c>
      <c r="B742" s="57"/>
      <c r="C742" s="583" t="s">
        <v>2377</v>
      </c>
      <c r="D742" s="546">
        <v>2.7</v>
      </c>
      <c r="E742" s="162" t="s">
        <v>631</v>
      </c>
      <c r="F742" s="358"/>
      <c r="G742" s="65"/>
      <c r="H742" s="73"/>
      <c r="I742" s="90">
        <v>2006</v>
      </c>
      <c r="J742" s="73"/>
      <c r="K742" s="790">
        <v>1.4853E-2</v>
      </c>
      <c r="L742" s="717"/>
      <c r="M742" s="73"/>
      <c r="N742" s="738"/>
      <c r="O742" s="1041"/>
      <c r="P742" s="73"/>
      <c r="Q742" s="738"/>
      <c r="R742" s="1041"/>
      <c r="S742" s="73"/>
      <c r="T742" s="738"/>
      <c r="U742" s="73"/>
      <c r="V742" s="66"/>
      <c r="W742" s="788">
        <f t="shared" ref="W742" si="387">AA742*(1+AB742)</f>
        <v>1.099122E-5</v>
      </c>
      <c r="X742" s="789">
        <f t="shared" ref="X742" si="388">AA742*(1+AC742)</f>
        <v>1.099122E-5</v>
      </c>
      <c r="Y742" s="52">
        <v>2006</v>
      </c>
      <c r="Z742" s="52"/>
      <c r="AA742" s="787">
        <f t="shared" si="369"/>
        <v>1.4853E-5</v>
      </c>
      <c r="AB742" s="256">
        <v>-0.26</v>
      </c>
      <c r="AC742" s="688">
        <f t="shared" ref="AC742" si="389">AB742</f>
        <v>-0.26</v>
      </c>
      <c r="AD742" s="164"/>
      <c r="AE742" s="164"/>
      <c r="AF742" s="25"/>
      <c r="AG742" s="26"/>
      <c r="AH742" s="275"/>
      <c r="AI742" s="52"/>
      <c r="AJ742" s="35"/>
      <c r="AK742" s="289"/>
      <c r="AL742" s="290"/>
      <c r="AM742" s="211"/>
      <c r="AN742" s="164"/>
      <c r="AO742" s="76"/>
      <c r="AP742" s="44"/>
      <c r="AQ742" s="275"/>
      <c r="AR742" s="52"/>
      <c r="AS742" s="35"/>
      <c r="AT742" s="79"/>
      <c r="AU742" s="212"/>
      <c r="AV742" s="164"/>
      <c r="AW742" s="164"/>
      <c r="AX742" s="76"/>
      <c r="AY742" s="44"/>
      <c r="AZ742" s="275"/>
      <c r="BA742" s="52"/>
      <c r="BB742" s="35"/>
      <c r="BC742" s="79"/>
      <c r="BD742" s="230"/>
      <c r="BE742" s="211"/>
      <c r="BF742" s="164"/>
      <c r="BG742" s="76"/>
      <c r="BH742" s="44"/>
      <c r="BI742" s="275"/>
      <c r="BJ742" s="52"/>
      <c r="BK742" s="35"/>
      <c r="BL742" s="79"/>
      <c r="BM742" s="230"/>
      <c r="BN742" s="211"/>
      <c r="BO742" s="164"/>
      <c r="BP742" s="584"/>
      <c r="BQ742" s="585"/>
      <c r="BR742" s="299"/>
      <c r="BS742" s="52"/>
      <c r="BT742" s="35"/>
      <c r="BU742" s="79"/>
      <c r="BV742" s="212"/>
      <c r="BW742" s="304"/>
      <c r="BX742" s="313"/>
      <c r="BY742" s="300"/>
    </row>
    <row r="743" spans="1:77" ht="15" customHeight="1" x14ac:dyDescent="0.2">
      <c r="A743" s="57" t="s">
        <v>6</v>
      </c>
      <c r="B743" s="57"/>
      <c r="C743" s="583" t="s">
        <v>2374</v>
      </c>
      <c r="D743" s="546">
        <v>17.558</v>
      </c>
      <c r="E743" s="162" t="s">
        <v>631</v>
      </c>
      <c r="F743" s="358"/>
      <c r="G743" s="65"/>
      <c r="H743" s="73"/>
      <c r="I743" s="90">
        <v>2006</v>
      </c>
      <c r="J743" s="73"/>
      <c r="K743" s="734">
        <v>0.110566</v>
      </c>
      <c r="L743" s="717"/>
      <c r="M743" s="73"/>
      <c r="N743" s="738"/>
      <c r="O743" s="1041"/>
      <c r="P743" s="73"/>
      <c r="Q743" s="738"/>
      <c r="R743" s="1041"/>
      <c r="S743" s="73"/>
      <c r="T743" s="738"/>
      <c r="U743" s="73"/>
      <c r="V743" s="66"/>
      <c r="W743" s="740">
        <f t="shared" ref="W743" si="390">AA743*(1+AB743)</f>
        <v>7.9607519999999994E-5</v>
      </c>
      <c r="X743" s="741">
        <f t="shared" ref="X743" si="391">AA743*(1+AC743)</f>
        <v>7.9607519999999994E-5</v>
      </c>
      <c r="Y743" s="52">
        <v>2006</v>
      </c>
      <c r="Z743" s="52"/>
      <c r="AA743" s="739">
        <f t="shared" si="369"/>
        <v>1.10566E-4</v>
      </c>
      <c r="AB743" s="256">
        <v>-0.28000000000000003</v>
      </c>
      <c r="AC743" s="688">
        <f t="shared" ref="AC743" si="392">AB743</f>
        <v>-0.28000000000000003</v>
      </c>
      <c r="AD743" s="164"/>
      <c r="AE743" s="164"/>
      <c r="AF743" s="25"/>
      <c r="AG743" s="26"/>
      <c r="AH743" s="275"/>
      <c r="AI743" s="52"/>
      <c r="AJ743" s="35"/>
      <c r="AK743" s="289"/>
      <c r="AL743" s="290"/>
      <c r="AM743" s="211"/>
      <c r="AN743" s="164"/>
      <c r="AO743" s="76"/>
      <c r="AP743" s="44"/>
      <c r="AQ743" s="275"/>
      <c r="AR743" s="52"/>
      <c r="AS743" s="35"/>
      <c r="AT743" s="79"/>
      <c r="AU743" s="212"/>
      <c r="AV743" s="164"/>
      <c r="AW743" s="164"/>
      <c r="AX743" s="76"/>
      <c r="AY743" s="44"/>
      <c r="AZ743" s="275"/>
      <c r="BA743" s="52"/>
      <c r="BB743" s="35"/>
      <c r="BC743" s="79"/>
      <c r="BD743" s="230"/>
      <c r="BE743" s="211"/>
      <c r="BF743" s="164"/>
      <c r="BG743" s="76"/>
      <c r="BH743" s="44"/>
      <c r="BI743" s="275"/>
      <c r="BJ743" s="52"/>
      <c r="BK743" s="35"/>
      <c r="BL743" s="79"/>
      <c r="BM743" s="230"/>
      <c r="BN743" s="211"/>
      <c r="BO743" s="164"/>
      <c r="BP743" s="584"/>
      <c r="BQ743" s="585"/>
      <c r="BR743" s="299"/>
      <c r="BS743" s="52"/>
      <c r="BT743" s="35"/>
      <c r="BU743" s="79"/>
      <c r="BV743" s="212"/>
      <c r="BW743" s="304"/>
      <c r="BX743" s="313"/>
      <c r="BY743" s="300"/>
    </row>
    <row r="744" spans="1:77" ht="15" customHeight="1" x14ac:dyDescent="0.2">
      <c r="A744" s="57" t="s">
        <v>6</v>
      </c>
      <c r="B744" s="57"/>
      <c r="C744" s="583" t="s">
        <v>756</v>
      </c>
      <c r="D744" s="546">
        <v>13.288</v>
      </c>
      <c r="E744" s="162" t="s">
        <v>631</v>
      </c>
      <c r="F744" s="358"/>
      <c r="G744" s="65"/>
      <c r="H744" s="73"/>
      <c r="I744" s="90">
        <v>2006</v>
      </c>
      <c r="J744" s="73"/>
      <c r="K744" s="734">
        <v>8.2179000000000002E-2</v>
      </c>
      <c r="L744" s="717"/>
      <c r="M744" s="73"/>
      <c r="N744" s="359"/>
      <c r="O744" s="1041"/>
      <c r="P744" s="73"/>
      <c r="Q744" s="359"/>
      <c r="R744" s="1041"/>
      <c r="S744" s="73"/>
      <c r="T744" s="359"/>
      <c r="U744" s="73"/>
      <c r="V744" s="66"/>
      <c r="W744" s="740">
        <f t="shared" si="320"/>
        <v>6.1634250000000004E-5</v>
      </c>
      <c r="X744" s="741">
        <f t="shared" si="321"/>
        <v>6.1634250000000004E-5</v>
      </c>
      <c r="Y744" s="52">
        <v>2006</v>
      </c>
      <c r="Z744" s="52"/>
      <c r="AA744" s="739">
        <f t="shared" si="369"/>
        <v>8.2179E-5</v>
      </c>
      <c r="AB744" s="256">
        <v>-0.25</v>
      </c>
      <c r="AC744" s="688">
        <f t="shared" si="322"/>
        <v>-0.25</v>
      </c>
      <c r="AD744" s="164"/>
      <c r="AE744" s="164"/>
      <c r="AF744" s="25"/>
      <c r="AG744" s="26"/>
      <c r="AH744" s="275"/>
      <c r="AI744" s="52"/>
      <c r="AJ744" s="35"/>
      <c r="AK744" s="289"/>
      <c r="AL744" s="290"/>
      <c r="AM744" s="211"/>
      <c r="AN744" s="164"/>
      <c r="AO744" s="76"/>
      <c r="AP744" s="44"/>
      <c r="AQ744" s="275"/>
      <c r="AR744" s="52"/>
      <c r="AS744" s="35"/>
      <c r="AT744" s="79"/>
      <c r="AU744" s="212"/>
      <c r="AV744" s="164"/>
      <c r="AW744" s="164"/>
      <c r="AX744" s="76"/>
      <c r="AY744" s="44"/>
      <c r="AZ744" s="275"/>
      <c r="BA744" s="52"/>
      <c r="BB744" s="35"/>
      <c r="BC744" s="79"/>
      <c r="BD744" s="230"/>
      <c r="BE744" s="211"/>
      <c r="BF744" s="164"/>
      <c r="BG744" s="76"/>
      <c r="BH744" s="44"/>
      <c r="BI744" s="275"/>
      <c r="BJ744" s="52"/>
      <c r="BK744" s="35"/>
      <c r="BL744" s="79"/>
      <c r="BM744" s="230"/>
      <c r="BN744" s="211"/>
      <c r="BO744" s="164"/>
      <c r="BP744" s="584"/>
      <c r="BQ744" s="585"/>
      <c r="BR744" s="299"/>
      <c r="BS744" s="52"/>
      <c r="BT744" s="35"/>
      <c r="BU744" s="79"/>
      <c r="BV744" s="212"/>
      <c r="BW744" s="304"/>
      <c r="BX744" s="313"/>
      <c r="BY744" s="300"/>
    </row>
    <row r="745" spans="1:77" ht="15" customHeight="1" x14ac:dyDescent="0.2">
      <c r="A745" s="57" t="s">
        <v>6</v>
      </c>
      <c r="B745" s="57"/>
      <c r="C745" s="583" t="s">
        <v>2880</v>
      </c>
      <c r="D745" s="546">
        <v>5.65</v>
      </c>
      <c r="E745" s="162" t="s">
        <v>631</v>
      </c>
      <c r="F745" s="358"/>
      <c r="G745" s="65"/>
      <c r="H745" s="73"/>
      <c r="I745" s="90">
        <v>2006</v>
      </c>
      <c r="J745" s="73"/>
      <c r="K745" s="734">
        <v>2.6103999999999999E-2</v>
      </c>
      <c r="L745" s="717"/>
      <c r="M745" s="73"/>
      <c r="N745" s="359"/>
      <c r="O745" s="1041"/>
      <c r="P745" s="73"/>
      <c r="Q745" s="359"/>
      <c r="R745" s="1041"/>
      <c r="S745" s="73"/>
      <c r="T745" s="359"/>
      <c r="U745" s="73"/>
      <c r="V745" s="66"/>
      <c r="W745" s="740"/>
      <c r="X745" s="741"/>
      <c r="Y745" s="52"/>
      <c r="Z745" s="52"/>
      <c r="AA745" s="739"/>
      <c r="AB745" s="256"/>
      <c r="AC745" s="688"/>
      <c r="AD745" s="164"/>
      <c r="AE745" s="164"/>
      <c r="AF745" s="25"/>
      <c r="AG745" s="26"/>
      <c r="AH745" s="275"/>
      <c r="AI745" s="52"/>
      <c r="AJ745" s="35"/>
      <c r="AK745" s="289"/>
      <c r="AL745" s="290"/>
      <c r="AM745" s="211"/>
      <c r="AN745" s="164"/>
      <c r="AO745" s="788">
        <f t="shared" ref="AO745" si="393">AS745*(1+AT745)</f>
        <v>1.43572E-5</v>
      </c>
      <c r="AP745" s="789">
        <f t="shared" ref="AP745" si="394">AS745*(1+AU745)</f>
        <v>1.43572E-5</v>
      </c>
      <c r="AQ745" s="275">
        <v>2006</v>
      </c>
      <c r="AR745" s="52"/>
      <c r="AS745" s="787">
        <f>+K745/1000</f>
        <v>2.6103999999999999E-5</v>
      </c>
      <c r="AT745" s="79">
        <v>-0.45</v>
      </c>
      <c r="AU745" s="212">
        <f>AT745</f>
        <v>-0.45</v>
      </c>
      <c r="AV745" s="164"/>
      <c r="AW745" s="164"/>
      <c r="AX745" s="76"/>
      <c r="AY745" s="44"/>
      <c r="AZ745" s="275"/>
      <c r="BA745" s="52"/>
      <c r="BB745" s="35"/>
      <c r="BC745" s="79"/>
      <c r="BD745" s="230"/>
      <c r="BE745" s="211"/>
      <c r="BF745" s="164"/>
      <c r="BG745" s="76"/>
      <c r="BH745" s="44"/>
      <c r="BI745" s="275"/>
      <c r="BJ745" s="52"/>
      <c r="BK745" s="35"/>
      <c r="BL745" s="79"/>
      <c r="BM745" s="230"/>
      <c r="BN745" s="211"/>
      <c r="BO745" s="164"/>
      <c r="BP745" s="584"/>
      <c r="BQ745" s="585"/>
      <c r="BR745" s="299"/>
      <c r="BS745" s="52"/>
      <c r="BT745" s="35"/>
      <c r="BU745" s="79"/>
      <c r="BV745" s="212"/>
      <c r="BW745" s="304"/>
      <c r="BX745" s="313"/>
      <c r="BY745" s="300"/>
    </row>
    <row r="746" spans="1:77" ht="15" customHeight="1" x14ac:dyDescent="0.2">
      <c r="A746" s="57" t="s">
        <v>6</v>
      </c>
      <c r="B746" s="57"/>
      <c r="C746" s="583" t="s">
        <v>2881</v>
      </c>
      <c r="D746" s="546">
        <v>7.4630000000000001</v>
      </c>
      <c r="E746" s="162" t="s">
        <v>631</v>
      </c>
      <c r="F746" s="358"/>
      <c r="G746" s="65"/>
      <c r="H746" s="73"/>
      <c r="I746" s="90">
        <v>2006</v>
      </c>
      <c r="J746" s="73"/>
      <c r="K746" s="734">
        <v>4.4554999999999997E-2</v>
      </c>
      <c r="L746" s="717"/>
      <c r="M746" s="73"/>
      <c r="N746" s="359"/>
      <c r="O746" s="1041"/>
      <c r="P746" s="73"/>
      <c r="Q746" s="359"/>
      <c r="R746" s="1041"/>
      <c r="S746" s="73"/>
      <c r="T746" s="359"/>
      <c r="U746" s="73"/>
      <c r="V746" s="66"/>
      <c r="W746" s="740"/>
      <c r="X746" s="741"/>
      <c r="Y746" s="52"/>
      <c r="Z746" s="52"/>
      <c r="AA746" s="739"/>
      <c r="AB746" s="256"/>
      <c r="AC746" s="688"/>
      <c r="AD746" s="164"/>
      <c r="AE746" s="164"/>
      <c r="AF746" s="25"/>
      <c r="AG746" s="26"/>
      <c r="AH746" s="275"/>
      <c r="AI746" s="52"/>
      <c r="AJ746" s="35"/>
      <c r="AK746" s="289"/>
      <c r="AL746" s="290"/>
      <c r="AM746" s="211"/>
      <c r="AN746" s="164"/>
      <c r="AO746" s="788">
        <f t="shared" ref="AO746" si="395">AS746*(1+AT746)</f>
        <v>1.648535E-5</v>
      </c>
      <c r="AP746" s="789">
        <f t="shared" ref="AP746" si="396">AS746*(1+AU746)</f>
        <v>1.648535E-5</v>
      </c>
      <c r="AQ746" s="275">
        <v>2006</v>
      </c>
      <c r="AR746" s="52"/>
      <c r="AS746" s="787">
        <f>+K746/1000</f>
        <v>4.4554999999999996E-5</v>
      </c>
      <c r="AT746" s="79">
        <v>-0.63</v>
      </c>
      <c r="AU746" s="212">
        <f>AT746</f>
        <v>-0.63</v>
      </c>
      <c r="AV746" s="164"/>
      <c r="AW746" s="164"/>
      <c r="AX746" s="76"/>
      <c r="AY746" s="44"/>
      <c r="AZ746" s="275"/>
      <c r="BA746" s="52"/>
      <c r="BB746" s="35"/>
      <c r="BC746" s="79"/>
      <c r="BD746" s="230"/>
      <c r="BE746" s="211"/>
      <c r="BF746" s="164"/>
      <c r="BG746" s="76"/>
      <c r="BH746" s="44"/>
      <c r="BI746" s="275"/>
      <c r="BJ746" s="52"/>
      <c r="BK746" s="35"/>
      <c r="BL746" s="79"/>
      <c r="BM746" s="230"/>
      <c r="BN746" s="211"/>
      <c r="BO746" s="164"/>
      <c r="BP746" s="584"/>
      <c r="BQ746" s="585"/>
      <c r="BR746" s="299"/>
      <c r="BS746" s="52"/>
      <c r="BT746" s="35"/>
      <c r="BU746" s="79"/>
      <c r="BV746" s="212"/>
      <c r="BW746" s="304"/>
      <c r="BX746" s="313"/>
      <c r="BY746" s="300"/>
    </row>
    <row r="747" spans="1:77" ht="15" customHeight="1" x14ac:dyDescent="0.2">
      <c r="A747" s="57" t="s">
        <v>6</v>
      </c>
      <c r="B747" s="57"/>
      <c r="C747" s="583" t="s">
        <v>2375</v>
      </c>
      <c r="D747" s="546">
        <v>7.5350000000000001</v>
      </c>
      <c r="E747" s="162" t="s">
        <v>631</v>
      </c>
      <c r="F747" s="358"/>
      <c r="G747" s="65"/>
      <c r="H747" s="73"/>
      <c r="I747" s="90"/>
      <c r="J747" s="73"/>
      <c r="K747" s="734"/>
      <c r="L747" s="717">
        <v>2011</v>
      </c>
      <c r="M747" s="73"/>
      <c r="N747" s="738">
        <v>2.4569000000000001E-2</v>
      </c>
      <c r="O747" s="1041"/>
      <c r="P747" s="73"/>
      <c r="Q747" s="359"/>
      <c r="R747" s="1041"/>
      <c r="S747" s="73"/>
      <c r="T747" s="359"/>
      <c r="U747" s="73"/>
      <c r="V747" s="66"/>
      <c r="W747" s="788">
        <f t="shared" ref="W747" si="397">AA747*(1+AB747)</f>
        <v>1.768968E-5</v>
      </c>
      <c r="X747" s="789">
        <f t="shared" ref="X747" si="398">AA747*(1+AC747)</f>
        <v>1.768968E-5</v>
      </c>
      <c r="Y747" s="52">
        <v>2011</v>
      </c>
      <c r="Z747" s="52"/>
      <c r="AA747" s="787">
        <f>+N747/1000</f>
        <v>2.4569000000000001E-5</v>
      </c>
      <c r="AB747" s="256">
        <v>-0.28000000000000003</v>
      </c>
      <c r="AC747" s="688">
        <f t="shared" ref="AC747" si="399">AB747</f>
        <v>-0.28000000000000003</v>
      </c>
      <c r="AD747" s="164"/>
      <c r="AE747" s="164"/>
      <c r="AF747" s="25"/>
      <c r="AG747" s="26"/>
      <c r="AH747" s="275"/>
      <c r="AI747" s="52"/>
      <c r="AJ747" s="35"/>
      <c r="AK747" s="289"/>
      <c r="AL747" s="290"/>
      <c r="AM747" s="211"/>
      <c r="AN747" s="164"/>
      <c r="AO747" s="76"/>
      <c r="AP747" s="44"/>
      <c r="AQ747" s="275"/>
      <c r="AR747" s="52"/>
      <c r="AS747" s="35"/>
      <c r="AT747" s="79"/>
      <c r="AU747" s="212"/>
      <c r="AV747" s="164"/>
      <c r="AW747" s="164"/>
      <c r="AX747" s="76"/>
      <c r="AY747" s="44"/>
      <c r="AZ747" s="275"/>
      <c r="BA747" s="52"/>
      <c r="BB747" s="35"/>
      <c r="BC747" s="79"/>
      <c r="BD747" s="230"/>
      <c r="BE747" s="211"/>
      <c r="BF747" s="164"/>
      <c r="BG747" s="76"/>
      <c r="BH747" s="44"/>
      <c r="BI747" s="275"/>
      <c r="BJ747" s="52"/>
      <c r="BK747" s="35"/>
      <c r="BL747" s="79"/>
      <c r="BM747" s="230"/>
      <c r="BN747" s="211"/>
      <c r="BO747" s="164"/>
      <c r="BP747" s="584"/>
      <c r="BQ747" s="585"/>
      <c r="BR747" s="299"/>
      <c r="BS747" s="52"/>
      <c r="BT747" s="35"/>
      <c r="BU747" s="79"/>
      <c r="BV747" s="212"/>
      <c r="BW747" s="304"/>
      <c r="BX747" s="313"/>
      <c r="BY747" s="300"/>
    </row>
    <row r="748" spans="1:77" ht="15" customHeight="1" x14ac:dyDescent="0.2">
      <c r="A748" s="57" t="s">
        <v>8</v>
      </c>
      <c r="B748" s="583" t="s">
        <v>1606</v>
      </c>
      <c r="C748" s="57"/>
      <c r="D748" s="546">
        <v>7389.1750000000002</v>
      </c>
      <c r="E748" s="1101" t="s">
        <v>2895</v>
      </c>
      <c r="F748" s="729"/>
      <c r="G748" s="730">
        <v>104.06399999999999</v>
      </c>
      <c r="H748" s="723">
        <v>116.754</v>
      </c>
      <c r="I748" s="1282"/>
      <c r="J748" s="1283">
        <v>51.926000000000002</v>
      </c>
      <c r="K748" s="1283">
        <v>63.906999999999996</v>
      </c>
      <c r="L748" s="1282"/>
      <c r="M748" s="1283">
        <v>50.722000000000001</v>
      </c>
      <c r="N748" s="1283">
        <v>60.55</v>
      </c>
      <c r="O748" s="1284"/>
      <c r="P748" s="1283">
        <v>53.789000000000001</v>
      </c>
      <c r="Q748" s="796">
        <v>61.709000000000003</v>
      </c>
      <c r="R748" s="1284">
        <v>2017</v>
      </c>
      <c r="S748" s="1283">
        <v>53.326999999999998</v>
      </c>
      <c r="T748" s="796">
        <v>61.366999999999997</v>
      </c>
      <c r="U748" s="73"/>
      <c r="V748" s="66"/>
      <c r="W748" s="592"/>
      <c r="X748" s="593"/>
      <c r="Y748" s="52">
        <v>1990</v>
      </c>
      <c r="Z748" s="52"/>
      <c r="AA748" s="596"/>
      <c r="AB748" s="824">
        <v>-0.2</v>
      </c>
      <c r="AC748" s="825">
        <v>-0.3</v>
      </c>
      <c r="AD748" s="164"/>
      <c r="AE748" s="164"/>
      <c r="AF748" s="25"/>
      <c r="AG748" s="26"/>
      <c r="AH748" s="275"/>
      <c r="AI748" s="52"/>
      <c r="AJ748" s="35"/>
      <c r="AK748" s="289"/>
      <c r="AL748" s="290"/>
      <c r="AM748" s="211"/>
      <c r="AN748" s="164"/>
      <c r="AO748" s="76"/>
      <c r="AP748" s="44"/>
      <c r="AQ748" s="275"/>
      <c r="AR748" s="52"/>
      <c r="AS748" s="35"/>
      <c r="AT748" s="840">
        <v>0.55000000000000004</v>
      </c>
      <c r="AU748" s="688">
        <v>0.55000000000000004</v>
      </c>
      <c r="AV748" s="164"/>
      <c r="AW748" s="164"/>
      <c r="AX748" s="76"/>
      <c r="AY748" s="44"/>
      <c r="AZ748" s="275"/>
      <c r="BA748" s="52"/>
      <c r="BB748" s="35"/>
      <c r="BC748" s="79"/>
      <c r="BD748" s="230"/>
      <c r="BE748" s="211"/>
      <c r="BF748" s="164"/>
      <c r="BG748" s="76"/>
      <c r="BH748" s="44"/>
      <c r="BI748" s="275"/>
      <c r="BJ748" s="52"/>
      <c r="BK748" s="35"/>
      <c r="BL748" s="79"/>
      <c r="BM748" s="230"/>
      <c r="BN748" s="211"/>
      <c r="BO748" s="164"/>
      <c r="BP748" s="76"/>
      <c r="BQ748" s="44"/>
      <c r="BR748" s="299"/>
      <c r="BS748" s="52"/>
      <c r="BT748" s="35"/>
      <c r="BU748" s="79"/>
      <c r="BV748" s="212"/>
      <c r="BW748" s="304"/>
      <c r="BX748" s="313"/>
      <c r="BY748" s="138"/>
    </row>
    <row r="749" spans="1:77" ht="15" customHeight="1" x14ac:dyDescent="0.2">
      <c r="A749" s="57" t="s">
        <v>8</v>
      </c>
      <c r="B749" s="57"/>
      <c r="C749" s="583" t="s">
        <v>764</v>
      </c>
      <c r="D749" s="546">
        <v>8.6</v>
      </c>
      <c r="E749" s="162" t="s">
        <v>631</v>
      </c>
      <c r="F749" s="358"/>
      <c r="G749" s="65"/>
      <c r="H749" s="73"/>
      <c r="I749" s="90"/>
      <c r="J749" s="73"/>
      <c r="K749" s="66"/>
      <c r="L749" s="717">
        <v>2007</v>
      </c>
      <c r="M749" s="73"/>
      <c r="N749" s="786">
        <v>3.9018999999999998E-2</v>
      </c>
      <c r="O749" s="1041"/>
      <c r="P749" s="73"/>
      <c r="Q749" s="786"/>
      <c r="R749" s="1041"/>
      <c r="S749" s="73"/>
      <c r="T749" s="786"/>
      <c r="U749" s="73"/>
      <c r="V749" s="66"/>
      <c r="W749" s="788">
        <f>AA749*(1+AB749)</f>
        <v>2.926425E-5</v>
      </c>
      <c r="X749" s="789">
        <f>AA749*(1+AC749)</f>
        <v>2.926425E-5</v>
      </c>
      <c r="Y749" s="52">
        <v>2007</v>
      </c>
      <c r="Z749" s="52"/>
      <c r="AA749" s="787">
        <f>+N749/1000</f>
        <v>3.9019E-5</v>
      </c>
      <c r="AB749" s="256">
        <v>-0.25</v>
      </c>
      <c r="AC749" s="688">
        <f>AB749</f>
        <v>-0.25</v>
      </c>
      <c r="AD749" s="164"/>
      <c r="AE749" s="164"/>
      <c r="AF749" s="25"/>
      <c r="AG749" s="26"/>
      <c r="AH749" s="275"/>
      <c r="AI749" s="52"/>
      <c r="AJ749" s="35"/>
      <c r="AK749" s="289"/>
      <c r="AL749" s="290"/>
      <c r="AM749" s="211"/>
      <c r="AN749" s="164"/>
      <c r="AO749" s="76"/>
      <c r="AP749" s="44"/>
      <c r="AQ749" s="275"/>
      <c r="AR749" s="52"/>
      <c r="AS749" s="35"/>
      <c r="AT749" s="79"/>
      <c r="AU749" s="212"/>
      <c r="AV749" s="164"/>
      <c r="AW749" s="164"/>
      <c r="AX749" s="76"/>
      <c r="AY749" s="44"/>
      <c r="AZ749" s="275"/>
      <c r="BA749" s="52"/>
      <c r="BB749" s="35"/>
      <c r="BC749" s="79"/>
      <c r="BD749" s="230"/>
      <c r="BE749" s="211"/>
      <c r="BF749" s="164"/>
      <c r="BG749" s="76"/>
      <c r="BH749" s="44"/>
      <c r="BI749" s="275"/>
      <c r="BJ749" s="52"/>
      <c r="BK749" s="35"/>
      <c r="BL749" s="79"/>
      <c r="BM749" s="230"/>
      <c r="BN749" s="211"/>
      <c r="BO749" s="164"/>
      <c r="BP749" s="76"/>
      <c r="BQ749" s="44"/>
      <c r="BR749" s="299"/>
      <c r="BS749" s="52"/>
      <c r="BT749" s="35"/>
      <c r="BU749" s="79"/>
      <c r="BV749" s="212"/>
      <c r="BW749" s="304"/>
      <c r="BX749" s="313"/>
      <c r="BY749" s="138"/>
    </row>
    <row r="750" spans="1:77" ht="15" customHeight="1" x14ac:dyDescent="0.2">
      <c r="A750" s="57" t="s">
        <v>8</v>
      </c>
      <c r="B750" s="57"/>
      <c r="C750" s="583" t="s">
        <v>772</v>
      </c>
      <c r="D750" s="546">
        <v>59.953000000000003</v>
      </c>
      <c r="E750" s="162" t="s">
        <v>631</v>
      </c>
      <c r="F750" s="358"/>
      <c r="G750" s="65"/>
      <c r="H750" s="73"/>
      <c r="I750" s="90">
        <v>2007</v>
      </c>
      <c r="J750" s="73"/>
      <c r="K750" s="734">
        <v>7.8535999999999995E-2</v>
      </c>
      <c r="L750" s="717"/>
      <c r="M750" s="73"/>
      <c r="N750" s="359"/>
      <c r="O750" s="1041"/>
      <c r="P750" s="73"/>
      <c r="Q750" s="359"/>
      <c r="R750" s="1041"/>
      <c r="S750" s="73"/>
      <c r="T750" s="359"/>
      <c r="U750" s="73"/>
      <c r="V750" s="66"/>
      <c r="W750" s="788">
        <f>AA750*(1+AB750)</f>
        <v>5.6545919999999991E-5</v>
      </c>
      <c r="X750" s="789">
        <f>AA750*(1+AC750)</f>
        <v>5.6545919999999991E-5</v>
      </c>
      <c r="Y750" s="52">
        <v>2007</v>
      </c>
      <c r="Z750" s="52"/>
      <c r="AA750" s="787">
        <f>+K750/1000</f>
        <v>7.8535999999999995E-5</v>
      </c>
      <c r="AB750" s="256">
        <v>-0.28000000000000003</v>
      </c>
      <c r="AC750" s="688">
        <f>AB750</f>
        <v>-0.28000000000000003</v>
      </c>
      <c r="AD750" s="164"/>
      <c r="AE750" s="164"/>
      <c r="AF750" s="25"/>
      <c r="AG750" s="26"/>
      <c r="AH750" s="275"/>
      <c r="AI750" s="52"/>
      <c r="AJ750" s="35"/>
      <c r="AK750" s="289"/>
      <c r="AL750" s="290"/>
      <c r="AM750" s="211"/>
      <c r="AN750" s="164"/>
      <c r="AO750" s="76"/>
      <c r="AP750" s="44"/>
      <c r="AQ750" s="275"/>
      <c r="AR750" s="52"/>
      <c r="AS750" s="35"/>
      <c r="AT750" s="79"/>
      <c r="AU750" s="212"/>
      <c r="AV750" s="164"/>
      <c r="AW750" s="164"/>
      <c r="AX750" s="76"/>
      <c r="AY750" s="44"/>
      <c r="AZ750" s="275"/>
      <c r="BA750" s="52"/>
      <c r="BB750" s="35"/>
      <c r="BC750" s="79"/>
      <c r="BD750" s="230"/>
      <c r="BE750" s="211"/>
      <c r="BF750" s="164"/>
      <c r="BG750" s="76"/>
      <c r="BH750" s="44"/>
      <c r="BI750" s="275"/>
      <c r="BJ750" s="52"/>
      <c r="BK750" s="35"/>
      <c r="BL750" s="79"/>
      <c r="BM750" s="230"/>
      <c r="BN750" s="211"/>
      <c r="BO750" s="164"/>
      <c r="BP750" s="76"/>
      <c r="BQ750" s="44"/>
      <c r="BR750" s="299"/>
      <c r="BS750" s="52"/>
      <c r="BT750" s="35"/>
      <c r="BU750" s="79"/>
      <c r="BV750" s="212"/>
      <c r="BW750" s="304"/>
      <c r="BX750" s="313"/>
      <c r="BY750" s="138"/>
    </row>
    <row r="751" spans="1:77" ht="15" customHeight="1" x14ac:dyDescent="0.2">
      <c r="A751" s="57" t="s">
        <v>8</v>
      </c>
      <c r="B751" s="57"/>
      <c r="C751" s="583" t="s">
        <v>773</v>
      </c>
      <c r="D751" s="546">
        <v>226</v>
      </c>
      <c r="E751" s="162" t="s">
        <v>631</v>
      </c>
      <c r="F751" s="358"/>
      <c r="G751" s="65"/>
      <c r="H751" s="73"/>
      <c r="I751" s="90"/>
      <c r="J751" s="73"/>
      <c r="K751" s="734">
        <v>0.60483399999999998</v>
      </c>
      <c r="L751" s="717"/>
      <c r="M751" s="73"/>
      <c r="N751" s="359"/>
      <c r="O751" s="1041"/>
      <c r="P751" s="73"/>
      <c r="Q751" s="359"/>
      <c r="R751" s="1041"/>
      <c r="S751" s="73"/>
      <c r="T751" s="359"/>
      <c r="U751" s="73"/>
      <c r="V751" s="66"/>
      <c r="W751" s="788">
        <f>AA751*(1+AB751)</f>
        <v>4.5362549999999999E-4</v>
      </c>
      <c r="X751" s="789">
        <f>AA751*(1+AC751)</f>
        <v>4.5362549999999999E-4</v>
      </c>
      <c r="Y751" s="52">
        <v>2005</v>
      </c>
      <c r="Z751" s="52"/>
      <c r="AA751" s="787">
        <f>+K751/1000</f>
        <v>6.0483399999999995E-4</v>
      </c>
      <c r="AB751" s="256">
        <v>-0.25</v>
      </c>
      <c r="AC751" s="688">
        <f>AB751</f>
        <v>-0.25</v>
      </c>
      <c r="AD751" s="164"/>
      <c r="AE751" s="164"/>
      <c r="AF751" s="25"/>
      <c r="AG751" s="26"/>
      <c r="AH751" s="275"/>
      <c r="AI751" s="52"/>
      <c r="AJ751" s="35"/>
      <c r="AK751" s="289"/>
      <c r="AL751" s="290"/>
      <c r="AM751" s="211"/>
      <c r="AN751" s="164"/>
      <c r="AO751" s="76"/>
      <c r="AP751" s="44"/>
      <c r="AQ751" s="275"/>
      <c r="AR751" s="52"/>
      <c r="AS751" s="35"/>
      <c r="AT751" s="79"/>
      <c r="AU751" s="212"/>
      <c r="AV751" s="164"/>
      <c r="AW751" s="164"/>
      <c r="AX751" s="76"/>
      <c r="AY751" s="44"/>
      <c r="AZ751" s="275"/>
      <c r="BA751" s="52"/>
      <c r="BB751" s="35"/>
      <c r="BC751" s="79"/>
      <c r="BD751" s="230"/>
      <c r="BE751" s="211"/>
      <c r="BF751" s="164"/>
      <c r="BG751" s="76"/>
      <c r="BH751" s="44"/>
      <c r="BI751" s="275"/>
      <c r="BJ751" s="52"/>
      <c r="BK751" s="35"/>
      <c r="BL751" s="79"/>
      <c r="BM751" s="230"/>
      <c r="BN751" s="211"/>
      <c r="BO751" s="164"/>
      <c r="BP751" s="76"/>
      <c r="BQ751" s="44"/>
      <c r="BR751" s="299"/>
      <c r="BS751" s="52"/>
      <c r="BT751" s="35"/>
      <c r="BU751" s="79"/>
      <c r="BV751" s="212"/>
      <c r="BW751" s="304"/>
      <c r="BX751" s="313"/>
      <c r="BY751" s="138"/>
    </row>
    <row r="752" spans="1:77" ht="15" customHeight="1" x14ac:dyDescent="0.2">
      <c r="A752" s="57" t="s">
        <v>8</v>
      </c>
      <c r="B752" s="57"/>
      <c r="C752" s="583" t="s">
        <v>768</v>
      </c>
      <c r="D752" s="546">
        <v>93.5</v>
      </c>
      <c r="E752" s="162" t="s">
        <v>631</v>
      </c>
      <c r="F752" s="358"/>
      <c r="G752" s="65"/>
      <c r="H752" s="73"/>
      <c r="I752" s="90">
        <v>2000</v>
      </c>
      <c r="J752" s="73"/>
      <c r="K752" s="734">
        <v>0.125392</v>
      </c>
      <c r="L752" s="717"/>
      <c r="M752" s="73"/>
      <c r="N752" s="359"/>
      <c r="O752" s="1041"/>
      <c r="P752" s="73"/>
      <c r="Q752" s="359"/>
      <c r="R752" s="1041"/>
      <c r="S752" s="73"/>
      <c r="T752" s="359"/>
      <c r="U752" s="73"/>
      <c r="V752" s="66"/>
      <c r="W752" s="788">
        <f t="shared" ref="W752:W764" si="400">AA752*(1+AB752)</f>
        <v>9.4043999999999996E-5</v>
      </c>
      <c r="X752" s="789">
        <f t="shared" ref="X752:X764" si="401">AA752*(1+AC752)</f>
        <v>9.4043999999999996E-5</v>
      </c>
      <c r="Y752" s="52">
        <v>2000</v>
      </c>
      <c r="Z752" s="52"/>
      <c r="AA752" s="787">
        <f>+K752/1000</f>
        <v>1.2539199999999999E-4</v>
      </c>
      <c r="AB752" s="256">
        <v>-0.25</v>
      </c>
      <c r="AC752" s="688">
        <f t="shared" ref="AC752:AC764" si="402">AB752</f>
        <v>-0.25</v>
      </c>
      <c r="AD752" s="164"/>
      <c r="AE752" s="164"/>
      <c r="AF752" s="25"/>
      <c r="AG752" s="26"/>
      <c r="AH752" s="275"/>
      <c r="AI752" s="52"/>
      <c r="AJ752" s="35"/>
      <c r="AK752" s="289"/>
      <c r="AL752" s="290"/>
      <c r="AM752" s="211"/>
      <c r="AN752" s="164"/>
      <c r="AO752" s="76"/>
      <c r="AP752" s="44"/>
      <c r="AQ752" s="275"/>
      <c r="AR752" s="52"/>
      <c r="AS752" s="35"/>
      <c r="AT752" s="79"/>
      <c r="AU752" s="212"/>
      <c r="AV752" s="164"/>
      <c r="AW752" s="164"/>
      <c r="AX752" s="76"/>
      <c r="AY752" s="44"/>
      <c r="AZ752" s="275"/>
      <c r="BA752" s="52"/>
      <c r="BB752" s="35"/>
      <c r="BC752" s="79"/>
      <c r="BD752" s="230"/>
      <c r="BE752" s="211"/>
      <c r="BF752" s="164"/>
      <c r="BG752" s="76"/>
      <c r="BH752" s="44"/>
      <c r="BI752" s="275"/>
      <c r="BJ752" s="52"/>
      <c r="BK752" s="35"/>
      <c r="BL752" s="79"/>
      <c r="BM752" s="230"/>
      <c r="BN752" s="211"/>
      <c r="BO752" s="164"/>
      <c r="BP752" s="76"/>
      <c r="BQ752" s="44"/>
      <c r="BR752" s="299"/>
      <c r="BS752" s="52"/>
      <c r="BT752" s="35"/>
      <c r="BU752" s="79"/>
      <c r="BV752" s="212"/>
      <c r="BW752" s="304"/>
      <c r="BX752" s="313"/>
      <c r="BY752" s="138"/>
    </row>
    <row r="753" spans="1:77" ht="15" customHeight="1" x14ac:dyDescent="0.2">
      <c r="A753" s="57" t="s">
        <v>8</v>
      </c>
      <c r="B753" s="57"/>
      <c r="C753" s="583" t="s">
        <v>770</v>
      </c>
      <c r="D753" s="546">
        <v>63.902999999999999</v>
      </c>
      <c r="E753" s="162" t="s">
        <v>631</v>
      </c>
      <c r="F753" s="358"/>
      <c r="G753" s="65"/>
      <c r="H753" s="73"/>
      <c r="I753" s="90"/>
      <c r="J753" s="73"/>
      <c r="K753" s="66"/>
      <c r="L753" s="717">
        <v>2008</v>
      </c>
      <c r="M753" s="73"/>
      <c r="N753" s="738">
        <v>0.23292299999999999</v>
      </c>
      <c r="O753" s="1041"/>
      <c r="P753" s="73"/>
      <c r="Q753" s="738"/>
      <c r="R753" s="1041"/>
      <c r="S753" s="73"/>
      <c r="T753" s="738"/>
      <c r="U753" s="73"/>
      <c r="V753" s="66"/>
      <c r="W753" s="788">
        <f t="shared" si="400"/>
        <v>1.7702147999999998E-4</v>
      </c>
      <c r="X753" s="789">
        <f t="shared" si="401"/>
        <v>1.7702147999999998E-4</v>
      </c>
      <c r="Y753" s="52">
        <v>2008</v>
      </c>
      <c r="Z753" s="52"/>
      <c r="AA753" s="787">
        <f>+N753/1000</f>
        <v>2.3292299999999998E-4</v>
      </c>
      <c r="AB753" s="256">
        <v>-0.24</v>
      </c>
      <c r="AC753" s="688">
        <f t="shared" si="402"/>
        <v>-0.24</v>
      </c>
      <c r="AD753" s="164"/>
      <c r="AE753" s="164"/>
      <c r="AF753" s="25"/>
      <c r="AG753" s="26"/>
      <c r="AH753" s="275"/>
      <c r="AI753" s="52"/>
      <c r="AJ753" s="35"/>
      <c r="AK753" s="289"/>
      <c r="AL753" s="290"/>
      <c r="AM753" s="211"/>
      <c r="AN753" s="164"/>
      <c r="AO753" s="76"/>
      <c r="AP753" s="44"/>
      <c r="AQ753" s="275"/>
      <c r="AR753" s="52"/>
      <c r="AS753" s="35"/>
      <c r="AT753" s="79"/>
      <c r="AU753" s="212"/>
      <c r="AV753" s="164"/>
      <c r="AW753" s="164"/>
      <c r="AX753" s="76"/>
      <c r="AY753" s="44"/>
      <c r="AZ753" s="275"/>
      <c r="BA753" s="52"/>
      <c r="BB753" s="35"/>
      <c r="BC753" s="79"/>
      <c r="BD753" s="230"/>
      <c r="BE753" s="211"/>
      <c r="BF753" s="164"/>
      <c r="BG753" s="76"/>
      <c r="BH753" s="44"/>
      <c r="BI753" s="275"/>
      <c r="BJ753" s="52"/>
      <c r="BK753" s="35"/>
      <c r="BL753" s="79"/>
      <c r="BM753" s="230"/>
      <c r="BN753" s="211"/>
      <c r="BO753" s="164"/>
      <c r="BP753" s="76"/>
      <c r="BQ753" s="44"/>
      <c r="BR753" s="299"/>
      <c r="BS753" s="52"/>
      <c r="BT753" s="35"/>
      <c r="BU753" s="79"/>
      <c r="BV753" s="212"/>
      <c r="BW753" s="304"/>
      <c r="BX753" s="313"/>
      <c r="BY753" s="138"/>
    </row>
    <row r="754" spans="1:77" ht="15" customHeight="1" x14ac:dyDescent="0.2">
      <c r="A754" s="57" t="s">
        <v>8</v>
      </c>
      <c r="B754" s="57"/>
      <c r="C754" s="583" t="s">
        <v>775</v>
      </c>
      <c r="D754" s="546">
        <v>17.5</v>
      </c>
      <c r="E754" s="162" t="s">
        <v>631</v>
      </c>
      <c r="F754" s="358"/>
      <c r="G754" s="65"/>
      <c r="H754" s="73"/>
      <c r="I754" s="90"/>
      <c r="J754" s="73"/>
      <c r="K754" s="66"/>
      <c r="L754" s="717">
        <v>2009</v>
      </c>
      <c r="M754" s="73"/>
      <c r="N754" s="738">
        <v>4.2039E-2</v>
      </c>
      <c r="O754" s="1041"/>
      <c r="P754" s="73"/>
      <c r="Q754" s="738"/>
      <c r="R754" s="1041"/>
      <c r="S754" s="73"/>
      <c r="T754" s="738"/>
      <c r="U754" s="73"/>
      <c r="V754" s="66"/>
      <c r="W754" s="788">
        <f t="shared" si="400"/>
        <v>3.152925E-5</v>
      </c>
      <c r="X754" s="789">
        <f t="shared" si="401"/>
        <v>3.152925E-5</v>
      </c>
      <c r="Y754" s="52">
        <v>2009</v>
      </c>
      <c r="Z754" s="52"/>
      <c r="AA754" s="787">
        <f>+N754/1000</f>
        <v>4.2039000000000002E-5</v>
      </c>
      <c r="AB754" s="256">
        <v>-0.25</v>
      </c>
      <c r="AC754" s="688">
        <f t="shared" si="402"/>
        <v>-0.25</v>
      </c>
      <c r="AD754" s="164"/>
      <c r="AE754" s="164"/>
      <c r="AF754" s="25"/>
      <c r="AG754" s="26"/>
      <c r="AH754" s="275"/>
      <c r="AI754" s="52"/>
      <c r="AJ754" s="35"/>
      <c r="AK754" s="289"/>
      <c r="AL754" s="290"/>
      <c r="AM754" s="211"/>
      <c r="AN754" s="164"/>
      <c r="AO754" s="76"/>
      <c r="AP754" s="44"/>
      <c r="AQ754" s="275"/>
      <c r="AR754" s="52"/>
      <c r="AS754" s="35"/>
      <c r="AT754" s="79"/>
      <c r="AU754" s="212"/>
      <c r="AV754" s="164"/>
      <c r="AW754" s="164"/>
      <c r="AX754" s="76"/>
      <c r="AY754" s="44"/>
      <c r="AZ754" s="275"/>
      <c r="BA754" s="52"/>
      <c r="BB754" s="35"/>
      <c r="BC754" s="79"/>
      <c r="BD754" s="230"/>
      <c r="BE754" s="211"/>
      <c r="BF754" s="164"/>
      <c r="BG754" s="76"/>
      <c r="BH754" s="44"/>
      <c r="BI754" s="275"/>
      <c r="BJ754" s="52"/>
      <c r="BK754" s="35"/>
      <c r="BL754" s="79"/>
      <c r="BM754" s="230"/>
      <c r="BN754" s="211"/>
      <c r="BO754" s="164"/>
      <c r="BP754" s="76"/>
      <c r="BQ754" s="44"/>
      <c r="BR754" s="299"/>
      <c r="BS754" s="52"/>
      <c r="BT754" s="35"/>
      <c r="BU754" s="79"/>
      <c r="BV754" s="212"/>
      <c r="BW754" s="304"/>
      <c r="BX754" s="313"/>
      <c r="BY754" s="138"/>
    </row>
    <row r="755" spans="1:77" ht="15" customHeight="1" x14ac:dyDescent="0.2">
      <c r="A755" s="57" t="s">
        <v>8</v>
      </c>
      <c r="B755" s="57"/>
      <c r="C755" s="583" t="s">
        <v>777</v>
      </c>
      <c r="D755" s="546">
        <v>13.458</v>
      </c>
      <c r="E755" s="162" t="s">
        <v>631</v>
      </c>
      <c r="F755" s="358"/>
      <c r="G755" s="65"/>
      <c r="H755" s="792">
        <v>2.9208999999999999E-2</v>
      </c>
      <c r="I755" s="90"/>
      <c r="J755" s="73"/>
      <c r="K755" s="66"/>
      <c r="L755" s="717"/>
      <c r="M755" s="73"/>
      <c r="N755" s="359"/>
      <c r="O755" s="1041"/>
      <c r="P755" s="73"/>
      <c r="Q755" s="359"/>
      <c r="R755" s="1041"/>
      <c r="S755" s="73"/>
      <c r="T755" s="359"/>
      <c r="U755" s="73"/>
      <c r="V755" s="66"/>
      <c r="W755" s="788">
        <f t="shared" si="400"/>
        <v>1.2851959999999997E-5</v>
      </c>
      <c r="X755" s="789">
        <f t="shared" si="401"/>
        <v>1.2851959999999997E-5</v>
      </c>
      <c r="Y755" s="52">
        <v>1990</v>
      </c>
      <c r="Z755" s="52"/>
      <c r="AA755" s="787">
        <f>+H755/1000</f>
        <v>2.9208999999999998E-5</v>
      </c>
      <c r="AB755" s="256">
        <v>-0.56000000000000005</v>
      </c>
      <c r="AC755" s="688">
        <f t="shared" si="402"/>
        <v>-0.56000000000000005</v>
      </c>
      <c r="AD755" s="164"/>
      <c r="AE755" s="164"/>
      <c r="AF755" s="25"/>
      <c r="AG755" s="26"/>
      <c r="AH755" s="275"/>
      <c r="AI755" s="52"/>
      <c r="AJ755" s="35"/>
      <c r="AK755" s="289"/>
      <c r="AL755" s="290"/>
      <c r="AM755" s="211"/>
      <c r="AN755" s="164"/>
      <c r="AO755" s="76"/>
      <c r="AP755" s="44"/>
      <c r="AQ755" s="275"/>
      <c r="AR755" s="52"/>
      <c r="AS755" s="35"/>
      <c r="AT755" s="79"/>
      <c r="AU755" s="212"/>
      <c r="AV755" s="164"/>
      <c r="AW755" s="164"/>
      <c r="AX755" s="76"/>
      <c r="AY755" s="44"/>
      <c r="AZ755" s="275"/>
      <c r="BA755" s="52"/>
      <c r="BB755" s="35"/>
      <c r="BC755" s="79"/>
      <c r="BD755" s="230"/>
      <c r="BE755" s="211"/>
      <c r="BF755" s="164"/>
      <c r="BG755" s="76"/>
      <c r="BH755" s="44"/>
      <c r="BI755" s="275"/>
      <c r="BJ755" s="52"/>
      <c r="BK755" s="35"/>
      <c r="BL755" s="79"/>
      <c r="BM755" s="230"/>
      <c r="BN755" s="211"/>
      <c r="BO755" s="164"/>
      <c r="BP755" s="76"/>
      <c r="BQ755" s="44"/>
      <c r="BR755" s="299"/>
      <c r="BS755" s="52"/>
      <c r="BT755" s="35"/>
      <c r="BU755" s="79"/>
      <c r="BV755" s="212"/>
      <c r="BW755" s="304"/>
      <c r="BX755" s="313"/>
      <c r="BY755" s="138"/>
    </row>
    <row r="756" spans="1:77" ht="15" customHeight="1" x14ac:dyDescent="0.2">
      <c r="A756" s="57" t="s">
        <v>8</v>
      </c>
      <c r="B756" s="57"/>
      <c r="C756" s="583" t="s">
        <v>774</v>
      </c>
      <c r="D756" s="546">
        <v>25.792999999999999</v>
      </c>
      <c r="E756" s="162" t="s">
        <v>631</v>
      </c>
      <c r="F756" s="358"/>
      <c r="G756" s="65"/>
      <c r="H756" s="73"/>
      <c r="I756" s="90">
        <v>2001</v>
      </c>
      <c r="J756" s="73"/>
      <c r="K756" s="734">
        <v>9.2410000000000006E-2</v>
      </c>
      <c r="L756" s="717"/>
      <c r="M756" s="73"/>
      <c r="N756" s="359"/>
      <c r="O756" s="1041"/>
      <c r="P756" s="73"/>
      <c r="Q756" s="359"/>
      <c r="R756" s="1041"/>
      <c r="S756" s="73"/>
      <c r="T756" s="359"/>
      <c r="U756" s="73"/>
      <c r="V756" s="66"/>
      <c r="W756" s="788">
        <f t="shared" si="400"/>
        <v>5.7294200000000004E-5</v>
      </c>
      <c r="X756" s="789">
        <f t="shared" si="401"/>
        <v>5.7294200000000004E-5</v>
      </c>
      <c r="Y756" s="52">
        <v>2001</v>
      </c>
      <c r="Z756" s="52"/>
      <c r="AA756" s="787">
        <f>+K756/1000</f>
        <v>9.2410000000000005E-5</v>
      </c>
      <c r="AB756" s="256">
        <v>-0.38</v>
      </c>
      <c r="AC756" s="688">
        <f t="shared" si="402"/>
        <v>-0.38</v>
      </c>
      <c r="AD756" s="164"/>
      <c r="AE756" s="164"/>
      <c r="AF756" s="25"/>
      <c r="AG756" s="26"/>
      <c r="AH756" s="275"/>
      <c r="AI756" s="52"/>
      <c r="AJ756" s="35"/>
      <c r="AK756" s="289"/>
      <c r="AL756" s="290"/>
      <c r="AM756" s="211"/>
      <c r="AN756" s="164"/>
      <c r="AO756" s="76"/>
      <c r="AP756" s="44"/>
      <c r="AQ756" s="275"/>
      <c r="AR756" s="52"/>
      <c r="AS756" s="35"/>
      <c r="AT756" s="79"/>
      <c r="AU756" s="212"/>
      <c r="AV756" s="164"/>
      <c r="AW756" s="164"/>
      <c r="AX756" s="76"/>
      <c r="AY756" s="44"/>
      <c r="AZ756" s="275"/>
      <c r="BA756" s="52"/>
      <c r="BB756" s="35"/>
      <c r="BC756" s="79"/>
      <c r="BD756" s="230"/>
      <c r="BE756" s="211"/>
      <c r="BF756" s="164"/>
      <c r="BG756" s="76"/>
      <c r="BH756" s="44"/>
      <c r="BI756" s="275"/>
      <c r="BJ756" s="52"/>
      <c r="BK756" s="35"/>
      <c r="BL756" s="79"/>
      <c r="BM756" s="230"/>
      <c r="BN756" s="211"/>
      <c r="BO756" s="164"/>
      <c r="BP756" s="76"/>
      <c r="BQ756" s="44"/>
      <c r="BR756" s="299"/>
      <c r="BS756" s="52"/>
      <c r="BT756" s="35"/>
      <c r="BU756" s="79"/>
      <c r="BV756" s="212"/>
      <c r="BW756" s="304"/>
      <c r="BX756" s="313"/>
      <c r="BY756" s="138"/>
    </row>
    <row r="757" spans="1:77" ht="15" customHeight="1" x14ac:dyDescent="0.2">
      <c r="A757" s="57" t="s">
        <v>8</v>
      </c>
      <c r="B757" s="57"/>
      <c r="C757" s="583" t="s">
        <v>765</v>
      </c>
      <c r="D757" s="546">
        <v>17.846</v>
      </c>
      <c r="E757" s="162" t="s">
        <v>631</v>
      </c>
      <c r="F757" s="358"/>
      <c r="G757" s="65"/>
      <c r="H757" s="73"/>
      <c r="I757" s="90">
        <v>2006</v>
      </c>
      <c r="J757" s="73"/>
      <c r="K757" s="790">
        <v>1.0591E-2</v>
      </c>
      <c r="L757" s="717"/>
      <c r="M757" s="73"/>
      <c r="N757" s="786"/>
      <c r="O757" s="1041"/>
      <c r="P757" s="73"/>
      <c r="Q757" s="786"/>
      <c r="R757" s="1041"/>
      <c r="S757" s="73"/>
      <c r="T757" s="786"/>
      <c r="U757" s="73"/>
      <c r="V757" s="66"/>
      <c r="W757" s="788">
        <f t="shared" si="400"/>
        <v>7.9432499999999989E-6</v>
      </c>
      <c r="X757" s="789">
        <f t="shared" si="401"/>
        <v>7.9432499999999989E-6</v>
      </c>
      <c r="Y757" s="52">
        <v>2006</v>
      </c>
      <c r="Z757" s="52"/>
      <c r="AA757" s="787">
        <f>+K757/1000</f>
        <v>1.0590999999999999E-5</v>
      </c>
      <c r="AB757" s="256">
        <v>-0.25</v>
      </c>
      <c r="AC757" s="688">
        <f t="shared" si="402"/>
        <v>-0.25</v>
      </c>
      <c r="AD757" s="164"/>
      <c r="AE757" s="164"/>
      <c r="AF757" s="25"/>
      <c r="AG757" s="26"/>
      <c r="AH757" s="275"/>
      <c r="AI757" s="52"/>
      <c r="AJ757" s="35"/>
      <c r="AK757" s="289"/>
      <c r="AL757" s="290"/>
      <c r="AM757" s="211"/>
      <c r="AN757" s="164"/>
      <c r="AO757" s="76"/>
      <c r="AP757" s="44"/>
      <c r="AQ757" s="275"/>
      <c r="AR757" s="52"/>
      <c r="AS757" s="35"/>
      <c r="AT757" s="79"/>
      <c r="AU757" s="212"/>
      <c r="AV757" s="164"/>
      <c r="AW757" s="164"/>
      <c r="AX757" s="76"/>
      <c r="AY757" s="44"/>
      <c r="AZ757" s="275"/>
      <c r="BA757" s="52"/>
      <c r="BB757" s="35"/>
      <c r="BC757" s="79"/>
      <c r="BD757" s="230"/>
      <c r="BE757" s="211"/>
      <c r="BF757" s="164"/>
      <c r="BG757" s="76"/>
      <c r="BH757" s="44"/>
      <c r="BI757" s="275"/>
      <c r="BJ757" s="52"/>
      <c r="BK757" s="35"/>
      <c r="BL757" s="79"/>
      <c r="BM757" s="230"/>
      <c r="BN757" s="211"/>
      <c r="BO757" s="164"/>
      <c r="BP757" s="76"/>
      <c r="BQ757" s="44"/>
      <c r="BR757" s="299"/>
      <c r="BS757" s="52"/>
      <c r="BT757" s="35"/>
      <c r="BU757" s="79"/>
      <c r="BV757" s="212"/>
      <c r="BW757" s="304"/>
      <c r="BX757" s="313"/>
      <c r="BY757" s="138"/>
    </row>
    <row r="758" spans="1:77" ht="15" customHeight="1" x14ac:dyDescent="0.2">
      <c r="A758" s="57" t="s">
        <v>8</v>
      </c>
      <c r="B758" s="57"/>
      <c r="C758" s="583" t="s">
        <v>776</v>
      </c>
      <c r="D758" s="546">
        <v>13.058</v>
      </c>
      <c r="E758" s="162" t="s">
        <v>631</v>
      </c>
      <c r="F758" s="358"/>
      <c r="G758" s="65"/>
      <c r="H758" s="73"/>
      <c r="I758" s="90"/>
      <c r="J758" s="73"/>
      <c r="K758" s="66"/>
      <c r="L758" s="717">
        <v>2008</v>
      </c>
      <c r="M758" s="73"/>
      <c r="N758" s="791">
        <v>0.40549000000000002</v>
      </c>
      <c r="O758" s="1041"/>
      <c r="P758" s="73"/>
      <c r="Q758" s="791"/>
      <c r="R758" s="1041"/>
      <c r="S758" s="73"/>
      <c r="T758" s="791"/>
      <c r="U758" s="73"/>
      <c r="V758" s="66"/>
      <c r="W758" s="788">
        <f t="shared" si="400"/>
        <v>0</v>
      </c>
      <c r="X758" s="789">
        <f t="shared" si="401"/>
        <v>0</v>
      </c>
      <c r="Y758" s="52">
        <v>2008</v>
      </c>
      <c r="Z758" s="52"/>
      <c r="AA758" s="787">
        <f>+N758/1000</f>
        <v>4.0549E-4</v>
      </c>
      <c r="AB758" s="256">
        <v>-1</v>
      </c>
      <c r="AC758" s="688">
        <f t="shared" si="402"/>
        <v>-1</v>
      </c>
      <c r="AD758" s="164"/>
      <c r="AE758" s="164"/>
      <c r="AF758" s="25"/>
      <c r="AG758" s="26"/>
      <c r="AH758" s="275"/>
      <c r="AI758" s="52"/>
      <c r="AJ758" s="35"/>
      <c r="AK758" s="289"/>
      <c r="AL758" s="290"/>
      <c r="AM758" s="211"/>
      <c r="AN758" s="164"/>
      <c r="AO758" s="76"/>
      <c r="AP758" s="44"/>
      <c r="AQ758" s="275"/>
      <c r="AR758" s="52"/>
      <c r="AS758" s="35"/>
      <c r="AT758" s="79"/>
      <c r="AU758" s="212"/>
      <c r="AV758" s="164"/>
      <c r="AW758" s="164"/>
      <c r="AX758" s="76"/>
      <c r="AY758" s="44"/>
      <c r="AZ758" s="275"/>
      <c r="BA758" s="52"/>
      <c r="BB758" s="35"/>
      <c r="BC758" s="79"/>
      <c r="BD758" s="230"/>
      <c r="BE758" s="211"/>
      <c r="BF758" s="164"/>
      <c r="BG758" s="76"/>
      <c r="BH758" s="44"/>
      <c r="BI758" s="275"/>
      <c r="BJ758" s="52"/>
      <c r="BK758" s="35"/>
      <c r="BL758" s="79"/>
      <c r="BM758" s="230"/>
      <c r="BN758" s="211"/>
      <c r="BO758" s="164"/>
      <c r="BP758" s="76"/>
      <c r="BQ758" s="44"/>
      <c r="BR758" s="299"/>
      <c r="BS758" s="52"/>
      <c r="BT758" s="35"/>
      <c r="BU758" s="79"/>
      <c r="BV758" s="212"/>
      <c r="BW758" s="304"/>
      <c r="BX758" s="313"/>
      <c r="BY758" s="138"/>
    </row>
    <row r="759" spans="1:77" ht="15" customHeight="1" x14ac:dyDescent="0.2">
      <c r="A759" s="57" t="s">
        <v>8</v>
      </c>
      <c r="B759" s="57"/>
      <c r="C759" s="583" t="s">
        <v>763</v>
      </c>
      <c r="D759" s="546">
        <v>4.51</v>
      </c>
      <c r="E759" s="162" t="s">
        <v>631</v>
      </c>
      <c r="F759" s="358"/>
      <c r="G759" s="65"/>
      <c r="H759" s="73"/>
      <c r="I759" s="90"/>
      <c r="J759" s="73"/>
      <c r="K759" s="66"/>
      <c r="L759" s="717">
        <v>2009</v>
      </c>
      <c r="M759" s="73"/>
      <c r="N759" s="786">
        <v>9.5200000000000007E-3</v>
      </c>
      <c r="O759" s="1041"/>
      <c r="P759" s="73"/>
      <c r="Q759" s="786"/>
      <c r="R759" s="1041"/>
      <c r="S759" s="73"/>
      <c r="T759" s="786"/>
      <c r="U759" s="73"/>
      <c r="V759" s="66"/>
      <c r="W759" s="788">
        <f t="shared" si="400"/>
        <v>7.1400000000000002E-6</v>
      </c>
      <c r="X759" s="789">
        <f t="shared" si="401"/>
        <v>7.1400000000000002E-6</v>
      </c>
      <c r="Y759" s="52">
        <v>2009</v>
      </c>
      <c r="Z759" s="52"/>
      <c r="AA759" s="787">
        <f>+N759/1000</f>
        <v>9.5200000000000003E-6</v>
      </c>
      <c r="AB759" s="256">
        <v>-0.25</v>
      </c>
      <c r="AC759" s="688">
        <f t="shared" si="402"/>
        <v>-0.25</v>
      </c>
      <c r="AD759" s="164"/>
      <c r="AE759" s="164"/>
      <c r="AF759" s="25"/>
      <c r="AG759" s="26"/>
      <c r="AH759" s="275"/>
      <c r="AI759" s="52"/>
      <c r="AJ759" s="35"/>
      <c r="AK759" s="289"/>
      <c r="AL759" s="290"/>
      <c r="AM759" s="211"/>
      <c r="AN759" s="164"/>
      <c r="AO759" s="76"/>
      <c r="AP759" s="44"/>
      <c r="AQ759" s="275"/>
      <c r="AR759" s="52"/>
      <c r="AS759" s="35"/>
      <c r="AT759" s="79"/>
      <c r="AU759" s="212"/>
      <c r="AV759" s="164"/>
      <c r="AW759" s="164"/>
      <c r="AX759" s="76"/>
      <c r="AY759" s="44"/>
      <c r="AZ759" s="275"/>
      <c r="BA759" s="52"/>
      <c r="BB759" s="35"/>
      <c r="BC759" s="79"/>
      <c r="BD759" s="230"/>
      <c r="BE759" s="211"/>
      <c r="BF759" s="164"/>
      <c r="BG759" s="76"/>
      <c r="BH759" s="44"/>
      <c r="BI759" s="275"/>
      <c r="BJ759" s="52"/>
      <c r="BK759" s="35"/>
      <c r="BL759" s="79"/>
      <c r="BM759" s="230"/>
      <c r="BN759" s="211"/>
      <c r="BO759" s="164"/>
      <c r="BP759" s="76"/>
      <c r="BQ759" s="44"/>
      <c r="BR759" s="299"/>
      <c r="BS759" s="52"/>
      <c r="BT759" s="35"/>
      <c r="BU759" s="79"/>
      <c r="BV759" s="212"/>
      <c r="BW759" s="304"/>
      <c r="BX759" s="313"/>
      <c r="BY759" s="138"/>
    </row>
    <row r="760" spans="1:77" ht="15" customHeight="1" x14ac:dyDescent="0.2">
      <c r="A760" s="57" t="s">
        <v>8</v>
      </c>
      <c r="B760" s="57"/>
      <c r="C760" s="583" t="s">
        <v>766</v>
      </c>
      <c r="D760" s="546">
        <v>10.896000000000001</v>
      </c>
      <c r="E760" s="162" t="s">
        <v>631</v>
      </c>
      <c r="F760" s="358"/>
      <c r="G760" s="65"/>
      <c r="H760" s="73"/>
      <c r="I760" s="90"/>
      <c r="J760" s="73"/>
      <c r="K760" s="734">
        <v>5.2121000000000001E-2</v>
      </c>
      <c r="L760" s="717"/>
      <c r="M760" s="73"/>
      <c r="N760" s="359"/>
      <c r="O760" s="1041"/>
      <c r="P760" s="73"/>
      <c r="Q760" s="359"/>
      <c r="R760" s="1041"/>
      <c r="S760" s="73"/>
      <c r="T760" s="359"/>
      <c r="U760" s="73"/>
      <c r="V760" s="66"/>
      <c r="W760" s="788">
        <f t="shared" si="400"/>
        <v>3.9090749999999998E-5</v>
      </c>
      <c r="X760" s="789">
        <f t="shared" si="401"/>
        <v>3.9090749999999998E-5</v>
      </c>
      <c r="Y760" s="52">
        <v>2006</v>
      </c>
      <c r="Z760" s="52"/>
      <c r="AA760" s="787">
        <f>+K760/1000</f>
        <v>5.2120999999999998E-5</v>
      </c>
      <c r="AB760" s="256">
        <v>-0.25</v>
      </c>
      <c r="AC760" s="688">
        <f t="shared" si="402"/>
        <v>-0.25</v>
      </c>
      <c r="AD760" s="164"/>
      <c r="AE760" s="164"/>
      <c r="AF760" s="25"/>
      <c r="AG760" s="26"/>
      <c r="AH760" s="275"/>
      <c r="AI760" s="52"/>
      <c r="AJ760" s="35"/>
      <c r="AK760" s="289"/>
      <c r="AL760" s="290"/>
      <c r="AM760" s="211"/>
      <c r="AN760" s="164"/>
      <c r="AO760" s="76"/>
      <c r="AP760" s="44"/>
      <c r="AQ760" s="275"/>
      <c r="AR760" s="52"/>
      <c r="AS760" s="35"/>
      <c r="AT760" s="79"/>
      <c r="AU760" s="212"/>
      <c r="AV760" s="164"/>
      <c r="AW760" s="164"/>
      <c r="AX760" s="76"/>
      <c r="AY760" s="44"/>
      <c r="AZ760" s="275"/>
      <c r="BA760" s="52"/>
      <c r="BB760" s="35"/>
      <c r="BC760" s="79"/>
      <c r="BD760" s="230"/>
      <c r="BE760" s="211"/>
      <c r="BF760" s="164"/>
      <c r="BG760" s="76"/>
      <c r="BH760" s="44"/>
      <c r="BI760" s="275"/>
      <c r="BJ760" s="52"/>
      <c r="BK760" s="35"/>
      <c r="BL760" s="79"/>
      <c r="BM760" s="230"/>
      <c r="BN760" s="211"/>
      <c r="BO760" s="164"/>
      <c r="BP760" s="76"/>
      <c r="BQ760" s="44"/>
      <c r="BR760" s="299"/>
      <c r="BS760" s="52"/>
      <c r="BT760" s="35"/>
      <c r="BU760" s="79"/>
      <c r="BV760" s="212"/>
      <c r="BW760" s="304"/>
      <c r="BX760" s="313"/>
      <c r="BY760" s="138"/>
    </row>
    <row r="761" spans="1:77" ht="15" customHeight="1" x14ac:dyDescent="0.2">
      <c r="A761" s="57" t="s">
        <v>8</v>
      </c>
      <c r="B761" s="57"/>
      <c r="C761" s="583" t="s">
        <v>767</v>
      </c>
      <c r="D761" s="546">
        <v>54.006</v>
      </c>
      <c r="E761" s="162" t="s">
        <v>631</v>
      </c>
      <c r="F761" s="358"/>
      <c r="G761" s="65"/>
      <c r="H761" s="73"/>
      <c r="I761" s="90">
        <v>2003</v>
      </c>
      <c r="J761" s="73"/>
      <c r="K761" s="734">
        <v>0.127526</v>
      </c>
      <c r="L761" s="717"/>
      <c r="M761" s="73"/>
      <c r="N761" s="359"/>
      <c r="O761" s="1041"/>
      <c r="P761" s="73"/>
      <c r="Q761" s="359"/>
      <c r="R761" s="1041"/>
      <c r="S761" s="73"/>
      <c r="T761" s="359"/>
      <c r="U761" s="73"/>
      <c r="V761" s="66"/>
      <c r="W761" s="788">
        <f t="shared" si="400"/>
        <v>6.5038260000000001E-5</v>
      </c>
      <c r="X761" s="789">
        <f t="shared" si="401"/>
        <v>6.5038260000000001E-5</v>
      </c>
      <c r="Y761" s="52">
        <v>2003</v>
      </c>
      <c r="Z761" s="52"/>
      <c r="AA761" s="787">
        <f>+K761/1000</f>
        <v>1.2752600000000001E-4</v>
      </c>
      <c r="AB761" s="256">
        <v>-0.49</v>
      </c>
      <c r="AC761" s="688">
        <f t="shared" si="402"/>
        <v>-0.49</v>
      </c>
      <c r="AD761" s="164"/>
      <c r="AE761" s="164"/>
      <c r="AF761" s="25"/>
      <c r="AG761" s="26"/>
      <c r="AH761" s="275"/>
      <c r="AI761" s="52"/>
      <c r="AJ761" s="35"/>
      <c r="AK761" s="289"/>
      <c r="AL761" s="290"/>
      <c r="AM761" s="211"/>
      <c r="AN761" s="164"/>
      <c r="AO761" s="76"/>
      <c r="AP761" s="44"/>
      <c r="AQ761" s="275"/>
      <c r="AR761" s="52"/>
      <c r="AS761" s="35"/>
      <c r="AT761" s="79"/>
      <c r="AU761" s="212"/>
      <c r="AV761" s="164"/>
      <c r="AW761" s="164"/>
      <c r="AX761" s="76"/>
      <c r="AY761" s="44"/>
      <c r="AZ761" s="275"/>
      <c r="BA761" s="52"/>
      <c r="BB761" s="35"/>
      <c r="BC761" s="79"/>
      <c r="BD761" s="230"/>
      <c r="BE761" s="211"/>
      <c r="BF761" s="164"/>
      <c r="BG761" s="76"/>
      <c r="BH761" s="44"/>
      <c r="BI761" s="275"/>
      <c r="BJ761" s="52"/>
      <c r="BK761" s="35"/>
      <c r="BL761" s="79"/>
      <c r="BM761" s="230"/>
      <c r="BN761" s="211"/>
      <c r="BO761" s="164"/>
      <c r="BP761" s="76"/>
      <c r="BQ761" s="44"/>
      <c r="BR761" s="299"/>
      <c r="BS761" s="52"/>
      <c r="BT761" s="35"/>
      <c r="BU761" s="79"/>
      <c r="BV761" s="212"/>
      <c r="BW761" s="304"/>
      <c r="BX761" s="313"/>
      <c r="BY761" s="138"/>
    </row>
    <row r="762" spans="1:77" ht="15" customHeight="1" x14ac:dyDescent="0.2">
      <c r="A762" s="57" t="s">
        <v>8</v>
      </c>
      <c r="B762" s="57"/>
      <c r="C762" s="583" t="s">
        <v>2793</v>
      </c>
      <c r="D762" s="546">
        <v>1479.902</v>
      </c>
      <c r="E762" s="162" t="s">
        <v>387</v>
      </c>
      <c r="F762" s="358"/>
      <c r="G762" s="65"/>
      <c r="H762" s="73"/>
      <c r="I762" s="90">
        <v>2007</v>
      </c>
      <c r="J762" s="73"/>
      <c r="K762" s="734">
        <v>5.6724319999999997</v>
      </c>
      <c r="L762" s="717"/>
      <c r="M762" s="73"/>
      <c r="N762" s="359"/>
      <c r="O762" s="1041"/>
      <c r="P762" s="73"/>
      <c r="Q762" s="359"/>
      <c r="R762" s="1041"/>
      <c r="S762" s="73"/>
      <c r="T762" s="359"/>
      <c r="U762" s="73"/>
      <c r="V762" s="66"/>
      <c r="W762" s="594">
        <f t="shared" ref="W762" si="403">AA762*(1+AB762)</f>
        <v>4.4244969599999996E-3</v>
      </c>
      <c r="X762" s="595">
        <f t="shared" ref="X762" si="404">AA762*(1+AC762)</f>
        <v>4.4244969599999996E-3</v>
      </c>
      <c r="Y762" s="52">
        <v>2007</v>
      </c>
      <c r="Z762" s="52"/>
      <c r="AA762" s="596">
        <f>+K762/1000</f>
        <v>5.6724319999999998E-3</v>
      </c>
      <c r="AB762" s="256">
        <v>-0.22</v>
      </c>
      <c r="AC762" s="688">
        <f t="shared" ref="AC762" si="405">AB762</f>
        <v>-0.22</v>
      </c>
      <c r="AD762" s="164"/>
      <c r="AE762" s="164"/>
      <c r="AF762" s="25"/>
      <c r="AG762" s="26"/>
      <c r="AH762" s="275"/>
      <c r="AI762" s="52"/>
      <c r="AJ762" s="35"/>
      <c r="AK762" s="289"/>
      <c r="AL762" s="290"/>
      <c r="AM762" s="211"/>
      <c r="AN762" s="164"/>
      <c r="AO762" s="740">
        <f t="shared" ref="AO762" si="406">AS762*(1+AT762)</f>
        <v>3.4034591999999998E-3</v>
      </c>
      <c r="AP762" s="741">
        <f t="shared" ref="AP762" si="407">AS762*(1+AU762)</f>
        <v>3.4034591999999998E-3</v>
      </c>
      <c r="AQ762" s="275">
        <v>2007</v>
      </c>
      <c r="AR762" s="52"/>
      <c r="AS762" s="739">
        <f>+K762/1000</f>
        <v>5.6724319999999998E-3</v>
      </c>
      <c r="AT762" s="79">
        <v>-0.4</v>
      </c>
      <c r="AU762" s="212">
        <f>AT762</f>
        <v>-0.4</v>
      </c>
      <c r="AV762" s="164"/>
      <c r="AW762" s="164"/>
      <c r="AX762" s="76"/>
      <c r="AY762" s="44"/>
      <c r="AZ762" s="275"/>
      <c r="BA762" s="52"/>
      <c r="BB762" s="35"/>
      <c r="BC762" s="79"/>
      <c r="BD762" s="230"/>
      <c r="BE762" s="211"/>
      <c r="BF762" s="164"/>
      <c r="BG762" s="76"/>
      <c r="BH762" s="44"/>
      <c r="BI762" s="275"/>
      <c r="BJ762" s="52"/>
      <c r="BK762" s="35"/>
      <c r="BL762" s="79"/>
      <c r="BM762" s="230"/>
      <c r="BN762" s="211"/>
      <c r="BO762" s="164"/>
      <c r="BP762" s="76"/>
      <c r="BQ762" s="44"/>
      <c r="BR762" s="299"/>
      <c r="BS762" s="52"/>
      <c r="BT762" s="35"/>
      <c r="BU762" s="79"/>
      <c r="BV762" s="212"/>
      <c r="BW762" s="304"/>
      <c r="BX762" s="313"/>
      <c r="BY762" s="138"/>
    </row>
    <row r="763" spans="1:77" ht="15" customHeight="1" x14ac:dyDescent="0.2">
      <c r="A763" s="57" t="s">
        <v>8</v>
      </c>
      <c r="B763" s="57"/>
      <c r="C763" s="583" t="s">
        <v>769</v>
      </c>
      <c r="D763" s="546">
        <v>356.48099999999999</v>
      </c>
      <c r="E763" s="162" t="s">
        <v>631</v>
      </c>
      <c r="F763" s="358"/>
      <c r="G763" s="65"/>
      <c r="H763" s="73"/>
      <c r="I763" s="90">
        <v>2000</v>
      </c>
      <c r="J763" s="73"/>
      <c r="K763" s="734">
        <v>0.55130800000000002</v>
      </c>
      <c r="L763" s="717"/>
      <c r="M763" s="73"/>
      <c r="N763" s="359"/>
      <c r="O763" s="1041"/>
      <c r="P763" s="73"/>
      <c r="Q763" s="359"/>
      <c r="R763" s="1041"/>
      <c r="S763" s="73"/>
      <c r="T763" s="359"/>
      <c r="U763" s="73"/>
      <c r="V763" s="66"/>
      <c r="W763" s="788">
        <f t="shared" si="400"/>
        <v>4.1348100000000005E-4</v>
      </c>
      <c r="X763" s="789">
        <f t="shared" si="401"/>
        <v>4.1348100000000005E-4</v>
      </c>
      <c r="Y763" s="52">
        <v>2000</v>
      </c>
      <c r="Z763" s="52"/>
      <c r="AA763" s="787">
        <f>+K763/1000</f>
        <v>5.5130800000000003E-4</v>
      </c>
      <c r="AB763" s="256">
        <v>-0.25</v>
      </c>
      <c r="AC763" s="688">
        <f t="shared" si="402"/>
        <v>-0.25</v>
      </c>
      <c r="AD763" s="164"/>
      <c r="AE763" s="164"/>
      <c r="AF763" s="25"/>
      <c r="AG763" s="26"/>
      <c r="AH763" s="275"/>
      <c r="AI763" s="52"/>
      <c r="AJ763" s="35"/>
      <c r="AK763" s="289"/>
      <c r="AL763" s="290"/>
      <c r="AM763" s="211"/>
      <c r="AN763" s="164"/>
      <c r="AO763" s="76"/>
      <c r="AP763" s="44"/>
      <c r="AQ763" s="275"/>
      <c r="AR763" s="52"/>
      <c r="AS763" s="35"/>
      <c r="AT763" s="79"/>
      <c r="AU763" s="212"/>
      <c r="AV763" s="164"/>
      <c r="AW763" s="164"/>
      <c r="AX763" s="76"/>
      <c r="AY763" s="44"/>
      <c r="AZ763" s="275"/>
      <c r="BA763" s="52"/>
      <c r="BB763" s="35"/>
      <c r="BC763" s="79"/>
      <c r="BD763" s="230"/>
      <c r="BE763" s="211"/>
      <c r="BF763" s="164"/>
      <c r="BG763" s="76"/>
      <c r="BH763" s="44"/>
      <c r="BI763" s="275"/>
      <c r="BJ763" s="52"/>
      <c r="BK763" s="35"/>
      <c r="BL763" s="79"/>
      <c r="BM763" s="230"/>
      <c r="BN763" s="211"/>
      <c r="BO763" s="164"/>
      <c r="BP763" s="76"/>
      <c r="BQ763" s="44"/>
      <c r="BR763" s="299"/>
      <c r="BS763" s="52"/>
      <c r="BT763" s="35"/>
      <c r="BU763" s="79"/>
      <c r="BV763" s="212"/>
      <c r="BW763" s="304"/>
      <c r="BX763" s="313"/>
      <c r="BY763" s="138"/>
    </row>
    <row r="764" spans="1:77" ht="15" customHeight="1" x14ac:dyDescent="0.2">
      <c r="A764" s="57" t="s">
        <v>8</v>
      </c>
      <c r="B764" s="57"/>
      <c r="C764" s="583" t="s">
        <v>771</v>
      </c>
      <c r="D764" s="546">
        <v>73.442999999999998</v>
      </c>
      <c r="E764" s="162" t="s">
        <v>631</v>
      </c>
      <c r="F764" s="358"/>
      <c r="G764" s="65"/>
      <c r="H764" s="73"/>
      <c r="I764" s="90"/>
      <c r="J764" s="73"/>
      <c r="K764" s="66"/>
      <c r="L764" s="717"/>
      <c r="M764" s="73"/>
      <c r="N764" s="738">
        <v>0.21199200000000001</v>
      </c>
      <c r="O764" s="1041"/>
      <c r="P764" s="73"/>
      <c r="Q764" s="738"/>
      <c r="R764" s="1041"/>
      <c r="S764" s="73"/>
      <c r="T764" s="738"/>
      <c r="U764" s="73"/>
      <c r="V764" s="66"/>
      <c r="W764" s="788">
        <f t="shared" si="400"/>
        <v>1.58994E-4</v>
      </c>
      <c r="X764" s="789">
        <f t="shared" si="401"/>
        <v>1.58994E-4</v>
      </c>
      <c r="Y764" s="52">
        <v>2010</v>
      </c>
      <c r="Z764" s="52"/>
      <c r="AA764" s="787">
        <f>+N764/1000</f>
        <v>2.1199200000000001E-4</v>
      </c>
      <c r="AB764" s="256">
        <v>-0.25</v>
      </c>
      <c r="AC764" s="688">
        <f t="shared" si="402"/>
        <v>-0.25</v>
      </c>
      <c r="AD764" s="164"/>
      <c r="AE764" s="164"/>
      <c r="AF764" s="25"/>
      <c r="AG764" s="26"/>
      <c r="AH764" s="275"/>
      <c r="AI764" s="52"/>
      <c r="AJ764" s="35"/>
      <c r="AK764" s="289"/>
      <c r="AL764" s="290"/>
      <c r="AM764" s="211"/>
      <c r="AN764" s="164"/>
      <c r="AO764" s="76"/>
      <c r="AP764" s="44"/>
      <c r="AQ764" s="275"/>
      <c r="AR764" s="52"/>
      <c r="AS764" s="35"/>
      <c r="AT764" s="79"/>
      <c r="AU764" s="212"/>
      <c r="AV764" s="164"/>
      <c r="AW764" s="164"/>
      <c r="AX764" s="76"/>
      <c r="AY764" s="44"/>
      <c r="AZ764" s="275"/>
      <c r="BA764" s="52"/>
      <c r="BB764" s="35"/>
      <c r="BC764" s="79"/>
      <c r="BD764" s="230"/>
      <c r="BE764" s="211"/>
      <c r="BF764" s="164"/>
      <c r="BG764" s="76"/>
      <c r="BH764" s="44"/>
      <c r="BI764" s="275"/>
      <c r="BJ764" s="52"/>
      <c r="BK764" s="35"/>
      <c r="BL764" s="79"/>
      <c r="BM764" s="230"/>
      <c r="BN764" s="211"/>
      <c r="BO764" s="164"/>
      <c r="BP764" s="76"/>
      <c r="BQ764" s="44"/>
      <c r="BR764" s="299"/>
      <c r="BS764" s="52"/>
      <c r="BT764" s="35"/>
      <c r="BU764" s="79"/>
      <c r="BV764" s="212"/>
      <c r="BW764" s="304"/>
      <c r="BX764" s="313"/>
      <c r="BY764" s="138"/>
    </row>
    <row r="765" spans="1:77" ht="15" customHeight="1" x14ac:dyDescent="0.2">
      <c r="A765" s="191" t="s">
        <v>11</v>
      </c>
      <c r="B765" s="583" t="s">
        <v>1606</v>
      </c>
      <c r="C765" s="191"/>
      <c r="D765" s="546">
        <v>4338.027</v>
      </c>
      <c r="E765" s="1101" t="s">
        <v>2896</v>
      </c>
      <c r="F765" s="1287"/>
      <c r="G765" s="1288">
        <v>25.204000000000001</v>
      </c>
      <c r="H765" s="1289">
        <v>31.858000000000001</v>
      </c>
      <c r="I765" s="1290"/>
      <c r="J765" s="1288">
        <v>22.245000000000001</v>
      </c>
      <c r="K765" s="1288">
        <v>30.012</v>
      </c>
      <c r="L765" s="1290"/>
      <c r="M765" s="1288">
        <v>20.968</v>
      </c>
      <c r="N765" s="1288">
        <v>28.085000000000001</v>
      </c>
      <c r="O765" s="1284"/>
      <c r="P765" s="1288">
        <v>18.812999999999999</v>
      </c>
      <c r="Q765" s="1291">
        <v>24.247</v>
      </c>
      <c r="R765" s="1284">
        <v>2017</v>
      </c>
      <c r="S765" s="1288">
        <v>20.253</v>
      </c>
      <c r="T765" s="1291">
        <v>25.02</v>
      </c>
      <c r="U765" s="192"/>
      <c r="V765" s="193"/>
      <c r="W765" s="594"/>
      <c r="X765" s="595"/>
      <c r="Y765" s="52">
        <v>1990</v>
      </c>
      <c r="Z765" s="195"/>
      <c r="AA765" s="597"/>
      <c r="AB765" s="824">
        <v>-0.2</v>
      </c>
      <c r="AC765" s="825">
        <v>-0.3</v>
      </c>
      <c r="AD765" s="154"/>
      <c r="AE765" s="154"/>
      <c r="AF765" s="598"/>
      <c r="AG765" s="599"/>
      <c r="AH765" s="275"/>
      <c r="AI765" s="195"/>
      <c r="AJ765" s="153"/>
      <c r="AK765" s="196"/>
      <c r="AL765" s="291"/>
      <c r="AM765" s="213"/>
      <c r="AN765" s="154"/>
      <c r="AO765" s="198"/>
      <c r="AP765" s="199"/>
      <c r="AQ765" s="275"/>
      <c r="AR765" s="195"/>
      <c r="AS765" s="153"/>
      <c r="AT765" s="840">
        <v>0.55000000000000004</v>
      </c>
      <c r="AU765" s="688">
        <v>0.55000000000000004</v>
      </c>
      <c r="AV765" s="154"/>
      <c r="AW765" s="154"/>
      <c r="AX765" s="198"/>
      <c r="AY765" s="199"/>
      <c r="AZ765" s="275"/>
      <c r="BA765" s="195"/>
      <c r="BB765" s="153"/>
      <c r="BC765" s="197"/>
      <c r="BD765" s="231"/>
      <c r="BE765" s="213"/>
      <c r="BF765" s="154"/>
      <c r="BG765" s="198"/>
      <c r="BH765" s="199"/>
      <c r="BI765" s="275"/>
      <c r="BJ765" s="195"/>
      <c r="BK765" s="153"/>
      <c r="BL765" s="197"/>
      <c r="BM765" s="231"/>
      <c r="BN765" s="213"/>
      <c r="BO765" s="154"/>
      <c r="BP765" s="198"/>
      <c r="BQ765" s="199"/>
      <c r="BR765" s="299"/>
      <c r="BS765" s="195"/>
      <c r="BT765" s="153"/>
      <c r="BU765" s="197"/>
      <c r="BV765" s="214"/>
      <c r="BW765" s="305"/>
      <c r="BX765" s="314"/>
      <c r="BY765" s="200"/>
    </row>
    <row r="766" spans="1:77" ht="15" customHeight="1" x14ac:dyDescent="0.2">
      <c r="A766" s="191" t="s">
        <v>11</v>
      </c>
      <c r="B766" s="191"/>
      <c r="C766" s="793" t="s">
        <v>782</v>
      </c>
      <c r="D766" s="546">
        <v>2.802</v>
      </c>
      <c r="E766" s="162" t="s">
        <v>631</v>
      </c>
      <c r="F766" s="360"/>
      <c r="G766" s="192"/>
      <c r="H766" s="192"/>
      <c r="I766" s="194"/>
      <c r="J766" s="192"/>
      <c r="K766" s="193"/>
      <c r="L766" s="718">
        <v>2011</v>
      </c>
      <c r="M766" s="192"/>
      <c r="N766" s="794">
        <v>8.2299999999999995E-3</v>
      </c>
      <c r="O766" s="1042"/>
      <c r="P766" s="192"/>
      <c r="Q766" s="794"/>
      <c r="R766" s="1042"/>
      <c r="S766" s="192"/>
      <c r="T766" s="794"/>
      <c r="U766" s="192"/>
      <c r="V766" s="193"/>
      <c r="W766" s="788">
        <f t="shared" ref="W766:W777" si="408">AA766*(1+AB766)</f>
        <v>5.7609999999999987E-6</v>
      </c>
      <c r="X766" s="789">
        <f t="shared" ref="X766:X777" si="409">AA766*(1+AC766)</f>
        <v>5.7609999999999987E-6</v>
      </c>
      <c r="Y766" s="52">
        <v>2011</v>
      </c>
      <c r="Z766" s="52"/>
      <c r="AA766" s="787">
        <f t="shared" ref="AA766:AA777" si="410">+N766/1000</f>
        <v>8.2299999999999991E-6</v>
      </c>
      <c r="AB766" s="256">
        <v>-0.3</v>
      </c>
      <c r="AC766" s="688">
        <f t="shared" ref="AC766:AC777" si="411">AB766</f>
        <v>-0.3</v>
      </c>
      <c r="AD766" s="154"/>
      <c r="AE766" s="154"/>
      <c r="AF766" s="598"/>
      <c r="AG766" s="599"/>
      <c r="AH766" s="275"/>
      <c r="AI766" s="195"/>
      <c r="AJ766" s="153"/>
      <c r="AK766" s="196"/>
      <c r="AL766" s="291"/>
      <c r="AM766" s="213"/>
      <c r="AN766" s="154"/>
      <c r="AO766" s="198"/>
      <c r="AP766" s="199"/>
      <c r="AQ766" s="275"/>
      <c r="AR766" s="195"/>
      <c r="AS766" s="153"/>
      <c r="AT766" s="197"/>
      <c r="AU766" s="214"/>
      <c r="AV766" s="154"/>
      <c r="AW766" s="154"/>
      <c r="AX766" s="198"/>
      <c r="AY766" s="199"/>
      <c r="AZ766" s="275"/>
      <c r="BA766" s="195"/>
      <c r="BB766" s="153"/>
      <c r="BC766" s="197"/>
      <c r="BD766" s="231"/>
      <c r="BE766" s="213"/>
      <c r="BF766" s="154"/>
      <c r="BG766" s="198"/>
      <c r="BH766" s="199"/>
      <c r="BI766" s="275"/>
      <c r="BJ766" s="195"/>
      <c r="BK766" s="153"/>
      <c r="BL766" s="197"/>
      <c r="BM766" s="231"/>
      <c r="BN766" s="213"/>
      <c r="BO766" s="154"/>
      <c r="BP766" s="198"/>
      <c r="BQ766" s="199"/>
      <c r="BR766" s="299"/>
      <c r="BS766" s="195"/>
      <c r="BT766" s="153"/>
      <c r="BU766" s="197"/>
      <c r="BV766" s="214"/>
      <c r="BW766" s="305"/>
      <c r="BX766" s="314"/>
      <c r="BY766" s="200"/>
    </row>
    <row r="767" spans="1:77" ht="15" customHeight="1" x14ac:dyDescent="0.2">
      <c r="A767" s="191" t="s">
        <v>11</v>
      </c>
      <c r="B767" s="191"/>
      <c r="C767" s="793" t="s">
        <v>783</v>
      </c>
      <c r="D767" s="546">
        <v>11.426</v>
      </c>
      <c r="E767" s="162" t="s">
        <v>631</v>
      </c>
      <c r="F767" s="360"/>
      <c r="G767" s="192"/>
      <c r="H767" s="192"/>
      <c r="I767" s="194"/>
      <c r="J767" s="192"/>
      <c r="K767" s="193"/>
      <c r="L767" s="718">
        <v>2011</v>
      </c>
      <c r="M767" s="192"/>
      <c r="N767" s="794">
        <v>1.8967999999999999E-2</v>
      </c>
      <c r="O767" s="1042"/>
      <c r="P767" s="192"/>
      <c r="Q767" s="794"/>
      <c r="R767" s="1042"/>
      <c r="S767" s="192"/>
      <c r="T767" s="794"/>
      <c r="U767" s="192"/>
      <c r="V767" s="193"/>
      <c r="W767" s="788">
        <f t="shared" si="408"/>
        <v>1.3467279999999998E-5</v>
      </c>
      <c r="X767" s="789">
        <f t="shared" si="409"/>
        <v>1.3467279999999998E-5</v>
      </c>
      <c r="Y767" s="52">
        <v>2011</v>
      </c>
      <c r="Z767" s="52"/>
      <c r="AA767" s="787">
        <f t="shared" si="410"/>
        <v>1.8967999999999999E-5</v>
      </c>
      <c r="AB767" s="256">
        <v>-0.28999999999999998</v>
      </c>
      <c r="AC767" s="688">
        <f t="shared" si="411"/>
        <v>-0.28999999999999998</v>
      </c>
      <c r="AD767" s="154"/>
      <c r="AE767" s="154"/>
      <c r="AF767" s="598"/>
      <c r="AG767" s="599"/>
      <c r="AH767" s="275"/>
      <c r="AI767" s="195"/>
      <c r="AJ767" s="153"/>
      <c r="AK767" s="196"/>
      <c r="AL767" s="291"/>
      <c r="AM767" s="213"/>
      <c r="AN767" s="154"/>
      <c r="AO767" s="198"/>
      <c r="AP767" s="199"/>
      <c r="AQ767" s="275"/>
      <c r="AR767" s="195"/>
      <c r="AS767" s="153"/>
      <c r="AT767" s="197"/>
      <c r="AU767" s="214"/>
      <c r="AV767" s="154"/>
      <c r="AW767" s="154"/>
      <c r="AX767" s="198"/>
      <c r="AY767" s="199"/>
      <c r="AZ767" s="275"/>
      <c r="BA767" s="195"/>
      <c r="BB767" s="153"/>
      <c r="BC767" s="197"/>
      <c r="BD767" s="231"/>
      <c r="BE767" s="213"/>
      <c r="BF767" s="154"/>
      <c r="BG767" s="198"/>
      <c r="BH767" s="199"/>
      <c r="BI767" s="275"/>
      <c r="BJ767" s="195"/>
      <c r="BK767" s="153"/>
      <c r="BL767" s="197"/>
      <c r="BM767" s="231"/>
      <c r="BN767" s="213"/>
      <c r="BO767" s="154"/>
      <c r="BP767" s="198"/>
      <c r="BQ767" s="199"/>
      <c r="BR767" s="299"/>
      <c r="BS767" s="195"/>
      <c r="BT767" s="153"/>
      <c r="BU767" s="197"/>
      <c r="BV767" s="214"/>
      <c r="BW767" s="305"/>
      <c r="BX767" s="314"/>
      <c r="BY767" s="200"/>
    </row>
    <row r="768" spans="1:77" ht="15" customHeight="1" x14ac:dyDescent="0.2">
      <c r="A768" s="191" t="s">
        <v>11</v>
      </c>
      <c r="B768" s="191"/>
      <c r="C768" s="793" t="s">
        <v>780</v>
      </c>
      <c r="D768" s="546">
        <v>6.1050000000000004</v>
      </c>
      <c r="E768" s="162" t="s">
        <v>631</v>
      </c>
      <c r="F768" s="360"/>
      <c r="G768" s="192"/>
      <c r="H768" s="192"/>
      <c r="I768" s="194"/>
      <c r="J768" s="192"/>
      <c r="K768" s="193"/>
      <c r="L768" s="718">
        <v>2011</v>
      </c>
      <c r="M768" s="192"/>
      <c r="N768" s="794">
        <v>2.9637E-2</v>
      </c>
      <c r="O768" s="1042"/>
      <c r="P768" s="192"/>
      <c r="Q768" s="794"/>
      <c r="R768" s="1042"/>
      <c r="S768" s="192"/>
      <c r="T768" s="794"/>
      <c r="U768" s="192"/>
      <c r="V768" s="193"/>
      <c r="W768" s="788">
        <f t="shared" si="408"/>
        <v>2.193138E-5</v>
      </c>
      <c r="X768" s="789">
        <f t="shared" si="409"/>
        <v>2.193138E-5</v>
      </c>
      <c r="Y768" s="52">
        <v>2011</v>
      </c>
      <c r="Z768" s="52"/>
      <c r="AA768" s="787">
        <f t="shared" si="410"/>
        <v>2.9637000000000001E-5</v>
      </c>
      <c r="AB768" s="256">
        <v>-0.26</v>
      </c>
      <c r="AC768" s="688">
        <f t="shared" si="411"/>
        <v>-0.26</v>
      </c>
      <c r="AD768" s="154"/>
      <c r="AE768" s="154"/>
      <c r="AF768" s="598"/>
      <c r="AG768" s="599"/>
      <c r="AH768" s="275"/>
      <c r="AI768" s="195"/>
      <c r="AJ768" s="153"/>
      <c r="AK768" s="196"/>
      <c r="AL768" s="291"/>
      <c r="AM768" s="213"/>
      <c r="AN768" s="154"/>
      <c r="AO768" s="198"/>
      <c r="AP768" s="199"/>
      <c r="AQ768" s="275"/>
      <c r="AR768" s="195"/>
      <c r="AS768" s="153"/>
      <c r="AT768" s="197"/>
      <c r="AU768" s="214"/>
      <c r="AV768" s="154"/>
      <c r="AW768" s="154"/>
      <c r="AX768" s="198"/>
      <c r="AY768" s="199"/>
      <c r="AZ768" s="275"/>
      <c r="BA768" s="195"/>
      <c r="BB768" s="153"/>
      <c r="BC768" s="197"/>
      <c r="BD768" s="231"/>
      <c r="BE768" s="213"/>
      <c r="BF768" s="154"/>
      <c r="BG768" s="198"/>
      <c r="BH768" s="199"/>
      <c r="BI768" s="275"/>
      <c r="BJ768" s="195"/>
      <c r="BK768" s="153"/>
      <c r="BL768" s="197"/>
      <c r="BM768" s="231"/>
      <c r="BN768" s="213"/>
      <c r="BO768" s="154"/>
      <c r="BP768" s="198"/>
      <c r="BQ768" s="199"/>
      <c r="BR768" s="299"/>
      <c r="BS768" s="195"/>
      <c r="BT768" s="153"/>
      <c r="BU768" s="197"/>
      <c r="BV768" s="214"/>
      <c r="BW768" s="305"/>
      <c r="BX768" s="314"/>
      <c r="BY768" s="200"/>
    </row>
    <row r="769" spans="1:77" ht="15" customHeight="1" x14ac:dyDescent="0.2">
      <c r="A769" s="191" t="s">
        <v>11</v>
      </c>
      <c r="B769" s="191"/>
      <c r="C769" s="793" t="s">
        <v>784</v>
      </c>
      <c r="D769" s="546">
        <v>0.78500000000000003</v>
      </c>
      <c r="E769" s="162" t="s">
        <v>631</v>
      </c>
      <c r="F769" s="360"/>
      <c r="G769" s="192"/>
      <c r="H769" s="192"/>
      <c r="I769" s="194"/>
      <c r="J769" s="192"/>
      <c r="K769" s="193"/>
      <c r="L769" s="718">
        <v>2011</v>
      </c>
      <c r="M769" s="192"/>
      <c r="N769" s="795">
        <v>2.9099999999999998E-3</v>
      </c>
      <c r="O769" s="1042"/>
      <c r="P769" s="192"/>
      <c r="Q769" s="795"/>
      <c r="R769" s="1042"/>
      <c r="S769" s="192"/>
      <c r="T769" s="795"/>
      <c r="U769" s="192"/>
      <c r="V769" s="193"/>
      <c r="W769" s="788">
        <f t="shared" si="408"/>
        <v>2.1242999999999997E-6</v>
      </c>
      <c r="X769" s="789">
        <f t="shared" si="409"/>
        <v>2.1242999999999997E-6</v>
      </c>
      <c r="Y769" s="52">
        <v>2011</v>
      </c>
      <c r="Z769" s="52"/>
      <c r="AA769" s="787">
        <f t="shared" si="410"/>
        <v>2.9099999999999997E-6</v>
      </c>
      <c r="AB769" s="256">
        <v>-0.27</v>
      </c>
      <c r="AC769" s="688">
        <f t="shared" si="411"/>
        <v>-0.27</v>
      </c>
      <c r="AD769" s="154"/>
      <c r="AE769" s="154"/>
      <c r="AF769" s="598"/>
      <c r="AG769" s="599"/>
      <c r="AH769" s="275"/>
      <c r="AI769" s="195"/>
      <c r="AJ769" s="153"/>
      <c r="AK769" s="196"/>
      <c r="AL769" s="291"/>
      <c r="AM769" s="213"/>
      <c r="AN769" s="154"/>
      <c r="AO769" s="198"/>
      <c r="AP769" s="199"/>
      <c r="AQ769" s="275"/>
      <c r="AR769" s="195"/>
      <c r="AS769" s="153"/>
      <c r="AT769" s="197"/>
      <c r="AU769" s="214"/>
      <c r="AV769" s="154"/>
      <c r="AW769" s="154"/>
      <c r="AX769" s="198"/>
      <c r="AY769" s="199"/>
      <c r="AZ769" s="275"/>
      <c r="BA769" s="195"/>
      <c r="BB769" s="153"/>
      <c r="BC769" s="197"/>
      <c r="BD769" s="231"/>
      <c r="BE769" s="213"/>
      <c r="BF769" s="154"/>
      <c r="BG769" s="198"/>
      <c r="BH769" s="199"/>
      <c r="BI769" s="275"/>
      <c r="BJ769" s="195"/>
      <c r="BK769" s="153"/>
      <c r="BL769" s="197"/>
      <c r="BM769" s="231"/>
      <c r="BN769" s="213"/>
      <c r="BO769" s="154"/>
      <c r="BP769" s="198"/>
      <c r="BQ769" s="199"/>
      <c r="BR769" s="299"/>
      <c r="BS769" s="195"/>
      <c r="BT769" s="153"/>
      <c r="BU769" s="197"/>
      <c r="BV769" s="214"/>
      <c r="BW769" s="305"/>
      <c r="BX769" s="314"/>
      <c r="BY769" s="200"/>
    </row>
    <row r="770" spans="1:77" ht="15" customHeight="1" x14ac:dyDescent="0.2">
      <c r="A770" s="191" t="s">
        <v>11</v>
      </c>
      <c r="B770" s="191"/>
      <c r="C770" s="793" t="s">
        <v>786</v>
      </c>
      <c r="D770" s="546">
        <v>5.4189999999999996</v>
      </c>
      <c r="E770" s="162" t="s">
        <v>631</v>
      </c>
      <c r="F770" s="360"/>
      <c r="G770" s="192"/>
      <c r="H770" s="192"/>
      <c r="I770" s="194"/>
      <c r="J770" s="192"/>
      <c r="K770" s="193"/>
      <c r="L770" s="718">
        <v>2009</v>
      </c>
      <c r="M770" s="192"/>
      <c r="N770" s="794">
        <v>4.9424999999999997E-2</v>
      </c>
      <c r="O770" s="1042"/>
      <c r="P770" s="192"/>
      <c r="Q770" s="794"/>
      <c r="R770" s="1042"/>
      <c r="S770" s="192"/>
      <c r="T770" s="794"/>
      <c r="U770" s="192"/>
      <c r="V770" s="193"/>
      <c r="W770" s="788">
        <f t="shared" si="408"/>
        <v>3.4597499999999995E-5</v>
      </c>
      <c r="X770" s="789">
        <f t="shared" si="409"/>
        <v>3.4597499999999995E-5</v>
      </c>
      <c r="Y770" s="52">
        <v>2009</v>
      </c>
      <c r="Z770" s="52"/>
      <c r="AA770" s="787">
        <f t="shared" si="410"/>
        <v>4.9424999999999995E-5</v>
      </c>
      <c r="AB770" s="256">
        <v>-0.3</v>
      </c>
      <c r="AC770" s="688">
        <f t="shared" si="411"/>
        <v>-0.3</v>
      </c>
      <c r="AD770" s="154"/>
      <c r="AE770" s="154"/>
      <c r="AF770" s="598"/>
      <c r="AG770" s="599"/>
      <c r="AH770" s="275"/>
      <c r="AI770" s="195"/>
      <c r="AJ770" s="153"/>
      <c r="AK770" s="196"/>
      <c r="AL770" s="291"/>
      <c r="AM770" s="213"/>
      <c r="AN770" s="154"/>
      <c r="AO770" s="198"/>
      <c r="AP770" s="199"/>
      <c r="AQ770" s="275"/>
      <c r="AR770" s="195"/>
      <c r="AS770" s="153"/>
      <c r="AT770" s="197"/>
      <c r="AU770" s="214"/>
      <c r="AV770" s="154"/>
      <c r="AW770" s="154"/>
      <c r="AX770" s="198"/>
      <c r="AY770" s="199"/>
      <c r="AZ770" s="275"/>
      <c r="BA770" s="195"/>
      <c r="BB770" s="153"/>
      <c r="BC770" s="197"/>
      <c r="BD770" s="231"/>
      <c r="BE770" s="213"/>
      <c r="BF770" s="154"/>
      <c r="BG770" s="198"/>
      <c r="BH770" s="199"/>
      <c r="BI770" s="275"/>
      <c r="BJ770" s="195"/>
      <c r="BK770" s="153"/>
      <c r="BL770" s="197"/>
      <c r="BM770" s="231"/>
      <c r="BN770" s="213"/>
      <c r="BO770" s="154"/>
      <c r="BP770" s="198"/>
      <c r="BQ770" s="199"/>
      <c r="BR770" s="299"/>
      <c r="BS770" s="195"/>
      <c r="BT770" s="153"/>
      <c r="BU770" s="197"/>
      <c r="BV770" s="214"/>
      <c r="BW770" s="305"/>
      <c r="BX770" s="314"/>
      <c r="BY770" s="200"/>
    </row>
    <row r="771" spans="1:77" ht="15" customHeight="1" x14ac:dyDescent="0.2">
      <c r="A771" s="191" t="s">
        <v>11</v>
      </c>
      <c r="B771" s="191"/>
      <c r="C771" s="793" t="s">
        <v>789</v>
      </c>
      <c r="D771" s="546">
        <v>3.234</v>
      </c>
      <c r="E771" s="162" t="s">
        <v>631</v>
      </c>
      <c r="F771" s="360"/>
      <c r="G771" s="192"/>
      <c r="H771" s="192"/>
      <c r="I771" s="194"/>
      <c r="J771" s="192"/>
      <c r="K771" s="193"/>
      <c r="L771" s="718">
        <v>2008</v>
      </c>
      <c r="M771" s="192"/>
      <c r="N771" s="794">
        <v>6.5570000000000003E-3</v>
      </c>
      <c r="O771" s="1042"/>
      <c r="P771" s="192"/>
      <c r="Q771" s="794"/>
      <c r="R771" s="1042"/>
      <c r="S771" s="192"/>
      <c r="T771" s="794"/>
      <c r="U771" s="192"/>
      <c r="V771" s="193"/>
      <c r="W771" s="788">
        <f t="shared" si="408"/>
        <v>4.7866099999999999E-6</v>
      </c>
      <c r="X771" s="789">
        <f t="shared" si="409"/>
        <v>4.7866099999999999E-6</v>
      </c>
      <c r="Y771" s="52">
        <v>2008</v>
      </c>
      <c r="Z771" s="52"/>
      <c r="AA771" s="787">
        <f t="shared" si="410"/>
        <v>6.5570000000000001E-6</v>
      </c>
      <c r="AB771" s="256">
        <v>-0.27</v>
      </c>
      <c r="AC771" s="688">
        <f t="shared" si="411"/>
        <v>-0.27</v>
      </c>
      <c r="AD771" s="154"/>
      <c r="AE771" s="154"/>
      <c r="AF771" s="598"/>
      <c r="AG771" s="599"/>
      <c r="AH771" s="275"/>
      <c r="AI771" s="195"/>
      <c r="AJ771" s="153"/>
      <c r="AK771" s="196"/>
      <c r="AL771" s="291"/>
      <c r="AM771" s="213"/>
      <c r="AN771" s="154"/>
      <c r="AO771" s="198"/>
      <c r="AP771" s="199"/>
      <c r="AQ771" s="275"/>
      <c r="AR771" s="195"/>
      <c r="AS771" s="153"/>
      <c r="AT771" s="197"/>
      <c r="AU771" s="214"/>
      <c r="AV771" s="154"/>
      <c r="AW771" s="154"/>
      <c r="AX771" s="198"/>
      <c r="AY771" s="199"/>
      <c r="AZ771" s="275"/>
      <c r="BA771" s="195"/>
      <c r="BB771" s="153"/>
      <c r="BC771" s="197"/>
      <c r="BD771" s="231"/>
      <c r="BE771" s="213"/>
      <c r="BF771" s="154"/>
      <c r="BG771" s="198"/>
      <c r="BH771" s="199"/>
      <c r="BI771" s="275"/>
      <c r="BJ771" s="195"/>
      <c r="BK771" s="153"/>
      <c r="BL771" s="197"/>
      <c r="BM771" s="231"/>
      <c r="BN771" s="213"/>
      <c r="BO771" s="154"/>
      <c r="BP771" s="198"/>
      <c r="BQ771" s="199"/>
      <c r="BR771" s="299"/>
      <c r="BS771" s="195"/>
      <c r="BT771" s="153"/>
      <c r="BU771" s="197"/>
      <c r="BV771" s="214"/>
      <c r="BW771" s="305"/>
      <c r="BX771" s="314"/>
      <c r="BY771" s="200"/>
    </row>
    <row r="772" spans="1:77" ht="15" customHeight="1" x14ac:dyDescent="0.2">
      <c r="A772" s="191" t="s">
        <v>11</v>
      </c>
      <c r="B772" s="191"/>
      <c r="C772" s="793" t="s">
        <v>788</v>
      </c>
      <c r="D772" s="546">
        <v>30.872</v>
      </c>
      <c r="E772" s="162" t="s">
        <v>631</v>
      </c>
      <c r="F772" s="360"/>
      <c r="G772" s="192"/>
      <c r="H772" s="192"/>
      <c r="I772" s="194"/>
      <c r="J772" s="192"/>
      <c r="K772" s="193"/>
      <c r="L772" s="718">
        <v>2006</v>
      </c>
      <c r="M772" s="192"/>
      <c r="N772" s="794">
        <v>9.8971000000000003E-2</v>
      </c>
      <c r="O772" s="1042"/>
      <c r="P772" s="192"/>
      <c r="Q772" s="794"/>
      <c r="R772" s="1042"/>
      <c r="S772" s="192"/>
      <c r="T772" s="794"/>
      <c r="U772" s="192"/>
      <c r="V772" s="193"/>
      <c r="W772" s="788">
        <f t="shared" si="408"/>
        <v>4.9485499999999999E-5</v>
      </c>
      <c r="X772" s="789">
        <f t="shared" si="409"/>
        <v>4.9485499999999999E-5</v>
      </c>
      <c r="Y772" s="52">
        <v>2006</v>
      </c>
      <c r="Z772" s="52"/>
      <c r="AA772" s="787">
        <f t="shared" si="410"/>
        <v>9.8970999999999998E-5</v>
      </c>
      <c r="AB772" s="256">
        <v>-0.5</v>
      </c>
      <c r="AC772" s="688">
        <f t="shared" si="411"/>
        <v>-0.5</v>
      </c>
      <c r="AD772" s="154"/>
      <c r="AE772" s="154"/>
      <c r="AF772" s="598"/>
      <c r="AG772" s="599"/>
      <c r="AH772" s="275"/>
      <c r="AI772" s="195"/>
      <c r="AJ772" s="153"/>
      <c r="AK772" s="196"/>
      <c r="AL772" s="291"/>
      <c r="AM772" s="213"/>
      <c r="AN772" s="154"/>
      <c r="AO772" s="198"/>
      <c r="AP772" s="199"/>
      <c r="AQ772" s="275"/>
      <c r="AR772" s="195"/>
      <c r="AS772" s="153"/>
      <c r="AT772" s="197"/>
      <c r="AU772" s="214"/>
      <c r="AV772" s="154"/>
      <c r="AW772" s="154"/>
      <c r="AX772" s="198"/>
      <c r="AY772" s="199"/>
      <c r="AZ772" s="275"/>
      <c r="BA772" s="195"/>
      <c r="BB772" s="153"/>
      <c r="BC772" s="197"/>
      <c r="BD772" s="231"/>
      <c r="BE772" s="213"/>
      <c r="BF772" s="154"/>
      <c r="BG772" s="198"/>
      <c r="BH772" s="199"/>
      <c r="BI772" s="275"/>
      <c r="BJ772" s="195"/>
      <c r="BK772" s="153"/>
      <c r="BL772" s="197"/>
      <c r="BM772" s="231"/>
      <c r="BN772" s="213"/>
      <c r="BO772" s="154"/>
      <c r="BP772" s="198"/>
      <c r="BQ772" s="199"/>
      <c r="BR772" s="299"/>
      <c r="BS772" s="195"/>
      <c r="BT772" s="153"/>
      <c r="BU772" s="197"/>
      <c r="BV772" s="214"/>
      <c r="BW772" s="305"/>
      <c r="BX772" s="314"/>
      <c r="BY772" s="200"/>
    </row>
    <row r="773" spans="1:77" ht="15" customHeight="1" x14ac:dyDescent="0.2">
      <c r="A773" s="191" t="s">
        <v>11</v>
      </c>
      <c r="B773" s="191"/>
      <c r="C773" s="793" t="s">
        <v>785</v>
      </c>
      <c r="D773" s="546">
        <v>0.98099999999999998</v>
      </c>
      <c r="E773" s="162" t="s">
        <v>631</v>
      </c>
      <c r="F773" s="360"/>
      <c r="G773" s="192"/>
      <c r="H773" s="192"/>
      <c r="I773" s="194"/>
      <c r="J773" s="192"/>
      <c r="K773" s="193"/>
      <c r="L773" s="718">
        <v>2011</v>
      </c>
      <c r="M773" s="192"/>
      <c r="N773" s="795">
        <v>2.5200000000000001E-3</v>
      </c>
      <c r="O773" s="1042"/>
      <c r="P773" s="192"/>
      <c r="Q773" s="795"/>
      <c r="R773" s="1042"/>
      <c r="S773" s="192"/>
      <c r="T773" s="795"/>
      <c r="U773" s="192"/>
      <c r="V773" s="193"/>
      <c r="W773" s="788">
        <f t="shared" si="408"/>
        <v>1.8395999999999999E-6</v>
      </c>
      <c r="X773" s="789">
        <f t="shared" si="409"/>
        <v>1.8395999999999999E-6</v>
      </c>
      <c r="Y773" s="52">
        <v>2011</v>
      </c>
      <c r="Z773" s="52"/>
      <c r="AA773" s="787">
        <f t="shared" si="410"/>
        <v>2.52E-6</v>
      </c>
      <c r="AB773" s="256">
        <v>-0.27</v>
      </c>
      <c r="AC773" s="688">
        <f t="shared" si="411"/>
        <v>-0.27</v>
      </c>
      <c r="AD773" s="154"/>
      <c r="AE773" s="154"/>
      <c r="AF773" s="598"/>
      <c r="AG773" s="599"/>
      <c r="AH773" s="275"/>
      <c r="AI773" s="195"/>
      <c r="AJ773" s="153"/>
      <c r="AK773" s="196"/>
      <c r="AL773" s="291"/>
      <c r="AM773" s="213"/>
      <c r="AN773" s="154"/>
      <c r="AO773" s="198"/>
      <c r="AP773" s="199"/>
      <c r="AQ773" s="275"/>
      <c r="AR773" s="195"/>
      <c r="AS773" s="153"/>
      <c r="AT773" s="197"/>
      <c r="AU773" s="214"/>
      <c r="AV773" s="154"/>
      <c r="AW773" s="154"/>
      <c r="AX773" s="198"/>
      <c r="AY773" s="199"/>
      <c r="AZ773" s="275"/>
      <c r="BA773" s="195"/>
      <c r="BB773" s="153"/>
      <c r="BC773" s="197"/>
      <c r="BD773" s="231"/>
      <c r="BE773" s="213"/>
      <c r="BF773" s="154"/>
      <c r="BG773" s="198"/>
      <c r="BH773" s="199"/>
      <c r="BI773" s="275"/>
      <c r="BJ773" s="195"/>
      <c r="BK773" s="153"/>
      <c r="BL773" s="197"/>
      <c r="BM773" s="231"/>
      <c r="BN773" s="213"/>
      <c r="BO773" s="154"/>
      <c r="BP773" s="198"/>
      <c r="BQ773" s="199"/>
      <c r="BR773" s="299"/>
      <c r="BS773" s="195"/>
      <c r="BT773" s="153"/>
      <c r="BU773" s="197"/>
      <c r="BV773" s="214"/>
      <c r="BW773" s="305"/>
      <c r="BX773" s="314"/>
      <c r="BY773" s="200"/>
    </row>
    <row r="774" spans="1:77" ht="15" customHeight="1" x14ac:dyDescent="0.2">
      <c r="A774" s="191" t="s">
        <v>11</v>
      </c>
      <c r="B774" s="191"/>
      <c r="C774" s="793" t="s">
        <v>779</v>
      </c>
      <c r="D774" s="546">
        <v>19.696000000000002</v>
      </c>
      <c r="E774" s="162" t="s">
        <v>631</v>
      </c>
      <c r="F774" s="360"/>
      <c r="G774" s="192"/>
      <c r="H774" s="192"/>
      <c r="I774" s="194"/>
      <c r="J774" s="192"/>
      <c r="K774" s="193"/>
      <c r="L774" s="718">
        <v>2011</v>
      </c>
      <c r="M774" s="192"/>
      <c r="N774" s="794">
        <v>0.110747</v>
      </c>
      <c r="O774" s="1042"/>
      <c r="P774" s="192"/>
      <c r="Q774" s="794"/>
      <c r="R774" s="1042"/>
      <c r="S774" s="192"/>
      <c r="T774" s="794"/>
      <c r="U774" s="192"/>
      <c r="V774" s="193"/>
      <c r="W774" s="788">
        <f t="shared" si="408"/>
        <v>8.3060249999999998E-5</v>
      </c>
      <c r="X774" s="789">
        <f t="shared" si="409"/>
        <v>8.3060249999999998E-5</v>
      </c>
      <c r="Y774" s="52">
        <v>2011</v>
      </c>
      <c r="Z774" s="52"/>
      <c r="AA774" s="787">
        <f t="shared" si="410"/>
        <v>1.10747E-4</v>
      </c>
      <c r="AB774" s="256">
        <v>-0.25</v>
      </c>
      <c r="AC774" s="688">
        <f t="shared" si="411"/>
        <v>-0.25</v>
      </c>
      <c r="AD774" s="154"/>
      <c r="AE774" s="154"/>
      <c r="AF774" s="598"/>
      <c r="AG774" s="599"/>
      <c r="AH774" s="275"/>
      <c r="AI774" s="195"/>
      <c r="AJ774" s="153"/>
      <c r="AK774" s="196"/>
      <c r="AL774" s="291"/>
      <c r="AM774" s="213"/>
      <c r="AN774" s="154"/>
      <c r="AO774" s="198"/>
      <c r="AP774" s="199"/>
      <c r="AQ774" s="275"/>
      <c r="AR774" s="195"/>
      <c r="AS774" s="153"/>
      <c r="AT774" s="197"/>
      <c r="AU774" s="214"/>
      <c r="AV774" s="154"/>
      <c r="AW774" s="154"/>
      <c r="AX774" s="198"/>
      <c r="AY774" s="199"/>
      <c r="AZ774" s="275"/>
      <c r="BA774" s="195"/>
      <c r="BB774" s="153"/>
      <c r="BC774" s="197"/>
      <c r="BD774" s="231"/>
      <c r="BE774" s="213"/>
      <c r="BF774" s="154"/>
      <c r="BG774" s="198"/>
      <c r="BH774" s="199"/>
      <c r="BI774" s="275"/>
      <c r="BJ774" s="195"/>
      <c r="BK774" s="153"/>
      <c r="BL774" s="197"/>
      <c r="BM774" s="231"/>
      <c r="BN774" s="213"/>
      <c r="BO774" s="154"/>
      <c r="BP774" s="198"/>
      <c r="BQ774" s="199"/>
      <c r="BR774" s="299"/>
      <c r="BS774" s="195"/>
      <c r="BT774" s="153"/>
      <c r="BU774" s="197"/>
      <c r="BV774" s="214"/>
      <c r="BW774" s="305"/>
      <c r="BX774" s="314"/>
      <c r="BY774" s="200"/>
    </row>
    <row r="775" spans="1:77" ht="15" customHeight="1" x14ac:dyDescent="0.2">
      <c r="A775" s="191" t="s">
        <v>11</v>
      </c>
      <c r="B775" s="191"/>
      <c r="C775" s="793" t="s">
        <v>787</v>
      </c>
      <c r="D775" s="546">
        <v>15.506</v>
      </c>
      <c r="E775" s="162" t="s">
        <v>631</v>
      </c>
      <c r="F775" s="360"/>
      <c r="G775" s="192"/>
      <c r="H775" s="192"/>
      <c r="I775" s="194"/>
      <c r="J775" s="192"/>
      <c r="K775" s="193"/>
      <c r="L775" s="718">
        <v>2009</v>
      </c>
      <c r="M775" s="192"/>
      <c r="N775" s="794">
        <v>4.5242999999999998E-2</v>
      </c>
      <c r="O775" s="1042"/>
      <c r="P775" s="192"/>
      <c r="Q775" s="794"/>
      <c r="R775" s="1042"/>
      <c r="S775" s="192"/>
      <c r="T775" s="794"/>
      <c r="U775" s="192"/>
      <c r="V775" s="193"/>
      <c r="W775" s="788">
        <f t="shared" si="408"/>
        <v>3.3932250000000004E-5</v>
      </c>
      <c r="X775" s="789">
        <f t="shared" si="409"/>
        <v>3.3932250000000004E-5</v>
      </c>
      <c r="Y775" s="52">
        <v>2009</v>
      </c>
      <c r="Z775" s="52"/>
      <c r="AA775" s="787">
        <f t="shared" si="410"/>
        <v>4.5243E-5</v>
      </c>
      <c r="AB775" s="256">
        <v>-0.25</v>
      </c>
      <c r="AC775" s="688">
        <f t="shared" si="411"/>
        <v>-0.25</v>
      </c>
      <c r="AD775" s="154"/>
      <c r="AE775" s="154"/>
      <c r="AF775" s="598"/>
      <c r="AG775" s="599"/>
      <c r="AH775" s="275"/>
      <c r="AI775" s="195"/>
      <c r="AJ775" s="153"/>
      <c r="AK775" s="196"/>
      <c r="AL775" s="291"/>
      <c r="AM775" s="213"/>
      <c r="AN775" s="154"/>
      <c r="AO775" s="198"/>
      <c r="AP775" s="199"/>
      <c r="AQ775" s="275"/>
      <c r="AR775" s="195"/>
      <c r="AS775" s="153"/>
      <c r="AT775" s="197"/>
      <c r="AU775" s="214"/>
      <c r="AV775" s="154"/>
      <c r="AW775" s="154"/>
      <c r="AX775" s="198"/>
      <c r="AY775" s="199"/>
      <c r="AZ775" s="275"/>
      <c r="BA775" s="195"/>
      <c r="BB775" s="153"/>
      <c r="BC775" s="197"/>
      <c r="BD775" s="231"/>
      <c r="BE775" s="213"/>
      <c r="BF775" s="154"/>
      <c r="BG775" s="198"/>
      <c r="BH775" s="199"/>
      <c r="BI775" s="275"/>
      <c r="BJ775" s="195"/>
      <c r="BK775" s="153"/>
      <c r="BL775" s="197"/>
      <c r="BM775" s="231"/>
      <c r="BN775" s="213"/>
      <c r="BO775" s="154"/>
      <c r="BP775" s="198"/>
      <c r="BQ775" s="199"/>
      <c r="BR775" s="299"/>
      <c r="BS775" s="195"/>
      <c r="BT775" s="153"/>
      <c r="BU775" s="197"/>
      <c r="BV775" s="214"/>
      <c r="BW775" s="305"/>
      <c r="BX775" s="314"/>
      <c r="BY775" s="200"/>
    </row>
    <row r="776" spans="1:77" ht="15" customHeight="1" x14ac:dyDescent="0.2">
      <c r="A776" s="191" t="s">
        <v>11</v>
      </c>
      <c r="B776" s="191"/>
      <c r="C776" s="793" t="s">
        <v>781</v>
      </c>
      <c r="D776" s="546">
        <v>12.901</v>
      </c>
      <c r="E776" s="162" t="s">
        <v>631</v>
      </c>
      <c r="F776" s="360"/>
      <c r="G776" s="192"/>
      <c r="H776" s="192"/>
      <c r="I776" s="194"/>
      <c r="J776" s="192"/>
      <c r="K776" s="193"/>
      <c r="L776" s="718">
        <v>2011</v>
      </c>
      <c r="M776" s="192"/>
      <c r="N776" s="794">
        <v>9.4003000000000003E-2</v>
      </c>
      <c r="O776" s="1042"/>
      <c r="P776" s="192"/>
      <c r="Q776" s="794"/>
      <c r="R776" s="1042"/>
      <c r="S776" s="192"/>
      <c r="T776" s="794"/>
      <c r="U776" s="192"/>
      <c r="V776" s="193"/>
      <c r="W776" s="788">
        <f t="shared" si="408"/>
        <v>6.6742130000000001E-5</v>
      </c>
      <c r="X776" s="789">
        <f t="shared" si="409"/>
        <v>6.6742130000000001E-5</v>
      </c>
      <c r="Y776" s="52">
        <v>2011</v>
      </c>
      <c r="Z776" s="52"/>
      <c r="AA776" s="787">
        <f t="shared" si="410"/>
        <v>9.4003000000000001E-5</v>
      </c>
      <c r="AB776" s="256">
        <v>-0.28999999999999998</v>
      </c>
      <c r="AC776" s="688">
        <f t="shared" si="411"/>
        <v>-0.28999999999999998</v>
      </c>
      <c r="AD776" s="154"/>
      <c r="AE776" s="154"/>
      <c r="AF776" s="598"/>
      <c r="AG776" s="599"/>
      <c r="AH776" s="275"/>
      <c r="AI776" s="195"/>
      <c r="AJ776" s="153"/>
      <c r="AK776" s="196"/>
      <c r="AL776" s="291"/>
      <c r="AM776" s="213"/>
      <c r="AN776" s="154"/>
      <c r="AO776" s="198"/>
      <c r="AP776" s="199"/>
      <c r="AQ776" s="275"/>
      <c r="AR776" s="195"/>
      <c r="AS776" s="153"/>
      <c r="AT776" s="197"/>
      <c r="AU776" s="214"/>
      <c r="AV776" s="154"/>
      <c r="AW776" s="154"/>
      <c r="AX776" s="198"/>
      <c r="AY776" s="199"/>
      <c r="AZ776" s="275"/>
      <c r="BA776" s="195"/>
      <c r="BB776" s="153"/>
      <c r="BC776" s="197"/>
      <c r="BD776" s="231"/>
      <c r="BE776" s="213"/>
      <c r="BF776" s="154"/>
      <c r="BG776" s="198"/>
      <c r="BH776" s="199"/>
      <c r="BI776" s="275"/>
      <c r="BJ776" s="195"/>
      <c r="BK776" s="153"/>
      <c r="BL776" s="197"/>
      <c r="BM776" s="231"/>
      <c r="BN776" s="213"/>
      <c r="BO776" s="154"/>
      <c r="BP776" s="198"/>
      <c r="BQ776" s="199"/>
      <c r="BR776" s="299"/>
      <c r="BS776" s="195"/>
      <c r="BT776" s="153"/>
      <c r="BU776" s="197"/>
      <c r="BV776" s="214"/>
      <c r="BW776" s="305"/>
      <c r="BX776" s="314"/>
      <c r="BY776" s="200"/>
    </row>
    <row r="777" spans="1:77" ht="15" customHeight="1" x14ac:dyDescent="0.2">
      <c r="A777" s="191" t="s">
        <v>11</v>
      </c>
      <c r="B777" s="191"/>
      <c r="C777" s="793" t="s">
        <v>778</v>
      </c>
      <c r="D777" s="546">
        <v>63.517000000000003</v>
      </c>
      <c r="E777" s="162" t="s">
        <v>631</v>
      </c>
      <c r="F777" s="360"/>
      <c r="G777" s="192"/>
      <c r="H777" s="192"/>
      <c r="I777" s="194"/>
      <c r="J777" s="192"/>
      <c r="K777" s="193"/>
      <c r="L777" s="718">
        <v>2008</v>
      </c>
      <c r="M777" s="192"/>
      <c r="N777" s="794">
        <v>8.3402000000000004E-2</v>
      </c>
      <c r="O777" s="1042"/>
      <c r="P777" s="192"/>
      <c r="Q777" s="794"/>
      <c r="R777" s="1042"/>
      <c r="S777" s="192"/>
      <c r="T777" s="794"/>
      <c r="U777" s="192"/>
      <c r="V777" s="193"/>
      <c r="W777" s="788">
        <f t="shared" si="408"/>
        <v>4.0866979999999999E-5</v>
      </c>
      <c r="X777" s="789">
        <f t="shared" si="409"/>
        <v>4.0866979999999999E-5</v>
      </c>
      <c r="Y777" s="52">
        <v>2008</v>
      </c>
      <c r="Z777" s="52"/>
      <c r="AA777" s="787">
        <f t="shared" si="410"/>
        <v>8.3401999999999999E-5</v>
      </c>
      <c r="AB777" s="256">
        <v>-0.51</v>
      </c>
      <c r="AC777" s="688">
        <f t="shared" si="411"/>
        <v>-0.51</v>
      </c>
      <c r="AD777" s="154"/>
      <c r="AE777" s="154"/>
      <c r="AF777" s="598"/>
      <c r="AG777" s="599"/>
      <c r="AH777" s="275"/>
      <c r="AI777" s="195"/>
      <c r="AJ777" s="153"/>
      <c r="AK777" s="196"/>
      <c r="AL777" s="291"/>
      <c r="AM777" s="213"/>
      <c r="AN777" s="154"/>
      <c r="AO777" s="198"/>
      <c r="AP777" s="199"/>
      <c r="AQ777" s="275"/>
      <c r="AR777" s="195"/>
      <c r="AS777" s="153"/>
      <c r="AT777" s="197"/>
      <c r="AU777" s="214"/>
      <c r="AV777" s="154"/>
      <c r="AW777" s="154"/>
      <c r="AX777" s="198"/>
      <c r="AY777" s="199"/>
      <c r="AZ777" s="275"/>
      <c r="BA777" s="195"/>
      <c r="BB777" s="153"/>
      <c r="BC777" s="197"/>
      <c r="BD777" s="231"/>
      <c r="BE777" s="213"/>
      <c r="BF777" s="154"/>
      <c r="BG777" s="198"/>
      <c r="BH777" s="199"/>
      <c r="BI777" s="275"/>
      <c r="BJ777" s="195"/>
      <c r="BK777" s="153"/>
      <c r="BL777" s="197"/>
      <c r="BM777" s="231"/>
      <c r="BN777" s="213"/>
      <c r="BO777" s="154"/>
      <c r="BP777" s="198"/>
      <c r="BQ777" s="199"/>
      <c r="BR777" s="299"/>
      <c r="BS777" s="195"/>
      <c r="BT777" s="153"/>
      <c r="BU777" s="197"/>
      <c r="BV777" s="214"/>
      <c r="BW777" s="305"/>
      <c r="BX777" s="314"/>
      <c r="BY777" s="200"/>
    </row>
    <row r="778" spans="1:77" ht="15" customHeight="1" x14ac:dyDescent="0.2">
      <c r="A778" s="57" t="s">
        <v>62</v>
      </c>
      <c r="B778" s="583" t="s">
        <v>1606</v>
      </c>
      <c r="C778" s="57"/>
      <c r="D778" s="546">
        <v>1103.6849999999999</v>
      </c>
      <c r="E778" s="1101" t="s">
        <v>2896</v>
      </c>
      <c r="F778" s="729"/>
      <c r="G778" s="730">
        <v>5.4176599999999997</v>
      </c>
      <c r="H778" s="723">
        <v>5.6688499999999999</v>
      </c>
      <c r="I778" s="1282"/>
      <c r="J778" s="1283">
        <v>8.9671099999999999</v>
      </c>
      <c r="K778" s="1283">
        <v>9.3441200000000002</v>
      </c>
      <c r="L778" s="1282"/>
      <c r="M778" s="1283">
        <v>8.9846500000000002</v>
      </c>
      <c r="N778" s="1283">
        <v>9.4731699999999996</v>
      </c>
      <c r="O778" s="1284"/>
      <c r="P778" s="1283">
        <v>7.7480000000000002</v>
      </c>
      <c r="Q778" s="796">
        <v>8.3209999999999997</v>
      </c>
      <c r="R778" s="1284">
        <v>2017</v>
      </c>
      <c r="S778" s="1283">
        <v>8.4292300000000004</v>
      </c>
      <c r="T778" s="796">
        <v>8.9632400000000008</v>
      </c>
      <c r="U778" s="73"/>
      <c r="V778" s="66"/>
      <c r="W778" s="592"/>
      <c r="X778" s="593"/>
      <c r="Y778" s="52">
        <v>1990</v>
      </c>
      <c r="Z778" s="52"/>
      <c r="AA778" s="596"/>
      <c r="AB778" s="824">
        <v>-0.2</v>
      </c>
      <c r="AC778" s="825">
        <v>-0.3</v>
      </c>
      <c r="AD778" s="164"/>
      <c r="AE778" s="164"/>
      <c r="AF778" s="25"/>
      <c r="AG778" s="26"/>
      <c r="AH778" s="275"/>
      <c r="AI778" s="52"/>
      <c r="AJ778" s="35"/>
      <c r="AK778" s="289"/>
      <c r="AL778" s="290"/>
      <c r="AM778" s="211"/>
      <c r="AN778" s="164"/>
      <c r="AO778" s="76"/>
      <c r="AP778" s="44"/>
      <c r="AQ778" s="275"/>
      <c r="AR778" s="52"/>
      <c r="AS778" s="35"/>
      <c r="AT778" s="840">
        <v>0.55000000000000004</v>
      </c>
      <c r="AU778" s="688">
        <v>0.55000000000000004</v>
      </c>
      <c r="AV778" s="164"/>
      <c r="AW778" s="164"/>
      <c r="AX778" s="76"/>
      <c r="AY778" s="44"/>
      <c r="AZ778" s="275"/>
      <c r="BA778" s="52"/>
      <c r="BB778" s="35"/>
      <c r="BC778" s="79"/>
      <c r="BD778" s="230"/>
      <c r="BE778" s="211"/>
      <c r="BF778" s="164"/>
      <c r="BG778" s="76"/>
      <c r="BH778" s="44"/>
      <c r="BI778" s="275"/>
      <c r="BJ778" s="52"/>
      <c r="BK778" s="35"/>
      <c r="BL778" s="79"/>
      <c r="BM778" s="230"/>
      <c r="BN778" s="211"/>
      <c r="BO778" s="164"/>
      <c r="BP778" s="76"/>
      <c r="BQ778" s="44"/>
      <c r="BR778" s="299"/>
      <c r="BS778" s="52"/>
      <c r="BT778" s="35"/>
      <c r="BU778" s="79"/>
      <c r="BV778" s="212"/>
      <c r="BW778" s="304"/>
      <c r="BX778" s="313"/>
      <c r="BY778" s="138"/>
    </row>
    <row r="779" spans="1:77" ht="15" customHeight="1" x14ac:dyDescent="0.2">
      <c r="A779" s="57" t="s">
        <v>62</v>
      </c>
      <c r="B779" s="583"/>
      <c r="C779" s="583" t="s">
        <v>2315</v>
      </c>
      <c r="D779" s="546">
        <v>15.5</v>
      </c>
      <c r="E779" s="162" t="s">
        <v>631</v>
      </c>
      <c r="F779" s="358"/>
      <c r="G779" s="65"/>
      <c r="H779" s="73"/>
      <c r="I779" s="90"/>
      <c r="J779" s="73"/>
      <c r="K779" s="73"/>
      <c r="L779" s="90">
        <v>2009</v>
      </c>
      <c r="M779" s="73"/>
      <c r="N779" s="738">
        <v>0.10874399999999999</v>
      </c>
      <c r="O779" s="1041"/>
      <c r="P779" s="73"/>
      <c r="Q779" s="359"/>
      <c r="R779" s="1041"/>
      <c r="S779" s="73"/>
      <c r="T779" s="359"/>
      <c r="U779" s="73"/>
      <c r="V779" s="66"/>
      <c r="W779" s="740">
        <f t="shared" ref="W779" si="412">AA779*(1+AB779)</f>
        <v>8.699519999999999E-5</v>
      </c>
      <c r="X779" s="741">
        <f t="shared" ref="X779" si="413">AA779*(1+AC779)</f>
        <v>8.699519999999999E-5</v>
      </c>
      <c r="Y779" s="52">
        <v>2009</v>
      </c>
      <c r="Z779" s="52"/>
      <c r="AA779" s="739">
        <f t="shared" ref="AA779" si="414">+N779/1000</f>
        <v>1.0874399999999999E-4</v>
      </c>
      <c r="AB779" s="256">
        <v>-0.2</v>
      </c>
      <c r="AC779" s="688">
        <f t="shared" ref="AC779" si="415">AB779</f>
        <v>-0.2</v>
      </c>
      <c r="AD779" s="164"/>
      <c r="AE779" s="164"/>
      <c r="AF779" s="25"/>
      <c r="AG779" s="26"/>
      <c r="AH779" s="275"/>
      <c r="AI779" s="52"/>
      <c r="AJ779" s="35"/>
      <c r="AK779" s="289"/>
      <c r="AL779" s="290"/>
      <c r="AM779" s="211"/>
      <c r="AN779" s="164"/>
      <c r="AO779" s="76"/>
      <c r="AP779" s="44"/>
      <c r="AQ779" s="275"/>
      <c r="AR779" s="52"/>
      <c r="AS779" s="35"/>
      <c r="AT779" s="840"/>
      <c r="AU779" s="212"/>
      <c r="AV779" s="164"/>
      <c r="AW779" s="164"/>
      <c r="AX779" s="76"/>
      <c r="AY779" s="44"/>
      <c r="AZ779" s="275"/>
      <c r="BA779" s="52"/>
      <c r="BB779" s="35"/>
      <c r="BC779" s="79"/>
      <c r="BD779" s="230"/>
      <c r="BE779" s="211"/>
      <c r="BF779" s="164"/>
      <c r="BG779" s="76"/>
      <c r="BH779" s="44"/>
      <c r="BI779" s="275"/>
      <c r="BJ779" s="52"/>
      <c r="BK779" s="35"/>
      <c r="BL779" s="79"/>
      <c r="BM779" s="230"/>
      <c r="BN779" s="211"/>
      <c r="BO779" s="164"/>
      <c r="BP779" s="76"/>
      <c r="BQ779" s="44"/>
      <c r="BR779" s="299"/>
      <c r="BS779" s="52"/>
      <c r="BT779" s="35"/>
      <c r="BU779" s="79"/>
      <c r="BV779" s="212"/>
      <c r="BW779" s="304"/>
      <c r="BX779" s="313"/>
      <c r="BY779" s="138"/>
    </row>
    <row r="780" spans="1:77" ht="15" customHeight="1" x14ac:dyDescent="0.2">
      <c r="A780" s="57" t="s">
        <v>62</v>
      </c>
      <c r="B780" s="583"/>
      <c r="C780" s="583" t="s">
        <v>2316</v>
      </c>
      <c r="D780" s="801">
        <v>0.80600000000000005</v>
      </c>
      <c r="E780" s="162" t="s">
        <v>631</v>
      </c>
      <c r="F780" s="358"/>
      <c r="G780" s="65"/>
      <c r="H780" s="73"/>
      <c r="I780" s="90"/>
      <c r="J780" s="73"/>
      <c r="K780" s="73"/>
      <c r="L780" s="90">
        <v>2009</v>
      </c>
      <c r="M780" s="73"/>
      <c r="N780" s="786">
        <v>1.0352999999999999E-2</v>
      </c>
      <c r="O780" s="1041"/>
      <c r="P780" s="73"/>
      <c r="Q780" s="359"/>
      <c r="R780" s="1041"/>
      <c r="S780" s="73"/>
      <c r="T780" s="359"/>
      <c r="U780" s="73"/>
      <c r="V780" s="66"/>
      <c r="W780" s="788">
        <f t="shared" ref="W780" si="416">AA780*(1+AB780)</f>
        <v>7.6612199999999985E-6</v>
      </c>
      <c r="X780" s="789">
        <f t="shared" ref="X780" si="417">AA780*(1+AC780)</f>
        <v>7.6612199999999985E-6</v>
      </c>
      <c r="Y780" s="52">
        <v>2009</v>
      </c>
      <c r="Z780" s="52"/>
      <c r="AA780" s="787">
        <f t="shared" ref="AA780" si="418">+N780/1000</f>
        <v>1.0352999999999999E-5</v>
      </c>
      <c r="AB780" s="256">
        <v>-0.26</v>
      </c>
      <c r="AC780" s="688">
        <f t="shared" ref="AC780" si="419">AB780</f>
        <v>-0.26</v>
      </c>
      <c r="AD780" s="164"/>
      <c r="AE780" s="164"/>
      <c r="AF780" s="25"/>
      <c r="AG780" s="26"/>
      <c r="AH780" s="275"/>
      <c r="AI780" s="52"/>
      <c r="AJ780" s="35"/>
      <c r="AK780" s="289"/>
      <c r="AL780" s="290"/>
      <c r="AM780" s="211"/>
      <c r="AN780" s="164"/>
      <c r="AO780" s="76"/>
      <c r="AP780" s="44"/>
      <c r="AQ780" s="275"/>
      <c r="AR780" s="52"/>
      <c r="AS780" s="35"/>
      <c r="AT780" s="840"/>
      <c r="AU780" s="212"/>
      <c r="AV780" s="164"/>
      <c r="AW780" s="164"/>
      <c r="AX780" s="76"/>
      <c r="AY780" s="44"/>
      <c r="AZ780" s="275"/>
      <c r="BA780" s="52"/>
      <c r="BB780" s="35"/>
      <c r="BC780" s="79"/>
      <c r="BD780" s="230"/>
      <c r="BE780" s="211"/>
      <c r="BF780" s="164"/>
      <c r="BG780" s="76"/>
      <c r="BH780" s="44"/>
      <c r="BI780" s="275"/>
      <c r="BJ780" s="52"/>
      <c r="BK780" s="35"/>
      <c r="BL780" s="79"/>
      <c r="BM780" s="230"/>
      <c r="BN780" s="211"/>
      <c r="BO780" s="164"/>
      <c r="BP780" s="76"/>
      <c r="BQ780" s="44"/>
      <c r="BR780" s="299"/>
      <c r="BS780" s="52"/>
      <c r="BT780" s="35"/>
      <c r="BU780" s="79"/>
      <c r="BV780" s="212"/>
      <c r="BW780" s="304"/>
      <c r="BX780" s="313"/>
      <c r="BY780" s="138"/>
    </row>
    <row r="781" spans="1:77" ht="15" customHeight="1" x14ac:dyDescent="0.2">
      <c r="A781" s="57" t="s">
        <v>62</v>
      </c>
      <c r="B781" s="583"/>
      <c r="C781" s="583" t="s">
        <v>2317</v>
      </c>
      <c r="D781" s="546">
        <v>19.594000000000001</v>
      </c>
      <c r="E781" s="162" t="s">
        <v>631</v>
      </c>
      <c r="F781" s="358"/>
      <c r="G781" s="65"/>
      <c r="H781" s="73"/>
      <c r="I781" s="90"/>
      <c r="J781" s="73"/>
      <c r="K781" s="73"/>
      <c r="L781" s="90">
        <v>2009</v>
      </c>
      <c r="M781" s="73"/>
      <c r="N781" s="738">
        <v>0.12879699999999999</v>
      </c>
      <c r="O781" s="1041"/>
      <c r="P781" s="73"/>
      <c r="Q781" s="359"/>
      <c r="R781" s="1041"/>
      <c r="S781" s="73"/>
      <c r="T781" s="359"/>
      <c r="U781" s="73"/>
      <c r="V781" s="66"/>
      <c r="W781" s="788">
        <f t="shared" ref="W781" si="420">AA781*(1+AB781)</f>
        <v>9.2733839999999986E-5</v>
      </c>
      <c r="X781" s="789">
        <f t="shared" ref="X781" si="421">AA781*(1+AC781)</f>
        <v>9.2733839999999986E-5</v>
      </c>
      <c r="Y781" s="52">
        <v>2009</v>
      </c>
      <c r="Z781" s="52"/>
      <c r="AA781" s="787">
        <f t="shared" ref="AA781" si="422">+N781/1000</f>
        <v>1.2879699999999999E-4</v>
      </c>
      <c r="AB781" s="256">
        <v>-0.28000000000000003</v>
      </c>
      <c r="AC781" s="688">
        <f t="shared" ref="AC781" si="423">AB781</f>
        <v>-0.28000000000000003</v>
      </c>
      <c r="AD781" s="164"/>
      <c r="AE781" s="164"/>
      <c r="AF781" s="25"/>
      <c r="AG781" s="26"/>
      <c r="AH781" s="275"/>
      <c r="AI781" s="52"/>
      <c r="AJ781" s="35"/>
      <c r="AK781" s="289"/>
      <c r="AL781" s="290"/>
      <c r="AM781" s="211"/>
      <c r="AN781" s="164"/>
      <c r="AO781" s="76"/>
      <c r="AP781" s="44"/>
      <c r="AQ781" s="275"/>
      <c r="AR781" s="52"/>
      <c r="AS781" s="35"/>
      <c r="AT781" s="840"/>
      <c r="AU781" s="212"/>
      <c r="AV781" s="164"/>
      <c r="AW781" s="164"/>
      <c r="AX781" s="76"/>
      <c r="AY781" s="44"/>
      <c r="AZ781" s="275"/>
      <c r="BA781" s="52"/>
      <c r="BB781" s="35"/>
      <c r="BC781" s="79"/>
      <c r="BD781" s="230"/>
      <c r="BE781" s="211"/>
      <c r="BF781" s="164"/>
      <c r="BG781" s="76"/>
      <c r="BH781" s="44"/>
      <c r="BI781" s="275"/>
      <c r="BJ781" s="52"/>
      <c r="BK781" s="35"/>
      <c r="BL781" s="79"/>
      <c r="BM781" s="230"/>
      <c r="BN781" s="211"/>
      <c r="BO781" s="164"/>
      <c r="BP781" s="76"/>
      <c r="BQ781" s="44"/>
      <c r="BR781" s="299"/>
      <c r="BS781" s="52"/>
      <c r="BT781" s="35"/>
      <c r="BU781" s="79"/>
      <c r="BV781" s="212"/>
      <c r="BW781" s="304"/>
      <c r="BX781" s="313"/>
      <c r="BY781" s="138"/>
    </row>
    <row r="782" spans="1:77" ht="15" customHeight="1" x14ac:dyDescent="0.2">
      <c r="A782" s="57" t="s">
        <v>62</v>
      </c>
      <c r="B782" s="583"/>
      <c r="C782" s="583" t="s">
        <v>2318</v>
      </c>
      <c r="D782" s="546">
        <v>5.8440000000000003</v>
      </c>
      <c r="E782" s="162" t="s">
        <v>631</v>
      </c>
      <c r="F782" s="358"/>
      <c r="G782" s="65"/>
      <c r="H782" s="73"/>
      <c r="I782" s="90"/>
      <c r="J782" s="73"/>
      <c r="K782" s="73"/>
      <c r="L782" s="90">
        <v>2009</v>
      </c>
      <c r="M782" s="73"/>
      <c r="N782" s="786">
        <v>3.4067E-2</v>
      </c>
      <c r="O782" s="1041"/>
      <c r="P782" s="73"/>
      <c r="Q782" s="359"/>
      <c r="R782" s="1041"/>
      <c r="S782" s="73"/>
      <c r="T782" s="359"/>
      <c r="U782" s="73"/>
      <c r="V782" s="66"/>
      <c r="W782" s="788">
        <f t="shared" ref="W782" si="424">AA782*(1+AB782)</f>
        <v>2.180288E-5</v>
      </c>
      <c r="X782" s="789">
        <f t="shared" ref="X782" si="425">AA782*(1+AC782)</f>
        <v>2.180288E-5</v>
      </c>
      <c r="Y782" s="52">
        <v>2009</v>
      </c>
      <c r="Z782" s="52"/>
      <c r="AA782" s="787">
        <f t="shared" ref="AA782" si="426">+N782/1000</f>
        <v>3.4066999999999998E-5</v>
      </c>
      <c r="AB782" s="256">
        <v>-0.36</v>
      </c>
      <c r="AC782" s="688">
        <f t="shared" ref="AC782" si="427">AB782</f>
        <v>-0.36</v>
      </c>
      <c r="AD782" s="164"/>
      <c r="AE782" s="164"/>
      <c r="AF782" s="25"/>
      <c r="AG782" s="26"/>
      <c r="AH782" s="275"/>
      <c r="AI782" s="52"/>
      <c r="AJ782" s="35"/>
      <c r="AK782" s="289"/>
      <c r="AL782" s="290"/>
      <c r="AM782" s="211"/>
      <c r="AN782" s="164"/>
      <c r="AO782" s="76"/>
      <c r="AP782" s="44"/>
      <c r="AQ782" s="275"/>
      <c r="AR782" s="52"/>
      <c r="AS782" s="35"/>
      <c r="AT782" s="840"/>
      <c r="AU782" s="212"/>
      <c r="AV782" s="164"/>
      <c r="AW782" s="164"/>
      <c r="AX782" s="76"/>
      <c r="AY782" s="44"/>
      <c r="AZ782" s="275"/>
      <c r="BA782" s="52"/>
      <c r="BB782" s="35"/>
      <c r="BC782" s="79"/>
      <c r="BD782" s="230"/>
      <c r="BE782" s="211"/>
      <c r="BF782" s="164"/>
      <c r="BG782" s="76"/>
      <c r="BH782" s="44"/>
      <c r="BI782" s="275"/>
      <c r="BJ782" s="52"/>
      <c r="BK782" s="35"/>
      <c r="BL782" s="79"/>
      <c r="BM782" s="230"/>
      <c r="BN782" s="211"/>
      <c r="BO782" s="164"/>
      <c r="BP782" s="76"/>
      <c r="BQ782" s="44"/>
      <c r="BR782" s="299"/>
      <c r="BS782" s="52"/>
      <c r="BT782" s="35"/>
      <c r="BU782" s="79"/>
      <c r="BV782" s="212"/>
      <c r="BW782" s="304"/>
      <c r="BX782" s="313"/>
      <c r="BY782" s="138"/>
    </row>
    <row r="783" spans="1:77" ht="15" customHeight="1" x14ac:dyDescent="0.2">
      <c r="A783" s="57" t="s">
        <v>62</v>
      </c>
      <c r="B783" s="583"/>
      <c r="C783" s="583" t="s">
        <v>2319</v>
      </c>
      <c r="D783" s="546">
        <v>18.010000000000002</v>
      </c>
      <c r="E783" s="162" t="s">
        <v>631</v>
      </c>
      <c r="F783" s="358"/>
      <c r="G783" s="65"/>
      <c r="H783" s="73"/>
      <c r="I783" s="90"/>
      <c r="J783" s="73"/>
      <c r="K783" s="73"/>
      <c r="L783" s="90">
        <v>2009</v>
      </c>
      <c r="M783" s="73"/>
      <c r="N783" s="738">
        <v>0.15882499999999999</v>
      </c>
      <c r="O783" s="1041"/>
      <c r="P783" s="73"/>
      <c r="Q783" s="359"/>
      <c r="R783" s="1041"/>
      <c r="S783" s="73"/>
      <c r="T783" s="359"/>
      <c r="U783" s="73"/>
      <c r="V783" s="66"/>
      <c r="W783" s="788">
        <f t="shared" ref="W783:W803" si="428">AA783*(1+AB783)</f>
        <v>1.1911874999999999E-4</v>
      </c>
      <c r="X783" s="789">
        <f t="shared" ref="X783:X803" si="429">AA783*(1+AC783)</f>
        <v>1.1911874999999999E-4</v>
      </c>
      <c r="Y783" s="52">
        <v>2009</v>
      </c>
      <c r="Z783" s="52"/>
      <c r="AA783" s="787">
        <f t="shared" ref="AA783:AA803" si="430">+N783/1000</f>
        <v>1.58825E-4</v>
      </c>
      <c r="AB783" s="256">
        <v>-0.25</v>
      </c>
      <c r="AC783" s="688">
        <f t="shared" ref="AC783:AC803" si="431">AB783</f>
        <v>-0.25</v>
      </c>
      <c r="AD783" s="164"/>
      <c r="AE783" s="164"/>
      <c r="AF783" s="25"/>
      <c r="AG783" s="26"/>
      <c r="AH783" s="275"/>
      <c r="AI783" s="52"/>
      <c r="AJ783" s="35"/>
      <c r="AK783" s="289"/>
      <c r="AL783" s="290"/>
      <c r="AM783" s="211"/>
      <c r="AN783" s="164"/>
      <c r="AO783" s="76"/>
      <c r="AP783" s="44"/>
      <c r="AQ783" s="275"/>
      <c r="AR783" s="52"/>
      <c r="AS783" s="35"/>
      <c r="AT783" s="840"/>
      <c r="AU783" s="212"/>
      <c r="AV783" s="164"/>
      <c r="AW783" s="164"/>
      <c r="AX783" s="76"/>
      <c r="AY783" s="44"/>
      <c r="AZ783" s="275"/>
      <c r="BA783" s="52"/>
      <c r="BB783" s="35"/>
      <c r="BC783" s="79"/>
      <c r="BD783" s="230"/>
      <c r="BE783" s="211"/>
      <c r="BF783" s="164"/>
      <c r="BG783" s="76"/>
      <c r="BH783" s="44"/>
      <c r="BI783" s="275"/>
      <c r="BJ783" s="52"/>
      <c r="BK783" s="35"/>
      <c r="BL783" s="79"/>
      <c r="BM783" s="230"/>
      <c r="BN783" s="211"/>
      <c r="BO783" s="164"/>
      <c r="BP783" s="76"/>
      <c r="BQ783" s="44"/>
      <c r="BR783" s="299"/>
      <c r="BS783" s="52"/>
      <c r="BT783" s="35"/>
      <c r="BU783" s="79"/>
      <c r="BV783" s="212"/>
      <c r="BW783" s="304"/>
      <c r="BX783" s="313"/>
      <c r="BY783" s="138"/>
    </row>
    <row r="784" spans="1:77" ht="15" customHeight="1" x14ac:dyDescent="0.2">
      <c r="A784" s="57" t="s">
        <v>62</v>
      </c>
      <c r="B784" s="583"/>
      <c r="C784" s="583" t="s">
        <v>2320</v>
      </c>
      <c r="D784" s="546">
        <v>3.681</v>
      </c>
      <c r="E784" s="162" t="s">
        <v>631</v>
      </c>
      <c r="F784" s="358"/>
      <c r="G784" s="65"/>
      <c r="H784" s="73"/>
      <c r="I784" s="90"/>
      <c r="J784" s="73"/>
      <c r="K784" s="73"/>
      <c r="L784" s="90">
        <v>2009</v>
      </c>
      <c r="M784" s="73"/>
      <c r="N784" s="738">
        <v>1.8991000000000001E-2</v>
      </c>
      <c r="O784" s="1041"/>
      <c r="P784" s="73"/>
      <c r="Q784" s="359"/>
      <c r="R784" s="1041"/>
      <c r="S784" s="73"/>
      <c r="T784" s="359"/>
      <c r="U784" s="73"/>
      <c r="V784" s="66"/>
      <c r="W784" s="788">
        <f t="shared" si="428"/>
        <v>1.291388E-5</v>
      </c>
      <c r="X784" s="789">
        <f t="shared" si="429"/>
        <v>1.291388E-5</v>
      </c>
      <c r="Y784" s="52">
        <v>2009</v>
      </c>
      <c r="Z784" s="52"/>
      <c r="AA784" s="787">
        <f t="shared" si="430"/>
        <v>1.8991000000000002E-5</v>
      </c>
      <c r="AB784" s="256">
        <v>-0.32</v>
      </c>
      <c r="AC784" s="688">
        <f t="shared" si="431"/>
        <v>-0.32</v>
      </c>
      <c r="AD784" s="164"/>
      <c r="AE784" s="164"/>
      <c r="AF784" s="25"/>
      <c r="AG784" s="26"/>
      <c r="AH784" s="275"/>
      <c r="AI784" s="52"/>
      <c r="AJ784" s="35"/>
      <c r="AK784" s="289"/>
      <c r="AL784" s="290"/>
      <c r="AM784" s="211"/>
      <c r="AN784" s="164"/>
      <c r="AO784" s="76"/>
      <c r="AP784" s="44"/>
      <c r="AQ784" s="275"/>
      <c r="AR784" s="52"/>
      <c r="AS784" s="35"/>
      <c r="AT784" s="840"/>
      <c r="AU784" s="212"/>
      <c r="AV784" s="164"/>
      <c r="AW784" s="164"/>
      <c r="AX784" s="76"/>
      <c r="AY784" s="44"/>
      <c r="AZ784" s="275"/>
      <c r="BA784" s="52"/>
      <c r="BB784" s="35"/>
      <c r="BC784" s="79"/>
      <c r="BD784" s="230"/>
      <c r="BE784" s="211"/>
      <c r="BF784" s="164"/>
      <c r="BG784" s="76"/>
      <c r="BH784" s="44"/>
      <c r="BI784" s="275"/>
      <c r="BJ784" s="52"/>
      <c r="BK784" s="35"/>
      <c r="BL784" s="79"/>
      <c r="BM784" s="230"/>
      <c r="BN784" s="211"/>
      <c r="BO784" s="164"/>
      <c r="BP784" s="76"/>
      <c r="BQ784" s="44"/>
      <c r="BR784" s="299"/>
      <c r="BS784" s="52"/>
      <c r="BT784" s="35"/>
      <c r="BU784" s="79"/>
      <c r="BV784" s="212"/>
      <c r="BW784" s="304"/>
      <c r="BX784" s="313"/>
      <c r="BY784" s="138"/>
    </row>
    <row r="785" spans="1:77" ht="15" customHeight="1" x14ac:dyDescent="0.2">
      <c r="A785" s="57" t="s">
        <v>62</v>
      </c>
      <c r="B785" s="583"/>
      <c r="C785" s="583" t="s">
        <v>2321</v>
      </c>
      <c r="D785" s="546">
        <v>7.8780000000000001</v>
      </c>
      <c r="E785" s="162" t="s">
        <v>631</v>
      </c>
      <c r="F785" s="358"/>
      <c r="G785" s="65"/>
      <c r="H785" s="73"/>
      <c r="I785" s="90"/>
      <c r="J785" s="73"/>
      <c r="K785" s="73"/>
      <c r="L785" s="90">
        <v>2009</v>
      </c>
      <c r="M785" s="73"/>
      <c r="N785" s="738"/>
      <c r="O785" s="1041"/>
      <c r="P785" s="73"/>
      <c r="Q785" s="359"/>
      <c r="R785" s="1041"/>
      <c r="S785" s="73"/>
      <c r="T785" s="359"/>
      <c r="U785" s="73"/>
      <c r="V785" s="66"/>
      <c r="W785" s="788">
        <f t="shared" si="428"/>
        <v>0</v>
      </c>
      <c r="X785" s="789">
        <f t="shared" si="429"/>
        <v>0</v>
      </c>
      <c r="Y785" s="52">
        <v>2009</v>
      </c>
      <c r="Z785" s="52"/>
      <c r="AA785" s="787">
        <f t="shared" si="430"/>
        <v>0</v>
      </c>
      <c r="AB785" s="256"/>
      <c r="AC785" s="688"/>
      <c r="AD785" s="164"/>
      <c r="AE785" s="164"/>
      <c r="AF785" s="25"/>
      <c r="AG785" s="26"/>
      <c r="AH785" s="275"/>
      <c r="AI785" s="52"/>
      <c r="AJ785" s="35"/>
      <c r="AK785" s="289"/>
      <c r="AL785" s="290"/>
      <c r="AM785" s="211"/>
      <c r="AN785" s="164"/>
      <c r="AO785" s="76"/>
      <c r="AP785" s="44"/>
      <c r="AQ785" s="275"/>
      <c r="AR785" s="52"/>
      <c r="AS785" s="35"/>
      <c r="AT785" s="840"/>
      <c r="AU785" s="212"/>
      <c r="AV785" s="164"/>
      <c r="AW785" s="164"/>
      <c r="AX785" s="76"/>
      <c r="AY785" s="44"/>
      <c r="AZ785" s="275"/>
      <c r="BA785" s="52"/>
      <c r="BB785" s="35"/>
      <c r="BC785" s="79"/>
      <c r="BD785" s="230"/>
      <c r="BE785" s="211"/>
      <c r="BF785" s="164"/>
      <c r="BG785" s="76"/>
      <c r="BH785" s="44"/>
      <c r="BI785" s="275"/>
      <c r="BJ785" s="52"/>
      <c r="BK785" s="35"/>
      <c r="BL785" s="79"/>
      <c r="BM785" s="230"/>
      <c r="BN785" s="211"/>
      <c r="BO785" s="164"/>
      <c r="BP785" s="76"/>
      <c r="BQ785" s="44"/>
      <c r="BR785" s="299"/>
      <c r="BS785" s="52"/>
      <c r="BT785" s="35"/>
      <c r="BU785" s="79"/>
      <c r="BV785" s="212"/>
      <c r="BW785" s="304"/>
      <c r="BX785" s="313"/>
      <c r="BY785" s="138"/>
    </row>
    <row r="786" spans="1:77" ht="15" customHeight="1" x14ac:dyDescent="0.2">
      <c r="A786" s="57" t="s">
        <v>62</v>
      </c>
      <c r="B786" s="583"/>
      <c r="C786" s="583" t="s">
        <v>2322</v>
      </c>
      <c r="D786" s="546">
        <v>11.5</v>
      </c>
      <c r="E786" s="162" t="s">
        <v>631</v>
      </c>
      <c r="F786" s="358"/>
      <c r="G786" s="65"/>
      <c r="H786" s="73"/>
      <c r="I786" s="90"/>
      <c r="J786" s="73"/>
      <c r="K786" s="73"/>
      <c r="L786" s="90">
        <v>2009</v>
      </c>
      <c r="M786" s="73"/>
      <c r="N786" s="786">
        <v>5.8445999999999998E-2</v>
      </c>
      <c r="O786" s="1041"/>
      <c r="P786" s="73"/>
      <c r="Q786" s="359"/>
      <c r="R786" s="1041"/>
      <c r="S786" s="73"/>
      <c r="T786" s="359"/>
      <c r="U786" s="73"/>
      <c r="V786" s="66"/>
      <c r="W786" s="788">
        <f t="shared" si="428"/>
        <v>4.6756799999999999E-5</v>
      </c>
      <c r="X786" s="789">
        <f t="shared" si="429"/>
        <v>4.6756799999999999E-5</v>
      </c>
      <c r="Y786" s="52">
        <v>2009</v>
      </c>
      <c r="Z786" s="52"/>
      <c r="AA786" s="787">
        <f t="shared" si="430"/>
        <v>5.8445999999999996E-5</v>
      </c>
      <c r="AB786" s="256">
        <v>-0.2</v>
      </c>
      <c r="AC786" s="688">
        <f t="shared" si="431"/>
        <v>-0.2</v>
      </c>
      <c r="AD786" s="164"/>
      <c r="AE786" s="164"/>
      <c r="AF786" s="25"/>
      <c r="AG786" s="26"/>
      <c r="AH786" s="275"/>
      <c r="AI786" s="52"/>
      <c r="AJ786" s="35"/>
      <c r="AK786" s="289"/>
      <c r="AL786" s="290"/>
      <c r="AM786" s="211"/>
      <c r="AN786" s="164"/>
      <c r="AO786" s="76"/>
      <c r="AP786" s="44"/>
      <c r="AQ786" s="275"/>
      <c r="AR786" s="52"/>
      <c r="AS786" s="35"/>
      <c r="AT786" s="840"/>
      <c r="AU786" s="212"/>
      <c r="AV786" s="164"/>
      <c r="AW786" s="164"/>
      <c r="AX786" s="76"/>
      <c r="AY786" s="44"/>
      <c r="AZ786" s="275"/>
      <c r="BA786" s="52"/>
      <c r="BB786" s="35"/>
      <c r="BC786" s="79"/>
      <c r="BD786" s="230"/>
      <c r="BE786" s="211"/>
      <c r="BF786" s="164"/>
      <c r="BG786" s="76"/>
      <c r="BH786" s="44"/>
      <c r="BI786" s="275"/>
      <c r="BJ786" s="52"/>
      <c r="BK786" s="35"/>
      <c r="BL786" s="79"/>
      <c r="BM786" s="230"/>
      <c r="BN786" s="211"/>
      <c r="BO786" s="164"/>
      <c r="BP786" s="76"/>
      <c r="BQ786" s="44"/>
      <c r="BR786" s="299"/>
      <c r="BS786" s="52"/>
      <c r="BT786" s="35"/>
      <c r="BU786" s="79"/>
      <c r="BV786" s="212"/>
      <c r="BW786" s="304"/>
      <c r="BX786" s="313"/>
      <c r="BY786" s="138"/>
    </row>
    <row r="787" spans="1:77" ht="15" customHeight="1" x14ac:dyDescent="0.2">
      <c r="A787" s="57" t="s">
        <v>62</v>
      </c>
      <c r="B787" s="583"/>
      <c r="C787" s="583" t="s">
        <v>2323</v>
      </c>
      <c r="D787" s="546">
        <v>30</v>
      </c>
      <c r="E787" s="162" t="s">
        <v>631</v>
      </c>
      <c r="F787" s="358"/>
      <c r="G787" s="65"/>
      <c r="H787" s="73"/>
      <c r="I787" s="90"/>
      <c r="J787" s="73"/>
      <c r="K787" s="73"/>
      <c r="L787" s="90">
        <v>2009</v>
      </c>
      <c r="M787" s="73"/>
      <c r="N787" s="738">
        <v>0.1159</v>
      </c>
      <c r="O787" s="1041"/>
      <c r="P787" s="73"/>
      <c r="Q787" s="359"/>
      <c r="R787" s="1041"/>
      <c r="S787" s="73"/>
      <c r="T787" s="359"/>
      <c r="U787" s="73"/>
      <c r="V787" s="66"/>
      <c r="W787" s="788">
        <f t="shared" si="428"/>
        <v>9.2720000000000007E-5</v>
      </c>
      <c r="X787" s="789">
        <f t="shared" si="429"/>
        <v>9.2720000000000007E-5</v>
      </c>
      <c r="Y787" s="52">
        <v>2009</v>
      </c>
      <c r="Z787" s="52"/>
      <c r="AA787" s="787">
        <f t="shared" si="430"/>
        <v>1.159E-4</v>
      </c>
      <c r="AB787" s="256">
        <v>-0.2</v>
      </c>
      <c r="AC787" s="688">
        <f t="shared" si="431"/>
        <v>-0.2</v>
      </c>
      <c r="AD787" s="164"/>
      <c r="AE787" s="164"/>
      <c r="AF787" s="25"/>
      <c r="AG787" s="26"/>
      <c r="AH787" s="275"/>
      <c r="AI787" s="52"/>
      <c r="AJ787" s="35"/>
      <c r="AK787" s="289"/>
      <c r="AL787" s="290"/>
      <c r="AM787" s="211"/>
      <c r="AN787" s="164"/>
      <c r="AO787" s="76"/>
      <c r="AP787" s="44"/>
      <c r="AQ787" s="275"/>
      <c r="AR787" s="52"/>
      <c r="AS787" s="35"/>
      <c r="AT787" s="840"/>
      <c r="AU787" s="212"/>
      <c r="AV787" s="164"/>
      <c r="AW787" s="164"/>
      <c r="AX787" s="76"/>
      <c r="AY787" s="44"/>
      <c r="AZ787" s="275"/>
      <c r="BA787" s="52"/>
      <c r="BB787" s="35"/>
      <c r="BC787" s="79"/>
      <c r="BD787" s="230"/>
      <c r="BE787" s="211"/>
      <c r="BF787" s="164"/>
      <c r="BG787" s="76"/>
      <c r="BH787" s="44"/>
      <c r="BI787" s="275"/>
      <c r="BJ787" s="52"/>
      <c r="BK787" s="35"/>
      <c r="BL787" s="79"/>
      <c r="BM787" s="230"/>
      <c r="BN787" s="211"/>
      <c r="BO787" s="164"/>
      <c r="BP787" s="76"/>
      <c r="BQ787" s="44"/>
      <c r="BR787" s="299"/>
      <c r="BS787" s="52"/>
      <c r="BT787" s="35"/>
      <c r="BU787" s="79"/>
      <c r="BV787" s="212"/>
      <c r="BW787" s="304"/>
      <c r="BX787" s="313"/>
      <c r="BY787" s="138"/>
    </row>
    <row r="788" spans="1:77" ht="15" customHeight="1" x14ac:dyDescent="0.2">
      <c r="A788" s="57" t="s">
        <v>62</v>
      </c>
      <c r="B788" s="583"/>
      <c r="C788" s="583" t="s">
        <v>2324</v>
      </c>
      <c r="D788" s="546">
        <v>4.4050000000000002</v>
      </c>
      <c r="E788" s="162" t="s">
        <v>631</v>
      </c>
      <c r="F788" s="358"/>
      <c r="G788" s="65"/>
      <c r="H788" s="73"/>
      <c r="I788" s="90"/>
      <c r="J788" s="73"/>
      <c r="K788" s="73"/>
      <c r="L788" s="90">
        <v>2009</v>
      </c>
      <c r="M788" s="73"/>
      <c r="N788" s="738">
        <v>2.3768000000000001E-2</v>
      </c>
      <c r="O788" s="1041"/>
      <c r="P788" s="73"/>
      <c r="Q788" s="359"/>
      <c r="R788" s="1041"/>
      <c r="S788" s="73"/>
      <c r="T788" s="359"/>
      <c r="U788" s="73"/>
      <c r="V788" s="66"/>
      <c r="W788" s="788">
        <f t="shared" si="428"/>
        <v>1.9014400000000002E-5</v>
      </c>
      <c r="X788" s="789">
        <f t="shared" si="429"/>
        <v>1.9014400000000002E-5</v>
      </c>
      <c r="Y788" s="52">
        <v>2009</v>
      </c>
      <c r="Z788" s="52"/>
      <c r="AA788" s="787">
        <f t="shared" si="430"/>
        <v>2.3768E-5</v>
      </c>
      <c r="AB788" s="256">
        <v>-0.2</v>
      </c>
      <c r="AC788" s="688">
        <f t="shared" si="431"/>
        <v>-0.2</v>
      </c>
      <c r="AD788" s="164"/>
      <c r="AE788" s="164"/>
      <c r="AF788" s="25"/>
      <c r="AG788" s="26"/>
      <c r="AH788" s="275"/>
      <c r="AI788" s="52"/>
      <c r="AJ788" s="35"/>
      <c r="AK788" s="289"/>
      <c r="AL788" s="290"/>
      <c r="AM788" s="211"/>
      <c r="AN788" s="164"/>
      <c r="AO788" s="76"/>
      <c r="AP788" s="44"/>
      <c r="AQ788" s="275"/>
      <c r="AR788" s="52"/>
      <c r="AS788" s="35"/>
      <c r="AT788" s="840"/>
      <c r="AU788" s="212"/>
      <c r="AV788" s="164"/>
      <c r="AW788" s="164"/>
      <c r="AX788" s="76"/>
      <c r="AY788" s="44"/>
      <c r="AZ788" s="275"/>
      <c r="BA788" s="52"/>
      <c r="BB788" s="35"/>
      <c r="BC788" s="79"/>
      <c r="BD788" s="230"/>
      <c r="BE788" s="211"/>
      <c r="BF788" s="164"/>
      <c r="BG788" s="76"/>
      <c r="BH788" s="44"/>
      <c r="BI788" s="275"/>
      <c r="BJ788" s="52"/>
      <c r="BK788" s="35"/>
      <c r="BL788" s="79"/>
      <c r="BM788" s="230"/>
      <c r="BN788" s="211"/>
      <c r="BO788" s="164"/>
      <c r="BP788" s="76"/>
      <c r="BQ788" s="44"/>
      <c r="BR788" s="299"/>
      <c r="BS788" s="52"/>
      <c r="BT788" s="35"/>
      <c r="BU788" s="79"/>
      <c r="BV788" s="212"/>
      <c r="BW788" s="304"/>
      <c r="BX788" s="313"/>
      <c r="BY788" s="138"/>
    </row>
    <row r="789" spans="1:77" ht="15" customHeight="1" x14ac:dyDescent="0.2">
      <c r="A789" s="57" t="s">
        <v>62</v>
      </c>
      <c r="B789" s="583"/>
      <c r="C789" s="583" t="s">
        <v>2325</v>
      </c>
      <c r="D789" s="546">
        <v>1.516</v>
      </c>
      <c r="E789" s="162" t="s">
        <v>631</v>
      </c>
      <c r="F789" s="358"/>
      <c r="G789" s="65"/>
      <c r="H789" s="73"/>
      <c r="I789" s="90"/>
      <c r="J789" s="73"/>
      <c r="K789" s="73"/>
      <c r="L789" s="90">
        <v>2009</v>
      </c>
      <c r="M789" s="73"/>
      <c r="N789" s="738">
        <v>1.0185E-2</v>
      </c>
      <c r="O789" s="1041"/>
      <c r="P789" s="73"/>
      <c r="Q789" s="359"/>
      <c r="R789" s="1041"/>
      <c r="S789" s="73"/>
      <c r="T789" s="359"/>
      <c r="U789" s="73"/>
      <c r="V789" s="66"/>
      <c r="W789" s="788">
        <f t="shared" si="428"/>
        <v>7.1294999999999992E-6</v>
      </c>
      <c r="X789" s="789">
        <f t="shared" si="429"/>
        <v>7.1294999999999992E-6</v>
      </c>
      <c r="Y789" s="52">
        <v>2009</v>
      </c>
      <c r="Z789" s="52"/>
      <c r="AA789" s="787">
        <f t="shared" si="430"/>
        <v>1.0185E-5</v>
      </c>
      <c r="AB789" s="256">
        <v>-0.3</v>
      </c>
      <c r="AC789" s="688">
        <f t="shared" si="431"/>
        <v>-0.3</v>
      </c>
      <c r="AD789" s="164"/>
      <c r="AE789" s="164"/>
      <c r="AF789" s="25"/>
      <c r="AG789" s="26"/>
      <c r="AH789" s="275"/>
      <c r="AI789" s="52"/>
      <c r="AJ789" s="35"/>
      <c r="AK789" s="289"/>
      <c r="AL789" s="290"/>
      <c r="AM789" s="211"/>
      <c r="AN789" s="164"/>
      <c r="AO789" s="76"/>
      <c r="AP789" s="44"/>
      <c r="AQ789" s="275"/>
      <c r="AR789" s="52"/>
      <c r="AS789" s="35"/>
      <c r="AT789" s="840"/>
      <c r="AU789" s="212"/>
      <c r="AV789" s="164"/>
      <c r="AW789" s="164"/>
      <c r="AX789" s="76"/>
      <c r="AY789" s="44"/>
      <c r="AZ789" s="275"/>
      <c r="BA789" s="52"/>
      <c r="BB789" s="35"/>
      <c r="BC789" s="79"/>
      <c r="BD789" s="230"/>
      <c r="BE789" s="211"/>
      <c r="BF789" s="164"/>
      <c r="BG789" s="76"/>
      <c r="BH789" s="44"/>
      <c r="BI789" s="275"/>
      <c r="BJ789" s="52"/>
      <c r="BK789" s="35"/>
      <c r="BL789" s="79"/>
      <c r="BM789" s="230"/>
      <c r="BN789" s="211"/>
      <c r="BO789" s="164"/>
      <c r="BP789" s="76"/>
      <c r="BQ789" s="44"/>
      <c r="BR789" s="299"/>
      <c r="BS789" s="52"/>
      <c r="BT789" s="35"/>
      <c r="BU789" s="79"/>
      <c r="BV789" s="212"/>
      <c r="BW789" s="304"/>
      <c r="BX789" s="313"/>
      <c r="BY789" s="138"/>
    </row>
    <row r="790" spans="1:77" ht="15" customHeight="1" x14ac:dyDescent="0.2">
      <c r="A790" s="57" t="s">
        <v>62</v>
      </c>
      <c r="B790" s="583"/>
      <c r="C790" s="583" t="s">
        <v>2326</v>
      </c>
      <c r="D790" s="546">
        <v>28.4</v>
      </c>
      <c r="E790" s="162" t="s">
        <v>631</v>
      </c>
      <c r="F790" s="358"/>
      <c r="G790" s="65"/>
      <c r="H790" s="73"/>
      <c r="I790" s="90"/>
      <c r="J790" s="73"/>
      <c r="K790" s="73"/>
      <c r="L790" s="90">
        <v>2009</v>
      </c>
      <c r="M790" s="73"/>
      <c r="N790" s="786">
        <v>0.183394</v>
      </c>
      <c r="O790" s="1041">
        <v>2014</v>
      </c>
      <c r="P790" s="73"/>
      <c r="Q790" s="786">
        <v>0.149729</v>
      </c>
      <c r="R790" s="1041"/>
      <c r="S790" s="73"/>
      <c r="T790" s="786"/>
      <c r="U790" s="73"/>
      <c r="V790" s="66"/>
      <c r="W790" s="788">
        <f t="shared" si="428"/>
        <v>1.4304732000000001E-4</v>
      </c>
      <c r="X790" s="789">
        <f t="shared" si="429"/>
        <v>1.4304732000000001E-4</v>
      </c>
      <c r="Y790" s="52">
        <v>2009</v>
      </c>
      <c r="Z790" s="52"/>
      <c r="AA790" s="787">
        <f t="shared" si="430"/>
        <v>1.83394E-4</v>
      </c>
      <c r="AB790" s="256">
        <v>-0.22</v>
      </c>
      <c r="AC790" s="688">
        <f t="shared" si="431"/>
        <v>-0.22</v>
      </c>
      <c r="AD790" s="164"/>
      <c r="AE790" s="164"/>
      <c r="AF790" s="25"/>
      <c r="AG790" s="26"/>
      <c r="AH790" s="275"/>
      <c r="AI790" s="52"/>
      <c r="AJ790" s="35"/>
      <c r="AK790" s="289"/>
      <c r="AL790" s="290"/>
      <c r="AM790" s="211"/>
      <c r="AN790" s="164"/>
      <c r="AO790" s="76"/>
      <c r="AP790" s="44"/>
      <c r="AQ790" s="275"/>
      <c r="AR790" s="52"/>
      <c r="AS790" s="35"/>
      <c r="AT790" s="840"/>
      <c r="AU790" s="212"/>
      <c r="AV790" s="164"/>
      <c r="AW790" s="164"/>
      <c r="AX790" s="76"/>
      <c r="AY790" s="44"/>
      <c r="AZ790" s="275"/>
      <c r="BA790" s="52"/>
      <c r="BB790" s="35"/>
      <c r="BC790" s="79"/>
      <c r="BD790" s="230"/>
      <c r="BE790" s="211"/>
      <c r="BF790" s="164"/>
      <c r="BG790" s="76"/>
      <c r="BH790" s="44"/>
      <c r="BI790" s="275"/>
      <c r="BJ790" s="52"/>
      <c r="BK790" s="35"/>
      <c r="BL790" s="79"/>
      <c r="BM790" s="230"/>
      <c r="BN790" s="211"/>
      <c r="BO790" s="164"/>
      <c r="BP790" s="76"/>
      <c r="BQ790" s="44"/>
      <c r="BR790" s="299"/>
      <c r="BS790" s="52"/>
      <c r="BT790" s="35"/>
      <c r="BU790" s="79"/>
      <c r="BV790" s="212"/>
      <c r="BW790" s="304"/>
      <c r="BX790" s="313"/>
      <c r="BY790" s="138"/>
    </row>
    <row r="791" spans="1:77" ht="15" customHeight="1" x14ac:dyDescent="0.2">
      <c r="A791" s="57" t="s">
        <v>62</v>
      </c>
      <c r="B791" s="583"/>
      <c r="C791" s="583" t="s">
        <v>2327</v>
      </c>
      <c r="D791" s="546">
        <v>51.231999999999999</v>
      </c>
      <c r="E791" s="162" t="s">
        <v>631</v>
      </c>
      <c r="F791" s="358"/>
      <c r="G791" s="65"/>
      <c r="H791" s="73"/>
      <c r="I791" s="90"/>
      <c r="J791" s="73"/>
      <c r="K791" s="73"/>
      <c r="L791" s="90">
        <v>2009</v>
      </c>
      <c r="M791" s="73"/>
      <c r="N791" s="786">
        <v>0.38972000000000001</v>
      </c>
      <c r="O791" s="1041">
        <v>2014</v>
      </c>
      <c r="P791" s="73"/>
      <c r="Q791" s="786">
        <v>0.27820099999999998</v>
      </c>
      <c r="R791" s="1041"/>
      <c r="S791" s="73"/>
      <c r="T791" s="786"/>
      <c r="U791" s="73"/>
      <c r="V791" s="66"/>
      <c r="W791" s="788">
        <f t="shared" si="428"/>
        <v>2.3383200000000001E-4</v>
      </c>
      <c r="X791" s="789">
        <f t="shared" si="429"/>
        <v>2.3383200000000001E-4</v>
      </c>
      <c r="Y791" s="52">
        <v>2009</v>
      </c>
      <c r="Z791" s="52"/>
      <c r="AA791" s="787">
        <f t="shared" si="430"/>
        <v>3.8972000000000003E-4</v>
      </c>
      <c r="AB791" s="256">
        <v>-0.4</v>
      </c>
      <c r="AC791" s="688">
        <f t="shared" si="431"/>
        <v>-0.4</v>
      </c>
      <c r="AD791" s="164"/>
      <c r="AE791" s="164"/>
      <c r="AF791" s="25"/>
      <c r="AG791" s="26"/>
      <c r="AH791" s="275"/>
      <c r="AI791" s="52"/>
      <c r="AJ791" s="35"/>
      <c r="AK791" s="289"/>
      <c r="AL791" s="290"/>
      <c r="AM791" s="211"/>
      <c r="AN791" s="164"/>
      <c r="AO791" s="76"/>
      <c r="AP791" s="44"/>
      <c r="AQ791" s="275"/>
      <c r="AR791" s="52"/>
      <c r="AS791" s="35"/>
      <c r="AT791" s="840"/>
      <c r="AU791" s="212"/>
      <c r="AV791" s="164"/>
      <c r="AW791" s="164"/>
      <c r="AX791" s="76"/>
      <c r="AY791" s="44"/>
      <c r="AZ791" s="275"/>
      <c r="BA791" s="52"/>
      <c r="BB791" s="35"/>
      <c r="BC791" s="79"/>
      <c r="BD791" s="230"/>
      <c r="BE791" s="211"/>
      <c r="BF791" s="164"/>
      <c r="BG791" s="76"/>
      <c r="BH791" s="44"/>
      <c r="BI791" s="275"/>
      <c r="BJ791" s="52"/>
      <c r="BK791" s="35"/>
      <c r="BL791" s="79"/>
      <c r="BM791" s="230"/>
      <c r="BN791" s="211"/>
      <c r="BO791" s="164"/>
      <c r="BP791" s="76"/>
      <c r="BQ791" s="44"/>
      <c r="BR791" s="299"/>
      <c r="BS791" s="52"/>
      <c r="BT791" s="35"/>
      <c r="BU791" s="79"/>
      <c r="BV791" s="212"/>
      <c r="BW791" s="304"/>
      <c r="BX791" s="313"/>
      <c r="BY791" s="138"/>
    </row>
    <row r="792" spans="1:77" ht="15" customHeight="1" x14ac:dyDescent="0.2">
      <c r="A792" s="57" t="s">
        <v>62</v>
      </c>
      <c r="B792" s="583"/>
      <c r="C792" s="583" t="s">
        <v>2328</v>
      </c>
      <c r="D792" s="546">
        <v>13</v>
      </c>
      <c r="E792" s="162" t="s">
        <v>631</v>
      </c>
      <c r="F792" s="358"/>
      <c r="G792" s="65"/>
      <c r="H792" s="73"/>
      <c r="I792" s="90"/>
      <c r="J792" s="73"/>
      <c r="K792" s="73"/>
      <c r="L792" s="90">
        <v>2009</v>
      </c>
      <c r="M792" s="73"/>
      <c r="N792" s="738">
        <v>0.15451599999999999</v>
      </c>
      <c r="O792" s="1041"/>
      <c r="P792" s="73"/>
      <c r="Q792" s="359"/>
      <c r="R792" s="1041"/>
      <c r="S792" s="73"/>
      <c r="T792" s="359"/>
      <c r="U792" s="73"/>
      <c r="V792" s="66"/>
      <c r="W792" s="788">
        <f t="shared" si="428"/>
        <v>1.2206764E-4</v>
      </c>
      <c r="X792" s="789">
        <f t="shared" si="429"/>
        <v>1.2206764E-4</v>
      </c>
      <c r="Y792" s="52">
        <v>2009</v>
      </c>
      <c r="Z792" s="52"/>
      <c r="AA792" s="787">
        <f t="shared" si="430"/>
        <v>1.54516E-4</v>
      </c>
      <c r="AB792" s="256">
        <v>-0.21</v>
      </c>
      <c r="AC792" s="688">
        <f t="shared" si="431"/>
        <v>-0.21</v>
      </c>
      <c r="AD792" s="164"/>
      <c r="AE792" s="164"/>
      <c r="AF792" s="25"/>
      <c r="AG792" s="26"/>
      <c r="AH792" s="275"/>
      <c r="AI792" s="52"/>
      <c r="AJ792" s="35"/>
      <c r="AK792" s="289"/>
      <c r="AL792" s="290"/>
      <c r="AM792" s="211"/>
      <c r="AN792" s="164"/>
      <c r="AO792" s="76"/>
      <c r="AP792" s="44"/>
      <c r="AQ792" s="275"/>
      <c r="AR792" s="52"/>
      <c r="AS792" s="35"/>
      <c r="AT792" s="840"/>
      <c r="AU792" s="212"/>
      <c r="AV792" s="164"/>
      <c r="AW792" s="164"/>
      <c r="AX792" s="76"/>
      <c r="AY792" s="44"/>
      <c r="AZ792" s="275"/>
      <c r="BA792" s="52"/>
      <c r="BB792" s="35"/>
      <c r="BC792" s="79"/>
      <c r="BD792" s="230"/>
      <c r="BE792" s="211"/>
      <c r="BF792" s="164"/>
      <c r="BG792" s="76"/>
      <c r="BH792" s="44"/>
      <c r="BI792" s="275"/>
      <c r="BJ792" s="52"/>
      <c r="BK792" s="35"/>
      <c r="BL792" s="79"/>
      <c r="BM792" s="230"/>
      <c r="BN792" s="211"/>
      <c r="BO792" s="164"/>
      <c r="BP792" s="76"/>
      <c r="BQ792" s="44"/>
      <c r="BR792" s="299"/>
      <c r="BS792" s="52"/>
      <c r="BT792" s="35"/>
      <c r="BU792" s="79"/>
      <c r="BV792" s="212"/>
      <c r="BW792" s="304"/>
      <c r="BX792" s="313"/>
      <c r="BY792" s="138"/>
    </row>
    <row r="793" spans="1:77" ht="15" customHeight="1" x14ac:dyDescent="0.2">
      <c r="A793" s="57" t="s">
        <v>62</v>
      </c>
      <c r="B793" s="583"/>
      <c r="C793" s="583" t="s">
        <v>2329</v>
      </c>
      <c r="D793" s="546">
        <v>0.79400000000000004</v>
      </c>
      <c r="E793" s="162" t="s">
        <v>631</v>
      </c>
      <c r="F793" s="358"/>
      <c r="G793" s="65"/>
      <c r="H793" s="73"/>
      <c r="I793" s="90"/>
      <c r="J793" s="73"/>
      <c r="K793" s="73"/>
      <c r="L793" s="90">
        <v>2009</v>
      </c>
      <c r="M793" s="73"/>
      <c r="N793" s="811">
        <v>8.0219999999999996E-3</v>
      </c>
      <c r="O793" s="1041">
        <v>2014</v>
      </c>
      <c r="P793" s="73"/>
      <c r="Q793" s="811">
        <v>5.6160000000000003E-3</v>
      </c>
      <c r="R793" s="1041"/>
      <c r="S793" s="73"/>
      <c r="T793" s="811"/>
      <c r="U793" s="73"/>
      <c r="V793" s="66"/>
      <c r="W793" s="808">
        <f t="shared" si="428"/>
        <v>5.6153999999999996E-6</v>
      </c>
      <c r="X793" s="809">
        <f t="shared" si="429"/>
        <v>5.6153999999999996E-6</v>
      </c>
      <c r="Y793" s="52">
        <v>2009</v>
      </c>
      <c r="Z793" s="52"/>
      <c r="AA793" s="787">
        <f t="shared" si="430"/>
        <v>8.0220000000000004E-6</v>
      </c>
      <c r="AB793" s="256">
        <v>-0.3</v>
      </c>
      <c r="AC793" s="688">
        <f t="shared" si="431"/>
        <v>-0.3</v>
      </c>
      <c r="AD793" s="164"/>
      <c r="AE793" s="164"/>
      <c r="AF793" s="25"/>
      <c r="AG793" s="26"/>
      <c r="AH793" s="275"/>
      <c r="AI793" s="52"/>
      <c r="AJ793" s="35"/>
      <c r="AK793" s="289"/>
      <c r="AL793" s="290"/>
      <c r="AM793" s="211"/>
      <c r="AN793" s="164"/>
      <c r="AO793" s="76"/>
      <c r="AP793" s="44"/>
      <c r="AQ793" s="275"/>
      <c r="AR793" s="52"/>
      <c r="AS793" s="35"/>
      <c r="AT793" s="840"/>
      <c r="AU793" s="212"/>
      <c r="AV793" s="164"/>
      <c r="AW793" s="164"/>
      <c r="AX793" s="76"/>
      <c r="AY793" s="44"/>
      <c r="AZ793" s="275"/>
      <c r="BA793" s="52"/>
      <c r="BB793" s="35"/>
      <c r="BC793" s="79"/>
      <c r="BD793" s="230"/>
      <c r="BE793" s="211"/>
      <c r="BF793" s="164"/>
      <c r="BG793" s="76"/>
      <c r="BH793" s="44"/>
      <c r="BI793" s="275"/>
      <c r="BJ793" s="52"/>
      <c r="BK793" s="35"/>
      <c r="BL793" s="79"/>
      <c r="BM793" s="230"/>
      <c r="BN793" s="211"/>
      <c r="BO793" s="164"/>
      <c r="BP793" s="76"/>
      <c r="BQ793" s="44"/>
      <c r="BR793" s="299"/>
      <c r="BS793" s="52"/>
      <c r="BT793" s="35"/>
      <c r="BU793" s="79"/>
      <c r="BV793" s="212"/>
      <c r="BW793" s="304"/>
      <c r="BX793" s="313"/>
      <c r="BY793" s="138"/>
    </row>
    <row r="794" spans="1:77" ht="15" customHeight="1" x14ac:dyDescent="0.2">
      <c r="A794" s="57" t="s">
        <v>62</v>
      </c>
      <c r="B794" s="583"/>
      <c r="C794" s="583" t="s">
        <v>2330</v>
      </c>
      <c r="D794" s="546">
        <v>98</v>
      </c>
      <c r="E794" s="162" t="s">
        <v>631</v>
      </c>
      <c r="F794" s="358"/>
      <c r="G794" s="65"/>
      <c r="H794" s="73"/>
      <c r="I794" s="90"/>
      <c r="J794" s="73"/>
      <c r="K794" s="73"/>
      <c r="L794" s="90">
        <v>2009</v>
      </c>
      <c r="M794" s="73"/>
      <c r="N794" s="738">
        <v>0.74862799999999996</v>
      </c>
      <c r="O794" s="1041"/>
      <c r="P794" s="73"/>
      <c r="Q794" s="359"/>
      <c r="R794" s="1041"/>
      <c r="S794" s="73"/>
      <c r="T794" s="359"/>
      <c r="U794" s="73"/>
      <c r="V794" s="66"/>
      <c r="W794" s="788">
        <f t="shared" si="428"/>
        <v>5.9890240000000003E-4</v>
      </c>
      <c r="X794" s="789">
        <f t="shared" si="429"/>
        <v>5.9890240000000003E-4</v>
      </c>
      <c r="Y794" s="52">
        <v>2009</v>
      </c>
      <c r="Z794" s="52"/>
      <c r="AA794" s="787">
        <f t="shared" si="430"/>
        <v>7.4862799999999999E-4</v>
      </c>
      <c r="AB794" s="256">
        <v>-0.2</v>
      </c>
      <c r="AC794" s="688">
        <f t="shared" si="431"/>
        <v>-0.2</v>
      </c>
      <c r="AD794" s="164"/>
      <c r="AE794" s="164"/>
      <c r="AF794" s="25"/>
      <c r="AG794" s="26"/>
      <c r="AH794" s="275"/>
      <c r="AI794" s="52"/>
      <c r="AJ794" s="35"/>
      <c r="AK794" s="289"/>
      <c r="AL794" s="290"/>
      <c r="AM794" s="211"/>
      <c r="AN794" s="164"/>
      <c r="AO794" s="76"/>
      <c r="AP794" s="44"/>
      <c r="AQ794" s="275"/>
      <c r="AR794" s="52"/>
      <c r="AS794" s="35"/>
      <c r="AT794" s="840"/>
      <c r="AU794" s="212"/>
      <c r="AV794" s="164"/>
      <c r="AW794" s="164"/>
      <c r="AX794" s="76"/>
      <c r="AY794" s="44"/>
      <c r="AZ794" s="275"/>
      <c r="BA794" s="52"/>
      <c r="BB794" s="35"/>
      <c r="BC794" s="79"/>
      <c r="BD794" s="230"/>
      <c r="BE794" s="211"/>
      <c r="BF794" s="164"/>
      <c r="BG794" s="76"/>
      <c r="BH794" s="44"/>
      <c r="BI794" s="275"/>
      <c r="BJ794" s="52"/>
      <c r="BK794" s="35"/>
      <c r="BL794" s="79"/>
      <c r="BM794" s="230"/>
      <c r="BN794" s="211"/>
      <c r="BO794" s="164"/>
      <c r="BP794" s="76"/>
      <c r="BQ794" s="44"/>
      <c r="BR794" s="299"/>
      <c r="BS794" s="52"/>
      <c r="BT794" s="35"/>
      <c r="BU794" s="79"/>
      <c r="BV794" s="212"/>
      <c r="BW794" s="304"/>
      <c r="BX794" s="313"/>
      <c r="BY794" s="138"/>
    </row>
    <row r="795" spans="1:77" ht="15" customHeight="1" x14ac:dyDescent="0.2">
      <c r="A795" s="57" t="s">
        <v>62</v>
      </c>
      <c r="B795" s="583"/>
      <c r="C795" s="583" t="s">
        <v>2331</v>
      </c>
      <c r="D795" s="546">
        <v>3.0430000000000001</v>
      </c>
      <c r="E795" s="162" t="s">
        <v>631</v>
      </c>
      <c r="F795" s="358"/>
      <c r="G795" s="65"/>
      <c r="H795" s="73"/>
      <c r="I795" s="90"/>
      <c r="J795" s="73"/>
      <c r="K795" s="73"/>
      <c r="L795" s="90">
        <v>2009</v>
      </c>
      <c r="M795" s="73"/>
      <c r="N795" s="786">
        <v>1.4282E-2</v>
      </c>
      <c r="O795" s="1041"/>
      <c r="P795" s="73"/>
      <c r="Q795" s="359"/>
      <c r="R795" s="1041"/>
      <c r="S795" s="73"/>
      <c r="T795" s="359"/>
      <c r="U795" s="73"/>
      <c r="V795" s="66"/>
      <c r="W795" s="788">
        <f t="shared" si="428"/>
        <v>9.5689399999999985E-6</v>
      </c>
      <c r="X795" s="789">
        <f t="shared" si="429"/>
        <v>9.5689399999999985E-6</v>
      </c>
      <c r="Y795" s="52">
        <v>2009</v>
      </c>
      <c r="Z795" s="52"/>
      <c r="AA795" s="787">
        <f t="shared" si="430"/>
        <v>1.4282E-5</v>
      </c>
      <c r="AB795" s="256">
        <v>-0.33</v>
      </c>
      <c r="AC795" s="688">
        <f t="shared" si="431"/>
        <v>-0.33</v>
      </c>
      <c r="AD795" s="164"/>
      <c r="AE795" s="164"/>
      <c r="AF795" s="25"/>
      <c r="AG795" s="26"/>
      <c r="AH795" s="275"/>
      <c r="AI795" s="52"/>
      <c r="AJ795" s="35"/>
      <c r="AK795" s="289"/>
      <c r="AL795" s="290"/>
      <c r="AM795" s="211"/>
      <c r="AN795" s="164"/>
      <c r="AO795" s="76"/>
      <c r="AP795" s="44"/>
      <c r="AQ795" s="275"/>
      <c r="AR795" s="52"/>
      <c r="AS795" s="35"/>
      <c r="AT795" s="840"/>
      <c r="AU795" s="212"/>
      <c r="AV795" s="164"/>
      <c r="AW795" s="164"/>
      <c r="AX795" s="76"/>
      <c r="AY795" s="44"/>
      <c r="AZ795" s="275"/>
      <c r="BA795" s="52"/>
      <c r="BB795" s="35"/>
      <c r="BC795" s="79"/>
      <c r="BD795" s="230"/>
      <c r="BE795" s="211"/>
      <c r="BF795" s="164"/>
      <c r="BG795" s="76"/>
      <c r="BH795" s="44"/>
      <c r="BI795" s="275"/>
      <c r="BJ795" s="52"/>
      <c r="BK795" s="35"/>
      <c r="BL795" s="79"/>
      <c r="BM795" s="230"/>
      <c r="BN795" s="211"/>
      <c r="BO795" s="164"/>
      <c r="BP795" s="76"/>
      <c r="BQ795" s="44"/>
      <c r="BR795" s="299"/>
      <c r="BS795" s="52"/>
      <c r="BT795" s="35"/>
      <c r="BU795" s="79"/>
      <c r="BV795" s="212"/>
      <c r="BW795" s="304"/>
      <c r="BX795" s="313"/>
      <c r="BY795" s="138"/>
    </row>
    <row r="796" spans="1:77" ht="15" customHeight="1" x14ac:dyDescent="0.2">
      <c r="A796" s="57" t="s">
        <v>62</v>
      </c>
      <c r="B796" s="583"/>
      <c r="C796" s="583" t="s">
        <v>2332</v>
      </c>
      <c r="D796" s="546">
        <v>18</v>
      </c>
      <c r="E796" s="162" t="s">
        <v>631</v>
      </c>
      <c r="F796" s="358"/>
      <c r="G796" s="65"/>
      <c r="H796" s="73"/>
      <c r="I796" s="90"/>
      <c r="J796" s="73"/>
      <c r="K796" s="73"/>
      <c r="L796" s="90">
        <v>2009</v>
      </c>
      <c r="M796" s="73"/>
      <c r="N796" s="738">
        <v>8.7307999999999997E-2</v>
      </c>
      <c r="O796" s="1041"/>
      <c r="P796" s="73"/>
      <c r="Q796" s="359"/>
      <c r="R796" s="1041"/>
      <c r="S796" s="73"/>
      <c r="T796" s="359"/>
      <c r="U796" s="73"/>
      <c r="V796" s="66"/>
      <c r="W796" s="788">
        <f t="shared" si="428"/>
        <v>6.9846399999999996E-5</v>
      </c>
      <c r="X796" s="789">
        <f t="shared" si="429"/>
        <v>6.9846399999999996E-5</v>
      </c>
      <c r="Y796" s="52">
        <v>2009</v>
      </c>
      <c r="Z796" s="52"/>
      <c r="AA796" s="787">
        <f t="shared" si="430"/>
        <v>8.7307999999999998E-5</v>
      </c>
      <c r="AB796" s="256">
        <v>-0.2</v>
      </c>
      <c r="AC796" s="688">
        <f t="shared" si="431"/>
        <v>-0.2</v>
      </c>
      <c r="AD796" s="164"/>
      <c r="AE796" s="164"/>
      <c r="AF796" s="25"/>
      <c r="AG796" s="26"/>
      <c r="AH796" s="275"/>
      <c r="AI796" s="52"/>
      <c r="AJ796" s="35"/>
      <c r="AK796" s="289"/>
      <c r="AL796" s="290"/>
      <c r="AM796" s="211"/>
      <c r="AN796" s="164"/>
      <c r="AO796" s="76"/>
      <c r="AP796" s="44"/>
      <c r="AQ796" s="275"/>
      <c r="AR796" s="52"/>
      <c r="AS796" s="35"/>
      <c r="AT796" s="840"/>
      <c r="AU796" s="212"/>
      <c r="AV796" s="164"/>
      <c r="AW796" s="164"/>
      <c r="AX796" s="76"/>
      <c r="AY796" s="44"/>
      <c r="AZ796" s="275"/>
      <c r="BA796" s="52"/>
      <c r="BB796" s="35"/>
      <c r="BC796" s="79"/>
      <c r="BD796" s="230"/>
      <c r="BE796" s="211"/>
      <c r="BF796" s="164"/>
      <c r="BG796" s="76"/>
      <c r="BH796" s="44"/>
      <c r="BI796" s="275"/>
      <c r="BJ796" s="52"/>
      <c r="BK796" s="35"/>
      <c r="BL796" s="79"/>
      <c r="BM796" s="230"/>
      <c r="BN796" s="211"/>
      <c r="BO796" s="164"/>
      <c r="BP796" s="76"/>
      <c r="BQ796" s="44"/>
      <c r="BR796" s="299"/>
      <c r="BS796" s="52"/>
      <c r="BT796" s="35"/>
      <c r="BU796" s="79"/>
      <c r="BV796" s="212"/>
      <c r="BW796" s="304"/>
      <c r="BX796" s="313"/>
      <c r="BY796" s="138"/>
    </row>
    <row r="797" spans="1:77" ht="15" customHeight="1" x14ac:dyDescent="0.2">
      <c r="A797" s="57" t="s">
        <v>62</v>
      </c>
      <c r="B797" s="583"/>
      <c r="C797" s="583" t="s">
        <v>2333</v>
      </c>
      <c r="D797" s="546">
        <v>55</v>
      </c>
      <c r="E797" s="162" t="s">
        <v>631</v>
      </c>
      <c r="F797" s="358"/>
      <c r="G797" s="65"/>
      <c r="H797" s="73"/>
      <c r="I797" s="90"/>
      <c r="J797" s="73"/>
      <c r="K797" s="73"/>
      <c r="L797" s="90">
        <v>2009</v>
      </c>
      <c r="M797" s="73"/>
      <c r="N797" s="786">
        <v>0.52410299999999999</v>
      </c>
      <c r="O797" s="1041">
        <v>2014</v>
      </c>
      <c r="P797" s="73"/>
      <c r="Q797" s="786">
        <v>0.37783899999999998</v>
      </c>
      <c r="R797" s="1041"/>
      <c r="S797" s="73"/>
      <c r="T797" s="786"/>
      <c r="U797" s="73"/>
      <c r="V797" s="66"/>
      <c r="W797" s="788">
        <f t="shared" ref="W797:W800" si="432">AA797*(1+AB797)</f>
        <v>3.5114900999999994E-4</v>
      </c>
      <c r="X797" s="789">
        <f t="shared" ref="X797:X800" si="433">AA797*(1+AC797)</f>
        <v>3.5114900999999994E-4</v>
      </c>
      <c r="Y797" s="52">
        <v>2009</v>
      </c>
      <c r="Z797" s="52"/>
      <c r="AA797" s="787">
        <f t="shared" ref="AA797:AA800" si="434">+N797/1000</f>
        <v>5.2410299999999994E-4</v>
      </c>
      <c r="AB797" s="256">
        <v>-0.33</v>
      </c>
      <c r="AC797" s="688">
        <f t="shared" ref="AC797:AC800" si="435">AB797</f>
        <v>-0.33</v>
      </c>
      <c r="AD797" s="164"/>
      <c r="AE797" s="164"/>
      <c r="AF797" s="25"/>
      <c r="AG797" s="26"/>
      <c r="AH797" s="275"/>
      <c r="AI797" s="52"/>
      <c r="AJ797" s="35"/>
      <c r="AK797" s="289"/>
      <c r="AL797" s="290"/>
      <c r="AM797" s="211"/>
      <c r="AN797" s="164"/>
      <c r="AO797" s="76"/>
      <c r="AP797" s="44"/>
      <c r="AQ797" s="275"/>
      <c r="AR797" s="52"/>
      <c r="AS797" s="35"/>
      <c r="AT797" s="840"/>
      <c r="AU797" s="212"/>
      <c r="AV797" s="164"/>
      <c r="AW797" s="164"/>
      <c r="AX797" s="76"/>
      <c r="AY797" s="44"/>
      <c r="AZ797" s="275"/>
      <c r="BA797" s="52"/>
      <c r="BB797" s="35"/>
      <c r="BC797" s="79"/>
      <c r="BD797" s="230"/>
      <c r="BE797" s="211"/>
      <c r="BF797" s="164"/>
      <c r="BG797" s="76"/>
      <c r="BH797" s="44"/>
      <c r="BI797" s="275"/>
      <c r="BJ797" s="52"/>
      <c r="BK797" s="35"/>
      <c r="BL797" s="79"/>
      <c r="BM797" s="230"/>
      <c r="BN797" s="211"/>
      <c r="BO797" s="164"/>
      <c r="BP797" s="76"/>
      <c r="BQ797" s="44"/>
      <c r="BR797" s="299"/>
      <c r="BS797" s="52"/>
      <c r="BT797" s="35"/>
      <c r="BU797" s="79"/>
      <c r="BV797" s="212"/>
      <c r="BW797" s="304"/>
      <c r="BX797" s="313"/>
      <c r="BY797" s="138"/>
    </row>
    <row r="798" spans="1:77" ht="15" customHeight="1" x14ac:dyDescent="0.2">
      <c r="A798" s="57" t="s">
        <v>62</v>
      </c>
      <c r="B798" s="583"/>
      <c r="C798" s="583" t="s">
        <v>2334</v>
      </c>
      <c r="D798" s="546">
        <v>14.946</v>
      </c>
      <c r="E798" s="162" t="s">
        <v>631</v>
      </c>
      <c r="F798" s="358"/>
      <c r="G798" s="65"/>
      <c r="H798" s="73"/>
      <c r="I798" s="90"/>
      <c r="J798" s="73"/>
      <c r="K798" s="73"/>
      <c r="L798" s="90">
        <v>2009</v>
      </c>
      <c r="M798" s="73"/>
      <c r="N798" s="817">
        <v>0.23924899999999999</v>
      </c>
      <c r="O798" s="1041">
        <v>2014</v>
      </c>
      <c r="P798" s="73"/>
      <c r="Q798" s="786">
        <v>0.193777</v>
      </c>
      <c r="R798" s="1041"/>
      <c r="S798" s="73"/>
      <c r="T798" s="786"/>
      <c r="U798" s="73"/>
      <c r="V798" s="66"/>
      <c r="W798" s="788">
        <f t="shared" si="432"/>
        <v>1.5311936000000001E-4</v>
      </c>
      <c r="X798" s="789">
        <f t="shared" si="433"/>
        <v>1.5311936000000001E-4</v>
      </c>
      <c r="Y798" s="52">
        <v>2009</v>
      </c>
      <c r="Z798" s="52"/>
      <c r="AA798" s="787">
        <f t="shared" si="434"/>
        <v>2.39249E-4</v>
      </c>
      <c r="AB798" s="256">
        <v>-0.36</v>
      </c>
      <c r="AC798" s="688">
        <f t="shared" si="435"/>
        <v>-0.36</v>
      </c>
      <c r="AD798" s="164"/>
      <c r="AE798" s="164"/>
      <c r="AF798" s="25"/>
      <c r="AG798" s="26"/>
      <c r="AH798" s="275"/>
      <c r="AI798" s="52"/>
      <c r="AJ798" s="35"/>
      <c r="AK798" s="289"/>
      <c r="AL798" s="290"/>
      <c r="AM798" s="211"/>
      <c r="AN798" s="164"/>
      <c r="AO798" s="76"/>
      <c r="AP798" s="44"/>
      <c r="AQ798" s="275"/>
      <c r="AR798" s="52"/>
      <c r="AS798" s="35"/>
      <c r="AT798" s="840"/>
      <c r="AU798" s="212"/>
      <c r="AV798" s="164"/>
      <c r="AW798" s="164"/>
      <c r="AX798" s="76"/>
      <c r="AY798" s="44"/>
      <c r="AZ798" s="275"/>
      <c r="BA798" s="52"/>
      <c r="BB798" s="35"/>
      <c r="BC798" s="79"/>
      <c r="BD798" s="230"/>
      <c r="BE798" s="211"/>
      <c r="BF798" s="164"/>
      <c r="BG798" s="76"/>
      <c r="BH798" s="44"/>
      <c r="BI798" s="275"/>
      <c r="BJ798" s="52"/>
      <c r="BK798" s="35"/>
      <c r="BL798" s="79"/>
      <c r="BM798" s="230"/>
      <c r="BN798" s="211"/>
      <c r="BO798" s="164"/>
      <c r="BP798" s="76"/>
      <c r="BQ798" s="44"/>
      <c r="BR798" s="299"/>
      <c r="BS798" s="52"/>
      <c r="BT798" s="35"/>
      <c r="BU798" s="79"/>
      <c r="BV798" s="212"/>
      <c r="BW798" s="304"/>
      <c r="BX798" s="313"/>
      <c r="BY798" s="138"/>
    </row>
    <row r="799" spans="1:77" ht="15" customHeight="1" x14ac:dyDescent="0.2">
      <c r="A799" s="57" t="s">
        <v>62</v>
      </c>
      <c r="B799" s="583"/>
      <c r="C799" s="583" t="s">
        <v>2335</v>
      </c>
      <c r="D799" s="801">
        <v>0.23899999999999999</v>
      </c>
      <c r="E799" s="162" t="s">
        <v>631</v>
      </c>
      <c r="F799" s="358"/>
      <c r="G799" s="65"/>
      <c r="H799" s="73"/>
      <c r="I799" s="90"/>
      <c r="J799" s="73"/>
      <c r="K799" s="73"/>
      <c r="L799" s="90">
        <v>2009</v>
      </c>
      <c r="M799" s="73"/>
      <c r="N799" s="786">
        <v>9.9850000000000008E-3</v>
      </c>
      <c r="O799" s="1041"/>
      <c r="P799" s="73"/>
      <c r="Q799" s="359"/>
      <c r="R799" s="1041"/>
      <c r="S799" s="73"/>
      <c r="T799" s="359"/>
      <c r="U799" s="73"/>
      <c r="V799" s="66"/>
      <c r="W799" s="788">
        <f t="shared" si="432"/>
        <v>6.590099999999999E-6</v>
      </c>
      <c r="X799" s="789">
        <f t="shared" si="433"/>
        <v>6.590099999999999E-6</v>
      </c>
      <c r="Y799" s="52">
        <v>2009</v>
      </c>
      <c r="Z799" s="52"/>
      <c r="AA799" s="787">
        <f t="shared" si="434"/>
        <v>9.9850000000000001E-6</v>
      </c>
      <c r="AB799" s="256">
        <v>-0.34</v>
      </c>
      <c r="AC799" s="688">
        <f t="shared" si="435"/>
        <v>-0.34</v>
      </c>
      <c r="AD799" s="164"/>
      <c r="AE799" s="164"/>
      <c r="AF799" s="25"/>
      <c r="AG799" s="26"/>
      <c r="AH799" s="275"/>
      <c r="AI799" s="52"/>
      <c r="AJ799" s="35"/>
      <c r="AK799" s="289"/>
      <c r="AL799" s="290"/>
      <c r="AM799" s="211"/>
      <c r="AN799" s="164"/>
      <c r="AO799" s="76"/>
      <c r="AP799" s="44"/>
      <c r="AQ799" s="275"/>
      <c r="AR799" s="52"/>
      <c r="AS799" s="35"/>
      <c r="AT799" s="840"/>
      <c r="AU799" s="212"/>
      <c r="AV799" s="164"/>
      <c r="AW799" s="164"/>
      <c r="AX799" s="76"/>
      <c r="AY799" s="44"/>
      <c r="AZ799" s="275"/>
      <c r="BA799" s="52"/>
      <c r="BB799" s="35"/>
      <c r="BC799" s="79"/>
      <c r="BD799" s="230"/>
      <c r="BE799" s="211"/>
      <c r="BF799" s="164"/>
      <c r="BG799" s="76"/>
      <c r="BH799" s="44"/>
      <c r="BI799" s="275"/>
      <c r="BJ799" s="52"/>
      <c r="BK799" s="35"/>
      <c r="BL799" s="79"/>
      <c r="BM799" s="230"/>
      <c r="BN799" s="211"/>
      <c r="BO799" s="164"/>
      <c r="BP799" s="76"/>
      <c r="BQ799" s="44"/>
      <c r="BR799" s="299"/>
      <c r="BS799" s="52"/>
      <c r="BT799" s="35"/>
      <c r="BU799" s="79"/>
      <c r="BV799" s="212"/>
      <c r="BW799" s="304"/>
      <c r="BX799" s="313"/>
      <c r="BY799" s="138"/>
    </row>
    <row r="800" spans="1:77" ht="15" customHeight="1" x14ac:dyDescent="0.2">
      <c r="A800" s="57" t="s">
        <v>62</v>
      </c>
      <c r="B800" s="583"/>
      <c r="C800" s="583" t="s">
        <v>2336</v>
      </c>
      <c r="D800" s="546">
        <v>2.5</v>
      </c>
      <c r="E800" s="162" t="s">
        <v>631</v>
      </c>
      <c r="F800" s="358"/>
      <c r="G800" s="65"/>
      <c r="H800" s="73"/>
      <c r="I800" s="90"/>
      <c r="J800" s="73"/>
      <c r="K800" s="73"/>
      <c r="L800" s="90">
        <v>2009</v>
      </c>
      <c r="M800" s="73"/>
      <c r="N800" s="738">
        <v>1.7975999999999999E-2</v>
      </c>
      <c r="O800" s="1041"/>
      <c r="P800" s="73"/>
      <c r="Q800" s="359"/>
      <c r="R800" s="1041"/>
      <c r="S800" s="73"/>
      <c r="T800" s="359"/>
      <c r="U800" s="73"/>
      <c r="V800" s="66"/>
      <c r="W800" s="788">
        <f t="shared" si="432"/>
        <v>1.060584E-5</v>
      </c>
      <c r="X800" s="789">
        <f t="shared" si="433"/>
        <v>1.060584E-5</v>
      </c>
      <c r="Y800" s="52">
        <v>2009</v>
      </c>
      <c r="Z800" s="52"/>
      <c r="AA800" s="787">
        <f t="shared" si="434"/>
        <v>1.7975999999999999E-5</v>
      </c>
      <c r="AB800" s="256">
        <v>-0.41</v>
      </c>
      <c r="AC800" s="688">
        <f t="shared" si="435"/>
        <v>-0.41</v>
      </c>
      <c r="AD800" s="164"/>
      <c r="AE800" s="164"/>
      <c r="AF800" s="25"/>
      <c r="AG800" s="26"/>
      <c r="AH800" s="275"/>
      <c r="AI800" s="52"/>
      <c r="AJ800" s="35"/>
      <c r="AK800" s="289"/>
      <c r="AL800" s="290"/>
      <c r="AM800" s="211"/>
      <c r="AN800" s="164"/>
      <c r="AO800" s="76"/>
      <c r="AP800" s="44"/>
      <c r="AQ800" s="275"/>
      <c r="AR800" s="52"/>
      <c r="AS800" s="35"/>
      <c r="AT800" s="840"/>
      <c r="AU800" s="212"/>
      <c r="AV800" s="164"/>
      <c r="AW800" s="164"/>
      <c r="AX800" s="76"/>
      <c r="AY800" s="44"/>
      <c r="AZ800" s="275"/>
      <c r="BA800" s="52"/>
      <c r="BB800" s="35"/>
      <c r="BC800" s="79"/>
      <c r="BD800" s="230"/>
      <c r="BE800" s="211"/>
      <c r="BF800" s="164"/>
      <c r="BG800" s="76"/>
      <c r="BH800" s="44"/>
      <c r="BI800" s="275"/>
      <c r="BJ800" s="52"/>
      <c r="BK800" s="35"/>
      <c r="BL800" s="79"/>
      <c r="BM800" s="230"/>
      <c r="BN800" s="211"/>
      <c r="BO800" s="164"/>
      <c r="BP800" s="76"/>
      <c r="BQ800" s="44"/>
      <c r="BR800" s="299"/>
      <c r="BS800" s="52"/>
      <c r="BT800" s="35"/>
      <c r="BU800" s="79"/>
      <c r="BV800" s="212"/>
      <c r="BW800" s="304"/>
      <c r="BX800" s="313"/>
      <c r="BY800" s="138"/>
    </row>
    <row r="801" spans="1:77" ht="15" customHeight="1" x14ac:dyDescent="0.2">
      <c r="A801" s="57" t="s">
        <v>62</v>
      </c>
      <c r="B801" s="583"/>
      <c r="C801" s="583" t="s">
        <v>2337</v>
      </c>
      <c r="D801" s="546">
        <v>67.564999999999998</v>
      </c>
      <c r="E801" s="162" t="s">
        <v>631</v>
      </c>
      <c r="F801" s="358"/>
      <c r="G801" s="65"/>
      <c r="H801" s="73"/>
      <c r="I801" s="90"/>
      <c r="J801" s="73"/>
      <c r="K801" s="73"/>
      <c r="L801" s="90">
        <v>2009</v>
      </c>
      <c r="M801" s="73"/>
      <c r="N801" s="738">
        <v>0.50749</v>
      </c>
      <c r="O801" s="1041">
        <v>2014</v>
      </c>
      <c r="P801" s="73"/>
      <c r="Q801" s="786">
        <v>0.38868599999999998</v>
      </c>
      <c r="R801" s="1041"/>
      <c r="S801" s="73"/>
      <c r="T801" s="786"/>
      <c r="U801" s="73"/>
      <c r="V801" s="66"/>
      <c r="W801" s="788">
        <f t="shared" ref="W801" si="436">AA801*(1+AB801)</f>
        <v>4.0599199999999998E-4</v>
      </c>
      <c r="X801" s="789">
        <f t="shared" ref="X801" si="437">AA801*(1+AC801)</f>
        <v>4.0599199999999998E-4</v>
      </c>
      <c r="Y801" s="52">
        <v>2009</v>
      </c>
      <c r="Z801" s="52"/>
      <c r="AA801" s="787">
        <f t="shared" ref="AA801" si="438">+N801/1000</f>
        <v>5.0748999999999998E-4</v>
      </c>
      <c r="AB801" s="256">
        <v>-0.2</v>
      </c>
      <c r="AC801" s="688">
        <f t="shared" ref="AC801" si="439">AB801</f>
        <v>-0.2</v>
      </c>
      <c r="AD801" s="164"/>
      <c r="AE801" s="164"/>
      <c r="AF801" s="25"/>
      <c r="AG801" s="26"/>
      <c r="AH801" s="275"/>
      <c r="AI801" s="52"/>
      <c r="AJ801" s="35"/>
      <c r="AK801" s="289"/>
      <c r="AL801" s="290"/>
      <c r="AM801" s="211"/>
      <c r="AN801" s="164"/>
      <c r="AO801" s="76"/>
      <c r="AP801" s="44"/>
      <c r="AQ801" s="275"/>
      <c r="AR801" s="52"/>
      <c r="AS801" s="35"/>
      <c r="AT801" s="840"/>
      <c r="AU801" s="212"/>
      <c r="AV801" s="164"/>
      <c r="AW801" s="164"/>
      <c r="AX801" s="76"/>
      <c r="AY801" s="44"/>
      <c r="AZ801" s="275"/>
      <c r="BA801" s="52"/>
      <c r="BB801" s="35"/>
      <c r="BC801" s="79"/>
      <c r="BD801" s="230"/>
      <c r="BE801" s="211"/>
      <c r="BF801" s="164"/>
      <c r="BG801" s="76"/>
      <c r="BH801" s="44"/>
      <c r="BI801" s="275"/>
      <c r="BJ801" s="52"/>
      <c r="BK801" s="35"/>
      <c r="BL801" s="79"/>
      <c r="BM801" s="230"/>
      <c r="BN801" s="211"/>
      <c r="BO801" s="164"/>
      <c r="BP801" s="76"/>
      <c r="BQ801" s="44"/>
      <c r="BR801" s="299"/>
      <c r="BS801" s="52"/>
      <c r="BT801" s="35"/>
      <c r="BU801" s="79"/>
      <c r="BV801" s="212"/>
      <c r="BW801" s="304"/>
      <c r="BX801" s="313"/>
      <c r="BY801" s="138"/>
    </row>
    <row r="802" spans="1:77" ht="15" customHeight="1" x14ac:dyDescent="0.2">
      <c r="A802" s="57" t="s">
        <v>62</v>
      </c>
      <c r="B802" s="583"/>
      <c r="C802" s="583" t="s">
        <v>2338</v>
      </c>
      <c r="D802" s="546">
        <v>12.3</v>
      </c>
      <c r="E802" s="162" t="s">
        <v>631</v>
      </c>
      <c r="F802" s="358"/>
      <c r="G802" s="65"/>
      <c r="H802" s="73"/>
      <c r="I802" s="90"/>
      <c r="J802" s="73"/>
      <c r="K802" s="73"/>
      <c r="L802" s="90">
        <v>2009</v>
      </c>
      <c r="M802" s="73"/>
      <c r="N802" s="738">
        <v>0.116261</v>
      </c>
      <c r="O802" s="1041"/>
      <c r="P802" s="73"/>
      <c r="Q802" s="359"/>
      <c r="R802" s="1041"/>
      <c r="S802" s="73"/>
      <c r="T802" s="359"/>
      <c r="U802" s="73"/>
      <c r="V802" s="66"/>
      <c r="W802" s="788">
        <f t="shared" si="428"/>
        <v>9.3008800000000003E-5</v>
      </c>
      <c r="X802" s="789">
        <f t="shared" si="429"/>
        <v>9.3008800000000003E-5</v>
      </c>
      <c r="Y802" s="52">
        <v>2009</v>
      </c>
      <c r="Z802" s="52"/>
      <c r="AA802" s="787">
        <f t="shared" si="430"/>
        <v>1.16261E-4</v>
      </c>
      <c r="AB802" s="256">
        <v>-0.2</v>
      </c>
      <c r="AC802" s="688">
        <f t="shared" si="431"/>
        <v>-0.2</v>
      </c>
      <c r="AD802" s="164"/>
      <c r="AE802" s="164"/>
      <c r="AF802" s="25"/>
      <c r="AG802" s="26"/>
      <c r="AH802" s="275"/>
      <c r="AI802" s="52"/>
      <c r="AJ802" s="35"/>
      <c r="AK802" s="289"/>
      <c r="AL802" s="290"/>
      <c r="AM802" s="211"/>
      <c r="AN802" s="164"/>
      <c r="AO802" s="76"/>
      <c r="AP802" s="44"/>
      <c r="AQ802" s="275"/>
      <c r="AR802" s="52"/>
      <c r="AS802" s="35"/>
      <c r="AT802" s="840"/>
      <c r="AU802" s="212"/>
      <c r="AV802" s="164"/>
      <c r="AW802" s="164"/>
      <c r="AX802" s="76"/>
      <c r="AY802" s="44"/>
      <c r="AZ802" s="275"/>
      <c r="BA802" s="52"/>
      <c r="BB802" s="35"/>
      <c r="BC802" s="79"/>
      <c r="BD802" s="230"/>
      <c r="BE802" s="211"/>
      <c r="BF802" s="164"/>
      <c r="BG802" s="76"/>
      <c r="BH802" s="44"/>
      <c r="BI802" s="275"/>
      <c r="BJ802" s="52"/>
      <c r="BK802" s="35"/>
      <c r="BL802" s="79"/>
      <c r="BM802" s="230"/>
      <c r="BN802" s="211"/>
      <c r="BO802" s="164"/>
      <c r="BP802" s="76"/>
      <c r="BQ802" s="44"/>
      <c r="BR802" s="299"/>
      <c r="BS802" s="52"/>
      <c r="BT802" s="35"/>
      <c r="BU802" s="79"/>
      <c r="BV802" s="212"/>
      <c r="BW802" s="304"/>
      <c r="BX802" s="313"/>
      <c r="BY802" s="138"/>
    </row>
    <row r="803" spans="1:77" ht="15" customHeight="1" x14ac:dyDescent="0.2">
      <c r="A803" s="57" t="s">
        <v>62</v>
      </c>
      <c r="B803" s="583"/>
      <c r="C803" s="583" t="s">
        <v>2339</v>
      </c>
      <c r="D803" s="546">
        <v>22</v>
      </c>
      <c r="E803" s="162" t="s">
        <v>631</v>
      </c>
      <c r="F803" s="358"/>
      <c r="G803" s="65"/>
      <c r="H803" s="73"/>
      <c r="I803" s="90"/>
      <c r="J803" s="73"/>
      <c r="K803" s="73"/>
      <c r="L803" s="90">
        <v>2009</v>
      </c>
      <c r="M803" s="73"/>
      <c r="N803" s="738">
        <v>0.15332200000000001</v>
      </c>
      <c r="O803" s="1041"/>
      <c r="P803" s="73"/>
      <c r="Q803" s="359"/>
      <c r="R803" s="1041"/>
      <c r="S803" s="73"/>
      <c r="T803" s="359"/>
      <c r="U803" s="73"/>
      <c r="V803" s="66"/>
      <c r="W803" s="788">
        <f t="shared" si="428"/>
        <v>1.1959116000000001E-4</v>
      </c>
      <c r="X803" s="789">
        <f t="shared" si="429"/>
        <v>1.1959116000000001E-4</v>
      </c>
      <c r="Y803" s="52">
        <v>2009</v>
      </c>
      <c r="Z803" s="52"/>
      <c r="AA803" s="787">
        <f t="shared" si="430"/>
        <v>1.5332200000000001E-4</v>
      </c>
      <c r="AB803" s="256">
        <v>-0.22</v>
      </c>
      <c r="AC803" s="688">
        <f t="shared" si="431"/>
        <v>-0.22</v>
      </c>
      <c r="AD803" s="164"/>
      <c r="AE803" s="164"/>
      <c r="AF803" s="25"/>
      <c r="AG803" s="26"/>
      <c r="AH803" s="275"/>
      <c r="AI803" s="52"/>
      <c r="AJ803" s="35"/>
      <c r="AK803" s="289"/>
      <c r="AL803" s="290"/>
      <c r="AM803" s="211"/>
      <c r="AN803" s="164"/>
      <c r="AO803" s="76"/>
      <c r="AP803" s="44"/>
      <c r="AQ803" s="275"/>
      <c r="AR803" s="52"/>
      <c r="AS803" s="35"/>
      <c r="AT803" s="840"/>
      <c r="AU803" s="212"/>
      <c r="AV803" s="164"/>
      <c r="AW803" s="164"/>
      <c r="AX803" s="76"/>
      <c r="AY803" s="44"/>
      <c r="AZ803" s="275"/>
      <c r="BA803" s="52"/>
      <c r="BB803" s="35"/>
      <c r="BC803" s="79"/>
      <c r="BD803" s="230"/>
      <c r="BE803" s="211"/>
      <c r="BF803" s="164"/>
      <c r="BG803" s="76"/>
      <c r="BH803" s="44"/>
      <c r="BI803" s="275"/>
      <c r="BJ803" s="52"/>
      <c r="BK803" s="35"/>
      <c r="BL803" s="79"/>
      <c r="BM803" s="230"/>
      <c r="BN803" s="211"/>
      <c r="BO803" s="164"/>
      <c r="BP803" s="76"/>
      <c r="BQ803" s="44"/>
      <c r="BR803" s="299"/>
      <c r="BS803" s="52"/>
      <c r="BT803" s="35"/>
      <c r="BU803" s="79"/>
      <c r="BV803" s="212"/>
      <c r="BW803" s="304"/>
      <c r="BX803" s="313"/>
      <c r="BY803" s="138"/>
    </row>
    <row r="804" spans="1:77" ht="15" customHeight="1" x14ac:dyDescent="0.2">
      <c r="A804" s="57" t="s">
        <v>10</v>
      </c>
      <c r="B804" s="583" t="s">
        <v>1606</v>
      </c>
      <c r="C804" s="57"/>
      <c r="D804" s="546">
        <v>10553.700999999999</v>
      </c>
      <c r="E804" s="1101" t="s">
        <v>2897</v>
      </c>
      <c r="F804" s="729"/>
      <c r="G804" s="730">
        <v>192.167</v>
      </c>
      <c r="H804" s="723">
        <v>197.393</v>
      </c>
      <c r="I804" s="1282"/>
      <c r="J804" s="1283">
        <v>140.458</v>
      </c>
      <c r="K804" s="1283">
        <v>147.494</v>
      </c>
      <c r="L804" s="1282"/>
      <c r="M804" s="1283">
        <v>134.19499999999999</v>
      </c>
      <c r="N804" s="1283">
        <v>138.73400000000001</v>
      </c>
      <c r="O804" s="1284"/>
      <c r="P804" s="1283">
        <v>122.696</v>
      </c>
      <c r="Q804" s="796">
        <v>127.77800000000001</v>
      </c>
      <c r="R804" s="1284">
        <v>2017</v>
      </c>
      <c r="S804" s="1283">
        <v>126.54</v>
      </c>
      <c r="T804" s="796">
        <v>128.67500000000001</v>
      </c>
      <c r="U804" s="73"/>
      <c r="V804" s="66"/>
      <c r="W804" s="592"/>
      <c r="X804" s="593"/>
      <c r="Y804" s="52">
        <v>1990</v>
      </c>
      <c r="Z804" s="52"/>
      <c r="AA804" s="596"/>
      <c r="AB804" s="824">
        <v>-0.2</v>
      </c>
      <c r="AC804" s="825">
        <v>-0.3</v>
      </c>
      <c r="AD804" s="164"/>
      <c r="AE804" s="164"/>
      <c r="AF804" s="25"/>
      <c r="AG804" s="26"/>
      <c r="AH804" s="275"/>
      <c r="AI804" s="52"/>
      <c r="AJ804" s="35"/>
      <c r="AK804" s="289"/>
      <c r="AL804" s="290"/>
      <c r="AM804" s="211"/>
      <c r="AN804" s="164"/>
      <c r="AO804" s="76"/>
      <c r="AP804" s="44"/>
      <c r="AQ804" s="275"/>
      <c r="AR804" s="52"/>
      <c r="AS804" s="35"/>
      <c r="AT804" s="840">
        <v>0.55000000000000004</v>
      </c>
      <c r="AU804" s="688">
        <v>0.55000000000000004</v>
      </c>
      <c r="AV804" s="164"/>
      <c r="AW804" s="164"/>
      <c r="AX804" s="76"/>
      <c r="AY804" s="44"/>
      <c r="AZ804" s="275"/>
      <c r="BA804" s="52"/>
      <c r="BB804" s="35"/>
      <c r="BC804" s="79"/>
      <c r="BD804" s="230"/>
      <c r="BE804" s="211"/>
      <c r="BF804" s="164"/>
      <c r="BG804" s="76"/>
      <c r="BH804" s="44"/>
      <c r="BI804" s="275"/>
      <c r="BJ804" s="52"/>
      <c r="BK804" s="35"/>
      <c r="BL804" s="79"/>
      <c r="BM804" s="230"/>
      <c r="BN804" s="211"/>
      <c r="BO804" s="164"/>
      <c r="BP804" s="76"/>
      <c r="BQ804" s="44"/>
      <c r="BR804" s="299"/>
      <c r="BS804" s="52"/>
      <c r="BT804" s="35"/>
      <c r="BU804" s="79"/>
      <c r="BV804" s="212"/>
      <c r="BW804" s="304"/>
      <c r="BX804" s="313"/>
      <c r="BY804" s="138"/>
    </row>
    <row r="805" spans="1:77" ht="15" customHeight="1" x14ac:dyDescent="0.2">
      <c r="A805" s="57" t="s">
        <v>10</v>
      </c>
      <c r="B805" s="583"/>
      <c r="C805" s="583" t="s">
        <v>2867</v>
      </c>
      <c r="D805" s="546">
        <v>24.100999999999999</v>
      </c>
      <c r="E805" s="162" t="s">
        <v>631</v>
      </c>
      <c r="F805" s="729"/>
      <c r="G805" s="730"/>
      <c r="H805" s="73"/>
      <c r="I805" s="90"/>
      <c r="J805" s="73"/>
      <c r="K805" s="73"/>
      <c r="L805" s="194">
        <v>2005</v>
      </c>
      <c r="M805" s="192"/>
      <c r="N805" s="794">
        <v>0.12550700000000001</v>
      </c>
      <c r="O805" s="1041"/>
      <c r="P805" s="73"/>
      <c r="Q805" s="359"/>
      <c r="R805" s="1041"/>
      <c r="S805" s="73"/>
      <c r="T805" s="359"/>
      <c r="U805" s="73"/>
      <c r="V805" s="66"/>
      <c r="W805" s="592"/>
      <c r="X805" s="593"/>
      <c r="Y805" s="52"/>
      <c r="Z805" s="52"/>
      <c r="AA805" s="596"/>
      <c r="AB805" s="824"/>
      <c r="AC805" s="825"/>
      <c r="AD805" s="164"/>
      <c r="AE805" s="164"/>
      <c r="AF805" s="25"/>
      <c r="AG805" s="26"/>
      <c r="AH805" s="275"/>
      <c r="AI805" s="52"/>
      <c r="AJ805" s="35"/>
      <c r="AK805" s="289"/>
      <c r="AL805" s="290"/>
      <c r="AM805" s="211"/>
      <c r="AN805" s="164"/>
      <c r="AO805" s="740">
        <f t="shared" ref="AO805" si="440">AS805*(1+AT805)</f>
        <v>7.4049130000000018E-5</v>
      </c>
      <c r="AP805" s="741">
        <f t="shared" ref="AP805" si="441">AS805*(1+AU805)</f>
        <v>7.4049130000000018E-5</v>
      </c>
      <c r="AQ805" s="275">
        <v>2008</v>
      </c>
      <c r="AR805" s="52"/>
      <c r="AS805" s="739">
        <f>+N805/1000</f>
        <v>1.2550700000000002E-4</v>
      </c>
      <c r="AT805" s="79">
        <v>-0.41</v>
      </c>
      <c r="AU805" s="212">
        <f>AT805</f>
        <v>-0.41</v>
      </c>
      <c r="AV805" s="164"/>
      <c r="AW805" s="164"/>
      <c r="AX805" s="76"/>
      <c r="AY805" s="44"/>
      <c r="AZ805" s="275"/>
      <c r="BA805" s="52"/>
      <c r="BB805" s="35"/>
      <c r="BC805" s="79"/>
      <c r="BD805" s="230"/>
      <c r="BE805" s="211"/>
      <c r="BF805" s="164"/>
      <c r="BG805" s="76"/>
      <c r="BH805" s="44"/>
      <c r="BI805" s="275"/>
      <c r="BJ805" s="52"/>
      <c r="BK805" s="35"/>
      <c r="BL805" s="79"/>
      <c r="BM805" s="230"/>
      <c r="BN805" s="211"/>
      <c r="BO805" s="164"/>
      <c r="BP805" s="76"/>
      <c r="BQ805" s="44"/>
      <c r="BR805" s="299"/>
      <c r="BS805" s="52"/>
      <c r="BT805" s="35"/>
      <c r="BU805" s="79"/>
      <c r="BV805" s="212"/>
      <c r="BW805" s="304"/>
      <c r="BX805" s="313"/>
      <c r="BY805" s="138"/>
    </row>
    <row r="806" spans="1:77" ht="15" customHeight="1" x14ac:dyDescent="0.2">
      <c r="A806" s="57" t="s">
        <v>10</v>
      </c>
      <c r="B806" s="57"/>
      <c r="C806" s="583" t="s">
        <v>790</v>
      </c>
      <c r="D806" s="546">
        <v>1.9950000000000001</v>
      </c>
      <c r="E806" s="162" t="s">
        <v>631</v>
      </c>
      <c r="F806" s="358"/>
      <c r="G806" s="65"/>
      <c r="H806" s="73"/>
      <c r="I806" s="90"/>
      <c r="J806" s="73"/>
      <c r="K806" s="66"/>
      <c r="L806" s="718">
        <v>2005</v>
      </c>
      <c r="M806" s="192"/>
      <c r="N806" s="794">
        <v>8.6789999999999992E-3</v>
      </c>
      <c r="O806" s="1042"/>
      <c r="P806" s="192"/>
      <c r="Q806" s="794"/>
      <c r="R806" s="1042"/>
      <c r="S806" s="192"/>
      <c r="T806" s="794"/>
      <c r="U806" s="73"/>
      <c r="V806" s="66"/>
      <c r="W806" s="788">
        <f t="shared" ref="W806" si="442">AA806*(1+AB806)</f>
        <v>4.77345E-6</v>
      </c>
      <c r="X806" s="789">
        <f t="shared" ref="X806" si="443">AA806*(1+AC806)</f>
        <v>4.77345E-6</v>
      </c>
      <c r="Y806" s="52">
        <v>2005</v>
      </c>
      <c r="Z806" s="52"/>
      <c r="AA806" s="787">
        <f>+N806/1000</f>
        <v>8.6789999999999994E-6</v>
      </c>
      <c r="AB806" s="256">
        <v>-0.45</v>
      </c>
      <c r="AC806" s="688">
        <f t="shared" ref="AC806" si="444">AB806</f>
        <v>-0.45</v>
      </c>
      <c r="AD806" s="164"/>
      <c r="AE806" s="164"/>
      <c r="AF806" s="25"/>
      <c r="AG806" s="26"/>
      <c r="AH806" s="275"/>
      <c r="AI806" s="52"/>
      <c r="AJ806" s="35"/>
      <c r="AK806" s="289"/>
      <c r="AL806" s="290"/>
      <c r="AM806" s="211"/>
      <c r="AN806" s="164"/>
      <c r="AO806" s="76"/>
      <c r="AP806" s="44"/>
      <c r="AQ806" s="275"/>
      <c r="AR806" s="52"/>
      <c r="AS806" s="35"/>
      <c r="AT806" s="79"/>
      <c r="AU806" s="212"/>
      <c r="AV806" s="164"/>
      <c r="AW806" s="164"/>
      <c r="AX806" s="76"/>
      <c r="AY806" s="44"/>
      <c r="AZ806" s="275"/>
      <c r="BA806" s="52"/>
      <c r="BB806" s="35"/>
      <c r="BC806" s="79"/>
      <c r="BD806" s="230"/>
      <c r="BE806" s="211"/>
      <c r="BF806" s="164"/>
      <c r="BG806" s="76"/>
      <c r="BH806" s="44"/>
      <c r="BI806" s="275"/>
      <c r="BJ806" s="52"/>
      <c r="BK806" s="35"/>
      <c r="BL806" s="79"/>
      <c r="BM806" s="230"/>
      <c r="BN806" s="211"/>
      <c r="BO806" s="164"/>
      <c r="BP806" s="76"/>
      <c r="BQ806" s="44"/>
      <c r="BR806" s="299"/>
      <c r="BS806" s="52"/>
      <c r="BT806" s="35"/>
      <c r="BU806" s="79"/>
      <c r="BV806" s="212"/>
      <c r="BW806" s="304"/>
      <c r="BX806" s="313"/>
      <c r="BY806" s="138"/>
    </row>
    <row r="807" spans="1:77" ht="15" customHeight="1" x14ac:dyDescent="0.2">
      <c r="A807" s="57" t="s">
        <v>10</v>
      </c>
      <c r="B807" s="57"/>
      <c r="C807" s="583" t="s">
        <v>791</v>
      </c>
      <c r="D807" s="546">
        <v>307.42599999999999</v>
      </c>
      <c r="E807" s="162" t="s">
        <v>631</v>
      </c>
      <c r="F807" s="358"/>
      <c r="G807" s="65"/>
      <c r="H807" s="73"/>
      <c r="I807" s="90"/>
      <c r="J807" s="73"/>
      <c r="K807" s="66"/>
      <c r="L807" s="718">
        <v>2000</v>
      </c>
      <c r="M807" s="192"/>
      <c r="N807" s="794">
        <v>1.5249999999999999</v>
      </c>
      <c r="O807" s="1042"/>
      <c r="P807" s="192"/>
      <c r="Q807" s="794"/>
      <c r="R807" s="1042"/>
      <c r="S807" s="192"/>
      <c r="T807" s="794"/>
      <c r="U807" s="73"/>
      <c r="V807" s="66"/>
      <c r="W807" s="788">
        <f t="shared" ref="W807" si="445">AA807*(1+AB807)</f>
        <v>1.1437499999999998E-3</v>
      </c>
      <c r="X807" s="789">
        <f t="shared" ref="X807" si="446">AA807*(1+AC807)</f>
        <v>1.1437499999999998E-3</v>
      </c>
      <c r="Y807" s="52">
        <v>2000</v>
      </c>
      <c r="Z807" s="52"/>
      <c r="AA807" s="787">
        <f>+N807/1000</f>
        <v>1.5249999999999999E-3</v>
      </c>
      <c r="AB807" s="256">
        <v>-0.25</v>
      </c>
      <c r="AC807" s="688">
        <f t="shared" ref="AC807" si="447">AB807</f>
        <v>-0.25</v>
      </c>
      <c r="AD807" s="164"/>
      <c r="AE807" s="164"/>
      <c r="AF807" s="25"/>
      <c r="AG807" s="26"/>
      <c r="AH807" s="275"/>
      <c r="AI807" s="52"/>
      <c r="AJ807" s="35"/>
      <c r="AK807" s="289"/>
      <c r="AL807" s="290"/>
      <c r="AM807" s="211"/>
      <c r="AN807" s="164"/>
      <c r="AO807" s="76"/>
      <c r="AP807" s="44"/>
      <c r="AQ807" s="275"/>
      <c r="AR807" s="52"/>
      <c r="AS807" s="35"/>
      <c r="AT807" s="79"/>
      <c r="AU807" s="212"/>
      <c r="AV807" s="164"/>
      <c r="AW807" s="164"/>
      <c r="AX807" s="76"/>
      <c r="AY807" s="44"/>
      <c r="AZ807" s="275"/>
      <c r="BA807" s="52"/>
      <c r="BB807" s="35"/>
      <c r="BC807" s="79"/>
      <c r="BD807" s="230"/>
      <c r="BE807" s="211"/>
      <c r="BF807" s="164"/>
      <c r="BG807" s="76"/>
      <c r="BH807" s="44"/>
      <c r="BI807" s="275"/>
      <c r="BJ807" s="52"/>
      <c r="BK807" s="35"/>
      <c r="BL807" s="79"/>
      <c r="BM807" s="230"/>
      <c r="BN807" s="211"/>
      <c r="BO807" s="164"/>
      <c r="BP807" s="76"/>
      <c r="BQ807" s="44"/>
      <c r="BR807" s="299"/>
      <c r="BS807" s="52"/>
      <c r="BT807" s="35"/>
      <c r="BU807" s="79"/>
      <c r="BV807" s="212"/>
      <c r="BW807" s="304"/>
      <c r="BX807" s="313"/>
      <c r="BY807" s="138"/>
    </row>
    <row r="808" spans="1:77" ht="15" customHeight="1" x14ac:dyDescent="0.2">
      <c r="A808" s="57" t="s">
        <v>14</v>
      </c>
      <c r="B808" s="583" t="s">
        <v>1606</v>
      </c>
      <c r="C808" s="57"/>
      <c r="D808" s="546">
        <v>5550.9589999999998</v>
      </c>
      <c r="E808" s="1101" t="s">
        <v>2896</v>
      </c>
      <c r="F808" s="729"/>
      <c r="G808" s="730">
        <v>74.099000000000004</v>
      </c>
      <c r="H808" s="723">
        <v>69.161000000000001</v>
      </c>
      <c r="I808" s="1282"/>
      <c r="J808" s="1283">
        <v>70.021000000000001</v>
      </c>
      <c r="K808" s="1283">
        <v>65.570999999999998</v>
      </c>
      <c r="L808" s="1282"/>
      <c r="M808" s="1283">
        <v>61.551000000000002</v>
      </c>
      <c r="N808" s="1283">
        <v>62.567999999999998</v>
      </c>
      <c r="O808" s="1284"/>
      <c r="P808" s="1283">
        <v>51.468000000000004</v>
      </c>
      <c r="Q808" s="796">
        <v>47.835000000000001</v>
      </c>
      <c r="R808" s="1284">
        <v>2017</v>
      </c>
      <c r="S808" s="1283">
        <v>50.582000000000001</v>
      </c>
      <c r="T808" s="796">
        <v>47.612000000000002</v>
      </c>
      <c r="U808" s="73"/>
      <c r="V808" s="66"/>
      <c r="W808" s="592"/>
      <c r="X808" s="593"/>
      <c r="Y808" s="52">
        <v>1990</v>
      </c>
      <c r="Z808" s="52"/>
      <c r="AA808" s="596"/>
      <c r="AB808" s="824">
        <v>-0.2</v>
      </c>
      <c r="AC808" s="825">
        <v>-0.3</v>
      </c>
      <c r="AD808" s="164"/>
      <c r="AE808" s="164"/>
      <c r="AF808" s="25"/>
      <c r="AG808" s="26"/>
      <c r="AH808" s="275"/>
      <c r="AI808" s="52"/>
      <c r="AJ808" s="35"/>
      <c r="AK808" s="289"/>
      <c r="AL808" s="290"/>
      <c r="AM808" s="211"/>
      <c r="AN808" s="164"/>
      <c r="AO808" s="76"/>
      <c r="AP808" s="44"/>
      <c r="AQ808" s="275"/>
      <c r="AR808" s="52"/>
      <c r="AS808" s="35"/>
      <c r="AT808" s="840">
        <v>-0.7</v>
      </c>
      <c r="AU808" s="212">
        <v>-0.7</v>
      </c>
      <c r="AV808" s="164"/>
      <c r="AW808" s="164"/>
      <c r="AX808" s="76"/>
      <c r="AY808" s="44"/>
      <c r="AZ808" s="275"/>
      <c r="BA808" s="52"/>
      <c r="BB808" s="35"/>
      <c r="BC808" s="79"/>
      <c r="BD808" s="230"/>
      <c r="BE808" s="211"/>
      <c r="BF808" s="164"/>
      <c r="BG808" s="76"/>
      <c r="BH808" s="44"/>
      <c r="BI808" s="275"/>
      <c r="BJ808" s="52"/>
      <c r="BK808" s="35"/>
      <c r="BL808" s="79"/>
      <c r="BM808" s="230"/>
      <c r="BN808" s="211"/>
      <c r="BO808" s="164"/>
      <c r="BP808" s="76"/>
      <c r="BQ808" s="44"/>
      <c r="BR808" s="299">
        <v>1990</v>
      </c>
      <c r="BS808" s="52"/>
      <c r="BT808" s="35"/>
      <c r="BU808" s="197">
        <v>-1</v>
      </c>
      <c r="BV808" s="214">
        <f>BU808</f>
        <v>-1</v>
      </c>
      <c r="BW808" s="304"/>
      <c r="BX808" s="313" t="s">
        <v>266</v>
      </c>
      <c r="BY808" s="138"/>
    </row>
    <row r="809" spans="1:77" ht="15" customHeight="1" x14ac:dyDescent="0.2">
      <c r="A809" s="57" t="s">
        <v>14</v>
      </c>
      <c r="B809" s="583" t="s">
        <v>462</v>
      </c>
      <c r="C809" s="57"/>
      <c r="D809" s="546">
        <v>585</v>
      </c>
      <c r="E809" s="162" t="s">
        <v>2943</v>
      </c>
      <c r="F809" s="358"/>
      <c r="G809" s="65"/>
      <c r="H809" s="73"/>
      <c r="I809" s="90"/>
      <c r="J809" s="73"/>
      <c r="K809" s="66"/>
      <c r="L809" s="717"/>
      <c r="M809" s="73"/>
      <c r="N809" s="359">
        <v>7.8</v>
      </c>
      <c r="O809" s="1041">
        <v>2012</v>
      </c>
      <c r="P809" s="73"/>
      <c r="Q809" s="359">
        <v>6.2232729999999998</v>
      </c>
      <c r="R809" s="1041">
        <v>2016</v>
      </c>
      <c r="S809" s="73"/>
      <c r="T809" s="359">
        <f>+N809*0.85</f>
        <v>6.63</v>
      </c>
      <c r="U809" s="73"/>
      <c r="V809" s="66"/>
      <c r="W809" s="594">
        <f>AA809*(1+AB809)</f>
        <v>4.0451274499999999E-3</v>
      </c>
      <c r="X809" s="595">
        <f>AA809*(1+AC809)</f>
        <v>4.0451274499999999E-3</v>
      </c>
      <c r="Y809" s="52">
        <v>2012</v>
      </c>
      <c r="Z809" s="52"/>
      <c r="AA809" s="596">
        <f>+Q809/1000</f>
        <v>6.2232729999999997E-3</v>
      </c>
      <c r="AB809" s="256">
        <v>-0.35</v>
      </c>
      <c r="AC809" s="688">
        <f>AB809</f>
        <v>-0.35</v>
      </c>
      <c r="AD809" s="164"/>
      <c r="AE809" s="164"/>
      <c r="AF809" s="25"/>
      <c r="AG809" s="26"/>
      <c r="AH809" s="275"/>
      <c r="AI809" s="52"/>
      <c r="AJ809" s="35"/>
      <c r="AK809" s="289"/>
      <c r="AL809" s="290"/>
      <c r="AM809" s="211"/>
      <c r="AN809" s="164"/>
      <c r="AO809" s="76"/>
      <c r="AP809" s="44"/>
      <c r="AQ809" s="275"/>
      <c r="AR809" s="52"/>
      <c r="AS809" s="35"/>
      <c r="AT809" s="79"/>
      <c r="AU809" s="212"/>
      <c r="AV809" s="164"/>
      <c r="AW809" s="164"/>
      <c r="AX809" s="76"/>
      <c r="AY809" s="44"/>
      <c r="AZ809" s="275"/>
      <c r="BA809" s="52"/>
      <c r="BB809" s="35"/>
      <c r="BC809" s="79"/>
      <c r="BD809" s="230"/>
      <c r="BE809" s="211"/>
      <c r="BF809" s="164"/>
      <c r="BG809" s="76"/>
      <c r="BH809" s="44"/>
      <c r="BI809" s="275"/>
      <c r="BJ809" s="52"/>
      <c r="BK809" s="35"/>
      <c r="BL809" s="79"/>
      <c r="BM809" s="230"/>
      <c r="BN809" s="211"/>
      <c r="BO809" s="164"/>
      <c r="BP809" s="76"/>
      <c r="BQ809" s="44"/>
      <c r="BR809" s="299"/>
      <c r="BS809" s="52"/>
      <c r="BT809" s="35"/>
      <c r="BU809" s="79"/>
      <c r="BV809" s="212"/>
      <c r="BW809" s="304"/>
      <c r="BX809" s="313"/>
      <c r="BY809" s="138"/>
    </row>
    <row r="810" spans="1:77" ht="15" customHeight="1" x14ac:dyDescent="0.2">
      <c r="A810" s="57" t="s">
        <v>14</v>
      </c>
      <c r="B810" s="583" t="s">
        <v>795</v>
      </c>
      <c r="C810" s="583"/>
      <c r="D810" s="628">
        <v>58.439</v>
      </c>
      <c r="E810" s="162" t="s">
        <v>631</v>
      </c>
      <c r="F810" s="358"/>
      <c r="G810" s="65"/>
      <c r="H810" s="73"/>
      <c r="I810" s="90">
        <v>2007</v>
      </c>
      <c r="J810" s="73"/>
      <c r="K810" s="66">
        <v>0.49701499999999998</v>
      </c>
      <c r="L810" s="717"/>
      <c r="M810" s="73"/>
      <c r="N810" s="359"/>
      <c r="O810" s="1041"/>
      <c r="P810" s="73"/>
      <c r="Q810" s="359"/>
      <c r="R810" s="1041"/>
      <c r="S810" s="73"/>
      <c r="T810" s="359"/>
      <c r="U810" s="73"/>
      <c r="V810" s="66"/>
      <c r="W810" s="740">
        <f>AA810*(1+AB810)</f>
        <v>0</v>
      </c>
      <c r="X810" s="741">
        <f>AA810*(1+AC810)</f>
        <v>0</v>
      </c>
      <c r="Y810" s="52">
        <v>2007</v>
      </c>
      <c r="Z810" s="52"/>
      <c r="AA810" s="596">
        <f>+K810/1000</f>
        <v>4.9701499999999996E-4</v>
      </c>
      <c r="AB810" s="256">
        <v>-1</v>
      </c>
      <c r="AC810" s="688">
        <f>AB810</f>
        <v>-1</v>
      </c>
      <c r="AD810" s="164"/>
      <c r="AE810" s="164"/>
      <c r="AF810" s="25"/>
      <c r="AG810" s="26"/>
      <c r="AH810" s="275"/>
      <c r="AI810" s="52"/>
      <c r="AJ810" s="35"/>
      <c r="AK810" s="590"/>
      <c r="AL810" s="591"/>
      <c r="AM810" s="211"/>
      <c r="AN810" s="164"/>
      <c r="AO810" s="76"/>
      <c r="AP810" s="44"/>
      <c r="AQ810" s="275"/>
      <c r="AR810" s="52"/>
      <c r="AS810" s="35"/>
      <c r="AT810" s="79"/>
      <c r="AU810" s="212"/>
      <c r="AV810" s="164"/>
      <c r="AW810" s="164"/>
      <c r="AX810" s="76"/>
      <c r="AY810" s="44"/>
      <c r="AZ810" s="275"/>
      <c r="BA810" s="52"/>
      <c r="BB810" s="35"/>
      <c r="BC810" s="79"/>
      <c r="BD810" s="230"/>
      <c r="BE810" s="211"/>
      <c r="BF810" s="164"/>
      <c r="BG810" s="76"/>
      <c r="BH810" s="44"/>
      <c r="BI810" s="275"/>
      <c r="BJ810" s="52"/>
      <c r="BK810" s="35"/>
      <c r="BL810" s="79"/>
      <c r="BM810" s="230"/>
      <c r="BN810" s="211"/>
      <c r="BO810" s="164"/>
      <c r="BP810" s="76"/>
      <c r="BQ810" s="44"/>
      <c r="BR810" s="299"/>
      <c r="BS810" s="52"/>
      <c r="BT810" s="35"/>
      <c r="BU810" s="79"/>
      <c r="BV810" s="212"/>
      <c r="BW810" s="304"/>
      <c r="BX810" s="313"/>
      <c r="BY810" s="138"/>
    </row>
    <row r="811" spans="1:77" ht="15" customHeight="1" x14ac:dyDescent="0.2">
      <c r="A811" s="57" t="s">
        <v>14</v>
      </c>
      <c r="B811" s="583"/>
      <c r="C811" s="583" t="s">
        <v>547</v>
      </c>
      <c r="D811" s="546">
        <v>325</v>
      </c>
      <c r="E811" s="162" t="s">
        <v>2233</v>
      </c>
      <c r="F811" s="358"/>
      <c r="G811" s="65"/>
      <c r="H811" s="73"/>
      <c r="I811" s="90"/>
      <c r="J811" s="73"/>
      <c r="K811" s="66"/>
      <c r="L811" s="90">
        <v>2008</v>
      </c>
      <c r="M811" s="73"/>
      <c r="N811" s="359">
        <v>2.1</v>
      </c>
      <c r="O811" s="1041"/>
      <c r="P811" s="73"/>
      <c r="Q811" s="359"/>
      <c r="R811" s="1041"/>
      <c r="S811" s="73"/>
      <c r="T811" s="359"/>
      <c r="U811" s="73"/>
      <c r="V811" s="66"/>
      <c r="W811" s="594">
        <f>AA811*(1+AB811)</f>
        <v>1.3650000000000003E-3</v>
      </c>
      <c r="X811" s="595">
        <f>AA811*(1+AC811)</f>
        <v>1.3650000000000003E-3</v>
      </c>
      <c r="Y811" s="52">
        <v>2008</v>
      </c>
      <c r="Z811" s="52"/>
      <c r="AA811" s="596">
        <f>+N811/1000</f>
        <v>2.1000000000000003E-3</v>
      </c>
      <c r="AB811" s="256">
        <v>-0.35</v>
      </c>
      <c r="AC811" s="688">
        <f>AB811</f>
        <v>-0.35</v>
      </c>
      <c r="AD811" s="164"/>
      <c r="AE811" s="164"/>
      <c r="AF811" s="25"/>
      <c r="AG811" s="26"/>
      <c r="AH811" s="275"/>
      <c r="AI811" s="52"/>
      <c r="AJ811" s="35"/>
      <c r="AK811" s="289"/>
      <c r="AL811" s="290"/>
      <c r="AM811" s="211"/>
      <c r="AN811" s="164"/>
      <c r="AO811" s="76">
        <v>0</v>
      </c>
      <c r="AP811" s="44">
        <v>0</v>
      </c>
      <c r="AQ811" s="275">
        <v>2008</v>
      </c>
      <c r="AR811" s="52"/>
      <c r="AS811" s="35">
        <f>+N811/1000</f>
        <v>2.1000000000000003E-3</v>
      </c>
      <c r="AT811" s="79">
        <v>-1</v>
      </c>
      <c r="AU811" s="212">
        <f>AT811</f>
        <v>-1</v>
      </c>
      <c r="AV811" s="164"/>
      <c r="AW811" s="164"/>
      <c r="AX811" s="76"/>
      <c r="AY811" s="44"/>
      <c r="AZ811" s="275"/>
      <c r="BA811" s="52"/>
      <c r="BB811" s="35"/>
      <c r="BC811" s="79"/>
      <c r="BD811" s="230"/>
      <c r="BE811" s="211"/>
      <c r="BF811" s="164"/>
      <c r="BG811" s="76"/>
      <c r="BH811" s="44"/>
      <c r="BI811" s="275"/>
      <c r="BJ811" s="52"/>
      <c r="BK811" s="35"/>
      <c r="BL811" s="79"/>
      <c r="BM811" s="230"/>
      <c r="BN811" s="211"/>
      <c r="BO811" s="164"/>
      <c r="BP811" s="76"/>
      <c r="BQ811" s="44"/>
      <c r="BR811" s="299"/>
      <c r="BS811" s="52"/>
      <c r="BT811" s="35"/>
      <c r="BU811" s="79"/>
      <c r="BV811" s="212"/>
      <c r="BW811" s="304"/>
      <c r="BX811" s="313"/>
      <c r="BY811" s="736" t="s">
        <v>1608</v>
      </c>
    </row>
    <row r="812" spans="1:77" ht="15" customHeight="1" x14ac:dyDescent="0.2">
      <c r="A812" s="57" t="s">
        <v>14</v>
      </c>
      <c r="B812" s="583"/>
      <c r="C812" s="583" t="s">
        <v>792</v>
      </c>
      <c r="D812" s="628">
        <v>6.5</v>
      </c>
      <c r="E812" s="162" t="s">
        <v>631</v>
      </c>
      <c r="F812" s="358"/>
      <c r="G812" s="65"/>
      <c r="H812" s="735">
        <v>6.6965999999999998E-2</v>
      </c>
      <c r="I812" s="90"/>
      <c r="J812" s="73"/>
      <c r="K812" s="66"/>
      <c r="L812" s="717"/>
      <c r="M812" s="73"/>
      <c r="N812" s="359"/>
      <c r="O812" s="1041"/>
      <c r="P812" s="73"/>
      <c r="Q812" s="359"/>
      <c r="R812" s="1041"/>
      <c r="S812" s="73"/>
      <c r="T812" s="359"/>
      <c r="U812" s="73"/>
      <c r="V812" s="66"/>
      <c r="W812" s="740">
        <f t="shared" ref="W812:W829" si="448">AA812*(1+AB812)</f>
        <v>3.3482999999999998E-5</v>
      </c>
      <c r="X812" s="741">
        <f t="shared" ref="X812:X829" si="449">AA812*(1+AC812)</f>
        <v>3.3482999999999998E-5</v>
      </c>
      <c r="Y812" s="52">
        <v>1990</v>
      </c>
      <c r="Z812" s="52"/>
      <c r="AA812" s="739">
        <f>+H812/1000</f>
        <v>6.6965999999999995E-5</v>
      </c>
      <c r="AB812" s="256">
        <v>-0.5</v>
      </c>
      <c r="AC812" s="688">
        <f>AB812</f>
        <v>-0.5</v>
      </c>
      <c r="AD812" s="164"/>
      <c r="AE812" s="164"/>
      <c r="AF812" s="25"/>
      <c r="AG812" s="26"/>
      <c r="AH812" s="275"/>
      <c r="AI812" s="52"/>
      <c r="AJ812" s="35"/>
      <c r="AK812" s="590"/>
      <c r="AL812" s="591"/>
      <c r="AM812" s="211"/>
      <c r="AN812" s="164"/>
      <c r="AO812" s="76"/>
      <c r="AP812" s="44"/>
      <c r="AQ812" s="275"/>
      <c r="AR812" s="52"/>
      <c r="AS812" s="35"/>
      <c r="AT812" s="79"/>
      <c r="AU812" s="212"/>
      <c r="AV812" s="164"/>
      <c r="AW812" s="164"/>
      <c r="AX812" s="76"/>
      <c r="AY812" s="44"/>
      <c r="AZ812" s="275"/>
      <c r="BA812" s="52"/>
      <c r="BB812" s="35"/>
      <c r="BC812" s="79"/>
      <c r="BD812" s="230"/>
      <c r="BE812" s="211"/>
      <c r="BF812" s="164"/>
      <c r="BG812" s="76"/>
      <c r="BH812" s="44"/>
      <c r="BI812" s="275"/>
      <c r="BJ812" s="52"/>
      <c r="BK812" s="35"/>
      <c r="BL812" s="79"/>
      <c r="BM812" s="230"/>
      <c r="BN812" s="211"/>
      <c r="BO812" s="164"/>
      <c r="BP812" s="76"/>
      <c r="BQ812" s="44"/>
      <c r="BR812" s="299"/>
      <c r="BS812" s="52"/>
      <c r="BT812" s="35"/>
      <c r="BU812" s="79"/>
      <c r="BV812" s="212"/>
      <c r="BW812" s="304"/>
      <c r="BX812" s="313"/>
      <c r="BY812" s="138"/>
    </row>
    <row r="813" spans="1:77" ht="15" customHeight="1" x14ac:dyDescent="0.2">
      <c r="A813" s="57" t="s">
        <v>14</v>
      </c>
      <c r="B813" s="583"/>
      <c r="C813" s="583" t="s">
        <v>793</v>
      </c>
      <c r="D813" s="628">
        <v>27</v>
      </c>
      <c r="E813" s="162" t="s">
        <v>631</v>
      </c>
      <c r="F813" s="358"/>
      <c r="G813" s="65"/>
      <c r="H813" s="73"/>
      <c r="I813" s="90">
        <v>2006</v>
      </c>
      <c r="J813" s="73"/>
      <c r="K813" s="66">
        <v>0.207646</v>
      </c>
      <c r="L813" s="717"/>
      <c r="M813" s="73"/>
      <c r="N813" s="359"/>
      <c r="O813" s="1041"/>
      <c r="P813" s="73"/>
      <c r="Q813" s="359"/>
      <c r="R813" s="1041"/>
      <c r="S813" s="73"/>
      <c r="T813" s="359"/>
      <c r="U813" s="73"/>
      <c r="V813" s="66"/>
      <c r="W813" s="740">
        <f t="shared" si="448"/>
        <v>1.4119927999999999E-4</v>
      </c>
      <c r="X813" s="741">
        <f t="shared" si="449"/>
        <v>1.4119927999999999E-4</v>
      </c>
      <c r="Y813" s="52">
        <v>2006</v>
      </c>
      <c r="Z813" s="52"/>
      <c r="AA813" s="739">
        <f>+K813/1000</f>
        <v>2.07646E-4</v>
      </c>
      <c r="AB813" s="256">
        <v>-0.32</v>
      </c>
      <c r="AC813" s="688">
        <f>AB813</f>
        <v>-0.32</v>
      </c>
      <c r="AD813" s="164"/>
      <c r="AE813" s="164"/>
      <c r="AF813" s="25"/>
      <c r="AG813" s="26"/>
      <c r="AH813" s="275"/>
      <c r="AI813" s="52"/>
      <c r="AJ813" s="35"/>
      <c r="AK813" s="590"/>
      <c r="AL813" s="591"/>
      <c r="AM813" s="211"/>
      <c r="AN813" s="164"/>
      <c r="AO813" s="76"/>
      <c r="AP813" s="44"/>
      <c r="AQ813" s="275"/>
      <c r="AR813" s="52"/>
      <c r="AS813" s="35"/>
      <c r="AT813" s="79"/>
      <c r="AU813" s="212"/>
      <c r="AV813" s="164"/>
      <c r="AW813" s="164"/>
      <c r="AX813" s="76"/>
      <c r="AY813" s="44"/>
      <c r="AZ813" s="275"/>
      <c r="BA813" s="52"/>
      <c r="BB813" s="35"/>
      <c r="BC813" s="79"/>
      <c r="BD813" s="230"/>
      <c r="BE813" s="211"/>
      <c r="BF813" s="164"/>
      <c r="BG813" s="76"/>
      <c r="BH813" s="44"/>
      <c r="BI813" s="275"/>
      <c r="BJ813" s="52"/>
      <c r="BK813" s="35"/>
      <c r="BL813" s="79"/>
      <c r="BM813" s="230"/>
      <c r="BN813" s="211"/>
      <c r="BO813" s="164"/>
      <c r="BP813" s="76"/>
      <c r="BQ813" s="44"/>
      <c r="BR813" s="299"/>
      <c r="BS813" s="52"/>
      <c r="BT813" s="35"/>
      <c r="BU813" s="79"/>
      <c r="BV813" s="212"/>
      <c r="BW813" s="304"/>
      <c r="BX813" s="313"/>
      <c r="BY813" s="138"/>
    </row>
    <row r="814" spans="1:77" ht="15" customHeight="1" x14ac:dyDescent="0.2">
      <c r="A814" s="57" t="s">
        <v>14</v>
      </c>
      <c r="B814" s="583"/>
      <c r="C814" s="583" t="s">
        <v>346</v>
      </c>
      <c r="D814" s="628">
        <v>559</v>
      </c>
      <c r="E814" s="162" t="s">
        <v>2234</v>
      </c>
      <c r="F814" s="358"/>
      <c r="G814" s="65"/>
      <c r="H814" s="73"/>
      <c r="I814" s="90"/>
      <c r="J814" s="73"/>
      <c r="K814" s="66">
        <v>2.5409999999999999</v>
      </c>
      <c r="L814" s="717"/>
      <c r="M814" s="73"/>
      <c r="N814" s="738">
        <v>2.2400000000000002</v>
      </c>
      <c r="O814" s="1041"/>
      <c r="P814" s="73"/>
      <c r="Q814" s="359">
        <v>1.450358</v>
      </c>
      <c r="R814" s="1041"/>
      <c r="S814" s="73"/>
      <c r="T814" s="359"/>
      <c r="U814" s="73"/>
      <c r="V814" s="66"/>
      <c r="W814" s="1134">
        <f t="shared" si="448"/>
        <v>2.1598499999999996E-3</v>
      </c>
      <c r="X814" s="1135">
        <f t="shared" si="449"/>
        <v>2.1598499999999996E-3</v>
      </c>
      <c r="Y814" s="52">
        <v>2005</v>
      </c>
      <c r="Z814" s="52"/>
      <c r="AA814" s="739">
        <f>+K814/1000</f>
        <v>2.5409999999999999E-3</v>
      </c>
      <c r="AB814" s="1109">
        <v>-0.15</v>
      </c>
      <c r="AC814" s="1110">
        <v>-0.15</v>
      </c>
      <c r="AD814" s="164"/>
      <c r="AE814" s="164"/>
      <c r="AF814" s="25">
        <v>0</v>
      </c>
      <c r="AG814" s="26">
        <v>0</v>
      </c>
      <c r="AH814" s="275">
        <v>2005</v>
      </c>
      <c r="AI814" s="52"/>
      <c r="AJ814" s="35"/>
      <c r="AK814" s="590">
        <v>-1</v>
      </c>
      <c r="AL814" s="591">
        <v>-1</v>
      </c>
      <c r="AM814" s="211"/>
      <c r="AN814" s="164"/>
      <c r="AO814" s="76"/>
      <c r="AP814" s="44"/>
      <c r="AQ814" s="275"/>
      <c r="AR814" s="52"/>
      <c r="AS814" s="35"/>
      <c r="AT814" s="79"/>
      <c r="AU814" s="212"/>
      <c r="AV814" s="164"/>
      <c r="AW814" s="164"/>
      <c r="AX814" s="76"/>
      <c r="AY814" s="44"/>
      <c r="AZ814" s="275"/>
      <c r="BA814" s="52"/>
      <c r="BB814" s="35"/>
      <c r="BC814" s="79"/>
      <c r="BD814" s="230"/>
      <c r="BE814" s="211"/>
      <c r="BF814" s="164"/>
      <c r="BG814" s="76"/>
      <c r="BH814" s="44"/>
      <c r="BI814" s="275"/>
      <c r="BJ814" s="52"/>
      <c r="BK814" s="35"/>
      <c r="BL814" s="79"/>
      <c r="BM814" s="230"/>
      <c r="BN814" s="211"/>
      <c r="BO814" s="164"/>
      <c r="BP814" s="76"/>
      <c r="BQ814" s="44"/>
      <c r="BR814" s="299"/>
      <c r="BS814" s="52"/>
      <c r="BT814" s="35"/>
      <c r="BU814" s="977">
        <v>-1</v>
      </c>
      <c r="BV814" s="1253">
        <f t="shared" ref="BV814" si="450">BU814</f>
        <v>-1</v>
      </c>
      <c r="BW814" s="304"/>
      <c r="BX814" s="313"/>
      <c r="BY814" s="138"/>
    </row>
    <row r="815" spans="1:77" ht="15" customHeight="1" x14ac:dyDescent="0.2">
      <c r="A815" s="57" t="s">
        <v>14</v>
      </c>
      <c r="B815" s="583"/>
      <c r="C815" s="583" t="s">
        <v>2235</v>
      </c>
      <c r="D815" s="628">
        <v>42</v>
      </c>
      <c r="E815" s="162" t="s">
        <v>387</v>
      </c>
      <c r="F815" s="358"/>
      <c r="G815" s="65"/>
      <c r="H815" s="73"/>
      <c r="I815" s="90">
        <v>2017</v>
      </c>
      <c r="J815" s="73"/>
      <c r="K815" s="66">
        <v>0.26772099999999999</v>
      </c>
      <c r="L815" s="717"/>
      <c r="M815" s="73"/>
      <c r="N815" s="738"/>
      <c r="O815" s="1041">
        <v>2014</v>
      </c>
      <c r="P815" s="73"/>
      <c r="Q815" s="738">
        <v>0.179535</v>
      </c>
      <c r="R815" s="1041"/>
      <c r="S815" s="73"/>
      <c r="T815" s="738"/>
      <c r="U815" s="73"/>
      <c r="V815" s="66"/>
      <c r="W815" s="1134">
        <f t="shared" ref="W815:W816" si="451">AA815*(1+AB815)</f>
        <v>2.4898052999999999E-4</v>
      </c>
      <c r="X815" s="1135">
        <f t="shared" ref="X815:X816" si="452">AA815*(1+AC815)</f>
        <v>2.4898052999999999E-4</v>
      </c>
      <c r="Y815" s="52">
        <v>2007</v>
      </c>
      <c r="Z815" s="52"/>
      <c r="AA815" s="739">
        <f>+K815/1000</f>
        <v>2.6772100000000001E-4</v>
      </c>
      <c r="AB815" s="1109">
        <v>-7.0000000000000007E-2</v>
      </c>
      <c r="AC815" s="1110">
        <f t="shared" ref="AC815" si="453">AB815</f>
        <v>-7.0000000000000007E-2</v>
      </c>
      <c r="AD815" s="164"/>
      <c r="AE815" s="164"/>
      <c r="AF815" s="25"/>
      <c r="AG815" s="26"/>
      <c r="AH815" s="275"/>
      <c r="AI815" s="52"/>
      <c r="AJ815" s="35"/>
      <c r="AK815" s="590"/>
      <c r="AL815" s="591"/>
      <c r="AM815" s="211"/>
      <c r="AN815" s="164"/>
      <c r="AO815" s="740">
        <f t="shared" ref="AO815" si="454">AS815*(1+AT815)</f>
        <v>1.338605E-4</v>
      </c>
      <c r="AP815" s="741">
        <f t="shared" ref="AP815" si="455">AS815*(1+AU815)</f>
        <v>1.338605E-4</v>
      </c>
      <c r="AQ815" s="275">
        <v>2007</v>
      </c>
      <c r="AR815" s="52"/>
      <c r="AS815" s="739">
        <f>+K815/1000</f>
        <v>2.6772100000000001E-4</v>
      </c>
      <c r="AT815" s="79">
        <v>-0.5</v>
      </c>
      <c r="AU815" s="212">
        <f t="shared" ref="AU815" si="456">AT815</f>
        <v>-0.5</v>
      </c>
      <c r="AV815" s="164"/>
      <c r="AW815" s="164"/>
      <c r="AX815" s="76"/>
      <c r="AY815" s="44"/>
      <c r="AZ815" s="275"/>
      <c r="BA815" s="52"/>
      <c r="BB815" s="35"/>
      <c r="BC815" s="79"/>
      <c r="BD815" s="230"/>
      <c r="BE815" s="211"/>
      <c r="BF815" s="164"/>
      <c r="BG815" s="76"/>
      <c r="BH815" s="44"/>
      <c r="BI815" s="275"/>
      <c r="BJ815" s="52"/>
      <c r="BK815" s="35"/>
      <c r="BL815" s="79"/>
      <c r="BM815" s="230"/>
      <c r="BN815" s="211"/>
      <c r="BO815" s="164"/>
      <c r="BP815" s="76"/>
      <c r="BQ815" s="44"/>
      <c r="BR815" s="299"/>
      <c r="BS815" s="52"/>
      <c r="BT815" s="35"/>
      <c r="BU815" s="79"/>
      <c r="BV815" s="212"/>
      <c r="BW815" s="304"/>
      <c r="BX815" s="313"/>
      <c r="BY815" s="138"/>
    </row>
    <row r="816" spans="1:77" ht="15" customHeight="1" x14ac:dyDescent="0.2">
      <c r="A816" s="57" t="s">
        <v>14</v>
      </c>
      <c r="B816" s="583"/>
      <c r="C816" s="583" t="s">
        <v>3162</v>
      </c>
      <c r="D816" s="628">
        <v>40.865000000000002</v>
      </c>
      <c r="E816" s="162" t="s">
        <v>387</v>
      </c>
      <c r="F816" s="358"/>
      <c r="G816" s="65"/>
      <c r="H816" s="73"/>
      <c r="I816" s="90"/>
      <c r="J816" s="73"/>
      <c r="K816" s="66"/>
      <c r="L816" s="717"/>
      <c r="M816" s="73"/>
      <c r="N816" s="738">
        <v>0.24299999999999999</v>
      </c>
      <c r="O816" s="1041"/>
      <c r="P816" s="73"/>
      <c r="Q816" s="738"/>
      <c r="R816" s="1041"/>
      <c r="S816" s="73"/>
      <c r="T816" s="738"/>
      <c r="U816" s="73"/>
      <c r="V816" s="66"/>
      <c r="W816" s="740">
        <f t="shared" si="451"/>
        <v>1.8225000000000001E-4</v>
      </c>
      <c r="X816" s="741">
        <f t="shared" si="452"/>
        <v>1.8225000000000001E-4</v>
      </c>
      <c r="Y816" s="52">
        <v>2010</v>
      </c>
      <c r="Z816" s="52"/>
      <c r="AA816" s="739">
        <f>+N816/1000</f>
        <v>2.43E-4</v>
      </c>
      <c r="AB816" s="256">
        <v>-0.25</v>
      </c>
      <c r="AC816" s="688">
        <f t="shared" ref="AC816:AC829" si="457">AB816</f>
        <v>-0.25</v>
      </c>
      <c r="AD816" s="164"/>
      <c r="AE816" s="164"/>
      <c r="AF816" s="25"/>
      <c r="AG816" s="26"/>
      <c r="AH816" s="275"/>
      <c r="AI816" s="52"/>
      <c r="AJ816" s="35"/>
      <c r="AK816" s="590"/>
      <c r="AL816" s="591"/>
      <c r="AM816" s="211"/>
      <c r="AN816" s="164"/>
      <c r="AO816" s="740">
        <f t="shared" ref="AO816" si="458">AS816*(1+AT816)</f>
        <v>7.290000000000001E-5</v>
      </c>
      <c r="AP816" s="741">
        <f t="shared" ref="AP816" si="459">AS816*(1+AU816)</f>
        <v>7.290000000000001E-5</v>
      </c>
      <c r="AQ816" s="275">
        <v>2010</v>
      </c>
      <c r="AR816" s="52"/>
      <c r="AS816" s="739">
        <f>+N816/1000</f>
        <v>2.43E-4</v>
      </c>
      <c r="AT816" s="79">
        <v>-0.7</v>
      </c>
      <c r="AU816" s="212">
        <f t="shared" ref="AU816" si="460">AT816</f>
        <v>-0.7</v>
      </c>
      <c r="AV816" s="164"/>
      <c r="AW816" s="164"/>
      <c r="AX816" s="76"/>
      <c r="AY816" s="44"/>
      <c r="AZ816" s="275"/>
      <c r="BA816" s="52"/>
      <c r="BB816" s="35"/>
      <c r="BC816" s="79"/>
      <c r="BD816" s="230"/>
      <c r="BE816" s="211"/>
      <c r="BF816" s="164"/>
      <c r="BG816" s="76"/>
      <c r="BH816" s="44"/>
      <c r="BI816" s="275"/>
      <c r="BJ816" s="52"/>
      <c r="BK816" s="35"/>
      <c r="BL816" s="79"/>
      <c r="BM816" s="230"/>
      <c r="BN816" s="211"/>
      <c r="BO816" s="164"/>
      <c r="BP816" s="76"/>
      <c r="BQ816" s="44"/>
      <c r="BR816" s="299"/>
      <c r="BS816" s="52"/>
      <c r="BT816" s="35"/>
      <c r="BU816" s="79"/>
      <c r="BV816" s="212"/>
      <c r="BW816" s="304"/>
      <c r="BX816" s="313"/>
      <c r="BY816" s="138"/>
    </row>
    <row r="817" spans="1:77" ht="15" customHeight="1" x14ac:dyDescent="0.2">
      <c r="A817" s="57" t="s">
        <v>14</v>
      </c>
      <c r="B817" s="583"/>
      <c r="C817" s="583" t="s">
        <v>802</v>
      </c>
      <c r="D817" s="628">
        <v>61.576000000000001</v>
      </c>
      <c r="E817" s="162" t="s">
        <v>2237</v>
      </c>
      <c r="F817" s="358"/>
      <c r="G817" s="65"/>
      <c r="H817" s="73"/>
      <c r="I817" s="90">
        <v>2007</v>
      </c>
      <c r="J817" s="73"/>
      <c r="K817" s="66">
        <v>0.66922400000000004</v>
      </c>
      <c r="L817" s="717"/>
      <c r="M817" s="73"/>
      <c r="N817" s="738">
        <v>0.54700000000000004</v>
      </c>
      <c r="O817" s="1041"/>
      <c r="P817" s="73"/>
      <c r="Q817" s="359"/>
      <c r="R817" s="1041"/>
      <c r="S817" s="73"/>
      <c r="T817" s="359"/>
      <c r="U817" s="73"/>
      <c r="V817" s="66"/>
      <c r="W817" s="740">
        <f t="shared" si="448"/>
        <v>3.4799648000000003E-4</v>
      </c>
      <c r="X817" s="741">
        <f t="shared" si="449"/>
        <v>3.4799648000000003E-4</v>
      </c>
      <c r="Y817" s="52">
        <v>2007</v>
      </c>
      <c r="Z817" s="52"/>
      <c r="AA817" s="739">
        <f>+K817/1000</f>
        <v>6.6922400000000006E-4</v>
      </c>
      <c r="AB817" s="256">
        <v>-0.48</v>
      </c>
      <c r="AC817" s="688">
        <f t="shared" si="457"/>
        <v>-0.48</v>
      </c>
      <c r="AD817" s="164"/>
      <c r="AE817" s="164"/>
      <c r="AF817" s="25"/>
      <c r="AG817" s="26"/>
      <c r="AH817" s="275"/>
      <c r="AI817" s="52"/>
      <c r="AJ817" s="35"/>
      <c r="AK817" s="590"/>
      <c r="AL817" s="591"/>
      <c r="AM817" s="211"/>
      <c r="AN817" s="164"/>
      <c r="AO817" s="740">
        <f t="shared" ref="AO817" si="461">AS817*(1+AT817)</f>
        <v>0</v>
      </c>
      <c r="AP817" s="741">
        <f t="shared" ref="AP817" si="462">AS817*(1+AU817)</f>
        <v>0</v>
      </c>
      <c r="AQ817" s="275">
        <v>2007</v>
      </c>
      <c r="AR817" s="52"/>
      <c r="AS817" s="739">
        <f>+N817/1000</f>
        <v>5.4700000000000007E-4</v>
      </c>
      <c r="AT817" s="79">
        <v>-1</v>
      </c>
      <c r="AU817" s="212">
        <f t="shared" ref="AU817" si="463">AT817</f>
        <v>-1</v>
      </c>
      <c r="AV817" s="164"/>
      <c r="AW817" s="164"/>
      <c r="AX817" s="76"/>
      <c r="AY817" s="44"/>
      <c r="AZ817" s="275"/>
      <c r="BA817" s="52"/>
      <c r="BB817" s="35"/>
      <c r="BC817" s="79"/>
      <c r="BD817" s="230"/>
      <c r="BE817" s="211"/>
      <c r="BF817" s="164"/>
      <c r="BG817" s="76"/>
      <c r="BH817" s="44"/>
      <c r="BI817" s="275"/>
      <c r="BJ817" s="52"/>
      <c r="BK817" s="35"/>
      <c r="BL817" s="79"/>
      <c r="BM817" s="230"/>
      <c r="BN817" s="211"/>
      <c r="BO817" s="164"/>
      <c r="BP817" s="76"/>
      <c r="BQ817" s="44"/>
      <c r="BR817" s="299"/>
      <c r="BS817" s="52"/>
      <c r="BT817" s="35"/>
      <c r="BU817" s="79"/>
      <c r="BV817" s="212"/>
      <c r="BW817" s="304"/>
      <c r="BX817" s="313"/>
      <c r="BY817" s="138"/>
    </row>
    <row r="818" spans="1:77" ht="15" customHeight="1" x14ac:dyDescent="0.2">
      <c r="A818" s="57" t="s">
        <v>14</v>
      </c>
      <c r="B818" s="583"/>
      <c r="C818" s="583" t="s">
        <v>2236</v>
      </c>
      <c r="D818" s="628">
        <v>66</v>
      </c>
      <c r="E818" s="162" t="s">
        <v>387</v>
      </c>
      <c r="F818" s="358"/>
      <c r="G818" s="65"/>
      <c r="H818" s="73"/>
      <c r="I818" s="90">
        <v>2007</v>
      </c>
      <c r="J818" s="73"/>
      <c r="K818" s="734">
        <v>0.49974000000000002</v>
      </c>
      <c r="L818" s="717"/>
      <c r="M818" s="73"/>
      <c r="N818" s="738"/>
      <c r="O818" s="1041"/>
      <c r="P818" s="73"/>
      <c r="Q818" s="738">
        <v>0.33128200000000002</v>
      </c>
      <c r="R818" s="1041"/>
      <c r="S818" s="73"/>
      <c r="T818" s="738"/>
      <c r="U818" s="73"/>
      <c r="V818" s="66"/>
      <c r="W818" s="740">
        <f t="shared" ref="W818" si="464">AA818*(1+AB818)</f>
        <v>2.9984400000000001E-4</v>
      </c>
      <c r="X818" s="741">
        <f t="shared" ref="X818" si="465">AA818*(1+AC818)</f>
        <v>2.9984400000000001E-4</v>
      </c>
      <c r="Y818" s="195">
        <v>2007</v>
      </c>
      <c r="Z818" s="195"/>
      <c r="AA818" s="1239">
        <f>+K818/1000</f>
        <v>4.9974000000000004E-4</v>
      </c>
      <c r="AB818" s="197">
        <v>-0.4</v>
      </c>
      <c r="AC818" s="1145">
        <f t="shared" ref="AC818" si="466">AB818</f>
        <v>-0.4</v>
      </c>
      <c r="AD818" s="164"/>
      <c r="AE818" s="164"/>
      <c r="AF818" s="25"/>
      <c r="AG818" s="26"/>
      <c r="AH818" s="275"/>
      <c r="AI818" s="52"/>
      <c r="AJ818" s="35"/>
      <c r="AK818" s="590"/>
      <c r="AL818" s="591"/>
      <c r="AM818" s="211"/>
      <c r="AN818" s="164"/>
      <c r="AO818" s="740"/>
      <c r="AP818" s="741"/>
      <c r="AQ818" s="275"/>
      <c r="AR818" s="52"/>
      <c r="AS818" s="739"/>
      <c r="AT818" s="79"/>
      <c r="AU818" s="212"/>
      <c r="AV818" s="164"/>
      <c r="AW818" s="164"/>
      <c r="AX818" s="76"/>
      <c r="AY818" s="44"/>
      <c r="AZ818" s="275"/>
      <c r="BA818" s="52"/>
      <c r="BB818" s="35"/>
      <c r="BC818" s="79"/>
      <c r="BD818" s="230"/>
      <c r="BE818" s="211"/>
      <c r="BF818" s="164"/>
      <c r="BG818" s="76"/>
      <c r="BH818" s="44"/>
      <c r="BI818" s="275"/>
      <c r="BJ818" s="52"/>
      <c r="BK818" s="35"/>
      <c r="BL818" s="79"/>
      <c r="BM818" s="230"/>
      <c r="BN818" s="211"/>
      <c r="BO818" s="164"/>
      <c r="BP818" s="76"/>
      <c r="BQ818" s="44"/>
      <c r="BR818" s="299"/>
      <c r="BS818" s="52"/>
      <c r="BT818" s="35"/>
      <c r="BU818" s="79"/>
      <c r="BV818" s="212"/>
      <c r="BW818" s="304"/>
      <c r="BX818" s="313"/>
      <c r="BY818" s="138"/>
    </row>
    <row r="819" spans="1:77" ht="15" customHeight="1" x14ac:dyDescent="0.2">
      <c r="A819" s="57" t="s">
        <v>14</v>
      </c>
      <c r="B819" s="583"/>
      <c r="C819" s="583" t="s">
        <v>799</v>
      </c>
      <c r="D819" s="628">
        <v>62.695</v>
      </c>
      <c r="E819" s="162" t="s">
        <v>631</v>
      </c>
      <c r="F819" s="358"/>
      <c r="G819" s="65"/>
      <c r="H819" s="73"/>
      <c r="I819" s="90"/>
      <c r="J819" s="73"/>
      <c r="K819" s="66"/>
      <c r="L819" s="717">
        <v>2008</v>
      </c>
      <c r="M819" s="73"/>
      <c r="N819" s="738">
        <v>0.415408</v>
      </c>
      <c r="O819" s="1041"/>
      <c r="P819" s="73"/>
      <c r="Q819" s="738">
        <v>0.29454900000000001</v>
      </c>
      <c r="R819" s="1041"/>
      <c r="S819" s="73"/>
      <c r="T819" s="738"/>
      <c r="U819" s="73"/>
      <c r="V819" s="66"/>
      <c r="W819" s="740">
        <f t="shared" si="448"/>
        <v>3.323264E-4</v>
      </c>
      <c r="X819" s="741">
        <f t="shared" si="449"/>
        <v>3.323264E-4</v>
      </c>
      <c r="Y819" s="52">
        <v>2008</v>
      </c>
      <c r="Z819" s="52"/>
      <c r="AA819" s="739">
        <f>+N819/1000</f>
        <v>4.1540799999999998E-4</v>
      </c>
      <c r="AB819" s="256">
        <v>-0.2</v>
      </c>
      <c r="AC819" s="688">
        <f t="shared" si="457"/>
        <v>-0.2</v>
      </c>
      <c r="AD819" s="164"/>
      <c r="AE819" s="164"/>
      <c r="AF819" s="25"/>
      <c r="AG819" s="26"/>
      <c r="AH819" s="275"/>
      <c r="AI819" s="52"/>
      <c r="AJ819" s="35"/>
      <c r="AK819" s="590"/>
      <c r="AL819" s="591"/>
      <c r="AM819" s="211"/>
      <c r="AN819" s="164"/>
      <c r="AO819" s="740">
        <f t="shared" ref="AO819" si="467">AS819*(1+AT819)</f>
        <v>1.0385199999999999E-4</v>
      </c>
      <c r="AP819" s="741">
        <f t="shared" ref="AP819" si="468">AS819*(1+AU819)</f>
        <v>1.0385199999999999E-4</v>
      </c>
      <c r="AQ819" s="275">
        <v>2008</v>
      </c>
      <c r="AR819" s="52"/>
      <c r="AS819" s="739">
        <f>+N819/1000</f>
        <v>4.1540799999999998E-4</v>
      </c>
      <c r="AT819" s="79">
        <v>-0.75</v>
      </c>
      <c r="AU819" s="212">
        <f t="shared" ref="AU819" si="469">AT819</f>
        <v>-0.75</v>
      </c>
      <c r="AV819" s="164"/>
      <c r="AW819" s="164"/>
      <c r="AX819" s="76"/>
      <c r="AY819" s="44"/>
      <c r="AZ819" s="275"/>
      <c r="BA819" s="52"/>
      <c r="BB819" s="35"/>
      <c r="BC819" s="79"/>
      <c r="BD819" s="230"/>
      <c r="BE819" s="211"/>
      <c r="BF819" s="164"/>
      <c r="BG819" s="76"/>
      <c r="BH819" s="44"/>
      <c r="BI819" s="275"/>
      <c r="BJ819" s="52"/>
      <c r="BK819" s="35"/>
      <c r="BL819" s="79"/>
      <c r="BM819" s="230"/>
      <c r="BN819" s="211"/>
      <c r="BO819" s="164"/>
      <c r="BP819" s="726">
        <f>+BT819*(1+BU819)</f>
        <v>0</v>
      </c>
      <c r="BQ819" s="727">
        <f>BT819*(1+BV819)</f>
        <v>0</v>
      </c>
      <c r="BR819" s="299">
        <v>2008</v>
      </c>
      <c r="BS819" s="52"/>
      <c r="BT819" s="596">
        <f>+N819/1000</f>
        <v>4.1540799999999998E-4</v>
      </c>
      <c r="BU819" s="79">
        <v>-1</v>
      </c>
      <c r="BV819" s="212">
        <f>BU819</f>
        <v>-1</v>
      </c>
      <c r="BW819" s="304"/>
      <c r="BX819" s="313"/>
      <c r="BY819" s="138"/>
    </row>
    <row r="820" spans="1:77" ht="15" customHeight="1" x14ac:dyDescent="0.2">
      <c r="A820" s="57" t="s">
        <v>14</v>
      </c>
      <c r="B820" s="583"/>
      <c r="C820" s="583" t="s">
        <v>797</v>
      </c>
      <c r="D820" s="628">
        <v>65.766999999999996</v>
      </c>
      <c r="E820" s="162" t="s">
        <v>631</v>
      </c>
      <c r="F820" s="358"/>
      <c r="G820" s="65"/>
      <c r="H820" s="73"/>
      <c r="I820" s="90"/>
      <c r="J820" s="73"/>
      <c r="K820" s="66"/>
      <c r="L820" s="717"/>
      <c r="M820" s="73"/>
      <c r="N820" s="786">
        <v>0.424597</v>
      </c>
      <c r="O820" s="1041">
        <v>2014</v>
      </c>
      <c r="P820" s="73"/>
      <c r="Q820" s="786">
        <v>0.41699999999999998</v>
      </c>
      <c r="R820" s="1041"/>
      <c r="S820" s="73"/>
      <c r="T820" s="786"/>
      <c r="U820" s="73"/>
      <c r="V820" s="66"/>
      <c r="W820" s="740">
        <f t="shared" si="448"/>
        <v>2.2503641000000003E-4</v>
      </c>
      <c r="X820" s="741">
        <f t="shared" si="449"/>
        <v>2.2503641000000003E-4</v>
      </c>
      <c r="Y820" s="52">
        <v>2010</v>
      </c>
      <c r="Z820" s="52"/>
      <c r="AA820" s="739">
        <f>+N820/1000</f>
        <v>4.2459700000000003E-4</v>
      </c>
      <c r="AB820" s="256">
        <v>-0.47</v>
      </c>
      <c r="AC820" s="688">
        <f t="shared" si="457"/>
        <v>-0.47</v>
      </c>
      <c r="AD820" s="164"/>
      <c r="AE820" s="164"/>
      <c r="AF820" s="25"/>
      <c r="AG820" s="26"/>
      <c r="AH820" s="275"/>
      <c r="AI820" s="52"/>
      <c r="AJ820" s="35"/>
      <c r="AK820" s="590"/>
      <c r="AL820" s="591"/>
      <c r="AM820" s="211"/>
      <c r="AN820" s="164"/>
      <c r="AO820" s="76"/>
      <c r="AP820" s="44"/>
      <c r="AQ820" s="275"/>
      <c r="AR820" s="52"/>
      <c r="AS820" s="35"/>
      <c r="AT820" s="79"/>
      <c r="AU820" s="212"/>
      <c r="AV820" s="164"/>
      <c r="AW820" s="164"/>
      <c r="AX820" s="76"/>
      <c r="AY820" s="44"/>
      <c r="AZ820" s="275"/>
      <c r="BA820" s="52"/>
      <c r="BB820" s="35"/>
      <c r="BC820" s="79"/>
      <c r="BD820" s="230"/>
      <c r="BE820" s="211"/>
      <c r="BF820" s="164"/>
      <c r="BG820" s="76"/>
      <c r="BH820" s="44"/>
      <c r="BI820" s="275"/>
      <c r="BJ820" s="52"/>
      <c r="BK820" s="35"/>
      <c r="BL820" s="79"/>
      <c r="BM820" s="230"/>
      <c r="BN820" s="211"/>
      <c r="BO820" s="164"/>
      <c r="BP820" s="76"/>
      <c r="BQ820" s="44"/>
      <c r="BR820" s="299"/>
      <c r="BS820" s="52"/>
      <c r="BT820" s="35"/>
      <c r="BU820" s="79"/>
      <c r="BV820" s="212"/>
      <c r="BW820" s="304"/>
      <c r="BX820" s="313"/>
      <c r="BY820" s="138"/>
    </row>
    <row r="821" spans="1:77" ht="15" customHeight="1" x14ac:dyDescent="0.2">
      <c r="A821" s="57" t="s">
        <v>14</v>
      </c>
      <c r="B821" s="583"/>
      <c r="C821" s="583" t="s">
        <v>2238</v>
      </c>
      <c r="D821" s="628">
        <v>48</v>
      </c>
      <c r="E821" s="162" t="s">
        <v>3303</v>
      </c>
      <c r="F821" s="358"/>
      <c r="G821" s="65"/>
      <c r="H821" s="73"/>
      <c r="I821" s="90">
        <v>2007</v>
      </c>
      <c r="J821" s="73"/>
      <c r="K821" s="734">
        <v>0.31</v>
      </c>
      <c r="L821" s="717">
        <v>2012</v>
      </c>
      <c r="M821" s="73"/>
      <c r="N821" s="738">
        <v>0.307342</v>
      </c>
      <c r="O821" s="1041">
        <v>2017</v>
      </c>
      <c r="P821" s="73"/>
      <c r="Q821" s="738">
        <v>0.27138600000000002</v>
      </c>
      <c r="R821" s="1041"/>
      <c r="S821" s="73"/>
      <c r="T821" s="738"/>
      <c r="U821" s="73"/>
      <c r="V821" s="66"/>
      <c r="W821" s="740"/>
      <c r="X821" s="741"/>
      <c r="Y821" s="52"/>
      <c r="Z821" s="52"/>
      <c r="AA821" s="739"/>
      <c r="AB821" s="256"/>
      <c r="AC821" s="688"/>
      <c r="AD821" s="164"/>
      <c r="AE821" s="164"/>
      <c r="AF821" s="25"/>
      <c r="AG821" s="26"/>
      <c r="AH821" s="275"/>
      <c r="AI821" s="52"/>
      <c r="AJ821" s="35"/>
      <c r="AK821" s="590"/>
      <c r="AL821" s="591"/>
      <c r="AM821" s="211"/>
      <c r="AN821" s="164"/>
      <c r="AO821" s="740">
        <f t="shared" ref="AO821" si="470">AS821*(1+AT821)</f>
        <v>1.3569300000000002E-4</v>
      </c>
      <c r="AP821" s="741">
        <f t="shared" ref="AP821" si="471">AS821*(1+AU821)</f>
        <v>1.3569300000000002E-4</v>
      </c>
      <c r="AQ821" s="275">
        <v>2017</v>
      </c>
      <c r="AR821" s="52"/>
      <c r="AS821" s="739">
        <f>+Q821/1000</f>
        <v>2.7138600000000003E-4</v>
      </c>
      <c r="AT821" s="79">
        <v>-0.5</v>
      </c>
      <c r="AU821" s="212">
        <f t="shared" ref="AU821" si="472">AT821</f>
        <v>-0.5</v>
      </c>
      <c r="AV821" s="164"/>
      <c r="AW821" s="164"/>
      <c r="AX821" s="740">
        <f t="shared" ref="AX821" si="473">BB821*(1+BC821)</f>
        <v>1.0756969999999999E-4</v>
      </c>
      <c r="AY821" s="741">
        <f t="shared" ref="AY821" si="474">BB821*(1+BD821)</f>
        <v>1.0756969999999999E-4</v>
      </c>
      <c r="AZ821" s="275">
        <v>2012</v>
      </c>
      <c r="BA821" s="52"/>
      <c r="BB821" s="739">
        <f>+N821/1000</f>
        <v>3.07342E-4</v>
      </c>
      <c r="BC821" s="79">
        <v>-0.65</v>
      </c>
      <c r="BD821" s="212">
        <f t="shared" ref="BD821" si="475">BC821</f>
        <v>-0.65</v>
      </c>
      <c r="BE821" s="211"/>
      <c r="BF821" s="164"/>
      <c r="BG821" s="76"/>
      <c r="BH821" s="44"/>
      <c r="BI821" s="275"/>
      <c r="BJ821" s="52"/>
      <c r="BK821" s="35"/>
      <c r="BL821" s="79"/>
      <c r="BM821" s="230"/>
      <c r="BN821" s="211"/>
      <c r="BO821" s="164"/>
      <c r="BP821" s="726">
        <f>+BT821*(1+BU821)</f>
        <v>0</v>
      </c>
      <c r="BQ821" s="727">
        <f>BT821*(1+BV821)</f>
        <v>0</v>
      </c>
      <c r="BR821" s="299">
        <v>2012</v>
      </c>
      <c r="BS821" s="52"/>
      <c r="BT821" s="596">
        <f>+N821/1000</f>
        <v>3.07342E-4</v>
      </c>
      <c r="BU821" s="79">
        <v>-1</v>
      </c>
      <c r="BV821" s="212">
        <f>BU821</f>
        <v>-1</v>
      </c>
      <c r="BW821" s="304"/>
      <c r="BX821" s="313" t="s">
        <v>2239</v>
      </c>
      <c r="BY821" s="138"/>
    </row>
    <row r="822" spans="1:77" ht="15" customHeight="1" x14ac:dyDescent="0.2">
      <c r="A822" s="57" t="s">
        <v>14</v>
      </c>
      <c r="B822" s="583"/>
      <c r="C822" s="583" t="s">
        <v>2240</v>
      </c>
      <c r="D822" s="628">
        <v>46</v>
      </c>
      <c r="E822" s="162" t="s">
        <v>2241</v>
      </c>
      <c r="F822" s="358"/>
      <c r="G822" s="65"/>
      <c r="H822" s="73"/>
      <c r="I822" s="90"/>
      <c r="J822" s="73"/>
      <c r="K822" s="734"/>
      <c r="L822" s="717"/>
      <c r="M822" s="73"/>
      <c r="N822" s="738">
        <v>0.16136700000000001</v>
      </c>
      <c r="O822" s="1041"/>
      <c r="P822" s="73"/>
      <c r="Q822" s="359"/>
      <c r="R822" s="1041"/>
      <c r="S822" s="73"/>
      <c r="T822" s="359"/>
      <c r="U822" s="73"/>
      <c r="V822" s="66"/>
      <c r="W822" s="740">
        <f t="shared" ref="W822" si="476">AA822*(1+AB822)</f>
        <v>1.2909360000000001E-4</v>
      </c>
      <c r="X822" s="741">
        <f t="shared" ref="X822" si="477">AA822*(1+AC822)</f>
        <v>1.2909360000000001E-4</v>
      </c>
      <c r="Y822" s="52">
        <v>2010</v>
      </c>
      <c r="Z822" s="52"/>
      <c r="AA822" s="739">
        <f>+N822/1000</f>
        <v>1.6136700000000002E-4</v>
      </c>
      <c r="AB822" s="256">
        <v>-0.2</v>
      </c>
      <c r="AC822" s="688">
        <f t="shared" ref="AC822" si="478">AB822</f>
        <v>-0.2</v>
      </c>
      <c r="AD822" s="164"/>
      <c r="AE822" s="164"/>
      <c r="AF822" s="25"/>
      <c r="AG822" s="26"/>
      <c r="AH822" s="275"/>
      <c r="AI822" s="52"/>
      <c r="AJ822" s="35"/>
      <c r="AK822" s="590"/>
      <c r="AL822" s="591"/>
      <c r="AM822" s="211"/>
      <c r="AN822" s="164"/>
      <c r="AO822" s="740">
        <f t="shared" ref="AO822" si="479">AS822*(1+AT822)</f>
        <v>9.6820200000000012E-5</v>
      </c>
      <c r="AP822" s="741">
        <f t="shared" ref="AP822" si="480">AS822*(1+AU822)</f>
        <v>9.6820200000000012E-5</v>
      </c>
      <c r="AQ822" s="275">
        <v>2008</v>
      </c>
      <c r="AR822" s="52"/>
      <c r="AS822" s="739">
        <f>+N822/1000</f>
        <v>1.6136700000000002E-4</v>
      </c>
      <c r="AT822" s="79">
        <v>-0.4</v>
      </c>
      <c r="AU822" s="212">
        <f t="shared" ref="AU822" si="481">AT822</f>
        <v>-0.4</v>
      </c>
      <c r="AV822" s="164"/>
      <c r="AW822" s="164"/>
      <c r="AX822" s="76"/>
      <c r="AY822" s="44"/>
      <c r="AZ822" s="275"/>
      <c r="BA822" s="52"/>
      <c r="BB822" s="35"/>
      <c r="BC822" s="79"/>
      <c r="BD822" s="230"/>
      <c r="BE822" s="211"/>
      <c r="BF822" s="164"/>
      <c r="BG822" s="76"/>
      <c r="BH822" s="44"/>
      <c r="BI822" s="275"/>
      <c r="BJ822" s="52"/>
      <c r="BK822" s="35"/>
      <c r="BL822" s="79"/>
      <c r="BM822" s="230"/>
      <c r="BN822" s="211"/>
      <c r="BO822" s="164"/>
      <c r="BP822" s="726"/>
      <c r="BQ822" s="727"/>
      <c r="BR822" s="299"/>
      <c r="BS822" s="52"/>
      <c r="BT822" s="596"/>
      <c r="BU822" s="79"/>
      <c r="BV822" s="212"/>
      <c r="BW822" s="304"/>
      <c r="BX822" s="313"/>
      <c r="BY822" s="138"/>
    </row>
    <row r="823" spans="1:77" ht="15" customHeight="1" x14ac:dyDescent="0.2">
      <c r="A823" s="57" t="s">
        <v>14</v>
      </c>
      <c r="B823" s="583"/>
      <c r="C823" s="583" t="s">
        <v>800</v>
      </c>
      <c r="D823" s="628">
        <v>81.111999999999995</v>
      </c>
      <c r="E823" s="162" t="s">
        <v>631</v>
      </c>
      <c r="F823" s="358"/>
      <c r="G823" s="65"/>
      <c r="H823" s="73"/>
      <c r="I823" s="90">
        <v>2007</v>
      </c>
      <c r="J823" s="73"/>
      <c r="K823" s="734">
        <v>0.26060499999999998</v>
      </c>
      <c r="L823" s="717"/>
      <c r="M823" s="73"/>
      <c r="N823" s="738"/>
      <c r="O823" s="1041"/>
      <c r="P823" s="73"/>
      <c r="Q823" s="359"/>
      <c r="R823" s="1041"/>
      <c r="S823" s="73"/>
      <c r="T823" s="359"/>
      <c r="U823" s="73"/>
      <c r="V823" s="66"/>
      <c r="W823" s="740">
        <f t="shared" si="448"/>
        <v>1.8242349999999995E-4</v>
      </c>
      <c r="X823" s="741">
        <f t="shared" si="449"/>
        <v>1.8242349999999995E-4</v>
      </c>
      <c r="Y823" s="52">
        <v>2007</v>
      </c>
      <c r="Z823" s="52"/>
      <c r="AA823" s="739">
        <f>+K823/1000</f>
        <v>2.6060499999999996E-4</v>
      </c>
      <c r="AB823" s="256">
        <v>-0.3</v>
      </c>
      <c r="AC823" s="688">
        <f t="shared" si="457"/>
        <v>-0.3</v>
      </c>
      <c r="AD823" s="164"/>
      <c r="AE823" s="164"/>
      <c r="AF823" s="25"/>
      <c r="AG823" s="26"/>
      <c r="AH823" s="275"/>
      <c r="AI823" s="52"/>
      <c r="AJ823" s="35"/>
      <c r="AK823" s="590"/>
      <c r="AL823" s="591"/>
      <c r="AM823" s="211"/>
      <c r="AN823" s="164"/>
      <c r="AO823" s="76"/>
      <c r="AP823" s="44"/>
      <c r="AQ823" s="275"/>
      <c r="AR823" s="52"/>
      <c r="AS823" s="35"/>
      <c r="AT823" s="79"/>
      <c r="AU823" s="212"/>
      <c r="AV823" s="164"/>
      <c r="AW823" s="164"/>
      <c r="AX823" s="76"/>
      <c r="AY823" s="44"/>
      <c r="AZ823" s="275"/>
      <c r="BA823" s="52"/>
      <c r="BB823" s="35"/>
      <c r="BC823" s="79"/>
      <c r="BD823" s="230"/>
      <c r="BE823" s="211"/>
      <c r="BF823" s="164"/>
      <c r="BG823" s="76"/>
      <c r="BH823" s="44"/>
      <c r="BI823" s="275"/>
      <c r="BJ823" s="52"/>
      <c r="BK823" s="35"/>
      <c r="BL823" s="79"/>
      <c r="BM823" s="230"/>
      <c r="BN823" s="211"/>
      <c r="BO823" s="164"/>
      <c r="BP823" s="76"/>
      <c r="BQ823" s="44"/>
      <c r="BR823" s="299"/>
      <c r="BS823" s="52"/>
      <c r="BT823" s="35"/>
      <c r="BU823" s="79"/>
      <c r="BV823" s="212"/>
      <c r="BW823" s="304"/>
      <c r="BX823" s="313"/>
      <c r="BY823" s="138"/>
    </row>
    <row r="824" spans="1:77" ht="15" customHeight="1" x14ac:dyDescent="0.2">
      <c r="A824" s="57" t="s">
        <v>14</v>
      </c>
      <c r="B824" s="583"/>
      <c r="C824" s="583" t="s">
        <v>2802</v>
      </c>
      <c r="D824" s="628">
        <v>38.093000000000004</v>
      </c>
      <c r="E824" s="162" t="s">
        <v>387</v>
      </c>
      <c r="F824" s="358"/>
      <c r="G824" s="65"/>
      <c r="H824" s="73"/>
      <c r="I824" s="90"/>
      <c r="J824" s="73"/>
      <c r="K824" s="734"/>
      <c r="L824" s="717"/>
      <c r="M824" s="73"/>
      <c r="N824" s="738">
        <v>0.362234</v>
      </c>
      <c r="O824" s="1041"/>
      <c r="P824" s="73"/>
      <c r="Q824" s="359"/>
      <c r="R824" s="1041"/>
      <c r="S824" s="73"/>
      <c r="T824" s="359"/>
      <c r="U824" s="73"/>
      <c r="V824" s="66"/>
      <c r="W824" s="740"/>
      <c r="X824" s="741"/>
      <c r="Y824" s="52"/>
      <c r="Z824" s="52"/>
      <c r="AA824" s="739"/>
      <c r="AB824" s="256"/>
      <c r="AC824" s="688"/>
      <c r="AD824" s="164"/>
      <c r="AE824" s="164"/>
      <c r="AF824" s="1149">
        <f t="shared" ref="AF824" si="482">AJ824*(1+AK824)</f>
        <v>0.181117</v>
      </c>
      <c r="AG824" s="1150">
        <f t="shared" ref="AG824" si="483">AJ824*(1+AL824)</f>
        <v>0.181117</v>
      </c>
      <c r="AH824" s="275">
        <v>2010</v>
      </c>
      <c r="AI824" s="52"/>
      <c r="AJ824" s="1060">
        <f>+N824</f>
        <v>0.362234</v>
      </c>
      <c r="AK824" s="79">
        <v>-0.5</v>
      </c>
      <c r="AL824" s="212">
        <f t="shared" ref="AL824" si="484">AK824</f>
        <v>-0.5</v>
      </c>
      <c r="AM824" s="211"/>
      <c r="AN824" s="164"/>
      <c r="AO824" s="76"/>
      <c r="AP824" s="44"/>
      <c r="AQ824" s="275"/>
      <c r="AR824" s="52"/>
      <c r="AS824" s="35"/>
      <c r="AT824" s="79"/>
      <c r="AU824" s="212"/>
      <c r="AV824" s="164"/>
      <c r="AW824" s="164"/>
      <c r="AX824" s="76"/>
      <c r="AY824" s="44"/>
      <c r="AZ824" s="275"/>
      <c r="BA824" s="52"/>
      <c r="BB824" s="35"/>
      <c r="BC824" s="79"/>
      <c r="BD824" s="230"/>
      <c r="BE824" s="211"/>
      <c r="BF824" s="164"/>
      <c r="BG824" s="76"/>
      <c r="BH824" s="44"/>
      <c r="BI824" s="275"/>
      <c r="BJ824" s="52"/>
      <c r="BK824" s="35"/>
      <c r="BL824" s="79"/>
      <c r="BM824" s="230"/>
      <c r="BN824" s="211"/>
      <c r="BO824" s="164"/>
      <c r="BP824" s="76"/>
      <c r="BQ824" s="44"/>
      <c r="BR824" s="299"/>
      <c r="BS824" s="52"/>
      <c r="BT824" s="35"/>
      <c r="BU824" s="79"/>
      <c r="BV824" s="212"/>
      <c r="BW824" s="304"/>
      <c r="BX824" s="313"/>
      <c r="BY824" s="138"/>
    </row>
    <row r="825" spans="1:77" ht="15" customHeight="1" x14ac:dyDescent="0.2">
      <c r="A825" s="57" t="s">
        <v>14</v>
      </c>
      <c r="B825" s="583"/>
      <c r="C825" s="583" t="s">
        <v>2463</v>
      </c>
      <c r="D825" s="628">
        <v>11.404</v>
      </c>
      <c r="E825" s="162" t="s">
        <v>2464</v>
      </c>
      <c r="F825" s="358"/>
      <c r="G825" s="65"/>
      <c r="H825" s="73"/>
      <c r="I825" s="90"/>
      <c r="J825" s="73"/>
      <c r="K825" s="734"/>
      <c r="L825" s="717"/>
      <c r="M825" s="73"/>
      <c r="N825" s="738">
        <v>0.215</v>
      </c>
      <c r="O825" s="1041"/>
      <c r="P825" s="73"/>
      <c r="Q825" s="359"/>
      <c r="R825" s="1041"/>
      <c r="S825" s="73"/>
      <c r="T825" s="359"/>
      <c r="U825" s="73"/>
      <c r="V825" s="66"/>
      <c r="W825" s="740"/>
      <c r="X825" s="741"/>
      <c r="Y825" s="52"/>
      <c r="Z825" s="52"/>
      <c r="AA825" s="739"/>
      <c r="AB825" s="256"/>
      <c r="AC825" s="688"/>
      <c r="AD825" s="164"/>
      <c r="AE825" s="164"/>
      <c r="AF825" s="25"/>
      <c r="AG825" s="26"/>
      <c r="AH825" s="275"/>
      <c r="AI825" s="52"/>
      <c r="AJ825" s="35"/>
      <c r="AK825" s="590"/>
      <c r="AL825" s="591"/>
      <c r="AM825" s="211"/>
      <c r="AN825" s="164"/>
      <c r="AO825" s="76">
        <v>0</v>
      </c>
      <c r="AP825" s="44">
        <v>0</v>
      </c>
      <c r="AQ825" s="275">
        <v>2010</v>
      </c>
      <c r="AR825" s="52"/>
      <c r="AS825" s="35">
        <f>+N825</f>
        <v>0.215</v>
      </c>
      <c r="AT825" s="79">
        <v>-1</v>
      </c>
      <c r="AU825" s="212">
        <f>AT825</f>
        <v>-1</v>
      </c>
      <c r="AV825" s="164"/>
      <c r="AW825" s="164"/>
      <c r="AX825" s="76"/>
      <c r="AY825" s="44"/>
      <c r="AZ825" s="275"/>
      <c r="BA825" s="52"/>
      <c r="BB825" s="35"/>
      <c r="BC825" s="79"/>
      <c r="BD825" s="230"/>
      <c r="BE825" s="211"/>
      <c r="BF825" s="164"/>
      <c r="BG825" s="76"/>
      <c r="BH825" s="44"/>
      <c r="BI825" s="275"/>
      <c r="BJ825" s="52"/>
      <c r="BK825" s="35"/>
      <c r="BL825" s="79"/>
      <c r="BM825" s="230"/>
      <c r="BN825" s="211"/>
      <c r="BO825" s="164"/>
      <c r="BP825" s="76"/>
      <c r="BQ825" s="44"/>
      <c r="BR825" s="299"/>
      <c r="BS825" s="52"/>
      <c r="BT825" s="35"/>
      <c r="BU825" s="79"/>
      <c r="BV825" s="212"/>
      <c r="BW825" s="304"/>
      <c r="BX825" s="313"/>
      <c r="BY825" s="138"/>
    </row>
    <row r="826" spans="1:77" ht="15" customHeight="1" x14ac:dyDescent="0.2">
      <c r="A826" s="57" t="s">
        <v>14</v>
      </c>
      <c r="B826" s="583"/>
      <c r="C826" s="583" t="s">
        <v>798</v>
      </c>
      <c r="D826" s="628">
        <v>81.8</v>
      </c>
      <c r="E826" s="162" t="s">
        <v>631</v>
      </c>
      <c r="F826" s="358"/>
      <c r="G826" s="65"/>
      <c r="H826" s="73"/>
      <c r="I826" s="90"/>
      <c r="J826" s="73"/>
      <c r="K826" s="66"/>
      <c r="L826" s="717">
        <v>2008</v>
      </c>
      <c r="M826" s="73"/>
      <c r="N826" s="738">
        <v>0.59608499999999998</v>
      </c>
      <c r="O826" s="1041"/>
      <c r="P826" s="73"/>
      <c r="Q826" s="359"/>
      <c r="R826" s="1041"/>
      <c r="S826" s="73"/>
      <c r="T826" s="359"/>
      <c r="U826" s="73"/>
      <c r="V826" s="66"/>
      <c r="W826" s="740">
        <f t="shared" si="448"/>
        <v>3.8745525000000001E-4</v>
      </c>
      <c r="X826" s="741">
        <f t="shared" si="449"/>
        <v>3.8745525000000001E-4</v>
      </c>
      <c r="Y826" s="52">
        <v>2008</v>
      </c>
      <c r="Z826" s="52"/>
      <c r="AA826" s="739">
        <f>+N826/1000</f>
        <v>5.96085E-4</v>
      </c>
      <c r="AB826" s="256">
        <v>-0.35</v>
      </c>
      <c r="AC826" s="688">
        <f t="shared" si="457"/>
        <v>-0.35</v>
      </c>
      <c r="AD826" s="164"/>
      <c r="AE826" s="164"/>
      <c r="AF826" s="25"/>
      <c r="AG826" s="26"/>
      <c r="AH826" s="275"/>
      <c r="AI826" s="52"/>
      <c r="AJ826" s="35"/>
      <c r="AK826" s="590"/>
      <c r="AL826" s="591"/>
      <c r="AM826" s="211"/>
      <c r="AN826" s="164"/>
      <c r="AO826" s="76"/>
      <c r="AP826" s="44"/>
      <c r="AQ826" s="275"/>
      <c r="AR826" s="52"/>
      <c r="AS826" s="35"/>
      <c r="AT826" s="79"/>
      <c r="AU826" s="212"/>
      <c r="AV826" s="164"/>
      <c r="AW826" s="164"/>
      <c r="AX826" s="76"/>
      <c r="AY826" s="44"/>
      <c r="AZ826" s="275"/>
      <c r="BA826" s="52"/>
      <c r="BB826" s="35"/>
      <c r="BC826" s="79"/>
      <c r="BD826" s="230"/>
      <c r="BE826" s="211"/>
      <c r="BF826" s="164"/>
      <c r="BG826" s="76"/>
      <c r="BH826" s="44"/>
      <c r="BI826" s="275"/>
      <c r="BJ826" s="52"/>
      <c r="BK826" s="35"/>
      <c r="BL826" s="79"/>
      <c r="BM826" s="230"/>
      <c r="BN826" s="211"/>
      <c r="BO826" s="164"/>
      <c r="BP826" s="76"/>
      <c r="BQ826" s="44"/>
      <c r="BR826" s="299"/>
      <c r="BS826" s="52"/>
      <c r="BT826" s="35"/>
      <c r="BU826" s="79"/>
      <c r="BV826" s="212"/>
      <c r="BW826" s="304"/>
      <c r="BX826" s="313"/>
      <c r="BY826" s="138"/>
    </row>
    <row r="827" spans="1:77" ht="15" customHeight="1" x14ac:dyDescent="0.2">
      <c r="A827" s="57" t="s">
        <v>14</v>
      </c>
      <c r="B827" s="583"/>
      <c r="C827" s="583" t="s">
        <v>794</v>
      </c>
      <c r="D827" s="628">
        <v>47.616999999999997</v>
      </c>
      <c r="E827" s="162" t="s">
        <v>631</v>
      </c>
      <c r="F827" s="358"/>
      <c r="G827" s="65"/>
      <c r="H827" s="73"/>
      <c r="I827" s="90"/>
      <c r="J827" s="73"/>
      <c r="K827" s="66"/>
      <c r="L827" s="717">
        <v>2014</v>
      </c>
      <c r="M827" s="73"/>
      <c r="N827" s="738">
        <v>0.248749</v>
      </c>
      <c r="O827" s="1041">
        <v>2014</v>
      </c>
      <c r="P827" s="73"/>
      <c r="Q827" s="359">
        <v>0.248749</v>
      </c>
      <c r="R827" s="1041"/>
      <c r="S827" s="73"/>
      <c r="T827" s="359"/>
      <c r="U827" s="73"/>
      <c r="V827" s="66"/>
      <c r="W827" s="740">
        <f t="shared" si="448"/>
        <v>1.2437449999999999E-4</v>
      </c>
      <c r="X827" s="741">
        <f t="shared" si="449"/>
        <v>1.2437449999999999E-4</v>
      </c>
      <c r="Y827" s="52">
        <v>2014</v>
      </c>
      <c r="Z827" s="52"/>
      <c r="AA827" s="739">
        <f>+N827/1000</f>
        <v>2.4874899999999999E-4</v>
      </c>
      <c r="AB827" s="256">
        <v>-0.5</v>
      </c>
      <c r="AC827" s="688">
        <f t="shared" si="457"/>
        <v>-0.5</v>
      </c>
      <c r="AD827" s="164"/>
      <c r="AE827" s="164"/>
      <c r="AF827" s="25"/>
      <c r="AG827" s="26"/>
      <c r="AH827" s="275"/>
      <c r="AI827" s="52"/>
      <c r="AJ827" s="35"/>
      <c r="AK827" s="590"/>
      <c r="AL827" s="591"/>
      <c r="AM827" s="211"/>
      <c r="AN827" s="164"/>
      <c r="AO827" s="76"/>
      <c r="AP827" s="44"/>
      <c r="AQ827" s="275"/>
      <c r="AR827" s="52"/>
      <c r="AS827" s="35"/>
      <c r="AT827" s="79"/>
      <c r="AU827" s="212"/>
      <c r="AV827" s="164"/>
      <c r="AW827" s="164"/>
      <c r="AX827" s="76"/>
      <c r="AY827" s="44"/>
      <c r="AZ827" s="275"/>
      <c r="BA827" s="52"/>
      <c r="BB827" s="35"/>
      <c r="BC827" s="79"/>
      <c r="BD827" s="230"/>
      <c r="BE827" s="211"/>
      <c r="BF827" s="164"/>
      <c r="BG827" s="76"/>
      <c r="BH827" s="44"/>
      <c r="BI827" s="275"/>
      <c r="BJ827" s="52"/>
      <c r="BK827" s="35"/>
      <c r="BL827" s="79"/>
      <c r="BM827" s="230"/>
      <c r="BN827" s="211"/>
      <c r="BO827" s="164"/>
      <c r="BP827" s="76"/>
      <c r="BQ827" s="44"/>
      <c r="BR827" s="299"/>
      <c r="BS827" s="52"/>
      <c r="BT827" s="35"/>
      <c r="BU827" s="79"/>
      <c r="BV827" s="212"/>
      <c r="BW827" s="304"/>
      <c r="BX827" s="313"/>
      <c r="BY827" s="138"/>
    </row>
    <row r="828" spans="1:77" ht="15" customHeight="1" x14ac:dyDescent="0.2">
      <c r="A828" s="57" t="s">
        <v>14</v>
      </c>
      <c r="B828" s="583"/>
      <c r="C828" s="583" t="s">
        <v>801</v>
      </c>
      <c r="D828" s="628">
        <v>20.96</v>
      </c>
      <c r="E828" s="162" t="s">
        <v>631</v>
      </c>
      <c r="F828" s="358"/>
      <c r="G828" s="65"/>
      <c r="H828" s="73"/>
      <c r="I828" s="90">
        <v>2007</v>
      </c>
      <c r="J828" s="73"/>
      <c r="K828" s="734">
        <v>0.13004599999999999</v>
      </c>
      <c r="L828" s="717"/>
      <c r="M828" s="73"/>
      <c r="N828" s="738"/>
      <c r="O828" s="1041"/>
      <c r="P828" s="73"/>
      <c r="Q828" s="359"/>
      <c r="R828" s="1041"/>
      <c r="S828" s="73"/>
      <c r="T828" s="359"/>
      <c r="U828" s="73"/>
      <c r="V828" s="66"/>
      <c r="W828" s="740">
        <f t="shared" si="448"/>
        <v>6.5023000000000004E-5</v>
      </c>
      <c r="X828" s="741">
        <f t="shared" si="449"/>
        <v>6.5023000000000004E-5</v>
      </c>
      <c r="Y828" s="52">
        <v>2007</v>
      </c>
      <c r="Z828" s="52"/>
      <c r="AA828" s="739">
        <f>+K828/1000</f>
        <v>1.3004600000000001E-4</v>
      </c>
      <c r="AB828" s="256">
        <v>-0.5</v>
      </c>
      <c r="AC828" s="688">
        <f t="shared" si="457"/>
        <v>-0.5</v>
      </c>
      <c r="AD828" s="164"/>
      <c r="AE828" s="164"/>
      <c r="AF828" s="25"/>
      <c r="AG828" s="26"/>
      <c r="AH828" s="275"/>
      <c r="AI828" s="52"/>
      <c r="AJ828" s="35"/>
      <c r="AK828" s="590"/>
      <c r="AL828" s="591"/>
      <c r="AM828" s="211"/>
      <c r="AN828" s="164"/>
      <c r="AO828" s="76"/>
      <c r="AP828" s="44"/>
      <c r="AQ828" s="275"/>
      <c r="AR828" s="52"/>
      <c r="AS828" s="35"/>
      <c r="AT828" s="79"/>
      <c r="AU828" s="212"/>
      <c r="AV828" s="164"/>
      <c r="AW828" s="164"/>
      <c r="AX828" s="76"/>
      <c r="AY828" s="44"/>
      <c r="AZ828" s="275"/>
      <c r="BA828" s="52"/>
      <c r="BB828" s="35"/>
      <c r="BC828" s="79"/>
      <c r="BD828" s="230"/>
      <c r="BE828" s="211"/>
      <c r="BF828" s="164"/>
      <c r="BG828" s="76"/>
      <c r="BH828" s="44"/>
      <c r="BI828" s="275"/>
      <c r="BJ828" s="52"/>
      <c r="BK828" s="35"/>
      <c r="BL828" s="79"/>
      <c r="BM828" s="230"/>
      <c r="BN828" s="211"/>
      <c r="BO828" s="164"/>
      <c r="BP828" s="76"/>
      <c r="BQ828" s="44"/>
      <c r="BR828" s="299"/>
      <c r="BS828" s="52"/>
      <c r="BT828" s="35"/>
      <c r="BU828" s="79"/>
      <c r="BV828" s="212"/>
      <c r="BW828" s="304"/>
      <c r="BX828" s="313"/>
      <c r="BY828" s="138"/>
    </row>
    <row r="829" spans="1:77" s="135" customFormat="1" ht="13.5" customHeight="1" x14ac:dyDescent="0.2">
      <c r="A829" s="1020" t="s">
        <v>14</v>
      </c>
      <c r="B829" s="984"/>
      <c r="C829" s="984" t="s">
        <v>796</v>
      </c>
      <c r="D829" s="1155">
        <v>27</v>
      </c>
      <c r="E829" s="971" t="s">
        <v>2577</v>
      </c>
      <c r="F829" s="986"/>
      <c r="G829" s="987"/>
      <c r="H829" s="988"/>
      <c r="I829" s="989">
        <v>2007</v>
      </c>
      <c r="J829" s="988"/>
      <c r="K829" s="990">
        <v>0.72230099999999997</v>
      </c>
      <c r="L829" s="991"/>
      <c r="M829" s="988"/>
      <c r="N829" s="1136"/>
      <c r="O829" s="1046">
        <v>2018</v>
      </c>
      <c r="P829" s="988"/>
      <c r="Q829" s="1156">
        <f>K829*0.62</f>
        <v>0.44782661999999995</v>
      </c>
      <c r="R829" s="1046"/>
      <c r="S829" s="988"/>
      <c r="T829" s="1156"/>
      <c r="U829" s="988"/>
      <c r="V829" s="993"/>
      <c r="W829" s="994">
        <f t="shared" si="448"/>
        <v>3.6115049999999998E-4</v>
      </c>
      <c r="X829" s="995">
        <f t="shared" si="449"/>
        <v>3.6115049999999998E-4</v>
      </c>
      <c r="Y829" s="996">
        <v>2007</v>
      </c>
      <c r="Z829" s="996"/>
      <c r="AA829" s="997">
        <f>+K829/1000</f>
        <v>7.2230099999999995E-4</v>
      </c>
      <c r="AB829" s="998">
        <v>-0.5</v>
      </c>
      <c r="AC829" s="999">
        <f t="shared" si="457"/>
        <v>-0.5</v>
      </c>
      <c r="AD829" s="1000"/>
      <c r="AE829" s="1000"/>
      <c r="AF829" s="1001"/>
      <c r="AG829" s="1002"/>
      <c r="AH829" s="1003"/>
      <c r="AI829" s="996"/>
      <c r="AJ829" s="1004"/>
      <c r="AK829" s="1157"/>
      <c r="AL829" s="1158"/>
      <c r="AM829" s="1007"/>
      <c r="AN829" s="1000"/>
      <c r="AO829" s="1011">
        <v>0</v>
      </c>
      <c r="AP829" s="1012">
        <v>0</v>
      </c>
      <c r="AQ829" s="1003"/>
      <c r="AR829" s="996"/>
      <c r="AS829" s="1004"/>
      <c r="AT829" s="1009">
        <v>-1</v>
      </c>
      <c r="AU829" s="1010">
        <f>AT829</f>
        <v>-1</v>
      </c>
      <c r="AV829" s="1000"/>
      <c r="AW829" s="1000"/>
      <c r="AX829" s="1011"/>
      <c r="AY829" s="1012"/>
      <c r="AZ829" s="1003"/>
      <c r="BA829" s="996"/>
      <c r="BB829" s="1004"/>
      <c r="BC829" s="1009"/>
      <c r="BD829" s="1013"/>
      <c r="BE829" s="1007"/>
      <c r="BF829" s="1000"/>
      <c r="BG829" s="1011"/>
      <c r="BH829" s="1012"/>
      <c r="BI829" s="1003"/>
      <c r="BJ829" s="996"/>
      <c r="BK829" s="1004"/>
      <c r="BL829" s="1009"/>
      <c r="BM829" s="1013"/>
      <c r="BN829" s="1007"/>
      <c r="BO829" s="1000"/>
      <c r="BP829" s="1011"/>
      <c r="BQ829" s="1012"/>
      <c r="BR829" s="1016"/>
      <c r="BS829" s="996"/>
      <c r="BT829" s="1004"/>
      <c r="BU829" s="1009"/>
      <c r="BV829" s="1010"/>
      <c r="BW829" s="304"/>
      <c r="BX829" s="313"/>
      <c r="BY829" s="1159" t="s">
        <v>1608</v>
      </c>
    </row>
    <row r="830" spans="1:77" ht="15" customHeight="1" x14ac:dyDescent="0.2">
      <c r="A830" s="57" t="s">
        <v>4</v>
      </c>
      <c r="B830" s="583" t="s">
        <v>1606</v>
      </c>
      <c r="C830" s="57"/>
      <c r="D830" s="546">
        <v>1298.5329999999999</v>
      </c>
      <c r="E830" s="1101" t="s">
        <v>2896</v>
      </c>
      <c r="F830" s="729"/>
      <c r="G830" s="730">
        <v>38.942</v>
      </c>
      <c r="H830" s="723">
        <v>40.432000000000002</v>
      </c>
      <c r="I830" s="1282"/>
      <c r="J830" s="1283">
        <v>16.271999999999998</v>
      </c>
      <c r="K830" s="1283">
        <v>19.202999999999999</v>
      </c>
      <c r="L830" s="1282"/>
      <c r="M830" s="1283">
        <v>19.068999999999999</v>
      </c>
      <c r="N830" s="1283">
        <v>21.213999999999999</v>
      </c>
      <c r="O830" s="1284"/>
      <c r="P830" s="1283">
        <v>15.744999999999999</v>
      </c>
      <c r="Q830" s="796">
        <v>18.126999999999999</v>
      </c>
      <c r="R830" s="1284">
        <v>2017</v>
      </c>
      <c r="S830" s="1283">
        <v>19.087</v>
      </c>
      <c r="T830" s="796">
        <v>20.88</v>
      </c>
      <c r="U830" s="73"/>
      <c r="V830" s="66"/>
      <c r="W830" s="592"/>
      <c r="X830" s="593"/>
      <c r="Y830" s="52">
        <v>1990</v>
      </c>
      <c r="Z830" s="52"/>
      <c r="AA830" s="596"/>
      <c r="AB830" s="824">
        <v>-0.2</v>
      </c>
      <c r="AC830" s="825">
        <v>-0.3</v>
      </c>
      <c r="AD830" s="164"/>
      <c r="AE830" s="164"/>
      <c r="AF830" s="25"/>
      <c r="AG830" s="26"/>
      <c r="AH830" s="275"/>
      <c r="AI830" s="52"/>
      <c r="AJ830" s="35"/>
      <c r="AK830" s="289"/>
      <c r="AL830" s="290"/>
      <c r="AM830" s="211"/>
      <c r="AN830" s="164"/>
      <c r="AO830" s="76"/>
      <c r="AP830" s="44"/>
      <c r="AQ830" s="275"/>
      <c r="AR830" s="52"/>
      <c r="AS830" s="35"/>
      <c r="AT830" s="840">
        <v>0.55000000000000004</v>
      </c>
      <c r="AU830" s="688">
        <v>0.55000000000000004</v>
      </c>
      <c r="AV830" s="164"/>
      <c r="AW830" s="164"/>
      <c r="AX830" s="76"/>
      <c r="AY830" s="44"/>
      <c r="AZ830" s="275"/>
      <c r="BA830" s="52"/>
      <c r="BB830" s="35"/>
      <c r="BC830" s="79"/>
      <c r="BD830" s="230"/>
      <c r="BE830" s="211"/>
      <c r="BF830" s="164"/>
      <c r="BG830" s="76"/>
      <c r="BH830" s="44"/>
      <c r="BI830" s="275"/>
      <c r="BJ830" s="52"/>
      <c r="BK830" s="35"/>
      <c r="BL830" s="79"/>
      <c r="BM830" s="230"/>
      <c r="BN830" s="211"/>
      <c r="BO830" s="164"/>
      <c r="BP830" s="76"/>
      <c r="BQ830" s="44"/>
      <c r="BR830" s="299"/>
      <c r="BS830" s="52"/>
      <c r="BT830" s="35"/>
      <c r="BU830" s="79">
        <v>-0.8</v>
      </c>
      <c r="BV830" s="212">
        <v>-0.95</v>
      </c>
      <c r="BW830" s="304"/>
      <c r="BX830" s="313"/>
      <c r="BY830" s="138"/>
    </row>
    <row r="831" spans="1:77" ht="15" customHeight="1" x14ac:dyDescent="0.2">
      <c r="A831" s="57" t="s">
        <v>4</v>
      </c>
      <c r="B831" s="583"/>
      <c r="C831" s="583" t="s">
        <v>803</v>
      </c>
      <c r="D831" s="546">
        <v>16.114999999999998</v>
      </c>
      <c r="E831" s="162" t="s">
        <v>631</v>
      </c>
      <c r="F831" s="358"/>
      <c r="G831" s="65"/>
      <c r="H831" s="73"/>
      <c r="I831" s="90"/>
      <c r="J831" s="73"/>
      <c r="K831" s="66"/>
      <c r="L831" s="717">
        <v>2008</v>
      </c>
      <c r="M831" s="73"/>
      <c r="N831" s="359">
        <v>1.4338999999999999E-2</v>
      </c>
      <c r="O831" s="1041"/>
      <c r="P831" s="73"/>
      <c r="Q831" s="359"/>
      <c r="R831" s="1041"/>
      <c r="S831" s="73"/>
      <c r="T831" s="359"/>
      <c r="U831" s="73"/>
      <c r="V831" s="66"/>
      <c r="W831" s="740">
        <f>AA831*(1+AB831)</f>
        <v>7.5996699999999999E-6</v>
      </c>
      <c r="X831" s="741">
        <f>AA831*(1+AC831)</f>
        <v>7.5996699999999999E-6</v>
      </c>
      <c r="Y831" s="52">
        <v>2008</v>
      </c>
      <c r="Z831" s="52"/>
      <c r="AA831" s="739">
        <f>+N831/1000</f>
        <v>1.4338999999999999E-5</v>
      </c>
      <c r="AB831" s="256">
        <v>-0.47</v>
      </c>
      <c r="AC831" s="688">
        <f>AB831</f>
        <v>-0.47</v>
      </c>
      <c r="AD831" s="164"/>
      <c r="AE831" s="164"/>
      <c r="AF831" s="25"/>
      <c r="AG831" s="26"/>
      <c r="AH831" s="275"/>
      <c r="AI831" s="52"/>
      <c r="AJ831" s="35"/>
      <c r="AK831" s="289"/>
      <c r="AL831" s="290"/>
      <c r="AM831" s="211"/>
      <c r="AN831" s="164"/>
      <c r="AO831" s="76"/>
      <c r="AP831" s="44"/>
      <c r="AQ831" s="275"/>
      <c r="AR831" s="52"/>
      <c r="AS831" s="35"/>
      <c r="AT831" s="79"/>
      <c r="AU831" s="212"/>
      <c r="AV831" s="164"/>
      <c r="AW831" s="164"/>
      <c r="AX831" s="76"/>
      <c r="AY831" s="44"/>
      <c r="AZ831" s="275"/>
      <c r="BA831" s="52"/>
      <c r="BB831" s="35"/>
      <c r="BC831" s="79"/>
      <c r="BD831" s="230"/>
      <c r="BE831" s="211"/>
      <c r="BF831" s="164"/>
      <c r="BG831" s="76"/>
      <c r="BH831" s="44"/>
      <c r="BI831" s="275"/>
      <c r="BJ831" s="52"/>
      <c r="BK831" s="35"/>
      <c r="BL831" s="79"/>
      <c r="BM831" s="230"/>
      <c r="BN831" s="211"/>
      <c r="BO831" s="164"/>
      <c r="BP831" s="76"/>
      <c r="BQ831" s="44"/>
      <c r="BR831" s="299"/>
      <c r="BS831" s="52"/>
      <c r="BT831" s="35"/>
      <c r="BU831" s="79"/>
      <c r="BV831" s="212"/>
      <c r="BW831" s="304"/>
      <c r="BX831" s="313"/>
      <c r="BY831" s="138"/>
    </row>
    <row r="832" spans="1:77" ht="15" customHeight="1" x14ac:dyDescent="0.2">
      <c r="A832" s="57" t="s">
        <v>16</v>
      </c>
      <c r="B832" s="583" t="s">
        <v>1606</v>
      </c>
      <c r="C832" s="57"/>
      <c r="D832" s="546">
        <v>5367.6930000000002</v>
      </c>
      <c r="E832" s="1101" t="s">
        <v>2896</v>
      </c>
      <c r="F832" s="729"/>
      <c r="G832" s="730">
        <v>56.360999999999997</v>
      </c>
      <c r="H832" s="723">
        <v>71.132999999999996</v>
      </c>
      <c r="I832" s="1282"/>
      <c r="J832" s="1283">
        <v>45.384999999999998</v>
      </c>
      <c r="K832" s="1283">
        <v>69.813000000000002</v>
      </c>
      <c r="L832" s="1282"/>
      <c r="M832" s="1283">
        <v>53.478000000000002</v>
      </c>
      <c r="N832" s="1283">
        <v>75.626999999999995</v>
      </c>
      <c r="O832" s="1284"/>
      <c r="P832" s="1283">
        <v>35.056229999999999</v>
      </c>
      <c r="Q832" s="796">
        <v>55.12285</v>
      </c>
      <c r="R832" s="1284">
        <v>2017</v>
      </c>
      <c r="S832" s="1283">
        <v>34.956000000000003</v>
      </c>
      <c r="T832" s="796">
        <v>55.334000000000003</v>
      </c>
      <c r="U832" s="73"/>
      <c r="V832" s="66"/>
      <c r="W832" s="592"/>
      <c r="X832" s="593"/>
      <c r="Y832" s="52">
        <v>1990</v>
      </c>
      <c r="Z832" s="52"/>
      <c r="AA832" s="596"/>
      <c r="AB832" s="824">
        <v>-0.2</v>
      </c>
      <c r="AC832" s="825">
        <v>-0.3</v>
      </c>
      <c r="AD832" s="164"/>
      <c r="AE832" s="164"/>
      <c r="AF832" s="25"/>
      <c r="AG832" s="26"/>
      <c r="AH832" s="275"/>
      <c r="AI832" s="52"/>
      <c r="AJ832" s="35"/>
      <c r="AK832" s="289"/>
      <c r="AL832" s="290"/>
      <c r="AM832" s="211"/>
      <c r="AN832" s="164"/>
      <c r="AO832" s="76"/>
      <c r="AP832" s="44"/>
      <c r="AQ832" s="275"/>
      <c r="AR832" s="52"/>
      <c r="AS832" s="35"/>
      <c r="AT832" s="840">
        <v>0.55000000000000004</v>
      </c>
      <c r="AU832" s="688">
        <v>0.55000000000000004</v>
      </c>
      <c r="AV832" s="164"/>
      <c r="AW832" s="164"/>
      <c r="AX832" s="76">
        <v>0</v>
      </c>
      <c r="AY832" s="44">
        <v>0</v>
      </c>
      <c r="AZ832" s="275"/>
      <c r="BA832" s="52"/>
      <c r="BB832" s="35"/>
      <c r="BC832" s="79">
        <v>-1</v>
      </c>
      <c r="BD832" s="230">
        <f>BC832</f>
        <v>-1</v>
      </c>
      <c r="BE832" s="211"/>
      <c r="BF832" s="164"/>
      <c r="BG832" s="76"/>
      <c r="BH832" s="44"/>
      <c r="BI832" s="275"/>
      <c r="BJ832" s="52"/>
      <c r="BK832" s="35"/>
      <c r="BL832" s="79"/>
      <c r="BM832" s="230"/>
      <c r="BN832" s="211"/>
      <c r="BO832" s="164"/>
      <c r="BP832" s="76"/>
      <c r="BQ832" s="44"/>
      <c r="BR832" s="299">
        <v>1990</v>
      </c>
      <c r="BS832" s="52"/>
      <c r="BT832" s="35"/>
      <c r="BU832" s="79">
        <v>-1</v>
      </c>
      <c r="BV832" s="212">
        <f>BU832</f>
        <v>-1</v>
      </c>
      <c r="BW832" s="304"/>
      <c r="BX832" s="313"/>
      <c r="BY832" s="300" t="s">
        <v>264</v>
      </c>
    </row>
    <row r="833" spans="1:77" ht="15" customHeight="1" x14ac:dyDescent="0.2">
      <c r="A833" s="57" t="s">
        <v>16</v>
      </c>
      <c r="B833" s="583" t="s">
        <v>2556</v>
      </c>
      <c r="C833" s="57"/>
      <c r="D833" s="546">
        <v>167</v>
      </c>
      <c r="E833" s="1101" t="s">
        <v>2549</v>
      </c>
      <c r="F833" s="729"/>
      <c r="G833" s="730"/>
      <c r="H833" s="73">
        <v>1.7</v>
      </c>
      <c r="I833" s="90">
        <v>2007</v>
      </c>
      <c r="J833" s="73"/>
      <c r="K833" s="73">
        <v>1.6</v>
      </c>
      <c r="L833" s="90"/>
      <c r="M833" s="73"/>
      <c r="N833" s="359"/>
      <c r="O833" s="1041"/>
      <c r="P833" s="73"/>
      <c r="Q833" s="359"/>
      <c r="R833" s="1041"/>
      <c r="S833" s="73"/>
      <c r="T833" s="359"/>
      <c r="U833" s="73"/>
      <c r="V833" s="66"/>
      <c r="W833" s="592"/>
      <c r="X833" s="593"/>
      <c r="Y833" s="52"/>
      <c r="Z833" s="52"/>
      <c r="AA833" s="596"/>
      <c r="AB833" s="824"/>
      <c r="AC833" s="825"/>
      <c r="AD833" s="164"/>
      <c r="AE833" s="164"/>
      <c r="AF833" s="25"/>
      <c r="AG833" s="26"/>
      <c r="AH833" s="275"/>
      <c r="AI833" s="52"/>
      <c r="AJ833" s="35"/>
      <c r="AK833" s="289"/>
      <c r="AL833" s="290"/>
      <c r="AM833" s="211"/>
      <c r="AN833" s="164"/>
      <c r="AO833" s="594">
        <f t="shared" ref="AO833" si="485">AS833*(1+AT833)</f>
        <v>3.1999999999999992E-4</v>
      </c>
      <c r="AP833" s="595">
        <f t="shared" ref="AP833" si="486">AS833*(1+AU833)</f>
        <v>3.1999999999999992E-4</v>
      </c>
      <c r="AQ833" s="275">
        <v>2007</v>
      </c>
      <c r="AR833" s="52"/>
      <c r="AS833" s="596">
        <f t="shared" ref="AS833" si="487">+K833/1000</f>
        <v>1.6000000000000001E-3</v>
      </c>
      <c r="AT833" s="79">
        <v>-0.8</v>
      </c>
      <c r="AU833" s="212">
        <f t="shared" ref="AU833" si="488">AT833</f>
        <v>-0.8</v>
      </c>
      <c r="AV833" s="164"/>
      <c r="AW833" s="164"/>
      <c r="AX833" s="76"/>
      <c r="AY833" s="44"/>
      <c r="AZ833" s="275"/>
      <c r="BA833" s="52"/>
      <c r="BB833" s="35"/>
      <c r="BC833" s="79"/>
      <c r="BD833" s="230"/>
      <c r="BE833" s="211"/>
      <c r="BF833" s="164"/>
      <c r="BG833" s="76"/>
      <c r="BH833" s="44"/>
      <c r="BI833" s="275"/>
      <c r="BJ833" s="52"/>
      <c r="BK833" s="35"/>
      <c r="BL833" s="79"/>
      <c r="BM833" s="230"/>
      <c r="BN833" s="211"/>
      <c r="BO833" s="164"/>
      <c r="BP833" s="76"/>
      <c r="BQ833" s="44"/>
      <c r="BR833" s="299"/>
      <c r="BS833" s="52"/>
      <c r="BT833" s="35"/>
      <c r="BU833" s="79"/>
      <c r="BV833" s="212"/>
      <c r="BW833" s="304"/>
      <c r="BX833" s="1127" t="s">
        <v>2558</v>
      </c>
      <c r="BY833" s="300" t="s">
        <v>2557</v>
      </c>
    </row>
    <row r="834" spans="1:77" ht="15" customHeight="1" x14ac:dyDescent="0.2">
      <c r="A834" s="57" t="s">
        <v>16</v>
      </c>
      <c r="B834" s="57"/>
      <c r="C834" s="737" t="s">
        <v>502</v>
      </c>
      <c r="D834" s="546">
        <v>8.4</v>
      </c>
      <c r="E834" s="162" t="s">
        <v>532</v>
      </c>
      <c r="F834" s="358"/>
      <c r="G834" s="65"/>
      <c r="H834" s="73"/>
      <c r="I834" s="90">
        <v>2007</v>
      </c>
      <c r="J834" s="73"/>
      <c r="K834" s="734">
        <v>0.09</v>
      </c>
      <c r="L834" s="717">
        <v>2013</v>
      </c>
      <c r="M834" s="735"/>
      <c r="N834" s="738">
        <v>0.08</v>
      </c>
      <c r="O834" s="1041"/>
      <c r="P834" s="735"/>
      <c r="Q834" s="738"/>
      <c r="R834" s="1041"/>
      <c r="S834" s="735"/>
      <c r="T834" s="738"/>
      <c r="U834" s="73"/>
      <c r="V834" s="66"/>
      <c r="W834" s="592"/>
      <c r="X834" s="593"/>
      <c r="Y834" s="52"/>
      <c r="Z834" s="52"/>
      <c r="AA834" s="596"/>
      <c r="AB834" s="256"/>
      <c r="AC834" s="688"/>
      <c r="AD834" s="164"/>
      <c r="AE834" s="164"/>
      <c r="AF834" s="25"/>
      <c r="AG834" s="26"/>
      <c r="AH834" s="275"/>
      <c r="AI834" s="52"/>
      <c r="AJ834" s="35"/>
      <c r="AK834" s="289"/>
      <c r="AL834" s="290"/>
      <c r="AM834" s="211"/>
      <c r="AN834" s="164"/>
      <c r="AO834" s="740">
        <f t="shared" ref="AO834:AO846" si="489">AS834*(1+AT834)</f>
        <v>1.7999999999999994E-5</v>
      </c>
      <c r="AP834" s="741">
        <f t="shared" ref="AP834:AP846" si="490">AS834*(1+AU834)</f>
        <v>1.7999999999999994E-5</v>
      </c>
      <c r="AQ834" s="275">
        <v>2007</v>
      </c>
      <c r="AR834" s="52"/>
      <c r="AS834" s="739">
        <f t="shared" ref="AS834:AS846" si="491">+K834/1000</f>
        <v>8.9999999999999992E-5</v>
      </c>
      <c r="AT834" s="79">
        <v>-0.8</v>
      </c>
      <c r="AU834" s="212">
        <f t="shared" ref="AU834:AU846" si="492">AT834</f>
        <v>-0.8</v>
      </c>
      <c r="AV834" s="164"/>
      <c r="AW834" s="164"/>
      <c r="AX834" s="76"/>
      <c r="AY834" s="44"/>
      <c r="AZ834" s="275"/>
      <c r="BA834" s="52"/>
      <c r="BB834" s="35"/>
      <c r="BC834" s="79"/>
      <c r="BD834" s="230"/>
      <c r="BE834" s="211"/>
      <c r="BF834" s="164"/>
      <c r="BG834" s="76"/>
      <c r="BH834" s="44"/>
      <c r="BI834" s="275"/>
      <c r="BJ834" s="52"/>
      <c r="BK834" s="35"/>
      <c r="BL834" s="79"/>
      <c r="BM834" s="230"/>
      <c r="BN834" s="211"/>
      <c r="BO834" s="164"/>
      <c r="BP834" s="76"/>
      <c r="BQ834" s="44"/>
      <c r="BR834" s="299"/>
      <c r="BS834" s="52"/>
      <c r="BT834" s="35"/>
      <c r="BU834" s="79"/>
      <c r="BV834" s="212"/>
      <c r="BW834" s="304"/>
      <c r="BX834" s="339" t="s">
        <v>530</v>
      </c>
      <c r="BY834" s="736" t="s">
        <v>531</v>
      </c>
    </row>
    <row r="835" spans="1:77" ht="15" customHeight="1" x14ac:dyDescent="0.2">
      <c r="A835" s="57" t="s">
        <v>16</v>
      </c>
      <c r="B835" s="57"/>
      <c r="C835" s="742" t="s">
        <v>534</v>
      </c>
      <c r="D835" s="546">
        <v>289.73099999999999</v>
      </c>
      <c r="E835" s="162" t="s">
        <v>3164</v>
      </c>
      <c r="F835" s="358"/>
      <c r="G835" s="65"/>
      <c r="H835" s="73">
        <v>1.060217</v>
      </c>
      <c r="I835" s="90"/>
      <c r="J835" s="73"/>
      <c r="K835" s="734"/>
      <c r="L835" s="717"/>
      <c r="M835" s="735"/>
      <c r="N835" s="738"/>
      <c r="O835" s="1041"/>
      <c r="P835" s="735"/>
      <c r="Q835" s="738">
        <v>1.233581</v>
      </c>
      <c r="R835" s="1041"/>
      <c r="S835" s="735"/>
      <c r="T835" s="738"/>
      <c r="U835" s="73"/>
      <c r="V835" s="66"/>
      <c r="W835" s="740">
        <f>AA835*(1+AB835)</f>
        <v>7.6335623999999999E-4</v>
      </c>
      <c r="X835" s="741">
        <f>AA835*(1+AC835)</f>
        <v>7.6335623999999999E-4</v>
      </c>
      <c r="Y835" s="52">
        <v>1990</v>
      </c>
      <c r="Z835" s="52"/>
      <c r="AA835" s="739">
        <f>+H835/1000</f>
        <v>1.060217E-3</v>
      </c>
      <c r="AB835" s="256">
        <v>-0.28000000000000003</v>
      </c>
      <c r="AC835" s="688">
        <f>AB835</f>
        <v>-0.28000000000000003</v>
      </c>
      <c r="AD835" s="164"/>
      <c r="AE835" s="164"/>
      <c r="AF835" s="25"/>
      <c r="AG835" s="26"/>
      <c r="AH835" s="275"/>
      <c r="AI835" s="52"/>
      <c r="AJ835" s="35"/>
      <c r="AK835" s="289"/>
      <c r="AL835" s="290"/>
      <c r="AM835" s="211"/>
      <c r="AN835" s="164"/>
      <c r="AO835" s="740">
        <f t="shared" ref="AO835" si="493">AS835*(1+AT835)</f>
        <v>0</v>
      </c>
      <c r="AP835" s="741">
        <f t="shared" ref="AP835" si="494">AS835*(1+AU835)</f>
        <v>0</v>
      </c>
      <c r="AQ835" s="275">
        <v>1990</v>
      </c>
      <c r="AR835" s="52"/>
      <c r="AS835" s="739">
        <f>+H835/1000</f>
        <v>1.060217E-3</v>
      </c>
      <c r="AT835" s="79">
        <v>-1</v>
      </c>
      <c r="AU835" s="212">
        <f t="shared" si="492"/>
        <v>-1</v>
      </c>
      <c r="AV835" s="164"/>
      <c r="AW835" s="164"/>
      <c r="AX835" s="76"/>
      <c r="AY835" s="44"/>
      <c r="AZ835" s="275"/>
      <c r="BA835" s="52"/>
      <c r="BB835" s="35"/>
      <c r="BC835" s="79"/>
      <c r="BD835" s="230"/>
      <c r="BE835" s="211"/>
      <c r="BF835" s="164"/>
      <c r="BG835" s="76"/>
      <c r="BH835" s="44"/>
      <c r="BI835" s="275"/>
      <c r="BJ835" s="52"/>
      <c r="BK835" s="35"/>
      <c r="BL835" s="79"/>
      <c r="BM835" s="230"/>
      <c r="BN835" s="211"/>
      <c r="BO835" s="164"/>
      <c r="BP835" s="76"/>
      <c r="BQ835" s="44"/>
      <c r="BR835" s="299"/>
      <c r="BS835" s="52"/>
      <c r="BT835" s="35"/>
      <c r="BU835" s="79"/>
      <c r="BV835" s="212"/>
      <c r="BW835" s="304"/>
      <c r="BX835" s="339"/>
      <c r="BY835" s="736"/>
    </row>
    <row r="836" spans="1:77" ht="15" customHeight="1" x14ac:dyDescent="0.2">
      <c r="A836" s="57" t="s">
        <v>16</v>
      </c>
      <c r="B836" s="57"/>
      <c r="C836" s="737" t="s">
        <v>503</v>
      </c>
      <c r="D836" s="546">
        <v>9</v>
      </c>
      <c r="E836" s="162" t="s">
        <v>532</v>
      </c>
      <c r="F836" s="358"/>
      <c r="G836" s="65"/>
      <c r="H836" s="73"/>
      <c r="I836" s="90">
        <v>2007</v>
      </c>
      <c r="J836" s="73"/>
      <c r="K836" s="734">
        <v>0.15</v>
      </c>
      <c r="L836" s="717">
        <v>2013</v>
      </c>
      <c r="M836" s="735"/>
      <c r="N836" s="738">
        <v>0.08</v>
      </c>
      <c r="O836" s="1041"/>
      <c r="P836" s="735"/>
      <c r="Q836" s="738"/>
      <c r="R836" s="1041"/>
      <c r="S836" s="735"/>
      <c r="T836" s="738"/>
      <c r="U836" s="73"/>
      <c r="V836" s="66"/>
      <c r="W836" s="592"/>
      <c r="X836" s="593"/>
      <c r="Y836" s="52"/>
      <c r="Z836" s="52"/>
      <c r="AA836" s="596"/>
      <c r="AB836" s="256"/>
      <c r="AC836" s="688"/>
      <c r="AD836" s="164"/>
      <c r="AE836" s="164"/>
      <c r="AF836" s="25"/>
      <c r="AG836" s="26"/>
      <c r="AH836" s="275"/>
      <c r="AI836" s="52"/>
      <c r="AJ836" s="35"/>
      <c r="AK836" s="289"/>
      <c r="AL836" s="290"/>
      <c r="AM836" s="211"/>
      <c r="AN836" s="164"/>
      <c r="AO836" s="740">
        <f t="shared" si="489"/>
        <v>2.9999999999999991E-5</v>
      </c>
      <c r="AP836" s="741">
        <f t="shared" si="490"/>
        <v>2.9999999999999991E-5</v>
      </c>
      <c r="AQ836" s="275">
        <v>2007</v>
      </c>
      <c r="AR836" s="52"/>
      <c r="AS836" s="739">
        <f t="shared" si="491"/>
        <v>1.4999999999999999E-4</v>
      </c>
      <c r="AT836" s="79">
        <v>-0.8</v>
      </c>
      <c r="AU836" s="212">
        <f t="shared" si="492"/>
        <v>-0.8</v>
      </c>
      <c r="AV836" s="164"/>
      <c r="AW836" s="164"/>
      <c r="AX836" s="76"/>
      <c r="AY836" s="44"/>
      <c r="AZ836" s="275"/>
      <c r="BA836" s="52"/>
      <c r="BB836" s="35"/>
      <c r="BC836" s="79"/>
      <c r="BD836" s="230"/>
      <c r="BE836" s="211"/>
      <c r="BF836" s="164"/>
      <c r="BG836" s="76"/>
      <c r="BH836" s="44"/>
      <c r="BI836" s="275"/>
      <c r="BJ836" s="52"/>
      <c r="BK836" s="35"/>
      <c r="BL836" s="79"/>
      <c r="BM836" s="230"/>
      <c r="BN836" s="211"/>
      <c r="BO836" s="164"/>
      <c r="BP836" s="76"/>
      <c r="BQ836" s="44"/>
      <c r="BR836" s="299"/>
      <c r="BS836" s="52"/>
      <c r="BT836" s="35"/>
      <c r="BU836" s="79"/>
      <c r="BV836" s="212"/>
      <c r="BW836" s="304"/>
      <c r="BX836" s="339" t="s">
        <v>530</v>
      </c>
      <c r="BY836" s="736" t="s">
        <v>531</v>
      </c>
    </row>
    <row r="837" spans="1:77" ht="15" customHeight="1" x14ac:dyDescent="0.2">
      <c r="A837" s="57" t="s">
        <v>16</v>
      </c>
      <c r="B837" s="57"/>
      <c r="C837" s="742" t="s">
        <v>2191</v>
      </c>
      <c r="D837" s="546">
        <v>655.39499999999998</v>
      </c>
      <c r="E837" s="162" t="s">
        <v>2579</v>
      </c>
      <c r="F837" s="358"/>
      <c r="G837" s="65"/>
      <c r="H837" s="73">
        <v>3.5139999999999998</v>
      </c>
      <c r="I837" s="90"/>
      <c r="J837" s="73"/>
      <c r="K837" s="734"/>
      <c r="L837" s="717">
        <v>2013</v>
      </c>
      <c r="M837" s="735"/>
      <c r="N837" s="359">
        <v>2.89</v>
      </c>
      <c r="O837" s="1041">
        <v>2016</v>
      </c>
      <c r="P837" s="735"/>
      <c r="Q837" s="359">
        <v>2.7897240000000001</v>
      </c>
      <c r="R837" s="1041">
        <v>2016</v>
      </c>
      <c r="S837" s="735"/>
      <c r="T837" s="359">
        <v>2.7897240000000001</v>
      </c>
      <c r="U837" s="73"/>
      <c r="V837" s="66"/>
      <c r="W837" s="594">
        <f t="shared" ref="W837" si="495">AA837*(1+AB837)</f>
        <v>2.4597999999999998E-3</v>
      </c>
      <c r="X837" s="595">
        <f t="shared" ref="X837" si="496">AA837*(1+AC837)</f>
        <v>2.4597999999999998E-3</v>
      </c>
      <c r="Y837" s="52">
        <v>1990</v>
      </c>
      <c r="Z837" s="52"/>
      <c r="AA837" s="596">
        <f>+H837/1000</f>
        <v>3.5139999999999998E-3</v>
      </c>
      <c r="AB837" s="256">
        <v>-0.3</v>
      </c>
      <c r="AC837" s="688">
        <f t="shared" ref="AC837" si="497">AB837</f>
        <v>-0.3</v>
      </c>
      <c r="AD837" s="164"/>
      <c r="AE837" s="164"/>
      <c r="AF837" s="25"/>
      <c r="AG837" s="26"/>
      <c r="AH837" s="275"/>
      <c r="AI837" s="52"/>
      <c r="AJ837" s="35"/>
      <c r="AK837" s="289"/>
      <c r="AL837" s="290"/>
      <c r="AM837" s="211"/>
      <c r="AN837" s="164"/>
      <c r="AO837" s="740">
        <f t="shared" ref="AO837" si="498">AS837*(1+AT837)</f>
        <v>1.4055999999999999E-3</v>
      </c>
      <c r="AP837" s="741">
        <f t="shared" ref="AP837" si="499">AS837*(1+AU837)</f>
        <v>1.4055999999999999E-3</v>
      </c>
      <c r="AQ837" s="275">
        <v>1990</v>
      </c>
      <c r="AR837" s="52"/>
      <c r="AS837" s="739">
        <f>+H837/1000</f>
        <v>3.5139999999999998E-3</v>
      </c>
      <c r="AT837" s="79">
        <v>-0.6</v>
      </c>
      <c r="AU837" s="212">
        <f t="shared" ref="AU837" si="500">AT837</f>
        <v>-0.6</v>
      </c>
      <c r="AV837" s="164"/>
      <c r="AW837" s="164"/>
      <c r="AX837" s="740">
        <f t="shared" ref="AX837" si="501">BB837*(1+BC837)</f>
        <v>7.0279999999999984E-4</v>
      </c>
      <c r="AY837" s="741">
        <f t="shared" ref="AY837" si="502">BB837*(1+BD837)</f>
        <v>7.0279999999999984E-4</v>
      </c>
      <c r="AZ837" s="275">
        <v>1990</v>
      </c>
      <c r="BA837" s="52"/>
      <c r="BB837" s="739">
        <f>+H837/1000</f>
        <v>3.5139999999999998E-3</v>
      </c>
      <c r="BC837" s="79">
        <v>-0.8</v>
      </c>
      <c r="BD837" s="212">
        <f t="shared" ref="BD837" si="503">BC837</f>
        <v>-0.8</v>
      </c>
      <c r="BE837" s="211"/>
      <c r="BF837" s="164"/>
      <c r="BG837" s="76"/>
      <c r="BH837" s="44"/>
      <c r="BI837" s="275"/>
      <c r="BJ837" s="52"/>
      <c r="BK837" s="35"/>
      <c r="BL837" s="79"/>
      <c r="BM837" s="230"/>
      <c r="BN837" s="211"/>
      <c r="BO837" s="164"/>
      <c r="BP837" s="76"/>
      <c r="BQ837" s="44"/>
      <c r="BR837" s="299"/>
      <c r="BS837" s="52"/>
      <c r="BT837" s="35"/>
      <c r="BU837" s="79"/>
      <c r="BV837" s="212"/>
      <c r="BW837" s="304"/>
      <c r="BX837" s="339"/>
      <c r="BY837" s="736"/>
    </row>
    <row r="838" spans="1:77" ht="15" customHeight="1" x14ac:dyDescent="0.2">
      <c r="A838" s="57" t="s">
        <v>16</v>
      </c>
      <c r="B838" s="57"/>
      <c r="C838" s="737" t="s">
        <v>504</v>
      </c>
      <c r="D838" s="546">
        <v>9.6999999999999993</v>
      </c>
      <c r="E838" s="162" t="s">
        <v>532</v>
      </c>
      <c r="F838" s="358"/>
      <c r="G838" s="65"/>
      <c r="H838" s="73"/>
      <c r="I838" s="90">
        <v>2007</v>
      </c>
      <c r="J838" s="73"/>
      <c r="K838" s="734">
        <v>0.09</v>
      </c>
      <c r="L838" s="717">
        <v>2013</v>
      </c>
      <c r="M838" s="735"/>
      <c r="N838" s="738">
        <v>7.0000000000000007E-2</v>
      </c>
      <c r="O838" s="1041"/>
      <c r="P838" s="735"/>
      <c r="Q838" s="738"/>
      <c r="R838" s="1041"/>
      <c r="S838" s="735"/>
      <c r="T838" s="738"/>
      <c r="U838" s="73"/>
      <c r="V838" s="66"/>
      <c r="W838" s="592"/>
      <c r="X838" s="593"/>
      <c r="Y838" s="52"/>
      <c r="Z838" s="52"/>
      <c r="AA838" s="596"/>
      <c r="AB838" s="256"/>
      <c r="AC838" s="688"/>
      <c r="AD838" s="164"/>
      <c r="AE838" s="164"/>
      <c r="AF838" s="25"/>
      <c r="AG838" s="26"/>
      <c r="AH838" s="275"/>
      <c r="AI838" s="52"/>
      <c r="AJ838" s="35"/>
      <c r="AK838" s="289"/>
      <c r="AL838" s="290"/>
      <c r="AM838" s="211"/>
      <c r="AN838" s="164"/>
      <c r="AO838" s="740">
        <f t="shared" si="489"/>
        <v>1.7999999999999994E-5</v>
      </c>
      <c r="AP838" s="741">
        <f t="shared" si="490"/>
        <v>1.7999999999999994E-5</v>
      </c>
      <c r="AQ838" s="275">
        <v>2007</v>
      </c>
      <c r="AR838" s="52"/>
      <c r="AS838" s="739">
        <f t="shared" si="491"/>
        <v>8.9999999999999992E-5</v>
      </c>
      <c r="AT838" s="79">
        <v>-0.8</v>
      </c>
      <c r="AU838" s="212">
        <f t="shared" si="492"/>
        <v>-0.8</v>
      </c>
      <c r="AV838" s="164"/>
      <c r="AW838" s="164"/>
      <c r="AX838" s="76"/>
      <c r="AY838" s="44"/>
      <c r="AZ838" s="275"/>
      <c r="BA838" s="52"/>
      <c r="BB838" s="35"/>
      <c r="BC838" s="79"/>
      <c r="BD838" s="230"/>
      <c r="BE838" s="211"/>
      <c r="BF838" s="164"/>
      <c r="BG838" s="76"/>
      <c r="BH838" s="44"/>
      <c r="BI838" s="275"/>
      <c r="BJ838" s="52"/>
      <c r="BK838" s="35"/>
      <c r="BL838" s="79"/>
      <c r="BM838" s="230"/>
      <c r="BN838" s="211"/>
      <c r="BO838" s="164"/>
      <c r="BP838" s="76"/>
      <c r="BQ838" s="44"/>
      <c r="BR838" s="299"/>
      <c r="BS838" s="52"/>
      <c r="BT838" s="35"/>
      <c r="BU838" s="79"/>
      <c r="BV838" s="212"/>
      <c r="BW838" s="304"/>
      <c r="BX838" s="339" t="s">
        <v>530</v>
      </c>
      <c r="BY838" s="736" t="s">
        <v>531</v>
      </c>
    </row>
    <row r="839" spans="1:77" ht="15" customHeight="1" x14ac:dyDescent="0.2">
      <c r="A839" s="57" t="s">
        <v>16</v>
      </c>
      <c r="B839" s="57"/>
      <c r="C839" s="737" t="s">
        <v>505</v>
      </c>
      <c r="D839" s="546">
        <v>5.5</v>
      </c>
      <c r="E839" s="162" t="s">
        <v>532</v>
      </c>
      <c r="F839" s="358"/>
      <c r="G839" s="65"/>
      <c r="H839" s="73"/>
      <c r="I839" s="90">
        <v>2007</v>
      </c>
      <c r="J839" s="73"/>
      <c r="K839" s="734">
        <v>7.0000000000000007E-2</v>
      </c>
      <c r="L839" s="717">
        <v>2013</v>
      </c>
      <c r="M839" s="735"/>
      <c r="N839" s="738">
        <v>0.06</v>
      </c>
      <c r="O839" s="1041"/>
      <c r="P839" s="735"/>
      <c r="Q839" s="738"/>
      <c r="R839" s="1041"/>
      <c r="S839" s="735"/>
      <c r="T839" s="738"/>
      <c r="U839" s="73"/>
      <c r="V839" s="66"/>
      <c r="W839" s="592"/>
      <c r="X839" s="593"/>
      <c r="Y839" s="52"/>
      <c r="Z839" s="52"/>
      <c r="AA839" s="596"/>
      <c r="AB839" s="256"/>
      <c r="AC839" s="688"/>
      <c r="AD839" s="164"/>
      <c r="AE839" s="164"/>
      <c r="AF839" s="25"/>
      <c r="AG839" s="26"/>
      <c r="AH839" s="275"/>
      <c r="AI839" s="52"/>
      <c r="AJ839" s="35"/>
      <c r="AK839" s="289"/>
      <c r="AL839" s="290"/>
      <c r="AM839" s="211"/>
      <c r="AN839" s="164"/>
      <c r="AO839" s="740">
        <f t="shared" si="489"/>
        <v>1.3999999999999998E-5</v>
      </c>
      <c r="AP839" s="741">
        <f t="shared" si="490"/>
        <v>1.3999999999999998E-5</v>
      </c>
      <c r="AQ839" s="275">
        <v>2007</v>
      </c>
      <c r="AR839" s="52"/>
      <c r="AS839" s="739">
        <f t="shared" si="491"/>
        <v>7.0000000000000007E-5</v>
      </c>
      <c r="AT839" s="79">
        <v>-0.8</v>
      </c>
      <c r="AU839" s="212">
        <f t="shared" si="492"/>
        <v>-0.8</v>
      </c>
      <c r="AV839" s="164"/>
      <c r="AW839" s="164"/>
      <c r="AX839" s="76"/>
      <c r="AY839" s="44"/>
      <c r="AZ839" s="275"/>
      <c r="BA839" s="52"/>
      <c r="BB839" s="35"/>
      <c r="BC839" s="79"/>
      <c r="BD839" s="230"/>
      <c r="BE839" s="211"/>
      <c r="BF839" s="164"/>
      <c r="BG839" s="76"/>
      <c r="BH839" s="44"/>
      <c r="BI839" s="275"/>
      <c r="BJ839" s="52"/>
      <c r="BK839" s="35"/>
      <c r="BL839" s="79"/>
      <c r="BM839" s="230"/>
      <c r="BN839" s="211"/>
      <c r="BO839" s="164"/>
      <c r="BP839" s="76"/>
      <c r="BQ839" s="44"/>
      <c r="BR839" s="299"/>
      <c r="BS839" s="52"/>
      <c r="BT839" s="35"/>
      <c r="BU839" s="79"/>
      <c r="BV839" s="212"/>
      <c r="BW839" s="304"/>
      <c r="BX839" s="339" t="s">
        <v>530</v>
      </c>
      <c r="BY839" s="736" t="s">
        <v>531</v>
      </c>
    </row>
    <row r="840" spans="1:77" ht="15" customHeight="1" x14ac:dyDescent="0.2">
      <c r="A840" s="57" t="s">
        <v>16</v>
      </c>
      <c r="B840" s="57"/>
      <c r="C840" s="737" t="s">
        <v>506</v>
      </c>
      <c r="D840" s="546">
        <v>5.6</v>
      </c>
      <c r="E840" s="162" t="s">
        <v>532</v>
      </c>
      <c r="F840" s="358"/>
      <c r="G840" s="65"/>
      <c r="H840" s="73"/>
      <c r="I840" s="90">
        <v>2007</v>
      </c>
      <c r="J840" s="73"/>
      <c r="K840" s="734">
        <v>7.0000000000000007E-2</v>
      </c>
      <c r="L840" s="717">
        <v>2013</v>
      </c>
      <c r="M840" s="735"/>
      <c r="N840" s="738">
        <v>0.06</v>
      </c>
      <c r="O840" s="1041"/>
      <c r="P840" s="735"/>
      <c r="Q840" s="738"/>
      <c r="R840" s="1041"/>
      <c r="S840" s="735"/>
      <c r="T840" s="738"/>
      <c r="U840" s="73"/>
      <c r="V840" s="66"/>
      <c r="W840" s="592"/>
      <c r="X840" s="593"/>
      <c r="Y840" s="52"/>
      <c r="Z840" s="52"/>
      <c r="AA840" s="596"/>
      <c r="AB840" s="256"/>
      <c r="AC840" s="688"/>
      <c r="AD840" s="164"/>
      <c r="AE840" s="164"/>
      <c r="AF840" s="25"/>
      <c r="AG840" s="26"/>
      <c r="AH840" s="275"/>
      <c r="AI840" s="52"/>
      <c r="AJ840" s="35"/>
      <c r="AK840" s="289"/>
      <c r="AL840" s="290"/>
      <c r="AM840" s="211"/>
      <c r="AN840" s="164"/>
      <c r="AO840" s="740">
        <f t="shared" si="489"/>
        <v>1.3999999999999998E-5</v>
      </c>
      <c r="AP840" s="741">
        <f t="shared" si="490"/>
        <v>1.3999999999999998E-5</v>
      </c>
      <c r="AQ840" s="275">
        <v>2007</v>
      </c>
      <c r="AR840" s="52"/>
      <c r="AS840" s="739">
        <f t="shared" si="491"/>
        <v>7.0000000000000007E-5</v>
      </c>
      <c r="AT840" s="79">
        <v>-0.8</v>
      </c>
      <c r="AU840" s="212">
        <f t="shared" si="492"/>
        <v>-0.8</v>
      </c>
      <c r="AV840" s="164"/>
      <c r="AW840" s="164"/>
      <c r="AX840" s="76"/>
      <c r="AY840" s="44"/>
      <c r="AZ840" s="275"/>
      <c r="BA840" s="52"/>
      <c r="BB840" s="35"/>
      <c r="BC840" s="79"/>
      <c r="BD840" s="230"/>
      <c r="BE840" s="211"/>
      <c r="BF840" s="164"/>
      <c r="BG840" s="76"/>
      <c r="BH840" s="44"/>
      <c r="BI840" s="275"/>
      <c r="BJ840" s="52"/>
      <c r="BK840" s="35"/>
      <c r="BL840" s="79"/>
      <c r="BM840" s="230"/>
      <c r="BN840" s="211"/>
      <c r="BO840" s="164"/>
      <c r="BP840" s="76"/>
      <c r="BQ840" s="44"/>
      <c r="BR840" s="299"/>
      <c r="BS840" s="52"/>
      <c r="BT840" s="35"/>
      <c r="BU840" s="79"/>
      <c r="BV840" s="212"/>
      <c r="BW840" s="304"/>
      <c r="BX840" s="339" t="s">
        <v>530</v>
      </c>
      <c r="BY840" s="736" t="s">
        <v>531</v>
      </c>
    </row>
    <row r="841" spans="1:77" ht="15" customHeight="1" x14ac:dyDescent="0.2">
      <c r="A841" s="57" t="s">
        <v>16</v>
      </c>
      <c r="B841" s="57"/>
      <c r="C841" s="737" t="s">
        <v>507</v>
      </c>
      <c r="D841" s="546">
        <v>75</v>
      </c>
      <c r="E841" s="162" t="s">
        <v>804</v>
      </c>
      <c r="F841" s="358"/>
      <c r="G841" s="65"/>
      <c r="H841" s="73"/>
      <c r="I841" s="90">
        <v>2007</v>
      </c>
      <c r="J841" s="73"/>
      <c r="K841" s="734">
        <v>0.57999999999999996</v>
      </c>
      <c r="L841" s="717">
        <v>2012</v>
      </c>
      <c r="M841" s="735"/>
      <c r="N841" s="738">
        <v>0.424425</v>
      </c>
      <c r="O841" s="1041"/>
      <c r="P841" s="735"/>
      <c r="Q841" s="738"/>
      <c r="R841" s="1041"/>
      <c r="S841" s="735"/>
      <c r="T841" s="738"/>
      <c r="U841" s="73"/>
      <c r="V841" s="66"/>
      <c r="W841" s="740">
        <f>AA841*(1+AB841)</f>
        <v>2.5465499999999995E-4</v>
      </c>
      <c r="X841" s="741">
        <f>AA841*(1+AC841)</f>
        <v>2.5465499999999995E-4</v>
      </c>
      <c r="Y841" s="52">
        <v>2012</v>
      </c>
      <c r="Z841" s="52"/>
      <c r="AA841" s="739">
        <f>+N841/1000</f>
        <v>4.2442499999999998E-4</v>
      </c>
      <c r="AB841" s="256">
        <v>-0.4</v>
      </c>
      <c r="AC841" s="688">
        <f>AB841</f>
        <v>-0.4</v>
      </c>
      <c r="AD841" s="164"/>
      <c r="AE841" s="164"/>
      <c r="AF841" s="25"/>
      <c r="AG841" s="26"/>
      <c r="AH841" s="275"/>
      <c r="AI841" s="52"/>
      <c r="AJ841" s="35"/>
      <c r="AK841" s="289"/>
      <c r="AL841" s="290"/>
      <c r="AM841" s="211"/>
      <c r="AN841" s="164"/>
      <c r="AO841" s="740">
        <f t="shared" si="489"/>
        <v>1.1599999999999997E-4</v>
      </c>
      <c r="AP841" s="741">
        <f t="shared" si="490"/>
        <v>1.1599999999999997E-4</v>
      </c>
      <c r="AQ841" s="275">
        <v>2007</v>
      </c>
      <c r="AR841" s="52"/>
      <c r="AS841" s="739">
        <f t="shared" si="491"/>
        <v>5.8E-4</v>
      </c>
      <c r="AT841" s="79">
        <v>-0.8</v>
      </c>
      <c r="AU841" s="212">
        <f t="shared" si="492"/>
        <v>-0.8</v>
      </c>
      <c r="AV841" s="164"/>
      <c r="AW841" s="164"/>
      <c r="AX841" s="76"/>
      <c r="AY841" s="44"/>
      <c r="AZ841" s="275"/>
      <c r="BA841" s="52"/>
      <c r="BB841" s="35"/>
      <c r="BC841" s="79"/>
      <c r="BD841" s="230"/>
      <c r="BE841" s="211"/>
      <c r="BF841" s="164"/>
      <c r="BG841" s="76"/>
      <c r="BH841" s="44"/>
      <c r="BI841" s="275"/>
      <c r="BJ841" s="52"/>
      <c r="BK841" s="35"/>
      <c r="BL841" s="79"/>
      <c r="BM841" s="230"/>
      <c r="BN841" s="211"/>
      <c r="BO841" s="164"/>
      <c r="BP841" s="76"/>
      <c r="BQ841" s="44"/>
      <c r="BR841" s="299"/>
      <c r="BS841" s="52"/>
      <c r="BT841" s="35"/>
      <c r="BU841" s="79"/>
      <c r="BV841" s="212"/>
      <c r="BW841" s="304"/>
      <c r="BX841" s="339" t="s">
        <v>530</v>
      </c>
      <c r="BY841" s="736" t="s">
        <v>531</v>
      </c>
    </row>
    <row r="842" spans="1:77" ht="15" customHeight="1" x14ac:dyDescent="0.2">
      <c r="A842" s="57" t="s">
        <v>16</v>
      </c>
      <c r="B842" s="57"/>
      <c r="C842" s="742" t="s">
        <v>805</v>
      </c>
      <c r="D842" s="546">
        <v>80</v>
      </c>
      <c r="E842" s="162" t="s">
        <v>631</v>
      </c>
      <c r="F842" s="358"/>
      <c r="G842" s="65"/>
      <c r="H842" s="73"/>
      <c r="I842" s="90"/>
      <c r="J842" s="73"/>
      <c r="K842" s="734"/>
      <c r="L842" s="717">
        <v>2009</v>
      </c>
      <c r="M842" s="735"/>
      <c r="N842" s="738">
        <v>0.62330799999999997</v>
      </c>
      <c r="O842" s="1041"/>
      <c r="P842" s="735"/>
      <c r="Q842" s="738"/>
      <c r="R842" s="1041"/>
      <c r="S842" s="735"/>
      <c r="T842" s="738"/>
      <c r="U842" s="73"/>
      <c r="V842" s="66"/>
      <c r="W842" s="740">
        <f>AA842*(1+AB842)</f>
        <v>4.6748099999999995E-4</v>
      </c>
      <c r="X842" s="741">
        <f>AA842*(1+AC842)</f>
        <v>4.6748099999999995E-4</v>
      </c>
      <c r="Y842" s="52">
        <v>2009</v>
      </c>
      <c r="Z842" s="52"/>
      <c r="AA842" s="739">
        <f>+N842/1000</f>
        <v>6.2330799999999994E-4</v>
      </c>
      <c r="AB842" s="256">
        <v>-0.25</v>
      </c>
      <c r="AC842" s="688">
        <f>AB842</f>
        <v>-0.25</v>
      </c>
      <c r="AD842" s="164"/>
      <c r="AE842" s="164"/>
      <c r="AF842" s="25"/>
      <c r="AG842" s="26"/>
      <c r="AH842" s="275"/>
      <c r="AI842" s="52"/>
      <c r="AJ842" s="35"/>
      <c r="AK842" s="289"/>
      <c r="AL842" s="290"/>
      <c r="AM842" s="211"/>
      <c r="AN842" s="164"/>
      <c r="AO842" s="740"/>
      <c r="AP842" s="741"/>
      <c r="AQ842" s="275"/>
      <c r="AR842" s="52"/>
      <c r="AS842" s="739"/>
      <c r="AT842" s="79"/>
      <c r="AU842" s="212"/>
      <c r="AV842" s="164"/>
      <c r="AW842" s="164"/>
      <c r="AX842" s="76"/>
      <c r="AY842" s="44"/>
      <c r="AZ842" s="275"/>
      <c r="BA842" s="52"/>
      <c r="BB842" s="35"/>
      <c r="BC842" s="79"/>
      <c r="BD842" s="230"/>
      <c r="BE842" s="211"/>
      <c r="BF842" s="164"/>
      <c r="BG842" s="76"/>
      <c r="BH842" s="44"/>
      <c r="BI842" s="275"/>
      <c r="BJ842" s="52"/>
      <c r="BK842" s="35"/>
      <c r="BL842" s="79"/>
      <c r="BM842" s="230"/>
      <c r="BN842" s="211"/>
      <c r="BO842" s="164"/>
      <c r="BP842" s="76"/>
      <c r="BQ842" s="44"/>
      <c r="BR842" s="299"/>
      <c r="BS842" s="52"/>
      <c r="BT842" s="35"/>
      <c r="BU842" s="79"/>
      <c r="BV842" s="212"/>
      <c r="BW842" s="304"/>
      <c r="BX842" s="339"/>
      <c r="BY842" s="736"/>
    </row>
    <row r="843" spans="1:77" ht="15" customHeight="1" x14ac:dyDescent="0.2">
      <c r="A843" s="57" t="s">
        <v>16</v>
      </c>
      <c r="B843" s="57"/>
      <c r="C843" s="737" t="s">
        <v>508</v>
      </c>
      <c r="D843" s="546">
        <v>11</v>
      </c>
      <c r="E843" s="162" t="s">
        <v>532</v>
      </c>
      <c r="F843" s="358"/>
      <c r="G843" s="65"/>
      <c r="H843" s="73"/>
      <c r="I843" s="90">
        <v>2007</v>
      </c>
      <c r="J843" s="73"/>
      <c r="K843" s="734">
        <v>0.18</v>
      </c>
      <c r="L843" s="717">
        <v>2013</v>
      </c>
      <c r="M843" s="735"/>
      <c r="N843" s="738">
        <v>0.14000000000000001</v>
      </c>
      <c r="O843" s="1041"/>
      <c r="P843" s="735"/>
      <c r="Q843" s="738"/>
      <c r="R843" s="1041"/>
      <c r="S843" s="735"/>
      <c r="T843" s="738"/>
      <c r="U843" s="73"/>
      <c r="V843" s="66"/>
      <c r="W843" s="592"/>
      <c r="X843" s="593"/>
      <c r="Y843" s="52"/>
      <c r="Z843" s="52"/>
      <c r="AA843" s="596"/>
      <c r="AB843" s="256"/>
      <c r="AC843" s="688"/>
      <c r="AD843" s="164"/>
      <c r="AE843" s="164"/>
      <c r="AF843" s="25"/>
      <c r="AG843" s="26"/>
      <c r="AH843" s="275"/>
      <c r="AI843" s="52"/>
      <c r="AJ843" s="35"/>
      <c r="AK843" s="289"/>
      <c r="AL843" s="290"/>
      <c r="AM843" s="211"/>
      <c r="AN843" s="164"/>
      <c r="AO843" s="740">
        <f t="shared" si="489"/>
        <v>3.5999999999999987E-5</v>
      </c>
      <c r="AP843" s="741">
        <f t="shared" si="490"/>
        <v>3.5999999999999987E-5</v>
      </c>
      <c r="AQ843" s="275">
        <v>2007</v>
      </c>
      <c r="AR843" s="52"/>
      <c r="AS843" s="739">
        <f t="shared" si="491"/>
        <v>1.7999999999999998E-4</v>
      </c>
      <c r="AT843" s="79">
        <v>-0.8</v>
      </c>
      <c r="AU843" s="212">
        <f t="shared" si="492"/>
        <v>-0.8</v>
      </c>
      <c r="AV843" s="164"/>
      <c r="AW843" s="164"/>
      <c r="AX843" s="76"/>
      <c r="AY843" s="44"/>
      <c r="AZ843" s="275"/>
      <c r="BA843" s="52"/>
      <c r="BB843" s="35"/>
      <c r="BC843" s="79"/>
      <c r="BD843" s="230"/>
      <c r="BE843" s="211"/>
      <c r="BF843" s="164"/>
      <c r="BG843" s="76"/>
      <c r="BH843" s="44"/>
      <c r="BI843" s="275"/>
      <c r="BJ843" s="52"/>
      <c r="BK843" s="35"/>
      <c r="BL843" s="79"/>
      <c r="BM843" s="230"/>
      <c r="BN843" s="211"/>
      <c r="BO843" s="164"/>
      <c r="BP843" s="76"/>
      <c r="BQ843" s="44"/>
      <c r="BR843" s="299"/>
      <c r="BS843" s="52"/>
      <c r="BT843" s="35"/>
      <c r="BU843" s="79"/>
      <c r="BV843" s="212"/>
      <c r="BW843" s="304"/>
      <c r="BX843" s="339" t="s">
        <v>530</v>
      </c>
      <c r="BY843" s="736" t="s">
        <v>531</v>
      </c>
    </row>
    <row r="844" spans="1:77" ht="15" customHeight="1" x14ac:dyDescent="0.2">
      <c r="A844" s="57" t="s">
        <v>16</v>
      </c>
      <c r="B844" s="57"/>
      <c r="C844" s="737" t="s">
        <v>509</v>
      </c>
      <c r="D844" s="546">
        <v>2.4</v>
      </c>
      <c r="E844" s="162" t="s">
        <v>532</v>
      </c>
      <c r="F844" s="358"/>
      <c r="G844" s="65"/>
      <c r="H844" s="73"/>
      <c r="I844" s="90">
        <v>2007</v>
      </c>
      <c r="J844" s="73"/>
      <c r="K844" s="734">
        <v>0.03</v>
      </c>
      <c r="L844" s="717">
        <v>2013</v>
      </c>
      <c r="M844" s="735"/>
      <c r="N844" s="738">
        <v>0.02</v>
      </c>
      <c r="O844" s="1041"/>
      <c r="P844" s="735"/>
      <c r="Q844" s="738"/>
      <c r="R844" s="1041"/>
      <c r="S844" s="735"/>
      <c r="T844" s="738"/>
      <c r="U844" s="73"/>
      <c r="V844" s="66"/>
      <c r="W844" s="592"/>
      <c r="X844" s="593"/>
      <c r="Y844" s="52"/>
      <c r="Z844" s="52"/>
      <c r="AA844" s="596"/>
      <c r="AB844" s="256"/>
      <c r="AC844" s="688"/>
      <c r="AD844" s="164"/>
      <c r="AE844" s="164"/>
      <c r="AF844" s="25"/>
      <c r="AG844" s="26"/>
      <c r="AH844" s="275"/>
      <c r="AI844" s="52"/>
      <c r="AJ844" s="35"/>
      <c r="AK844" s="289"/>
      <c r="AL844" s="290"/>
      <c r="AM844" s="211"/>
      <c r="AN844" s="164"/>
      <c r="AO844" s="740">
        <f t="shared" si="489"/>
        <v>5.9999999999999985E-6</v>
      </c>
      <c r="AP844" s="741">
        <f t="shared" si="490"/>
        <v>5.9999999999999985E-6</v>
      </c>
      <c r="AQ844" s="275">
        <v>2007</v>
      </c>
      <c r="AR844" s="52"/>
      <c r="AS844" s="739">
        <f t="shared" si="491"/>
        <v>2.9999999999999997E-5</v>
      </c>
      <c r="AT844" s="79">
        <v>-0.8</v>
      </c>
      <c r="AU844" s="212">
        <f t="shared" si="492"/>
        <v>-0.8</v>
      </c>
      <c r="AV844" s="164"/>
      <c r="AW844" s="164"/>
      <c r="AX844" s="76"/>
      <c r="AY844" s="44"/>
      <c r="AZ844" s="275"/>
      <c r="BA844" s="52"/>
      <c r="BB844" s="35"/>
      <c r="BC844" s="79"/>
      <c r="BD844" s="230"/>
      <c r="BE844" s="211"/>
      <c r="BF844" s="164"/>
      <c r="BG844" s="76"/>
      <c r="BH844" s="44"/>
      <c r="BI844" s="275"/>
      <c r="BJ844" s="52"/>
      <c r="BK844" s="35"/>
      <c r="BL844" s="79"/>
      <c r="BM844" s="230"/>
      <c r="BN844" s="211"/>
      <c r="BO844" s="164"/>
      <c r="BP844" s="76"/>
      <c r="BQ844" s="44"/>
      <c r="BR844" s="299"/>
      <c r="BS844" s="52"/>
      <c r="BT844" s="35"/>
      <c r="BU844" s="79"/>
      <c r="BV844" s="212"/>
      <c r="BW844" s="304"/>
      <c r="BX844" s="339" t="s">
        <v>530</v>
      </c>
      <c r="BY844" s="736" t="s">
        <v>531</v>
      </c>
    </row>
    <row r="845" spans="1:77" ht="15" customHeight="1" x14ac:dyDescent="0.2">
      <c r="A845" s="57" t="s">
        <v>16</v>
      </c>
      <c r="B845" s="57"/>
      <c r="C845" s="742" t="s">
        <v>535</v>
      </c>
      <c r="D845" s="546">
        <v>119.937</v>
      </c>
      <c r="E845" s="162" t="s">
        <v>2580</v>
      </c>
      <c r="F845" s="358"/>
      <c r="G845" s="65"/>
      <c r="H845" s="73">
        <v>1.1739999999999999</v>
      </c>
      <c r="I845" s="90"/>
      <c r="J845" s="73"/>
      <c r="K845" s="734"/>
      <c r="L845" s="717">
        <v>2013</v>
      </c>
      <c r="M845" s="735"/>
      <c r="N845" s="738">
        <v>0.68500000000000005</v>
      </c>
      <c r="O845" s="1041"/>
      <c r="P845" s="735"/>
      <c r="Q845" s="738">
        <v>0.71719999999999995</v>
      </c>
      <c r="R845" s="1041"/>
      <c r="S845" s="735"/>
      <c r="T845" s="738"/>
      <c r="U845" s="73"/>
      <c r="V845" s="66"/>
      <c r="W845" s="594">
        <f>AA845*(1+AB845)</f>
        <v>7.6309999999999995E-4</v>
      </c>
      <c r="X845" s="595">
        <f>AA845*(1+AC845)</f>
        <v>7.6309999999999995E-4</v>
      </c>
      <c r="Y845" s="52">
        <v>1990</v>
      </c>
      <c r="Z845" s="52"/>
      <c r="AA845" s="596">
        <f>+H845/1000</f>
        <v>1.1739999999999999E-3</v>
      </c>
      <c r="AB845" s="256">
        <v>-0.35</v>
      </c>
      <c r="AC845" s="688">
        <f>AB845</f>
        <v>-0.35</v>
      </c>
      <c r="AD845" s="164"/>
      <c r="AE845" s="164"/>
      <c r="AF845" s="1149">
        <f t="shared" ref="AF845" si="504">AJ845*(1+AK845)</f>
        <v>0.23479999999999993</v>
      </c>
      <c r="AG845" s="1150">
        <f t="shared" ref="AG845" si="505">AJ845*(1+AL845)</f>
        <v>0.23479999999999993</v>
      </c>
      <c r="AH845" s="275">
        <v>2010</v>
      </c>
      <c r="AI845" s="52"/>
      <c r="AJ845" s="1060">
        <f>+H845</f>
        <v>1.1739999999999999</v>
      </c>
      <c r="AK845" s="79">
        <v>-0.8</v>
      </c>
      <c r="AL845" s="212">
        <f t="shared" ref="AL845" si="506">AK845</f>
        <v>-0.8</v>
      </c>
      <c r="AM845" s="211"/>
      <c r="AN845" s="164"/>
      <c r="AO845" s="740">
        <f t="shared" ref="AO845" si="507">AS845*(1+AT845)</f>
        <v>3.5220000000000005E-4</v>
      </c>
      <c r="AP845" s="741">
        <f t="shared" ref="AP845" si="508">AS845*(1+AU845)</f>
        <v>3.5220000000000005E-4</v>
      </c>
      <c r="AQ845" s="275">
        <v>2007</v>
      </c>
      <c r="AR845" s="52"/>
      <c r="AS845" s="739">
        <f>+H845/1000</f>
        <v>1.1739999999999999E-3</v>
      </c>
      <c r="AT845" s="79">
        <v>-0.7</v>
      </c>
      <c r="AU845" s="212">
        <f t="shared" ref="AU845" si="509">AT845</f>
        <v>-0.7</v>
      </c>
      <c r="AV845" s="164"/>
      <c r="AW845" s="164"/>
      <c r="AX845" s="76"/>
      <c r="AY845" s="44"/>
      <c r="AZ845" s="275"/>
      <c r="BA845" s="52"/>
      <c r="BB845" s="35"/>
      <c r="BC845" s="79"/>
      <c r="BD845" s="230"/>
      <c r="BE845" s="211"/>
      <c r="BF845" s="164"/>
      <c r="BG845" s="76"/>
      <c r="BH845" s="44"/>
      <c r="BI845" s="275"/>
      <c r="BJ845" s="52"/>
      <c r="BK845" s="35"/>
      <c r="BL845" s="79"/>
      <c r="BM845" s="230"/>
      <c r="BN845" s="211"/>
      <c r="BO845" s="164"/>
      <c r="BP845" s="76"/>
      <c r="BQ845" s="44"/>
      <c r="BR845" s="299"/>
      <c r="BS845" s="52"/>
      <c r="BT845" s="35"/>
      <c r="BU845" s="79"/>
      <c r="BV845" s="212"/>
      <c r="BW845" s="304"/>
      <c r="BX845" s="339"/>
      <c r="BY845" s="736" t="s">
        <v>536</v>
      </c>
    </row>
    <row r="846" spans="1:77" ht="15" customHeight="1" x14ac:dyDescent="0.2">
      <c r="A846" s="57" t="s">
        <v>16</v>
      </c>
      <c r="B846" s="57"/>
      <c r="C846" s="737" t="s">
        <v>510</v>
      </c>
      <c r="D846" s="546">
        <v>8.5</v>
      </c>
      <c r="E846" s="162" t="s">
        <v>532</v>
      </c>
      <c r="F846" s="358"/>
      <c r="G846" s="65"/>
      <c r="H846" s="73"/>
      <c r="I846" s="90">
        <v>2007</v>
      </c>
      <c r="J846" s="73"/>
      <c r="K846" s="734">
        <v>0.12</v>
      </c>
      <c r="L846" s="717">
        <v>2013</v>
      </c>
      <c r="M846" s="735"/>
      <c r="N846" s="738">
        <v>0.11</v>
      </c>
      <c r="O846" s="1041"/>
      <c r="P846" s="735"/>
      <c r="Q846" s="738"/>
      <c r="R846" s="1041"/>
      <c r="S846" s="735"/>
      <c r="T846" s="738"/>
      <c r="U846" s="73"/>
      <c r="V846" s="66"/>
      <c r="W846" s="592"/>
      <c r="X846" s="593"/>
      <c r="Y846" s="52"/>
      <c r="Z846" s="52"/>
      <c r="AA846" s="596"/>
      <c r="AB846" s="256"/>
      <c r="AC846" s="688"/>
      <c r="AD846" s="164"/>
      <c r="AE846" s="164"/>
      <c r="AF846" s="25"/>
      <c r="AG846" s="26"/>
      <c r="AH846" s="275"/>
      <c r="AI846" s="52"/>
      <c r="AJ846" s="35"/>
      <c r="AK846" s="289"/>
      <c r="AL846" s="290"/>
      <c r="AM846" s="211"/>
      <c r="AN846" s="164"/>
      <c r="AO846" s="740">
        <f t="shared" si="489"/>
        <v>2.3999999999999994E-5</v>
      </c>
      <c r="AP846" s="741">
        <f t="shared" si="490"/>
        <v>2.3999999999999994E-5</v>
      </c>
      <c r="AQ846" s="275">
        <v>2007</v>
      </c>
      <c r="AR846" s="52"/>
      <c r="AS846" s="739">
        <f t="shared" si="491"/>
        <v>1.1999999999999999E-4</v>
      </c>
      <c r="AT846" s="79">
        <v>-0.8</v>
      </c>
      <c r="AU846" s="212">
        <f t="shared" si="492"/>
        <v>-0.8</v>
      </c>
      <c r="AV846" s="164"/>
      <c r="AW846" s="164"/>
      <c r="AX846" s="76"/>
      <c r="AY846" s="44"/>
      <c r="AZ846" s="275"/>
      <c r="BA846" s="52"/>
      <c r="BB846" s="35"/>
      <c r="BC846" s="79"/>
      <c r="BD846" s="230"/>
      <c r="BE846" s="211"/>
      <c r="BF846" s="164"/>
      <c r="BG846" s="76"/>
      <c r="BH846" s="44"/>
      <c r="BI846" s="275"/>
      <c r="BJ846" s="52"/>
      <c r="BK846" s="35"/>
      <c r="BL846" s="79"/>
      <c r="BM846" s="230"/>
      <c r="BN846" s="211"/>
      <c r="BO846" s="164"/>
      <c r="BP846" s="76"/>
      <c r="BQ846" s="44"/>
      <c r="BR846" s="299"/>
      <c r="BS846" s="52"/>
      <c r="BT846" s="35"/>
      <c r="BU846" s="79"/>
      <c r="BV846" s="212"/>
      <c r="BW846" s="304"/>
      <c r="BX846" s="339" t="s">
        <v>530</v>
      </c>
      <c r="BY846" s="736" t="s">
        <v>531</v>
      </c>
    </row>
    <row r="847" spans="1:77" ht="15" customHeight="1" x14ac:dyDescent="0.2">
      <c r="A847" s="57" t="s">
        <v>16</v>
      </c>
      <c r="B847" s="57"/>
      <c r="C847" s="583" t="s">
        <v>500</v>
      </c>
      <c r="D847" s="546">
        <v>72.8</v>
      </c>
      <c r="E847" s="162" t="s">
        <v>533</v>
      </c>
      <c r="F847" s="358"/>
      <c r="G847" s="65"/>
      <c r="H847" s="73"/>
      <c r="I847" s="90">
        <v>2007</v>
      </c>
      <c r="J847" s="73"/>
      <c r="K847" s="734">
        <v>0.8</v>
      </c>
      <c r="L847" s="717">
        <v>2013</v>
      </c>
      <c r="M847" s="735"/>
      <c r="N847" s="738">
        <v>0.62</v>
      </c>
      <c r="O847" s="1041"/>
      <c r="P847" s="735"/>
      <c r="Q847" s="738"/>
      <c r="R847" s="1041"/>
      <c r="S847" s="735"/>
      <c r="T847" s="738"/>
      <c r="U847" s="73"/>
      <c r="V847" s="66"/>
      <c r="W847" s="592"/>
      <c r="X847" s="593"/>
      <c r="Y847" s="52"/>
      <c r="Z847" s="52"/>
      <c r="AA847" s="596"/>
      <c r="AB847" s="256"/>
      <c r="AC847" s="688"/>
      <c r="AD847" s="164"/>
      <c r="AE847" s="164"/>
      <c r="AF847" s="25"/>
      <c r="AG847" s="26"/>
      <c r="AH847" s="275"/>
      <c r="AI847" s="52"/>
      <c r="AJ847" s="35"/>
      <c r="AK847" s="289"/>
      <c r="AL847" s="290"/>
      <c r="AM847" s="211"/>
      <c r="AN847" s="164"/>
      <c r="AO847" s="740">
        <f>AS847*(1+AT847)</f>
        <v>1.5999999999999996E-4</v>
      </c>
      <c r="AP847" s="741">
        <f>AS847*(1+AU847)</f>
        <v>1.5999999999999996E-4</v>
      </c>
      <c r="AQ847" s="275">
        <v>2007</v>
      </c>
      <c r="AR847" s="52"/>
      <c r="AS847" s="739">
        <f>+K847/1000</f>
        <v>8.0000000000000004E-4</v>
      </c>
      <c r="AT847" s="79">
        <v>-0.8</v>
      </c>
      <c r="AU847" s="212">
        <f>AT847</f>
        <v>-0.8</v>
      </c>
      <c r="AV847" s="164"/>
      <c r="AW847" s="164"/>
      <c r="AX847" s="76"/>
      <c r="AY847" s="44"/>
      <c r="AZ847" s="275"/>
      <c r="BA847" s="52"/>
      <c r="BB847" s="35"/>
      <c r="BC847" s="79"/>
      <c r="BD847" s="230"/>
      <c r="BE847" s="211"/>
      <c r="BF847" s="164"/>
      <c r="BG847" s="76"/>
      <c r="BH847" s="44"/>
      <c r="BI847" s="275"/>
      <c r="BJ847" s="52"/>
      <c r="BK847" s="35"/>
      <c r="BL847" s="79"/>
      <c r="BM847" s="230"/>
      <c r="BN847" s="211"/>
      <c r="BO847" s="164"/>
      <c r="BP847" s="76"/>
      <c r="BQ847" s="44"/>
      <c r="BR847" s="299"/>
      <c r="BS847" s="52"/>
      <c r="BT847" s="35"/>
      <c r="BU847" s="79"/>
      <c r="BV847" s="212"/>
      <c r="BW847" s="304"/>
      <c r="BX847" s="339" t="s">
        <v>530</v>
      </c>
      <c r="BY847" s="736" t="s">
        <v>531</v>
      </c>
    </row>
    <row r="848" spans="1:77" ht="15" customHeight="1" x14ac:dyDescent="0.2">
      <c r="A848" s="57" t="s">
        <v>16</v>
      </c>
      <c r="B848" s="57"/>
      <c r="C848" s="737" t="s">
        <v>511</v>
      </c>
      <c r="D848" s="546">
        <v>12.1</v>
      </c>
      <c r="E848" s="162" t="s">
        <v>532</v>
      </c>
      <c r="F848" s="358"/>
      <c r="G848" s="65"/>
      <c r="H848" s="73"/>
      <c r="I848" s="90">
        <v>2007</v>
      </c>
      <c r="J848" s="73"/>
      <c r="K848" s="734">
        <v>0.15</v>
      </c>
      <c r="L848" s="717">
        <v>2013</v>
      </c>
      <c r="M848" s="735"/>
      <c r="N848" s="738">
        <v>0.11</v>
      </c>
      <c r="O848" s="1041"/>
      <c r="P848" s="735"/>
      <c r="Q848" s="738"/>
      <c r="R848" s="1041"/>
      <c r="S848" s="735"/>
      <c r="T848" s="738"/>
      <c r="U848" s="73"/>
      <c r="V848" s="66"/>
      <c r="W848" s="592"/>
      <c r="X848" s="593"/>
      <c r="Y848" s="52"/>
      <c r="Z848" s="52"/>
      <c r="AA848" s="596"/>
      <c r="AB848" s="256"/>
      <c r="AC848" s="688"/>
      <c r="AD848" s="164"/>
      <c r="AE848" s="164"/>
      <c r="AF848" s="25"/>
      <c r="AG848" s="26"/>
      <c r="AH848" s="275"/>
      <c r="AI848" s="52"/>
      <c r="AJ848" s="35"/>
      <c r="AK848" s="289"/>
      <c r="AL848" s="290"/>
      <c r="AM848" s="211"/>
      <c r="AN848" s="164"/>
      <c r="AO848" s="740">
        <f t="shared" ref="AO848:AO870" si="510">AS848*(1+AT848)</f>
        <v>2.9999999999999991E-5</v>
      </c>
      <c r="AP848" s="741">
        <f t="shared" ref="AP848:AP870" si="511">AS848*(1+AU848)</f>
        <v>2.9999999999999991E-5</v>
      </c>
      <c r="AQ848" s="275">
        <v>2007</v>
      </c>
      <c r="AR848" s="52"/>
      <c r="AS848" s="739">
        <f t="shared" ref="AS848:AS870" si="512">+K848/1000</f>
        <v>1.4999999999999999E-4</v>
      </c>
      <c r="AT848" s="79">
        <v>-0.8</v>
      </c>
      <c r="AU848" s="212">
        <f t="shared" ref="AU848:AU870" si="513">AT848</f>
        <v>-0.8</v>
      </c>
      <c r="AV848" s="164"/>
      <c r="AW848" s="164"/>
      <c r="AX848" s="76"/>
      <c r="AY848" s="44"/>
      <c r="AZ848" s="275"/>
      <c r="BA848" s="52"/>
      <c r="BB848" s="35"/>
      <c r="BC848" s="79"/>
      <c r="BD848" s="230"/>
      <c r="BE848" s="211"/>
      <c r="BF848" s="164"/>
      <c r="BG848" s="76"/>
      <c r="BH848" s="44"/>
      <c r="BI848" s="275"/>
      <c r="BJ848" s="52"/>
      <c r="BK848" s="35"/>
      <c r="BL848" s="79"/>
      <c r="BM848" s="230"/>
      <c r="BN848" s="211"/>
      <c r="BO848" s="164"/>
      <c r="BP848" s="76"/>
      <c r="BQ848" s="44"/>
      <c r="BR848" s="299"/>
      <c r="BS848" s="52"/>
      <c r="BT848" s="35"/>
      <c r="BU848" s="79"/>
      <c r="BV848" s="212"/>
      <c r="BW848" s="304"/>
      <c r="BX848" s="339" t="s">
        <v>530</v>
      </c>
      <c r="BY848" s="736" t="s">
        <v>531</v>
      </c>
    </row>
    <row r="849" spans="1:77" ht="15" customHeight="1" x14ac:dyDescent="0.2">
      <c r="A849" s="57" t="s">
        <v>16</v>
      </c>
      <c r="B849" s="57"/>
      <c r="C849" s="737" t="s">
        <v>512</v>
      </c>
      <c r="D849" s="546">
        <v>12.3</v>
      </c>
      <c r="E849" s="162" t="s">
        <v>532</v>
      </c>
      <c r="F849" s="358"/>
      <c r="G849" s="65"/>
      <c r="H849" s="73"/>
      <c r="I849" s="90">
        <v>2007</v>
      </c>
      <c r="J849" s="73"/>
      <c r="K849" s="734">
        <v>0.12</v>
      </c>
      <c r="L849" s="717">
        <v>2013</v>
      </c>
      <c r="M849" s="735"/>
      <c r="N849" s="738">
        <v>0.11</v>
      </c>
      <c r="O849" s="1041"/>
      <c r="P849" s="735"/>
      <c r="Q849" s="738"/>
      <c r="R849" s="1041"/>
      <c r="S849" s="735"/>
      <c r="T849" s="738"/>
      <c r="U849" s="73"/>
      <c r="V849" s="66"/>
      <c r="W849" s="592"/>
      <c r="X849" s="593"/>
      <c r="Y849" s="52"/>
      <c r="Z849" s="52"/>
      <c r="AA849" s="596"/>
      <c r="AB849" s="256"/>
      <c r="AC849" s="688"/>
      <c r="AD849" s="164"/>
      <c r="AE849" s="164"/>
      <c r="AF849" s="25"/>
      <c r="AG849" s="26"/>
      <c r="AH849" s="275"/>
      <c r="AI849" s="52"/>
      <c r="AJ849" s="35"/>
      <c r="AK849" s="289"/>
      <c r="AL849" s="290"/>
      <c r="AM849" s="211"/>
      <c r="AN849" s="164"/>
      <c r="AO849" s="740">
        <f t="shared" si="510"/>
        <v>2.3999999999999994E-5</v>
      </c>
      <c r="AP849" s="741">
        <f t="shared" si="511"/>
        <v>2.3999999999999994E-5</v>
      </c>
      <c r="AQ849" s="275">
        <v>2007</v>
      </c>
      <c r="AR849" s="52"/>
      <c r="AS849" s="739">
        <f t="shared" si="512"/>
        <v>1.1999999999999999E-4</v>
      </c>
      <c r="AT849" s="79">
        <v>-0.8</v>
      </c>
      <c r="AU849" s="212">
        <f t="shared" si="513"/>
        <v>-0.8</v>
      </c>
      <c r="AV849" s="164"/>
      <c r="AW849" s="164"/>
      <c r="AX849" s="76"/>
      <c r="AY849" s="44"/>
      <c r="AZ849" s="275"/>
      <c r="BA849" s="52"/>
      <c r="BB849" s="35"/>
      <c r="BC849" s="79"/>
      <c r="BD849" s="230"/>
      <c r="BE849" s="211"/>
      <c r="BF849" s="164"/>
      <c r="BG849" s="76"/>
      <c r="BH849" s="44"/>
      <c r="BI849" s="275"/>
      <c r="BJ849" s="52"/>
      <c r="BK849" s="35"/>
      <c r="BL849" s="79"/>
      <c r="BM849" s="230"/>
      <c r="BN849" s="211"/>
      <c r="BO849" s="164"/>
      <c r="BP849" s="76"/>
      <c r="BQ849" s="44"/>
      <c r="BR849" s="299"/>
      <c r="BS849" s="52"/>
      <c r="BT849" s="35"/>
      <c r="BU849" s="79"/>
      <c r="BV849" s="212"/>
      <c r="BW849" s="304"/>
      <c r="BX849" s="339" t="s">
        <v>530</v>
      </c>
      <c r="BY849" s="736" t="s">
        <v>531</v>
      </c>
    </row>
    <row r="850" spans="1:77" ht="15" customHeight="1" x14ac:dyDescent="0.2">
      <c r="A850" s="57" t="s">
        <v>16</v>
      </c>
      <c r="B850" s="57"/>
      <c r="C850" s="737" t="s">
        <v>513</v>
      </c>
      <c r="D850" s="546">
        <v>47.7</v>
      </c>
      <c r="E850" s="162" t="s">
        <v>532</v>
      </c>
      <c r="F850" s="358"/>
      <c r="G850" s="65"/>
      <c r="H850" s="73"/>
      <c r="I850" s="90">
        <v>2007</v>
      </c>
      <c r="J850" s="73"/>
      <c r="K850" s="734">
        <v>0.43</v>
      </c>
      <c r="L850" s="717">
        <v>2013</v>
      </c>
      <c r="M850" s="735"/>
      <c r="N850" s="738">
        <v>0.34</v>
      </c>
      <c r="O850" s="1041"/>
      <c r="P850" s="735"/>
      <c r="Q850" s="738"/>
      <c r="R850" s="1041"/>
      <c r="S850" s="735"/>
      <c r="T850" s="738"/>
      <c r="U850" s="73"/>
      <c r="V850" s="66"/>
      <c r="W850" s="592"/>
      <c r="X850" s="593"/>
      <c r="Y850" s="52"/>
      <c r="Z850" s="52"/>
      <c r="AA850" s="596"/>
      <c r="AB850" s="256"/>
      <c r="AC850" s="688"/>
      <c r="AD850" s="164"/>
      <c r="AE850" s="164"/>
      <c r="AF850" s="25"/>
      <c r="AG850" s="26"/>
      <c r="AH850" s="275"/>
      <c r="AI850" s="52"/>
      <c r="AJ850" s="35"/>
      <c r="AK850" s="289"/>
      <c r="AL850" s="290"/>
      <c r="AM850" s="211"/>
      <c r="AN850" s="164"/>
      <c r="AO850" s="740">
        <f t="shared" si="510"/>
        <v>8.5999999999999976E-5</v>
      </c>
      <c r="AP850" s="741">
        <f t="shared" si="511"/>
        <v>8.5999999999999976E-5</v>
      </c>
      <c r="AQ850" s="275">
        <v>2007</v>
      </c>
      <c r="AR850" s="52"/>
      <c r="AS850" s="739">
        <f t="shared" si="512"/>
        <v>4.2999999999999999E-4</v>
      </c>
      <c r="AT850" s="79">
        <v>-0.8</v>
      </c>
      <c r="AU850" s="212">
        <f t="shared" si="513"/>
        <v>-0.8</v>
      </c>
      <c r="AV850" s="164"/>
      <c r="AW850" s="164"/>
      <c r="AX850" s="76"/>
      <c r="AY850" s="44"/>
      <c r="AZ850" s="275"/>
      <c r="BA850" s="52"/>
      <c r="BB850" s="35"/>
      <c r="BC850" s="79"/>
      <c r="BD850" s="230"/>
      <c r="BE850" s="211"/>
      <c r="BF850" s="164"/>
      <c r="BG850" s="76"/>
      <c r="BH850" s="44"/>
      <c r="BI850" s="275"/>
      <c r="BJ850" s="52"/>
      <c r="BK850" s="35"/>
      <c r="BL850" s="79"/>
      <c r="BM850" s="230"/>
      <c r="BN850" s="211"/>
      <c r="BO850" s="164"/>
      <c r="BP850" s="76"/>
      <c r="BQ850" s="44"/>
      <c r="BR850" s="299"/>
      <c r="BS850" s="52"/>
      <c r="BT850" s="35"/>
      <c r="BU850" s="79"/>
      <c r="BV850" s="212"/>
      <c r="BW850" s="304"/>
      <c r="BX850" s="339" t="s">
        <v>530</v>
      </c>
      <c r="BY850" s="736" t="s">
        <v>531</v>
      </c>
    </row>
    <row r="851" spans="1:77" ht="15" customHeight="1" x14ac:dyDescent="0.2">
      <c r="A851" s="57" t="s">
        <v>16</v>
      </c>
      <c r="B851" s="57"/>
      <c r="C851" s="737" t="s">
        <v>514</v>
      </c>
      <c r="D851" s="546">
        <v>9.8000000000000007</v>
      </c>
      <c r="E851" s="162" t="s">
        <v>532</v>
      </c>
      <c r="F851" s="358"/>
      <c r="G851" s="65"/>
      <c r="H851" s="73"/>
      <c r="I851" s="90">
        <v>2007</v>
      </c>
      <c r="J851" s="73"/>
      <c r="K851" s="734">
        <v>7.0000000000000007E-2</v>
      </c>
      <c r="L851" s="717">
        <v>2013</v>
      </c>
      <c r="M851" s="735"/>
      <c r="N851" s="738">
        <v>0.06</v>
      </c>
      <c r="O851" s="1041"/>
      <c r="P851" s="735"/>
      <c r="Q851" s="738"/>
      <c r="R851" s="1041"/>
      <c r="S851" s="735"/>
      <c r="T851" s="738"/>
      <c r="U851" s="73"/>
      <c r="V851" s="66"/>
      <c r="W851" s="592"/>
      <c r="X851" s="593"/>
      <c r="Y851" s="52"/>
      <c r="Z851" s="52"/>
      <c r="AA851" s="596"/>
      <c r="AB851" s="256"/>
      <c r="AC851" s="688"/>
      <c r="AD851" s="164"/>
      <c r="AE851" s="164"/>
      <c r="AF851" s="25"/>
      <c r="AG851" s="26"/>
      <c r="AH851" s="275"/>
      <c r="AI851" s="52"/>
      <c r="AJ851" s="35"/>
      <c r="AK851" s="289"/>
      <c r="AL851" s="290"/>
      <c r="AM851" s="211"/>
      <c r="AN851" s="164"/>
      <c r="AO851" s="740">
        <f t="shared" si="510"/>
        <v>1.3999999999999998E-5</v>
      </c>
      <c r="AP851" s="741">
        <f t="shared" si="511"/>
        <v>1.3999999999999998E-5</v>
      </c>
      <c r="AQ851" s="275">
        <v>2007</v>
      </c>
      <c r="AR851" s="52"/>
      <c r="AS851" s="739">
        <f t="shared" si="512"/>
        <v>7.0000000000000007E-5</v>
      </c>
      <c r="AT851" s="79">
        <v>-0.8</v>
      </c>
      <c r="AU851" s="212">
        <f t="shared" si="513"/>
        <v>-0.8</v>
      </c>
      <c r="AV851" s="164"/>
      <c r="AW851" s="164"/>
      <c r="AX851" s="76"/>
      <c r="AY851" s="44"/>
      <c r="AZ851" s="275"/>
      <c r="BA851" s="52"/>
      <c r="BB851" s="35"/>
      <c r="BC851" s="79"/>
      <c r="BD851" s="230"/>
      <c r="BE851" s="211"/>
      <c r="BF851" s="164"/>
      <c r="BG851" s="76"/>
      <c r="BH851" s="44"/>
      <c r="BI851" s="275"/>
      <c r="BJ851" s="52"/>
      <c r="BK851" s="35"/>
      <c r="BL851" s="79"/>
      <c r="BM851" s="230"/>
      <c r="BN851" s="211"/>
      <c r="BO851" s="164"/>
      <c r="BP851" s="76"/>
      <c r="BQ851" s="44"/>
      <c r="BR851" s="299"/>
      <c r="BS851" s="52"/>
      <c r="BT851" s="35"/>
      <c r="BU851" s="79"/>
      <c r="BV851" s="212"/>
      <c r="BW851" s="304"/>
      <c r="BX851" s="339" t="s">
        <v>530</v>
      </c>
      <c r="BY851" s="736" t="s">
        <v>531</v>
      </c>
    </row>
    <row r="852" spans="1:77" ht="15" customHeight="1" x14ac:dyDescent="0.2">
      <c r="A852" s="57" t="s">
        <v>16</v>
      </c>
      <c r="B852" s="57"/>
      <c r="C852" s="737" t="s">
        <v>515</v>
      </c>
      <c r="D852" s="546">
        <v>9</v>
      </c>
      <c r="E852" s="162" t="s">
        <v>532</v>
      </c>
      <c r="F852" s="358"/>
      <c r="G852" s="65"/>
      <c r="H852" s="73"/>
      <c r="I852" s="90">
        <v>2007</v>
      </c>
      <c r="J852" s="73"/>
      <c r="K852" s="734"/>
      <c r="L852" s="717">
        <v>2013</v>
      </c>
      <c r="M852" s="735"/>
      <c r="N852" s="738"/>
      <c r="O852" s="1041"/>
      <c r="P852" s="735"/>
      <c r="Q852" s="738"/>
      <c r="R852" s="1041"/>
      <c r="S852" s="735"/>
      <c r="T852" s="738"/>
      <c r="U852" s="73"/>
      <c r="V852" s="66"/>
      <c r="W852" s="592"/>
      <c r="X852" s="593"/>
      <c r="Y852" s="52"/>
      <c r="Z852" s="52"/>
      <c r="AA852" s="596"/>
      <c r="AB852" s="256"/>
      <c r="AC852" s="688"/>
      <c r="AD852" s="164"/>
      <c r="AE852" s="164"/>
      <c r="AF852" s="25"/>
      <c r="AG852" s="26"/>
      <c r="AH852" s="275"/>
      <c r="AI852" s="52"/>
      <c r="AJ852" s="35"/>
      <c r="AK852" s="289"/>
      <c r="AL852" s="290"/>
      <c r="AM852" s="211"/>
      <c r="AN852" s="164"/>
      <c r="AO852" s="740">
        <f t="shared" si="510"/>
        <v>0</v>
      </c>
      <c r="AP852" s="741">
        <f t="shared" si="511"/>
        <v>0</v>
      </c>
      <c r="AQ852" s="275">
        <v>2007</v>
      </c>
      <c r="AR852" s="52"/>
      <c r="AS852" s="739">
        <f t="shared" si="512"/>
        <v>0</v>
      </c>
      <c r="AT852" s="79">
        <v>-0.8</v>
      </c>
      <c r="AU852" s="212">
        <f t="shared" si="513"/>
        <v>-0.8</v>
      </c>
      <c r="AV852" s="164"/>
      <c r="AW852" s="164"/>
      <c r="AX852" s="76"/>
      <c r="AY852" s="44"/>
      <c r="AZ852" s="275"/>
      <c r="BA852" s="52"/>
      <c r="BB852" s="35"/>
      <c r="BC852" s="79"/>
      <c r="BD852" s="230"/>
      <c r="BE852" s="211"/>
      <c r="BF852" s="164"/>
      <c r="BG852" s="76"/>
      <c r="BH852" s="44"/>
      <c r="BI852" s="275"/>
      <c r="BJ852" s="52"/>
      <c r="BK852" s="35"/>
      <c r="BL852" s="79"/>
      <c r="BM852" s="230"/>
      <c r="BN852" s="211"/>
      <c r="BO852" s="164"/>
      <c r="BP852" s="76"/>
      <c r="BQ852" s="44"/>
      <c r="BR852" s="299"/>
      <c r="BS852" s="52"/>
      <c r="BT852" s="35"/>
      <c r="BU852" s="79"/>
      <c r="BV852" s="212"/>
      <c r="BW852" s="304"/>
      <c r="BX852" s="339" t="s">
        <v>530</v>
      </c>
      <c r="BY852" s="736" t="s">
        <v>531</v>
      </c>
    </row>
    <row r="853" spans="1:77" ht="15" customHeight="1" x14ac:dyDescent="0.2">
      <c r="A853" s="57" t="s">
        <v>16</v>
      </c>
      <c r="B853" s="57"/>
      <c r="C853" s="737" t="s">
        <v>516</v>
      </c>
      <c r="D853" s="546">
        <v>7.9</v>
      </c>
      <c r="E853" s="162" t="s">
        <v>532</v>
      </c>
      <c r="F853" s="358"/>
      <c r="G853" s="65"/>
      <c r="H853" s="73"/>
      <c r="I853" s="90">
        <v>2007</v>
      </c>
      <c r="J853" s="73"/>
      <c r="K853" s="734">
        <v>0.1</v>
      </c>
      <c r="L853" s="717">
        <v>2013</v>
      </c>
      <c r="M853" s="735"/>
      <c r="N853" s="738">
        <v>0.08</v>
      </c>
      <c r="O853" s="1041"/>
      <c r="P853" s="735"/>
      <c r="Q853" s="738"/>
      <c r="R853" s="1041"/>
      <c r="S853" s="735"/>
      <c r="T853" s="738"/>
      <c r="U853" s="73"/>
      <c r="V853" s="66"/>
      <c r="W853" s="592"/>
      <c r="X853" s="593"/>
      <c r="Y853" s="52"/>
      <c r="Z853" s="52"/>
      <c r="AA853" s="596"/>
      <c r="AB853" s="256"/>
      <c r="AC853" s="688"/>
      <c r="AD853" s="164"/>
      <c r="AE853" s="164"/>
      <c r="AF853" s="25"/>
      <c r="AG853" s="26"/>
      <c r="AH853" s="275"/>
      <c r="AI853" s="52"/>
      <c r="AJ853" s="35"/>
      <c r="AK853" s="289"/>
      <c r="AL853" s="290"/>
      <c r="AM853" s="211"/>
      <c r="AN853" s="164"/>
      <c r="AO853" s="740">
        <f t="shared" si="510"/>
        <v>1.9999999999999995E-5</v>
      </c>
      <c r="AP853" s="741">
        <f t="shared" si="511"/>
        <v>1.9999999999999995E-5</v>
      </c>
      <c r="AQ853" s="275">
        <v>2007</v>
      </c>
      <c r="AR853" s="52"/>
      <c r="AS853" s="739">
        <f t="shared" si="512"/>
        <v>1E-4</v>
      </c>
      <c r="AT853" s="79">
        <v>-0.8</v>
      </c>
      <c r="AU853" s="212">
        <f t="shared" si="513"/>
        <v>-0.8</v>
      </c>
      <c r="AV853" s="164"/>
      <c r="AW853" s="164"/>
      <c r="AX853" s="76"/>
      <c r="AY853" s="44"/>
      <c r="AZ853" s="275"/>
      <c r="BA853" s="52"/>
      <c r="BB853" s="35"/>
      <c r="BC853" s="79"/>
      <c r="BD853" s="230"/>
      <c r="BE853" s="211"/>
      <c r="BF853" s="164"/>
      <c r="BG853" s="76"/>
      <c r="BH853" s="44"/>
      <c r="BI853" s="275"/>
      <c r="BJ853" s="52"/>
      <c r="BK853" s="35"/>
      <c r="BL853" s="79"/>
      <c r="BM853" s="230"/>
      <c r="BN853" s="211"/>
      <c r="BO853" s="164"/>
      <c r="BP853" s="76"/>
      <c r="BQ853" s="44"/>
      <c r="BR853" s="299"/>
      <c r="BS853" s="52"/>
      <c r="BT853" s="35"/>
      <c r="BU853" s="79"/>
      <c r="BV853" s="212"/>
      <c r="BW853" s="304"/>
      <c r="BX853" s="339" t="s">
        <v>530</v>
      </c>
      <c r="BY853" s="736" t="s">
        <v>531</v>
      </c>
    </row>
    <row r="854" spans="1:77" ht="15" customHeight="1" x14ac:dyDescent="0.2">
      <c r="A854" s="57" t="s">
        <v>16</v>
      </c>
      <c r="B854" s="57"/>
      <c r="C854" s="737" t="s">
        <v>517</v>
      </c>
      <c r="D854" s="546">
        <v>8.1</v>
      </c>
      <c r="E854" s="162" t="s">
        <v>532</v>
      </c>
      <c r="F854" s="358"/>
      <c r="G854" s="65"/>
      <c r="H854" s="73"/>
      <c r="I854" s="90">
        <v>2007</v>
      </c>
      <c r="J854" s="73"/>
      <c r="K854" s="734">
        <v>0.09</v>
      </c>
      <c r="L854" s="717">
        <v>2013</v>
      </c>
      <c r="M854" s="735"/>
      <c r="N854" s="738">
        <v>0.08</v>
      </c>
      <c r="O854" s="1041"/>
      <c r="P854" s="735"/>
      <c r="Q854" s="738"/>
      <c r="R854" s="1041"/>
      <c r="S854" s="735"/>
      <c r="T854" s="738"/>
      <c r="U854" s="73"/>
      <c r="V854" s="66"/>
      <c r="W854" s="592"/>
      <c r="X854" s="593"/>
      <c r="Y854" s="52"/>
      <c r="Z854" s="52"/>
      <c r="AA854" s="596"/>
      <c r="AB854" s="256"/>
      <c r="AC854" s="688"/>
      <c r="AD854" s="164"/>
      <c r="AE854" s="164"/>
      <c r="AF854" s="25"/>
      <c r="AG854" s="26"/>
      <c r="AH854" s="275"/>
      <c r="AI854" s="52"/>
      <c r="AJ854" s="35"/>
      <c r="AK854" s="289"/>
      <c r="AL854" s="290"/>
      <c r="AM854" s="211"/>
      <c r="AN854" s="164"/>
      <c r="AO854" s="740">
        <f t="shared" si="510"/>
        <v>1.7999999999999994E-5</v>
      </c>
      <c r="AP854" s="741">
        <f t="shared" si="511"/>
        <v>1.7999999999999994E-5</v>
      </c>
      <c r="AQ854" s="275">
        <v>2007</v>
      </c>
      <c r="AR854" s="52"/>
      <c r="AS854" s="739">
        <f t="shared" si="512"/>
        <v>8.9999999999999992E-5</v>
      </c>
      <c r="AT854" s="79">
        <v>-0.8</v>
      </c>
      <c r="AU854" s="212">
        <f t="shared" si="513"/>
        <v>-0.8</v>
      </c>
      <c r="AV854" s="164"/>
      <c r="AW854" s="164"/>
      <c r="AX854" s="76"/>
      <c r="AY854" s="44"/>
      <c r="AZ854" s="275"/>
      <c r="BA854" s="52"/>
      <c r="BB854" s="35"/>
      <c r="BC854" s="79"/>
      <c r="BD854" s="230"/>
      <c r="BE854" s="211"/>
      <c r="BF854" s="164"/>
      <c r="BG854" s="76"/>
      <c r="BH854" s="44"/>
      <c r="BI854" s="275"/>
      <c r="BJ854" s="52"/>
      <c r="BK854" s="35"/>
      <c r="BL854" s="79"/>
      <c r="BM854" s="230"/>
      <c r="BN854" s="211"/>
      <c r="BO854" s="164"/>
      <c r="BP854" s="76"/>
      <c r="BQ854" s="44"/>
      <c r="BR854" s="299"/>
      <c r="BS854" s="52"/>
      <c r="BT854" s="35"/>
      <c r="BU854" s="79"/>
      <c r="BV854" s="212"/>
      <c r="BW854" s="304"/>
      <c r="BX854" s="339" t="s">
        <v>530</v>
      </c>
      <c r="BY854" s="736" t="s">
        <v>531</v>
      </c>
    </row>
    <row r="855" spans="1:77" ht="15" customHeight="1" x14ac:dyDescent="0.2">
      <c r="A855" s="57" t="s">
        <v>16</v>
      </c>
      <c r="B855" s="57"/>
      <c r="C855" s="737" t="s">
        <v>518</v>
      </c>
      <c r="D855" s="546">
        <v>7.2</v>
      </c>
      <c r="E855" s="162" t="s">
        <v>532</v>
      </c>
      <c r="F855" s="358"/>
      <c r="G855" s="65"/>
      <c r="H855" s="73"/>
      <c r="I855" s="90">
        <v>2007</v>
      </c>
      <c r="J855" s="73"/>
      <c r="K855" s="734">
        <v>7.0000000000000007E-2</v>
      </c>
      <c r="L855" s="717">
        <v>2013</v>
      </c>
      <c r="M855" s="735"/>
      <c r="N855" s="738">
        <v>0.05</v>
      </c>
      <c r="O855" s="1041"/>
      <c r="P855" s="735"/>
      <c r="Q855" s="738"/>
      <c r="R855" s="1041"/>
      <c r="S855" s="735"/>
      <c r="T855" s="738"/>
      <c r="U855" s="73"/>
      <c r="V855" s="66"/>
      <c r="W855" s="592"/>
      <c r="X855" s="593"/>
      <c r="Y855" s="52"/>
      <c r="Z855" s="52"/>
      <c r="AA855" s="596"/>
      <c r="AB855" s="256"/>
      <c r="AC855" s="688"/>
      <c r="AD855" s="164"/>
      <c r="AE855" s="164"/>
      <c r="AF855" s="25"/>
      <c r="AG855" s="26"/>
      <c r="AH855" s="275"/>
      <c r="AI855" s="52"/>
      <c r="AJ855" s="35"/>
      <c r="AK855" s="289"/>
      <c r="AL855" s="290"/>
      <c r="AM855" s="211"/>
      <c r="AN855" s="164"/>
      <c r="AO855" s="740">
        <f t="shared" si="510"/>
        <v>1.3999999999999998E-5</v>
      </c>
      <c r="AP855" s="741">
        <f t="shared" si="511"/>
        <v>1.3999999999999998E-5</v>
      </c>
      <c r="AQ855" s="275">
        <v>2007</v>
      </c>
      <c r="AR855" s="52"/>
      <c r="AS855" s="739">
        <f t="shared" si="512"/>
        <v>7.0000000000000007E-5</v>
      </c>
      <c r="AT855" s="79">
        <v>-0.8</v>
      </c>
      <c r="AU855" s="212">
        <f t="shared" si="513"/>
        <v>-0.8</v>
      </c>
      <c r="AV855" s="164"/>
      <c r="AW855" s="164"/>
      <c r="AX855" s="76"/>
      <c r="AY855" s="44"/>
      <c r="AZ855" s="275"/>
      <c r="BA855" s="52"/>
      <c r="BB855" s="35"/>
      <c r="BC855" s="79"/>
      <c r="BD855" s="230"/>
      <c r="BE855" s="211"/>
      <c r="BF855" s="164"/>
      <c r="BG855" s="76"/>
      <c r="BH855" s="44"/>
      <c r="BI855" s="275"/>
      <c r="BJ855" s="52"/>
      <c r="BK855" s="35"/>
      <c r="BL855" s="79"/>
      <c r="BM855" s="230"/>
      <c r="BN855" s="211"/>
      <c r="BO855" s="164"/>
      <c r="BP855" s="76"/>
      <c r="BQ855" s="44"/>
      <c r="BR855" s="299"/>
      <c r="BS855" s="52"/>
      <c r="BT855" s="35"/>
      <c r="BU855" s="79"/>
      <c r="BV855" s="212"/>
      <c r="BW855" s="304"/>
      <c r="BX855" s="339" t="s">
        <v>530</v>
      </c>
      <c r="BY855" s="736" t="s">
        <v>531</v>
      </c>
    </row>
    <row r="856" spans="1:77" ht="15" customHeight="1" x14ac:dyDescent="0.2">
      <c r="A856" s="57" t="s">
        <v>16</v>
      </c>
      <c r="B856" s="57"/>
      <c r="C856" s="737" t="s">
        <v>519</v>
      </c>
      <c r="D856" s="546">
        <v>3.2</v>
      </c>
      <c r="E856" s="162" t="s">
        <v>532</v>
      </c>
      <c r="F856" s="358"/>
      <c r="G856" s="65"/>
      <c r="H856" s="73"/>
      <c r="I856" s="90">
        <v>2007</v>
      </c>
      <c r="J856" s="73"/>
      <c r="K856" s="734">
        <v>0.04</v>
      </c>
      <c r="L856" s="717">
        <v>2013</v>
      </c>
      <c r="M856" s="735"/>
      <c r="N856" s="738">
        <v>0.03</v>
      </c>
      <c r="O856" s="1041"/>
      <c r="P856" s="735"/>
      <c r="Q856" s="738"/>
      <c r="R856" s="1041"/>
      <c r="S856" s="735"/>
      <c r="T856" s="738"/>
      <c r="U856" s="73"/>
      <c r="V856" s="66"/>
      <c r="W856" s="592"/>
      <c r="X856" s="593"/>
      <c r="Y856" s="52"/>
      <c r="Z856" s="52"/>
      <c r="AA856" s="596"/>
      <c r="AB856" s="256"/>
      <c r="AC856" s="688"/>
      <c r="AD856" s="164"/>
      <c r="AE856" s="164"/>
      <c r="AF856" s="25"/>
      <c r="AG856" s="26"/>
      <c r="AH856" s="275"/>
      <c r="AI856" s="52"/>
      <c r="AJ856" s="35"/>
      <c r="AK856" s="289"/>
      <c r="AL856" s="290"/>
      <c r="AM856" s="211"/>
      <c r="AN856" s="164"/>
      <c r="AO856" s="740">
        <f t="shared" si="510"/>
        <v>7.9999999999999996E-6</v>
      </c>
      <c r="AP856" s="741">
        <f t="shared" si="511"/>
        <v>7.9999999999999996E-6</v>
      </c>
      <c r="AQ856" s="275">
        <v>2007</v>
      </c>
      <c r="AR856" s="52"/>
      <c r="AS856" s="739">
        <f t="shared" si="512"/>
        <v>4.0000000000000003E-5</v>
      </c>
      <c r="AT856" s="79">
        <v>-0.8</v>
      </c>
      <c r="AU856" s="212">
        <f t="shared" si="513"/>
        <v>-0.8</v>
      </c>
      <c r="AV856" s="164"/>
      <c r="AW856" s="164"/>
      <c r="AX856" s="76"/>
      <c r="AY856" s="44"/>
      <c r="AZ856" s="275"/>
      <c r="BA856" s="52"/>
      <c r="BB856" s="35"/>
      <c r="BC856" s="79"/>
      <c r="BD856" s="230"/>
      <c r="BE856" s="211"/>
      <c r="BF856" s="164"/>
      <c r="BG856" s="76"/>
      <c r="BH856" s="44"/>
      <c r="BI856" s="275"/>
      <c r="BJ856" s="52"/>
      <c r="BK856" s="35"/>
      <c r="BL856" s="79"/>
      <c r="BM856" s="230"/>
      <c r="BN856" s="211"/>
      <c r="BO856" s="164"/>
      <c r="BP856" s="76"/>
      <c r="BQ856" s="44"/>
      <c r="BR856" s="299"/>
      <c r="BS856" s="52"/>
      <c r="BT856" s="35"/>
      <c r="BU856" s="79"/>
      <c r="BV856" s="212"/>
      <c r="BW856" s="304"/>
      <c r="BX856" s="339" t="s">
        <v>530</v>
      </c>
      <c r="BY856" s="736" t="s">
        <v>531</v>
      </c>
    </row>
    <row r="857" spans="1:77" ht="15" customHeight="1" x14ac:dyDescent="0.2">
      <c r="A857" s="57" t="s">
        <v>16</v>
      </c>
      <c r="B857" s="57"/>
      <c r="C857" s="737" t="s">
        <v>520</v>
      </c>
      <c r="D857" s="546">
        <v>5.4</v>
      </c>
      <c r="E857" s="162" t="s">
        <v>532</v>
      </c>
      <c r="F857" s="358"/>
      <c r="G857" s="65"/>
      <c r="H857" s="73"/>
      <c r="I857" s="90">
        <v>2007</v>
      </c>
      <c r="J857" s="73"/>
      <c r="K857" s="734">
        <v>0.08</v>
      </c>
      <c r="L857" s="717">
        <v>2013</v>
      </c>
      <c r="M857" s="735"/>
      <c r="N857" s="738">
        <v>7.0000000000000007E-2</v>
      </c>
      <c r="O857" s="1041"/>
      <c r="P857" s="735"/>
      <c r="Q857" s="738"/>
      <c r="R857" s="1041"/>
      <c r="S857" s="735"/>
      <c r="T857" s="738"/>
      <c r="U857" s="73"/>
      <c r="V857" s="66"/>
      <c r="W857" s="592"/>
      <c r="X857" s="593"/>
      <c r="Y857" s="52"/>
      <c r="Z857" s="52"/>
      <c r="AA857" s="596"/>
      <c r="AB857" s="256"/>
      <c r="AC857" s="688"/>
      <c r="AD857" s="164"/>
      <c r="AE857" s="164"/>
      <c r="AF857" s="25"/>
      <c r="AG857" s="26"/>
      <c r="AH857" s="275"/>
      <c r="AI857" s="52"/>
      <c r="AJ857" s="35"/>
      <c r="AK857" s="289"/>
      <c r="AL857" s="290"/>
      <c r="AM857" s="211"/>
      <c r="AN857" s="164"/>
      <c r="AO857" s="740">
        <f t="shared" si="510"/>
        <v>1.5999999999999999E-5</v>
      </c>
      <c r="AP857" s="741">
        <f t="shared" si="511"/>
        <v>1.5999999999999999E-5</v>
      </c>
      <c r="AQ857" s="275">
        <v>2007</v>
      </c>
      <c r="AR857" s="52"/>
      <c r="AS857" s="739">
        <f t="shared" si="512"/>
        <v>8.0000000000000007E-5</v>
      </c>
      <c r="AT857" s="79">
        <v>-0.8</v>
      </c>
      <c r="AU857" s="212">
        <f t="shared" si="513"/>
        <v>-0.8</v>
      </c>
      <c r="AV857" s="164"/>
      <c r="AW857" s="164"/>
      <c r="AX857" s="76"/>
      <c r="AY857" s="44"/>
      <c r="AZ857" s="275"/>
      <c r="BA857" s="52"/>
      <c r="BB857" s="35"/>
      <c r="BC857" s="79"/>
      <c r="BD857" s="230"/>
      <c r="BE857" s="211"/>
      <c r="BF857" s="164"/>
      <c r="BG857" s="76"/>
      <c r="BH857" s="44"/>
      <c r="BI857" s="275"/>
      <c r="BJ857" s="52"/>
      <c r="BK857" s="35"/>
      <c r="BL857" s="79"/>
      <c r="BM857" s="230"/>
      <c r="BN857" s="211"/>
      <c r="BO857" s="164"/>
      <c r="BP857" s="76"/>
      <c r="BQ857" s="44"/>
      <c r="BR857" s="299"/>
      <c r="BS857" s="52"/>
      <c r="BT857" s="35"/>
      <c r="BU857" s="79"/>
      <c r="BV857" s="212"/>
      <c r="BW857" s="304"/>
      <c r="BX857" s="339" t="s">
        <v>530</v>
      </c>
      <c r="BY857" s="736" t="s">
        <v>531</v>
      </c>
    </row>
    <row r="858" spans="1:77" ht="15" customHeight="1" x14ac:dyDescent="0.2">
      <c r="A858" s="57" t="s">
        <v>16</v>
      </c>
      <c r="B858" s="57"/>
      <c r="C858" s="737" t="s">
        <v>521</v>
      </c>
      <c r="D858" s="546">
        <v>50.38</v>
      </c>
      <c r="E858" s="162" t="s">
        <v>532</v>
      </c>
      <c r="F858" s="358"/>
      <c r="G858" s="65"/>
      <c r="H858" s="73"/>
      <c r="I858" s="90">
        <v>2007</v>
      </c>
      <c r="J858" s="73"/>
      <c r="K858" s="734">
        <v>0.35499999999999998</v>
      </c>
      <c r="L858" s="717">
        <v>2013</v>
      </c>
      <c r="M858" s="735"/>
      <c r="N858" s="738">
        <v>0.33</v>
      </c>
      <c r="O858" s="1041"/>
      <c r="P858" s="735"/>
      <c r="Q858" s="738"/>
      <c r="R858" s="1041"/>
      <c r="S858" s="735"/>
      <c r="T858" s="738"/>
      <c r="U858" s="73"/>
      <c r="V858" s="66"/>
      <c r="W858" s="592"/>
      <c r="X858" s="593"/>
      <c r="Y858" s="52"/>
      <c r="Z858" s="52"/>
      <c r="AA858" s="596"/>
      <c r="AB858" s="256"/>
      <c r="AC858" s="688"/>
      <c r="AD858" s="164"/>
      <c r="AE858" s="164"/>
      <c r="AF858" s="25"/>
      <c r="AG858" s="26"/>
      <c r="AH858" s="275"/>
      <c r="AI858" s="52"/>
      <c r="AJ858" s="35"/>
      <c r="AK858" s="289"/>
      <c r="AL858" s="290"/>
      <c r="AM858" s="211"/>
      <c r="AN858" s="164"/>
      <c r="AO858" s="740">
        <f t="shared" si="510"/>
        <v>7.0999999999999978E-5</v>
      </c>
      <c r="AP858" s="741">
        <f t="shared" si="511"/>
        <v>7.0999999999999978E-5</v>
      </c>
      <c r="AQ858" s="275">
        <v>2007</v>
      </c>
      <c r="AR858" s="52"/>
      <c r="AS858" s="739">
        <f t="shared" si="512"/>
        <v>3.5499999999999996E-4</v>
      </c>
      <c r="AT858" s="79">
        <v>-0.8</v>
      </c>
      <c r="AU858" s="212">
        <f t="shared" si="513"/>
        <v>-0.8</v>
      </c>
      <c r="AV858" s="164"/>
      <c r="AW858" s="164"/>
      <c r="AX858" s="76"/>
      <c r="AY858" s="44"/>
      <c r="AZ858" s="275"/>
      <c r="BA858" s="52"/>
      <c r="BB858" s="35"/>
      <c r="BC858" s="79"/>
      <c r="BD858" s="230"/>
      <c r="BE858" s="211"/>
      <c r="BF858" s="164"/>
      <c r="BG858" s="76"/>
      <c r="BH858" s="44"/>
      <c r="BI858" s="275"/>
      <c r="BJ858" s="52"/>
      <c r="BK858" s="35"/>
      <c r="BL858" s="79"/>
      <c r="BM858" s="230"/>
      <c r="BN858" s="211"/>
      <c r="BO858" s="164"/>
      <c r="BP858" s="76"/>
      <c r="BQ858" s="44"/>
      <c r="BR858" s="299"/>
      <c r="BS858" s="52"/>
      <c r="BT858" s="35"/>
      <c r="BU858" s="79"/>
      <c r="BV858" s="212"/>
      <c r="BW858" s="304"/>
      <c r="BX858" s="339" t="s">
        <v>530</v>
      </c>
      <c r="BY858" s="736" t="s">
        <v>531</v>
      </c>
    </row>
    <row r="859" spans="1:77" ht="15" customHeight="1" x14ac:dyDescent="0.2">
      <c r="A859" s="57" t="s">
        <v>16</v>
      </c>
      <c r="B859" s="57"/>
      <c r="C859" s="737" t="s">
        <v>522</v>
      </c>
      <c r="D859" s="546">
        <v>28.7</v>
      </c>
      <c r="E859" s="162" t="s">
        <v>532</v>
      </c>
      <c r="F859" s="358"/>
      <c r="G859" s="65"/>
      <c r="H859" s="73"/>
      <c r="I859" s="90">
        <v>2007</v>
      </c>
      <c r="J859" s="73"/>
      <c r="K859" s="734">
        <v>0.28999999999999998</v>
      </c>
      <c r="L859" s="717">
        <v>2013</v>
      </c>
      <c r="M859" s="735"/>
      <c r="N859" s="738">
        <v>0.23</v>
      </c>
      <c r="O859" s="1041"/>
      <c r="P859" s="735"/>
      <c r="Q859" s="738"/>
      <c r="R859" s="1041"/>
      <c r="S859" s="735"/>
      <c r="T859" s="738"/>
      <c r="U859" s="73"/>
      <c r="V859" s="66"/>
      <c r="W859" s="592"/>
      <c r="X859" s="593"/>
      <c r="Y859" s="52"/>
      <c r="Z859" s="52"/>
      <c r="AA859" s="596"/>
      <c r="AB859" s="256"/>
      <c r="AC859" s="688"/>
      <c r="AD859" s="164"/>
      <c r="AE859" s="164"/>
      <c r="AF859" s="25"/>
      <c r="AG859" s="26"/>
      <c r="AH859" s="275"/>
      <c r="AI859" s="52"/>
      <c r="AJ859" s="35"/>
      <c r="AK859" s="289"/>
      <c r="AL859" s="290"/>
      <c r="AM859" s="211"/>
      <c r="AN859" s="164"/>
      <c r="AO859" s="740">
        <f t="shared" si="510"/>
        <v>5.7999999999999987E-5</v>
      </c>
      <c r="AP859" s="741">
        <f t="shared" si="511"/>
        <v>5.7999999999999987E-5</v>
      </c>
      <c r="AQ859" s="275">
        <v>2007</v>
      </c>
      <c r="AR859" s="52"/>
      <c r="AS859" s="739">
        <f t="shared" si="512"/>
        <v>2.9E-4</v>
      </c>
      <c r="AT859" s="79">
        <v>-0.8</v>
      </c>
      <c r="AU859" s="212">
        <f t="shared" si="513"/>
        <v>-0.8</v>
      </c>
      <c r="AV859" s="164"/>
      <c r="AW859" s="164"/>
      <c r="AX859" s="76"/>
      <c r="AY859" s="44"/>
      <c r="AZ859" s="275"/>
      <c r="BA859" s="52"/>
      <c r="BB859" s="35"/>
      <c r="BC859" s="79"/>
      <c r="BD859" s="230"/>
      <c r="BE859" s="211"/>
      <c r="BF859" s="164"/>
      <c r="BG859" s="76"/>
      <c r="BH859" s="44"/>
      <c r="BI859" s="275"/>
      <c r="BJ859" s="52"/>
      <c r="BK859" s="35"/>
      <c r="BL859" s="79"/>
      <c r="BM859" s="230"/>
      <c r="BN859" s="211"/>
      <c r="BO859" s="164"/>
      <c r="BP859" s="76"/>
      <c r="BQ859" s="44"/>
      <c r="BR859" s="299"/>
      <c r="BS859" s="52"/>
      <c r="BT859" s="35"/>
      <c r="BU859" s="79"/>
      <c r="BV859" s="212"/>
      <c r="BW859" s="304"/>
      <c r="BX859" s="339" t="s">
        <v>530</v>
      </c>
      <c r="BY859" s="736" t="s">
        <v>531</v>
      </c>
    </row>
    <row r="860" spans="1:77" ht="15" customHeight="1" x14ac:dyDescent="0.2">
      <c r="A860" s="57" t="s">
        <v>16</v>
      </c>
      <c r="B860" s="57"/>
      <c r="C860" s="737" t="s">
        <v>523</v>
      </c>
      <c r="D860" s="546">
        <v>40</v>
      </c>
      <c r="E860" s="162" t="s">
        <v>532</v>
      </c>
      <c r="F860" s="358"/>
      <c r="G860" s="65"/>
      <c r="H860" s="73"/>
      <c r="I860" s="90">
        <v>2007</v>
      </c>
      <c r="J860" s="73"/>
      <c r="K860" s="734">
        <v>0.41</v>
      </c>
      <c r="L860" s="717">
        <v>2013</v>
      </c>
      <c r="M860" s="735"/>
      <c r="N860" s="738">
        <v>0.32</v>
      </c>
      <c r="O860" s="1041"/>
      <c r="P860" s="735"/>
      <c r="Q860" s="738"/>
      <c r="R860" s="1041"/>
      <c r="S860" s="735"/>
      <c r="T860" s="738"/>
      <c r="U860" s="73"/>
      <c r="V860" s="66"/>
      <c r="W860" s="592"/>
      <c r="X860" s="593"/>
      <c r="Y860" s="52"/>
      <c r="Z860" s="52"/>
      <c r="AA860" s="596"/>
      <c r="AB860" s="256"/>
      <c r="AC860" s="688"/>
      <c r="AD860" s="164"/>
      <c r="AE860" s="164"/>
      <c r="AF860" s="25"/>
      <c r="AG860" s="26"/>
      <c r="AH860" s="275"/>
      <c r="AI860" s="52"/>
      <c r="AJ860" s="35"/>
      <c r="AK860" s="289"/>
      <c r="AL860" s="290"/>
      <c r="AM860" s="211"/>
      <c r="AN860" s="164"/>
      <c r="AO860" s="740">
        <f t="shared" si="510"/>
        <v>8.1999999999999974E-5</v>
      </c>
      <c r="AP860" s="741">
        <f t="shared" si="511"/>
        <v>8.1999999999999974E-5</v>
      </c>
      <c r="AQ860" s="275">
        <v>2007</v>
      </c>
      <c r="AR860" s="52"/>
      <c r="AS860" s="739">
        <f t="shared" si="512"/>
        <v>4.0999999999999999E-4</v>
      </c>
      <c r="AT860" s="79">
        <v>-0.8</v>
      </c>
      <c r="AU860" s="212">
        <f t="shared" si="513"/>
        <v>-0.8</v>
      </c>
      <c r="AV860" s="164"/>
      <c r="AW860" s="164"/>
      <c r="AX860" s="76"/>
      <c r="AY860" s="44"/>
      <c r="AZ860" s="275"/>
      <c r="BA860" s="52"/>
      <c r="BB860" s="35"/>
      <c r="BC860" s="79"/>
      <c r="BD860" s="230"/>
      <c r="BE860" s="211"/>
      <c r="BF860" s="164"/>
      <c r="BG860" s="76"/>
      <c r="BH860" s="44"/>
      <c r="BI860" s="275"/>
      <c r="BJ860" s="52"/>
      <c r="BK860" s="35"/>
      <c r="BL860" s="79"/>
      <c r="BM860" s="230"/>
      <c r="BN860" s="211"/>
      <c r="BO860" s="164"/>
      <c r="BP860" s="76"/>
      <c r="BQ860" s="44"/>
      <c r="BR860" s="299"/>
      <c r="BS860" s="52"/>
      <c r="BT860" s="35"/>
      <c r="BU860" s="79"/>
      <c r="BV860" s="212"/>
      <c r="BW860" s="304"/>
      <c r="BX860" s="339" t="s">
        <v>530</v>
      </c>
      <c r="BY860" s="736" t="s">
        <v>531</v>
      </c>
    </row>
    <row r="861" spans="1:77" ht="15" customHeight="1" x14ac:dyDescent="0.2">
      <c r="A861" s="57" t="s">
        <v>16</v>
      </c>
      <c r="B861" s="57"/>
      <c r="C861" s="737" t="s">
        <v>524</v>
      </c>
      <c r="D861" s="546">
        <v>3.6</v>
      </c>
      <c r="E861" s="162" t="s">
        <v>532</v>
      </c>
      <c r="F861" s="358"/>
      <c r="G861" s="65"/>
      <c r="H861" s="73"/>
      <c r="I861" s="90">
        <v>2007</v>
      </c>
      <c r="J861" s="73"/>
      <c r="K861" s="734">
        <v>0.08</v>
      </c>
      <c r="L861" s="717">
        <v>2013</v>
      </c>
      <c r="M861" s="735"/>
      <c r="N861" s="738">
        <v>0.06</v>
      </c>
      <c r="O861" s="1041"/>
      <c r="P861" s="735"/>
      <c r="Q861" s="738"/>
      <c r="R861" s="1041"/>
      <c r="S861" s="735"/>
      <c r="T861" s="738"/>
      <c r="U861" s="73"/>
      <c r="V861" s="66"/>
      <c r="W861" s="592"/>
      <c r="X861" s="593"/>
      <c r="Y861" s="52"/>
      <c r="Z861" s="52"/>
      <c r="AA861" s="596"/>
      <c r="AB861" s="256"/>
      <c r="AC861" s="688"/>
      <c r="AD861" s="164"/>
      <c r="AE861" s="164"/>
      <c r="AF861" s="25"/>
      <c r="AG861" s="26"/>
      <c r="AH861" s="275"/>
      <c r="AI861" s="52"/>
      <c r="AJ861" s="35"/>
      <c r="AK861" s="289"/>
      <c r="AL861" s="290"/>
      <c r="AM861" s="211"/>
      <c r="AN861" s="164"/>
      <c r="AO861" s="740">
        <f t="shared" si="510"/>
        <v>1.5999999999999999E-5</v>
      </c>
      <c r="AP861" s="741">
        <f t="shared" si="511"/>
        <v>1.5999999999999999E-5</v>
      </c>
      <c r="AQ861" s="275">
        <v>2007</v>
      </c>
      <c r="AR861" s="52"/>
      <c r="AS861" s="739">
        <f t="shared" si="512"/>
        <v>8.0000000000000007E-5</v>
      </c>
      <c r="AT861" s="79">
        <v>-0.8</v>
      </c>
      <c r="AU861" s="212">
        <f t="shared" si="513"/>
        <v>-0.8</v>
      </c>
      <c r="AV861" s="164"/>
      <c r="AW861" s="164"/>
      <c r="AX861" s="76"/>
      <c r="AY861" s="44"/>
      <c r="AZ861" s="275"/>
      <c r="BA861" s="52"/>
      <c r="BB861" s="35"/>
      <c r="BC861" s="79"/>
      <c r="BD861" s="230"/>
      <c r="BE861" s="211"/>
      <c r="BF861" s="164"/>
      <c r="BG861" s="76"/>
      <c r="BH861" s="44"/>
      <c r="BI861" s="275"/>
      <c r="BJ861" s="52"/>
      <c r="BK861" s="35"/>
      <c r="BL861" s="79"/>
      <c r="BM861" s="230"/>
      <c r="BN861" s="211"/>
      <c r="BO861" s="164"/>
      <c r="BP861" s="76"/>
      <c r="BQ861" s="44"/>
      <c r="BR861" s="299"/>
      <c r="BS861" s="52"/>
      <c r="BT861" s="35"/>
      <c r="BU861" s="79"/>
      <c r="BV861" s="212"/>
      <c r="BW861" s="304"/>
      <c r="BX861" s="339" t="s">
        <v>530</v>
      </c>
      <c r="BY861" s="736" t="s">
        <v>531</v>
      </c>
    </row>
    <row r="862" spans="1:77" ht="15" customHeight="1" x14ac:dyDescent="0.2">
      <c r="A862" s="57" t="s">
        <v>16</v>
      </c>
      <c r="B862" s="57"/>
      <c r="C862" s="737" t="s">
        <v>525</v>
      </c>
      <c r="D862" s="546">
        <v>5.4</v>
      </c>
      <c r="E862" s="162" t="s">
        <v>532</v>
      </c>
      <c r="F862" s="358"/>
      <c r="G862" s="65"/>
      <c r="H862" s="73"/>
      <c r="I862" s="90">
        <v>2007</v>
      </c>
      <c r="J862" s="73"/>
      <c r="K862" s="734">
        <v>0.05</v>
      </c>
      <c r="L862" s="717">
        <v>2013</v>
      </c>
      <c r="M862" s="735"/>
      <c r="N862" s="738">
        <v>0.04</v>
      </c>
      <c r="O862" s="1041"/>
      <c r="P862" s="735"/>
      <c r="Q862" s="738"/>
      <c r="R862" s="1041"/>
      <c r="S862" s="735"/>
      <c r="T862" s="738"/>
      <c r="U862" s="73"/>
      <c r="V862" s="66"/>
      <c r="W862" s="592"/>
      <c r="X862" s="593"/>
      <c r="Y862" s="52"/>
      <c r="Z862" s="52"/>
      <c r="AA862" s="596"/>
      <c r="AB862" s="256"/>
      <c r="AC862" s="688"/>
      <c r="AD862" s="164"/>
      <c r="AE862" s="164"/>
      <c r="AF862" s="25"/>
      <c r="AG862" s="26"/>
      <c r="AH862" s="275"/>
      <c r="AI862" s="52"/>
      <c r="AJ862" s="35"/>
      <c r="AK862" s="289"/>
      <c r="AL862" s="290"/>
      <c r="AM862" s="211"/>
      <c r="AN862" s="164"/>
      <c r="AO862" s="740">
        <f t="shared" si="510"/>
        <v>9.9999999999999974E-6</v>
      </c>
      <c r="AP862" s="741">
        <f t="shared" si="511"/>
        <v>9.9999999999999974E-6</v>
      </c>
      <c r="AQ862" s="275">
        <v>2007</v>
      </c>
      <c r="AR862" s="52"/>
      <c r="AS862" s="739">
        <f t="shared" si="512"/>
        <v>5.0000000000000002E-5</v>
      </c>
      <c r="AT862" s="79">
        <v>-0.8</v>
      </c>
      <c r="AU862" s="212">
        <f t="shared" si="513"/>
        <v>-0.8</v>
      </c>
      <c r="AV862" s="164"/>
      <c r="AW862" s="164"/>
      <c r="AX862" s="76"/>
      <c r="AY862" s="44"/>
      <c r="AZ862" s="275"/>
      <c r="BA862" s="52"/>
      <c r="BB862" s="35"/>
      <c r="BC862" s="79"/>
      <c r="BD862" s="230"/>
      <c r="BE862" s="211"/>
      <c r="BF862" s="164"/>
      <c r="BG862" s="76"/>
      <c r="BH862" s="44"/>
      <c r="BI862" s="275"/>
      <c r="BJ862" s="52"/>
      <c r="BK862" s="35"/>
      <c r="BL862" s="79"/>
      <c r="BM862" s="230"/>
      <c r="BN862" s="211"/>
      <c r="BO862" s="164"/>
      <c r="BP862" s="76"/>
      <c r="BQ862" s="44"/>
      <c r="BR862" s="299"/>
      <c r="BS862" s="52"/>
      <c r="BT862" s="35"/>
      <c r="BU862" s="79"/>
      <c r="BV862" s="212"/>
      <c r="BW862" s="304"/>
      <c r="BX862" s="339" t="s">
        <v>530</v>
      </c>
      <c r="BY862" s="736" t="s">
        <v>531</v>
      </c>
    </row>
    <row r="863" spans="1:77" ht="15" customHeight="1" x14ac:dyDescent="0.2">
      <c r="A863" s="57" t="s">
        <v>16</v>
      </c>
      <c r="B863" s="57"/>
      <c r="C863" s="737" t="s">
        <v>526</v>
      </c>
      <c r="D863" s="546">
        <v>6.2</v>
      </c>
      <c r="E863" s="162" t="s">
        <v>532</v>
      </c>
      <c r="F863" s="358"/>
      <c r="G863" s="65"/>
      <c r="H863" s="73"/>
      <c r="I863" s="90">
        <v>2007</v>
      </c>
      <c r="J863" s="73"/>
      <c r="K863" s="734">
        <v>0.04</v>
      </c>
      <c r="L863" s="717">
        <v>2013</v>
      </c>
      <c r="M863" s="735"/>
      <c r="N863" s="738">
        <v>0.03</v>
      </c>
      <c r="O863" s="1041"/>
      <c r="P863" s="735"/>
      <c r="Q863" s="738"/>
      <c r="R863" s="1041"/>
      <c r="S863" s="735"/>
      <c r="T863" s="738"/>
      <c r="U863" s="73"/>
      <c r="V863" s="66"/>
      <c r="W863" s="592"/>
      <c r="X863" s="593"/>
      <c r="Y863" s="52"/>
      <c r="Z863" s="52"/>
      <c r="AA863" s="596"/>
      <c r="AB863" s="256"/>
      <c r="AC863" s="688"/>
      <c r="AD863" s="164"/>
      <c r="AE863" s="164"/>
      <c r="AF863" s="25"/>
      <c r="AG863" s="26"/>
      <c r="AH863" s="275"/>
      <c r="AI863" s="52"/>
      <c r="AJ863" s="35"/>
      <c r="AK863" s="289"/>
      <c r="AL863" s="290"/>
      <c r="AM863" s="211"/>
      <c r="AN863" s="164"/>
      <c r="AO863" s="740">
        <f t="shared" si="510"/>
        <v>7.9999999999999996E-6</v>
      </c>
      <c r="AP863" s="741">
        <f t="shared" si="511"/>
        <v>7.9999999999999996E-6</v>
      </c>
      <c r="AQ863" s="275">
        <v>2007</v>
      </c>
      <c r="AR863" s="52"/>
      <c r="AS863" s="739">
        <f t="shared" si="512"/>
        <v>4.0000000000000003E-5</v>
      </c>
      <c r="AT863" s="79">
        <v>-0.8</v>
      </c>
      <c r="AU863" s="212">
        <f t="shared" si="513"/>
        <v>-0.8</v>
      </c>
      <c r="AV863" s="164"/>
      <c r="AW863" s="164"/>
      <c r="AX863" s="76"/>
      <c r="AY863" s="44"/>
      <c r="AZ863" s="275"/>
      <c r="BA863" s="52"/>
      <c r="BB863" s="35"/>
      <c r="BC863" s="79"/>
      <c r="BD863" s="230"/>
      <c r="BE863" s="211"/>
      <c r="BF863" s="164"/>
      <c r="BG863" s="76"/>
      <c r="BH863" s="44"/>
      <c r="BI863" s="275"/>
      <c r="BJ863" s="52"/>
      <c r="BK863" s="35"/>
      <c r="BL863" s="79"/>
      <c r="BM863" s="230"/>
      <c r="BN863" s="211"/>
      <c r="BO863" s="164"/>
      <c r="BP863" s="76"/>
      <c r="BQ863" s="44"/>
      <c r="BR863" s="299"/>
      <c r="BS863" s="52"/>
      <c r="BT863" s="35"/>
      <c r="BU863" s="79"/>
      <c r="BV863" s="212"/>
      <c r="BW863" s="304"/>
      <c r="BX863" s="339" t="s">
        <v>530</v>
      </c>
      <c r="BY863" s="736" t="s">
        <v>531</v>
      </c>
    </row>
    <row r="864" spans="1:77" ht="15" customHeight="1" x14ac:dyDescent="0.2">
      <c r="A864" s="57" t="s">
        <v>16</v>
      </c>
      <c r="B864" s="57"/>
      <c r="C864" s="742" t="s">
        <v>806</v>
      </c>
      <c r="D864" s="546">
        <v>213.21700000000001</v>
      </c>
      <c r="E864" s="162" t="s">
        <v>631</v>
      </c>
      <c r="F864" s="358"/>
      <c r="G864" s="65"/>
      <c r="H864" s="73">
        <v>1.4930000000000001</v>
      </c>
      <c r="I864" s="90"/>
      <c r="J864" s="73"/>
      <c r="K864" s="734"/>
      <c r="L864" s="717"/>
      <c r="M864" s="735"/>
      <c r="N864" s="738"/>
      <c r="O864" s="1041"/>
      <c r="P864" s="735"/>
      <c r="Q864" s="738"/>
      <c r="R864" s="1041"/>
      <c r="S864" s="735"/>
      <c r="T864" s="738"/>
      <c r="U864" s="73"/>
      <c r="V864" s="66"/>
      <c r="W864" s="594">
        <f>AA864*(1+AB864)</f>
        <v>1.0451E-3</v>
      </c>
      <c r="X864" s="595">
        <f>AA864*(1+AC864)</f>
        <v>1.0451E-3</v>
      </c>
      <c r="Y864" s="52">
        <v>1990</v>
      </c>
      <c r="Z864" s="52"/>
      <c r="AA864" s="596">
        <f>+H864/1000</f>
        <v>1.4930000000000002E-3</v>
      </c>
      <c r="AB864" s="256">
        <v>-0.3</v>
      </c>
      <c r="AC864" s="688">
        <f>AB864</f>
        <v>-0.3</v>
      </c>
      <c r="AD864" s="164"/>
      <c r="AE864" s="164"/>
      <c r="AF864" s="25"/>
      <c r="AG864" s="26"/>
      <c r="AH864" s="275"/>
      <c r="AI864" s="52"/>
      <c r="AJ864" s="35"/>
      <c r="AK864" s="289"/>
      <c r="AL864" s="290"/>
      <c r="AM864" s="211"/>
      <c r="AN864" s="164"/>
      <c r="AO864" s="740"/>
      <c r="AP864" s="741"/>
      <c r="AQ864" s="275"/>
      <c r="AR864" s="52"/>
      <c r="AS864" s="739"/>
      <c r="AT864" s="79"/>
      <c r="AU864" s="212"/>
      <c r="AV864" s="164"/>
      <c r="AW864" s="164"/>
      <c r="AX864" s="76"/>
      <c r="AY864" s="44"/>
      <c r="AZ864" s="275"/>
      <c r="BA864" s="52"/>
      <c r="BB864" s="35"/>
      <c r="BC864" s="79"/>
      <c r="BD864" s="230"/>
      <c r="BE864" s="211"/>
      <c r="BF864" s="164"/>
      <c r="BG864" s="76"/>
      <c r="BH864" s="44"/>
      <c r="BI864" s="275"/>
      <c r="BJ864" s="52"/>
      <c r="BK864" s="35"/>
      <c r="BL864" s="79"/>
      <c r="BM864" s="230"/>
      <c r="BN864" s="211"/>
      <c r="BO864" s="164"/>
      <c r="BP864" s="76"/>
      <c r="BQ864" s="44"/>
      <c r="BR864" s="299"/>
      <c r="BS864" s="52"/>
      <c r="BT864" s="35"/>
      <c r="BU864" s="79"/>
      <c r="BV864" s="212"/>
      <c r="BW864" s="304"/>
      <c r="BX864" s="339"/>
      <c r="BY864" s="736"/>
    </row>
    <row r="865" spans="1:77" ht="15" customHeight="1" x14ac:dyDescent="0.2">
      <c r="A865" s="57" t="s">
        <v>16</v>
      </c>
      <c r="B865" s="57"/>
      <c r="C865" s="737" t="s">
        <v>527</v>
      </c>
      <c r="D865" s="546">
        <v>4.8</v>
      </c>
      <c r="E865" s="162" t="s">
        <v>532</v>
      </c>
      <c r="F865" s="358"/>
      <c r="G865" s="65"/>
      <c r="H865" s="73"/>
      <c r="I865" s="90">
        <v>2007</v>
      </c>
      <c r="J865" s="73"/>
      <c r="K865" s="734">
        <v>0.08</v>
      </c>
      <c r="L865" s="717">
        <v>2013</v>
      </c>
      <c r="M865" s="735"/>
      <c r="N865" s="738">
        <v>7.0000000000000007E-2</v>
      </c>
      <c r="O865" s="1041"/>
      <c r="P865" s="735"/>
      <c r="Q865" s="738"/>
      <c r="R865" s="1041"/>
      <c r="S865" s="735"/>
      <c r="T865" s="738"/>
      <c r="U865" s="73"/>
      <c r="V865" s="66"/>
      <c r="W865" s="592"/>
      <c r="X865" s="593"/>
      <c r="Y865" s="52"/>
      <c r="Z865" s="52"/>
      <c r="AA865" s="596"/>
      <c r="AB865" s="256"/>
      <c r="AC865" s="688"/>
      <c r="AD865" s="164"/>
      <c r="AE865" s="164"/>
      <c r="AF865" s="25"/>
      <c r="AG865" s="26"/>
      <c r="AH865" s="275"/>
      <c r="AI865" s="52"/>
      <c r="AJ865" s="35"/>
      <c r="AK865" s="289"/>
      <c r="AL865" s="290"/>
      <c r="AM865" s="211"/>
      <c r="AN865" s="164"/>
      <c r="AO865" s="740">
        <f t="shared" si="510"/>
        <v>1.5999999999999999E-5</v>
      </c>
      <c r="AP865" s="741">
        <f t="shared" si="511"/>
        <v>1.5999999999999999E-5</v>
      </c>
      <c r="AQ865" s="275">
        <v>2007</v>
      </c>
      <c r="AR865" s="52"/>
      <c r="AS865" s="739">
        <f t="shared" si="512"/>
        <v>8.0000000000000007E-5</v>
      </c>
      <c r="AT865" s="79">
        <v>-0.8</v>
      </c>
      <c r="AU865" s="212">
        <f t="shared" si="513"/>
        <v>-0.8</v>
      </c>
      <c r="AV865" s="164"/>
      <c r="AW865" s="164"/>
      <c r="AX865" s="76"/>
      <c r="AY865" s="44"/>
      <c r="AZ865" s="275"/>
      <c r="BA865" s="52"/>
      <c r="BB865" s="35"/>
      <c r="BC865" s="79"/>
      <c r="BD865" s="230"/>
      <c r="BE865" s="211"/>
      <c r="BF865" s="164"/>
      <c r="BG865" s="76"/>
      <c r="BH865" s="44"/>
      <c r="BI865" s="275"/>
      <c r="BJ865" s="52"/>
      <c r="BK865" s="35"/>
      <c r="BL865" s="79"/>
      <c r="BM865" s="230"/>
      <c r="BN865" s="211"/>
      <c r="BO865" s="164"/>
      <c r="BP865" s="76"/>
      <c r="BQ865" s="44"/>
      <c r="BR865" s="299"/>
      <c r="BS865" s="52"/>
      <c r="BT865" s="35"/>
      <c r="BU865" s="79"/>
      <c r="BV865" s="212"/>
      <c r="BW865" s="304"/>
      <c r="BX865" s="339" t="s">
        <v>530</v>
      </c>
      <c r="BY865" s="736" t="s">
        <v>531</v>
      </c>
    </row>
    <row r="866" spans="1:77" ht="15" customHeight="1" x14ac:dyDescent="0.2">
      <c r="A866" s="57" t="s">
        <v>16</v>
      </c>
      <c r="B866" s="57"/>
      <c r="C866" s="583" t="s">
        <v>469</v>
      </c>
      <c r="D866" s="546">
        <v>193</v>
      </c>
      <c r="E866" s="162" t="s">
        <v>387</v>
      </c>
      <c r="F866" s="358"/>
      <c r="G866" s="65"/>
      <c r="H866" s="73">
        <v>1.2362</v>
      </c>
      <c r="I866" s="90"/>
      <c r="J866" s="73"/>
      <c r="K866" s="66"/>
      <c r="L866" s="717">
        <v>2013</v>
      </c>
      <c r="M866" s="73"/>
      <c r="N866" s="359">
        <v>1.1074999999999999</v>
      </c>
      <c r="O866" s="1041"/>
      <c r="P866" s="73"/>
      <c r="Q866" s="738">
        <v>0.84</v>
      </c>
      <c r="R866" s="1041"/>
      <c r="S866" s="73"/>
      <c r="T866" s="738"/>
      <c r="U866" s="73"/>
      <c r="V866" s="66"/>
      <c r="W866" s="594">
        <f t="shared" ref="W866" si="514">AA866*(1+AB866)</f>
        <v>9.889600000000001E-4</v>
      </c>
      <c r="X866" s="595">
        <f t="shared" ref="X866" si="515">AA866*(1+AC866)</f>
        <v>9.889600000000001E-4</v>
      </c>
      <c r="Y866" s="52">
        <v>1990</v>
      </c>
      <c r="Z866" s="52"/>
      <c r="AA866" s="596">
        <f>+H866/1000</f>
        <v>1.2362E-3</v>
      </c>
      <c r="AB866" s="256">
        <v>-0.2</v>
      </c>
      <c r="AC866" s="688">
        <f t="shared" ref="AC866" si="516">AB866</f>
        <v>-0.2</v>
      </c>
      <c r="AD866" s="164"/>
      <c r="AE866" s="164"/>
      <c r="AF866" s="25"/>
      <c r="AG866" s="26"/>
      <c r="AH866" s="275"/>
      <c r="AI866" s="52"/>
      <c r="AJ866" s="35"/>
      <c r="AK866" s="289"/>
      <c r="AL866" s="290"/>
      <c r="AM866" s="211"/>
      <c r="AN866" s="164"/>
      <c r="AO866" s="740">
        <f t="shared" ref="AO866" si="517">AS866*(1+AT866)</f>
        <v>2.4723999999999997E-4</v>
      </c>
      <c r="AP866" s="741">
        <f t="shared" ref="AP866" si="518">AS866*(1+AU866)</f>
        <v>2.4723999999999997E-4</v>
      </c>
      <c r="AQ866" s="275">
        <v>1990</v>
      </c>
      <c r="AR866" s="52"/>
      <c r="AS866" s="739">
        <f>+H866/1000</f>
        <v>1.2362E-3</v>
      </c>
      <c r="AT866" s="79">
        <v>-0.8</v>
      </c>
      <c r="AU866" s="212">
        <f t="shared" ref="AU866" si="519">AT866</f>
        <v>-0.8</v>
      </c>
      <c r="AV866" s="164"/>
      <c r="AW866" s="164"/>
      <c r="AX866" s="76"/>
      <c r="AY866" s="44"/>
      <c r="AZ866" s="275"/>
      <c r="BA866" s="52"/>
      <c r="BB866" s="35"/>
      <c r="BC866" s="79"/>
      <c r="BD866" s="230"/>
      <c r="BE866" s="211"/>
      <c r="BF866" s="164"/>
      <c r="BG866" s="76">
        <v>0</v>
      </c>
      <c r="BH866" s="44">
        <v>0</v>
      </c>
      <c r="BI866" s="275"/>
      <c r="BJ866" s="52"/>
      <c r="BK866" s="35"/>
      <c r="BL866" s="79">
        <v>-1</v>
      </c>
      <c r="BM866" s="230">
        <f>BL866</f>
        <v>-1</v>
      </c>
      <c r="BN866" s="211"/>
      <c r="BO866" s="164"/>
      <c r="BP866" s="76"/>
      <c r="BQ866" s="44"/>
      <c r="BR866" s="299"/>
      <c r="BS866" s="52"/>
      <c r="BT866" s="35"/>
      <c r="BU866" s="79"/>
      <c r="BV866" s="212"/>
      <c r="BW866" s="304"/>
      <c r="BX866" s="313"/>
      <c r="BY866" s="736" t="s">
        <v>501</v>
      </c>
    </row>
    <row r="867" spans="1:77" ht="15" customHeight="1" x14ac:dyDescent="0.2">
      <c r="A867" s="57" t="s">
        <v>16</v>
      </c>
      <c r="B867" s="57"/>
      <c r="C867" s="737" t="s">
        <v>528</v>
      </c>
      <c r="D867" s="546">
        <v>15.6</v>
      </c>
      <c r="E867" s="162" t="s">
        <v>532</v>
      </c>
      <c r="F867" s="358"/>
      <c r="G867" s="65"/>
      <c r="H867" s="73"/>
      <c r="I867" s="90">
        <v>2007</v>
      </c>
      <c r="J867" s="73"/>
      <c r="K867" s="734">
        <v>0.18</v>
      </c>
      <c r="L867" s="717">
        <v>2013</v>
      </c>
      <c r="M867" s="735"/>
      <c r="N867" s="738">
        <v>0.16</v>
      </c>
      <c r="O867" s="1041"/>
      <c r="P867" s="735"/>
      <c r="Q867" s="738"/>
      <c r="R867" s="1041"/>
      <c r="S867" s="735"/>
      <c r="T867" s="738"/>
      <c r="U867" s="73"/>
      <c r="V867" s="66"/>
      <c r="W867" s="592"/>
      <c r="X867" s="593"/>
      <c r="Y867" s="52"/>
      <c r="Z867" s="52"/>
      <c r="AA867" s="596"/>
      <c r="AB867" s="256"/>
      <c r="AC867" s="688"/>
      <c r="AD867" s="164"/>
      <c r="AE867" s="164"/>
      <c r="AF867" s="25"/>
      <c r="AG867" s="26"/>
      <c r="AH867" s="275"/>
      <c r="AI867" s="52"/>
      <c r="AJ867" s="35"/>
      <c r="AK867" s="289"/>
      <c r="AL867" s="290"/>
      <c r="AM867" s="211"/>
      <c r="AN867" s="164"/>
      <c r="AO867" s="740">
        <f t="shared" si="510"/>
        <v>3.5999999999999987E-5</v>
      </c>
      <c r="AP867" s="741">
        <f t="shared" si="511"/>
        <v>3.5999999999999987E-5</v>
      </c>
      <c r="AQ867" s="275">
        <v>2007</v>
      </c>
      <c r="AR867" s="52"/>
      <c r="AS867" s="739">
        <f t="shared" si="512"/>
        <v>1.7999999999999998E-4</v>
      </c>
      <c r="AT867" s="79">
        <v>-0.8</v>
      </c>
      <c r="AU867" s="212">
        <f t="shared" si="513"/>
        <v>-0.8</v>
      </c>
      <c r="AV867" s="164"/>
      <c r="AW867" s="164"/>
      <c r="AX867" s="76"/>
      <c r="AY867" s="44"/>
      <c r="AZ867" s="275"/>
      <c r="BA867" s="52"/>
      <c r="BB867" s="35"/>
      <c r="BC867" s="79"/>
      <c r="BD867" s="230"/>
      <c r="BE867" s="211"/>
      <c r="BF867" s="164"/>
      <c r="BG867" s="76"/>
      <c r="BH867" s="44"/>
      <c r="BI867" s="275"/>
      <c r="BJ867" s="52"/>
      <c r="BK867" s="35"/>
      <c r="BL867" s="79"/>
      <c r="BM867" s="230"/>
      <c r="BN867" s="211"/>
      <c r="BO867" s="164"/>
      <c r="BP867" s="76"/>
      <c r="BQ867" s="44"/>
      <c r="BR867" s="299"/>
      <c r="BS867" s="52"/>
      <c r="BT867" s="35"/>
      <c r="BU867" s="79"/>
      <c r="BV867" s="212"/>
      <c r="BW867" s="304"/>
      <c r="BX867" s="339" t="s">
        <v>530</v>
      </c>
      <c r="BY867" s="736" t="s">
        <v>531</v>
      </c>
    </row>
    <row r="868" spans="1:77" ht="15" customHeight="1" x14ac:dyDescent="0.2">
      <c r="A868" s="57" t="s">
        <v>16</v>
      </c>
      <c r="B868" s="57"/>
      <c r="C868" s="742" t="s">
        <v>807</v>
      </c>
      <c r="D868" s="546">
        <v>197.636</v>
      </c>
      <c r="E868" s="162" t="s">
        <v>631</v>
      </c>
      <c r="F868" s="358"/>
      <c r="G868" s="65"/>
      <c r="H868" s="73">
        <v>6.3719999999999999</v>
      </c>
      <c r="I868" s="90"/>
      <c r="J868" s="73"/>
      <c r="K868" s="734"/>
      <c r="L868" s="717"/>
      <c r="M868" s="735"/>
      <c r="N868" s="738"/>
      <c r="O868" s="1041"/>
      <c r="P868" s="735"/>
      <c r="Q868" s="738"/>
      <c r="R868" s="1041"/>
      <c r="S868" s="735"/>
      <c r="T868" s="738"/>
      <c r="U868" s="73"/>
      <c r="V868" s="66"/>
      <c r="W868" s="594">
        <f t="shared" ref="W868" si="520">AA868*(1+AB868)</f>
        <v>4.7790000000000003E-3</v>
      </c>
      <c r="X868" s="595">
        <f t="shared" ref="X868" si="521">AA868*(1+AC868)</f>
        <v>4.7790000000000003E-3</v>
      </c>
      <c r="Y868" s="52">
        <v>1990</v>
      </c>
      <c r="Z868" s="52"/>
      <c r="AA868" s="596">
        <f>+H868/1000</f>
        <v>6.3720000000000001E-3</v>
      </c>
      <c r="AB868" s="256">
        <v>-0.25</v>
      </c>
      <c r="AC868" s="688">
        <f t="shared" ref="AC868" si="522">AB868</f>
        <v>-0.25</v>
      </c>
      <c r="AD868" s="164"/>
      <c r="AE868" s="164"/>
      <c r="AF868" s="25"/>
      <c r="AG868" s="26"/>
      <c r="AH868" s="275"/>
      <c r="AI868" s="52"/>
      <c r="AJ868" s="35"/>
      <c r="AK868" s="289"/>
      <c r="AL868" s="290"/>
      <c r="AM868" s="211"/>
      <c r="AN868" s="164"/>
      <c r="AO868" s="740"/>
      <c r="AP868" s="741"/>
      <c r="AQ868" s="275"/>
      <c r="AR868" s="52"/>
      <c r="AS868" s="739"/>
      <c r="AT868" s="79"/>
      <c r="AU868" s="212"/>
      <c r="AV868" s="164"/>
      <c r="AW868" s="164"/>
      <c r="AX868" s="76"/>
      <c r="AY868" s="44"/>
      <c r="AZ868" s="275"/>
      <c r="BA868" s="52"/>
      <c r="BB868" s="35"/>
      <c r="BC868" s="79"/>
      <c r="BD868" s="230"/>
      <c r="BE868" s="211"/>
      <c r="BF868" s="164"/>
      <c r="BG868" s="76"/>
      <c r="BH868" s="44"/>
      <c r="BI868" s="275"/>
      <c r="BJ868" s="52"/>
      <c r="BK868" s="35"/>
      <c r="BL868" s="79"/>
      <c r="BM868" s="230"/>
      <c r="BN868" s="211"/>
      <c r="BO868" s="164"/>
      <c r="BP868" s="76"/>
      <c r="BQ868" s="44"/>
      <c r="BR868" s="299"/>
      <c r="BS868" s="52"/>
      <c r="BT868" s="35"/>
      <c r="BU868" s="79"/>
      <c r="BV868" s="212"/>
      <c r="BW868" s="304"/>
      <c r="BX868" s="339"/>
      <c r="BY868" s="736"/>
    </row>
    <row r="869" spans="1:77" ht="15" customHeight="1" x14ac:dyDescent="0.2">
      <c r="A869" s="57" t="s">
        <v>16</v>
      </c>
      <c r="B869" s="57"/>
      <c r="C869" s="742" t="s">
        <v>2651</v>
      </c>
      <c r="D869" s="546">
        <v>67.62</v>
      </c>
      <c r="E869" s="162" t="s">
        <v>631</v>
      </c>
      <c r="F869" s="358"/>
      <c r="G869" s="65"/>
      <c r="H869" s="735">
        <v>0.22648199999999999</v>
      </c>
      <c r="I869" s="90"/>
      <c r="J869" s="73"/>
      <c r="K869" s="734"/>
      <c r="L869" s="717"/>
      <c r="M869" s="735"/>
      <c r="N869" s="738"/>
      <c r="O869" s="1041"/>
      <c r="P869" s="735"/>
      <c r="Q869" s="738"/>
      <c r="R869" s="1041"/>
      <c r="S869" s="735"/>
      <c r="T869" s="738"/>
      <c r="U869" s="73"/>
      <c r="V869" s="66"/>
      <c r="W869" s="740">
        <f t="shared" ref="W869" si="523">AA869*(1+AB869)</f>
        <v>1.5853739999999999E-4</v>
      </c>
      <c r="X869" s="741">
        <f t="shared" ref="X869" si="524">AA869*(1+AC869)</f>
        <v>1.5853739999999999E-4</v>
      </c>
      <c r="Y869" s="52">
        <v>1990</v>
      </c>
      <c r="Z869" s="52"/>
      <c r="AA869" s="739">
        <f>+H869/1000</f>
        <v>2.2648199999999999E-4</v>
      </c>
      <c r="AB869" s="256">
        <v>-0.3</v>
      </c>
      <c r="AC869" s="688">
        <f t="shared" ref="AC869" si="525">AB869</f>
        <v>-0.3</v>
      </c>
      <c r="AD869" s="164"/>
      <c r="AE869" s="164"/>
      <c r="AF869" s="25"/>
      <c r="AG869" s="26"/>
      <c r="AH869" s="275"/>
      <c r="AI869" s="52"/>
      <c r="AJ869" s="35"/>
      <c r="AK869" s="289"/>
      <c r="AL869" s="290"/>
      <c r="AM869" s="211"/>
      <c r="AN869" s="164"/>
      <c r="AO869" s="740"/>
      <c r="AP869" s="741"/>
      <c r="AQ869" s="275"/>
      <c r="AR869" s="52"/>
      <c r="AS869" s="739"/>
      <c r="AT869" s="79"/>
      <c r="AU869" s="212"/>
      <c r="AV869" s="164"/>
      <c r="AW869" s="164"/>
      <c r="AX869" s="76"/>
      <c r="AY869" s="44"/>
      <c r="AZ869" s="275"/>
      <c r="BA869" s="52"/>
      <c r="BB869" s="35"/>
      <c r="BC869" s="79"/>
      <c r="BD869" s="230"/>
      <c r="BE869" s="211"/>
      <c r="BF869" s="164"/>
      <c r="BG869" s="76"/>
      <c r="BH869" s="44"/>
      <c r="BI869" s="275"/>
      <c r="BJ869" s="52"/>
      <c r="BK869" s="35"/>
      <c r="BL869" s="79"/>
      <c r="BM869" s="230"/>
      <c r="BN869" s="211"/>
      <c r="BO869" s="164"/>
      <c r="BP869" s="76"/>
      <c r="BQ869" s="44"/>
      <c r="BR869" s="299"/>
      <c r="BS869" s="52"/>
      <c r="BT869" s="35"/>
      <c r="BU869" s="79"/>
      <c r="BV869" s="212"/>
      <c r="BW869" s="304"/>
      <c r="BX869" s="339"/>
      <c r="BY869" s="736"/>
    </row>
    <row r="870" spans="1:77" ht="15" customHeight="1" x14ac:dyDescent="0.2">
      <c r="A870" s="57" t="s">
        <v>16</v>
      </c>
      <c r="B870" s="57"/>
      <c r="C870" s="737" t="s">
        <v>529</v>
      </c>
      <c r="D870" s="546">
        <v>2.4</v>
      </c>
      <c r="E870" s="162" t="s">
        <v>532</v>
      </c>
      <c r="F870" s="358"/>
      <c r="G870" s="65"/>
      <c r="H870" s="73"/>
      <c r="I870" s="90">
        <v>2007</v>
      </c>
      <c r="J870" s="73"/>
      <c r="K870" s="734">
        <v>0.03</v>
      </c>
      <c r="L870" s="717">
        <v>2013</v>
      </c>
      <c r="M870" s="735"/>
      <c r="N870" s="738">
        <v>0.02</v>
      </c>
      <c r="O870" s="1041"/>
      <c r="P870" s="735"/>
      <c r="Q870" s="738"/>
      <c r="R870" s="1041"/>
      <c r="S870" s="735"/>
      <c r="T870" s="738"/>
      <c r="U870" s="73"/>
      <c r="V870" s="66"/>
      <c r="W870" s="592"/>
      <c r="X870" s="593"/>
      <c r="Y870" s="52"/>
      <c r="Z870" s="52"/>
      <c r="AA870" s="596"/>
      <c r="AB870" s="256"/>
      <c r="AC870" s="688"/>
      <c r="AD870" s="164"/>
      <c r="AE870" s="164"/>
      <c r="AF870" s="25"/>
      <c r="AG870" s="26"/>
      <c r="AH870" s="275"/>
      <c r="AI870" s="52"/>
      <c r="AJ870" s="35"/>
      <c r="AK870" s="289"/>
      <c r="AL870" s="290"/>
      <c r="AM870" s="211"/>
      <c r="AN870" s="164"/>
      <c r="AO870" s="740">
        <f t="shared" si="510"/>
        <v>5.9999999999999985E-6</v>
      </c>
      <c r="AP870" s="741">
        <f t="shared" si="511"/>
        <v>5.9999999999999985E-6</v>
      </c>
      <c r="AQ870" s="275">
        <v>2007</v>
      </c>
      <c r="AR870" s="52"/>
      <c r="AS870" s="739">
        <f t="shared" si="512"/>
        <v>2.9999999999999997E-5</v>
      </c>
      <c r="AT870" s="79">
        <v>-0.8</v>
      </c>
      <c r="AU870" s="212">
        <f t="shared" si="513"/>
        <v>-0.8</v>
      </c>
      <c r="AV870" s="164"/>
      <c r="AW870" s="164"/>
      <c r="AX870" s="76"/>
      <c r="AY870" s="44"/>
      <c r="AZ870" s="275"/>
      <c r="BA870" s="52"/>
      <c r="BB870" s="35"/>
      <c r="BC870" s="79"/>
      <c r="BD870" s="230"/>
      <c r="BE870" s="211"/>
      <c r="BF870" s="164"/>
      <c r="BG870" s="76"/>
      <c r="BH870" s="44"/>
      <c r="BI870" s="275"/>
      <c r="BJ870" s="52"/>
      <c r="BK870" s="35"/>
      <c r="BL870" s="79"/>
      <c r="BM870" s="230"/>
      <c r="BN870" s="211"/>
      <c r="BO870" s="164"/>
      <c r="BP870" s="76"/>
      <c r="BQ870" s="44"/>
      <c r="BR870" s="299"/>
      <c r="BS870" s="52"/>
      <c r="BT870" s="35"/>
      <c r="BU870" s="79"/>
      <c r="BV870" s="212"/>
      <c r="BW870" s="304"/>
      <c r="BX870" s="339" t="s">
        <v>530</v>
      </c>
      <c r="BY870" s="736" t="s">
        <v>531</v>
      </c>
    </row>
    <row r="871" spans="1:77" ht="15" customHeight="1" x14ac:dyDescent="0.2">
      <c r="A871" s="57" t="s">
        <v>17</v>
      </c>
      <c r="B871" s="583" t="s">
        <v>1606</v>
      </c>
      <c r="C871" s="57"/>
      <c r="D871" s="546">
        <v>63230.866000000002</v>
      </c>
      <c r="E871" s="1101" t="s">
        <v>2896</v>
      </c>
      <c r="F871" s="729"/>
      <c r="G871" s="730">
        <v>529.21299999999997</v>
      </c>
      <c r="H871" s="723">
        <v>551.04899999999998</v>
      </c>
      <c r="I871" s="1282"/>
      <c r="J871" s="1283">
        <v>515.12900000000002</v>
      </c>
      <c r="K871" s="1283">
        <v>559.49900000000002</v>
      </c>
      <c r="L871" s="1282"/>
      <c r="M871" s="1283">
        <v>477.846</v>
      </c>
      <c r="N871" s="1283">
        <v>517.11599999999999</v>
      </c>
      <c r="O871" s="1284"/>
      <c r="P871" s="1283">
        <v>439.42</v>
      </c>
      <c r="Q871" s="796">
        <v>466.38461000000001</v>
      </c>
      <c r="R871" s="1284">
        <v>2017</v>
      </c>
      <c r="S871" s="1283">
        <v>439.42</v>
      </c>
      <c r="T871" s="796">
        <v>471.02800000000002</v>
      </c>
      <c r="U871" s="73"/>
      <c r="V871" s="66"/>
      <c r="W871" s="592"/>
      <c r="X871" s="593"/>
      <c r="Y871" s="52">
        <v>1990</v>
      </c>
      <c r="Z871" s="52"/>
      <c r="AA871" s="596"/>
      <c r="AB871" s="824">
        <v>-0.2</v>
      </c>
      <c r="AC871" s="825">
        <v>-0.3</v>
      </c>
      <c r="AD871" s="164"/>
      <c r="AE871" s="164"/>
      <c r="AF871" s="25"/>
      <c r="AG871" s="26"/>
      <c r="AH871" s="275"/>
      <c r="AI871" s="52"/>
      <c r="AJ871" s="35"/>
      <c r="AK871" s="289"/>
      <c r="AL871" s="290"/>
      <c r="AM871" s="211"/>
      <c r="AN871" s="164"/>
      <c r="AO871" s="76"/>
      <c r="AP871" s="44"/>
      <c r="AQ871" s="275"/>
      <c r="AR871" s="52"/>
      <c r="AS871" s="35"/>
      <c r="AT871" s="840">
        <v>0.55000000000000004</v>
      </c>
      <c r="AU871" s="688">
        <v>0.55000000000000004</v>
      </c>
      <c r="AV871" s="164"/>
      <c r="AW871" s="164"/>
      <c r="AX871" s="76"/>
      <c r="AY871" s="44"/>
      <c r="AZ871" s="275"/>
      <c r="BA871" s="52"/>
      <c r="BB871" s="35"/>
      <c r="BC871" s="79"/>
      <c r="BD871" s="230"/>
      <c r="BE871" s="211"/>
      <c r="BF871" s="164"/>
      <c r="BG871" s="76"/>
      <c r="BH871" s="44"/>
      <c r="BI871" s="275"/>
      <c r="BJ871" s="52"/>
      <c r="BK871" s="35"/>
      <c r="BL871" s="79"/>
      <c r="BM871" s="230"/>
      <c r="BN871" s="211"/>
      <c r="BO871" s="164"/>
      <c r="BP871" s="76"/>
      <c r="BQ871" s="44"/>
      <c r="BR871" s="299"/>
      <c r="BS871" s="52"/>
      <c r="BT871" s="35"/>
      <c r="BU871" s="79">
        <v>-1</v>
      </c>
      <c r="BV871" s="212">
        <f>BU871</f>
        <v>-1</v>
      </c>
      <c r="BW871" s="304"/>
      <c r="BX871" s="313"/>
      <c r="BY871" s="138"/>
    </row>
    <row r="872" spans="1:77" ht="15" customHeight="1" x14ac:dyDescent="0.2">
      <c r="A872" s="57" t="s">
        <v>17</v>
      </c>
      <c r="B872" s="162" t="s">
        <v>2569</v>
      </c>
      <c r="C872" s="57"/>
      <c r="D872" s="546">
        <v>1800</v>
      </c>
      <c r="E872" s="162" t="s">
        <v>371</v>
      </c>
      <c r="F872" s="358"/>
      <c r="G872" s="65"/>
      <c r="H872" s="73"/>
      <c r="I872" s="90"/>
      <c r="J872" s="73"/>
      <c r="K872" s="66"/>
      <c r="L872" s="717"/>
      <c r="M872" s="73"/>
      <c r="N872" s="359"/>
      <c r="O872" s="1041"/>
      <c r="P872" s="73"/>
      <c r="Q872" s="359"/>
      <c r="R872" s="1041"/>
      <c r="S872" s="73"/>
      <c r="T872" s="359"/>
      <c r="U872" s="73"/>
      <c r="V872" s="66"/>
      <c r="W872" s="594"/>
      <c r="X872" s="595"/>
      <c r="Y872" s="52"/>
      <c r="Z872" s="52"/>
      <c r="AA872" s="596"/>
      <c r="AB872" s="256"/>
      <c r="AC872" s="688"/>
      <c r="AD872" s="1032"/>
      <c r="AE872" s="164"/>
      <c r="AF872" s="25"/>
      <c r="AG872" s="26"/>
      <c r="AH872" s="275"/>
      <c r="AI872" s="52"/>
      <c r="AJ872" s="35"/>
      <c r="AK872" s="289"/>
      <c r="AL872" s="290"/>
      <c r="AM872" s="211"/>
      <c r="AN872" s="164"/>
      <c r="AO872" s="76"/>
      <c r="AP872" s="44"/>
      <c r="AQ872" s="275"/>
      <c r="AR872" s="52"/>
      <c r="AS872" s="35"/>
      <c r="AT872" s="79"/>
      <c r="AU872" s="212"/>
      <c r="AV872" s="164"/>
      <c r="AW872" s="164"/>
      <c r="AX872" s="76"/>
      <c r="AY872" s="44"/>
      <c r="AZ872" s="275"/>
      <c r="BA872" s="52"/>
      <c r="BB872" s="35"/>
      <c r="BC872" s="79"/>
      <c r="BD872" s="230"/>
      <c r="BE872" s="211"/>
      <c r="BF872" s="164"/>
      <c r="BG872" s="76"/>
      <c r="BH872" s="44"/>
      <c r="BI872" s="275"/>
      <c r="BJ872" s="52"/>
      <c r="BK872" s="35"/>
      <c r="BL872" s="79"/>
      <c r="BM872" s="230"/>
      <c r="BN872" s="211"/>
      <c r="BO872" s="164"/>
      <c r="BP872" s="76">
        <v>0</v>
      </c>
      <c r="BQ872" s="44">
        <v>0</v>
      </c>
      <c r="BR872" s="1025"/>
      <c r="BS872" s="52"/>
      <c r="BT872" s="589"/>
      <c r="BU872" s="79">
        <v>-0.8</v>
      </c>
      <c r="BV872" s="212">
        <v>-0.95</v>
      </c>
      <c r="BW872" s="304"/>
      <c r="BX872" s="313"/>
      <c r="BY872" s="138"/>
    </row>
    <row r="873" spans="1:77" ht="15" customHeight="1" x14ac:dyDescent="0.2">
      <c r="A873" s="57" t="s">
        <v>17</v>
      </c>
      <c r="B873" s="162" t="s">
        <v>2560</v>
      </c>
      <c r="C873" s="57"/>
      <c r="D873" s="546">
        <v>5800</v>
      </c>
      <c r="E873" s="162" t="s">
        <v>2549</v>
      </c>
      <c r="F873" s="358"/>
      <c r="G873" s="65"/>
      <c r="H873" s="73">
        <f>Q873*1.01</f>
        <v>52.200839999999999</v>
      </c>
      <c r="I873" s="90"/>
      <c r="J873" s="73"/>
      <c r="K873" s="66"/>
      <c r="L873" s="717"/>
      <c r="M873" s="73"/>
      <c r="N873" s="359"/>
      <c r="O873" s="1041"/>
      <c r="P873" s="73"/>
      <c r="Q873" s="359">
        <v>51.683999999999997</v>
      </c>
      <c r="R873" s="1041"/>
      <c r="S873" s="73"/>
      <c r="T873" s="359"/>
      <c r="U873" s="73"/>
      <c r="V873" s="66"/>
      <c r="W873" s="804">
        <f t="shared" ref="W873" si="526">AA873*(1+AB873)</f>
        <v>3.6540587999999999E-2</v>
      </c>
      <c r="X873" s="805">
        <f t="shared" ref="X873" si="527">AA873*(1+AC873)</f>
        <v>3.6540587999999999E-2</v>
      </c>
      <c r="Y873" s="52">
        <v>1990</v>
      </c>
      <c r="Z873" s="596"/>
      <c r="AA873" s="35">
        <f>+H873/1000</f>
        <v>5.2200839999999998E-2</v>
      </c>
      <c r="AB873" s="256">
        <v>-0.3</v>
      </c>
      <c r="AC873" s="688">
        <f t="shared" ref="AC873" si="528">AB873</f>
        <v>-0.3</v>
      </c>
      <c r="AD873" s="1032"/>
      <c r="AE873" s="164"/>
      <c r="AF873" s="25"/>
      <c r="AG873" s="26"/>
      <c r="AH873" s="275"/>
      <c r="AI873" s="52"/>
      <c r="AJ873" s="35"/>
      <c r="AK873" s="289"/>
      <c r="AL873" s="290"/>
      <c r="AM873" s="211"/>
      <c r="AN873" s="164"/>
      <c r="AO873" s="740"/>
      <c r="AP873" s="741"/>
      <c r="AQ873" s="275"/>
      <c r="AR873" s="52"/>
      <c r="AS873" s="739"/>
      <c r="AT873" s="79"/>
      <c r="AU873" s="212"/>
      <c r="AV873" s="164"/>
      <c r="AW873" s="164"/>
      <c r="AX873" s="76"/>
      <c r="AY873" s="44"/>
      <c r="AZ873" s="275"/>
      <c r="BA873" s="52"/>
      <c r="BB873" s="35"/>
      <c r="BC873" s="79"/>
      <c r="BD873" s="230"/>
      <c r="BE873" s="211"/>
      <c r="BF873" s="164"/>
      <c r="BG873" s="76"/>
      <c r="BH873" s="44"/>
      <c r="BI873" s="275"/>
      <c r="BJ873" s="52"/>
      <c r="BK873" s="35"/>
      <c r="BL873" s="79"/>
      <c r="BM873" s="230"/>
      <c r="BN873" s="211"/>
      <c r="BO873" s="164"/>
      <c r="BP873" s="76"/>
      <c r="BQ873" s="44"/>
      <c r="BR873" s="299"/>
      <c r="BS873" s="52"/>
      <c r="BT873" s="35"/>
      <c r="BU873" s="79"/>
      <c r="BV873" s="212"/>
      <c r="BW873" s="304"/>
      <c r="BX873" s="313"/>
      <c r="BY873" s="138"/>
    </row>
    <row r="874" spans="1:77" ht="15" customHeight="1" x14ac:dyDescent="0.2">
      <c r="A874" s="57" t="s">
        <v>17</v>
      </c>
      <c r="B874" s="162" t="s">
        <v>477</v>
      </c>
      <c r="C874" s="583" t="s">
        <v>812</v>
      </c>
      <c r="D874" s="546">
        <v>720</v>
      </c>
      <c r="E874" s="162" t="s">
        <v>631</v>
      </c>
      <c r="F874" s="358"/>
      <c r="G874" s="65"/>
      <c r="H874" s="73"/>
      <c r="I874" s="90">
        <v>2007</v>
      </c>
      <c r="J874" s="73"/>
      <c r="K874" s="66">
        <v>3.375</v>
      </c>
      <c r="L874" s="717"/>
      <c r="M874" s="73"/>
      <c r="N874" s="359"/>
      <c r="O874" s="1041"/>
      <c r="P874" s="73"/>
      <c r="Q874" s="359"/>
      <c r="R874" s="1041"/>
      <c r="S874" s="73"/>
      <c r="T874" s="359"/>
      <c r="U874" s="73"/>
      <c r="V874" s="66"/>
      <c r="W874" s="594">
        <f>AA874*(1+AB874)</f>
        <v>2.5312500000000001E-3</v>
      </c>
      <c r="X874" s="595">
        <f>AA874*(1+AC874)</f>
        <v>2.5312500000000001E-3</v>
      </c>
      <c r="Y874" s="52">
        <v>2007</v>
      </c>
      <c r="Z874" s="596"/>
      <c r="AA874" s="596">
        <f>+K874/1000</f>
        <v>3.375E-3</v>
      </c>
      <c r="AB874" s="256">
        <v>-0.25</v>
      </c>
      <c r="AC874" s="688">
        <f>AB874</f>
        <v>-0.25</v>
      </c>
      <c r="AD874" s="1032"/>
      <c r="AE874" s="164"/>
      <c r="AF874" s="25"/>
      <c r="AG874" s="26"/>
      <c r="AH874" s="275"/>
      <c r="AI874" s="52"/>
      <c r="AJ874" s="35"/>
      <c r="AK874" s="289"/>
      <c r="AL874" s="290"/>
      <c r="AM874" s="211"/>
      <c r="AN874" s="164"/>
      <c r="AO874" s="76"/>
      <c r="AP874" s="44"/>
      <c r="AQ874" s="275"/>
      <c r="AR874" s="52"/>
      <c r="AS874" s="35"/>
      <c r="AT874" s="79"/>
      <c r="AU874" s="212"/>
      <c r="AV874" s="164"/>
      <c r="AW874" s="164"/>
      <c r="AX874" s="76"/>
      <c r="AY874" s="44"/>
      <c r="AZ874" s="275"/>
      <c r="BA874" s="52"/>
      <c r="BB874" s="35"/>
      <c r="BC874" s="79"/>
      <c r="BD874" s="230"/>
      <c r="BE874" s="211"/>
      <c r="BF874" s="164"/>
      <c r="BG874" s="76"/>
      <c r="BH874" s="44"/>
      <c r="BI874" s="275"/>
      <c r="BJ874" s="52"/>
      <c r="BK874" s="35"/>
      <c r="BL874" s="79"/>
      <c r="BM874" s="230"/>
      <c r="BN874" s="211"/>
      <c r="BO874" s="164"/>
      <c r="BP874" s="76"/>
      <c r="BQ874" s="44"/>
      <c r="BR874" s="299"/>
      <c r="BS874" s="52"/>
      <c r="BT874" s="35"/>
      <c r="BU874" s="79"/>
      <c r="BV874" s="212"/>
      <c r="BW874" s="304"/>
      <c r="BX874" s="313"/>
      <c r="BY874" s="138"/>
    </row>
    <row r="875" spans="1:77" s="777" customFormat="1" ht="15" customHeight="1" x14ac:dyDescent="0.2">
      <c r="A875" s="162" t="s">
        <v>17</v>
      </c>
      <c r="B875" s="162" t="s">
        <v>2572</v>
      </c>
      <c r="C875" s="1140"/>
      <c r="D875" s="546">
        <f>1364+6394</f>
        <v>7758</v>
      </c>
      <c r="E875" s="162" t="s">
        <v>2573</v>
      </c>
      <c r="F875" s="1141"/>
      <c r="G875" s="1142"/>
      <c r="H875" s="192">
        <f>13.3+45</f>
        <v>58.3</v>
      </c>
      <c r="I875" s="1143"/>
      <c r="J875" s="192"/>
      <c r="K875" s="193"/>
      <c r="L875" s="1144"/>
      <c r="M875" s="192"/>
      <c r="N875" s="361"/>
      <c r="O875" s="945"/>
      <c r="P875" s="192"/>
      <c r="Q875" s="361"/>
      <c r="R875" s="945"/>
      <c r="S875" s="192"/>
      <c r="T875" s="361"/>
      <c r="U875" s="192"/>
      <c r="V875" s="193"/>
      <c r="W875" s="594">
        <f t="shared" ref="W875" si="529">AA875*(1+AB875)</f>
        <v>4.6640000000000001E-2</v>
      </c>
      <c r="X875" s="595">
        <f t="shared" ref="X875" si="530">AA875*(1+AC875)</f>
        <v>4.1392999999999999E-2</v>
      </c>
      <c r="Y875" s="195">
        <v>1990</v>
      </c>
      <c r="Z875" s="597"/>
      <c r="AA875" s="597">
        <f>+H875/1000</f>
        <v>5.8299999999999998E-2</v>
      </c>
      <c r="AB875" s="197">
        <v>-0.2</v>
      </c>
      <c r="AC875" s="1145">
        <v>-0.28999999999999998</v>
      </c>
      <c r="AD875" s="1146"/>
      <c r="AE875" s="154"/>
      <c r="AF875" s="804"/>
      <c r="AG875" s="805"/>
      <c r="AH875" s="1147"/>
      <c r="AI875" s="195"/>
      <c r="AJ875" s="153"/>
      <c r="AK875" s="1148"/>
      <c r="AL875" s="500"/>
      <c r="AM875" s="213"/>
      <c r="AN875" s="154"/>
      <c r="AO875" s="1149"/>
      <c r="AP875" s="1150"/>
      <c r="AQ875" s="1147"/>
      <c r="AR875" s="195"/>
      <c r="AS875" s="153"/>
      <c r="AT875" s="1151"/>
      <c r="AU875" s="1152"/>
      <c r="AV875" s="154"/>
      <c r="AW875" s="154"/>
      <c r="AX875" s="1149"/>
      <c r="AY875" s="1150"/>
      <c r="AZ875" s="1147"/>
      <c r="BA875" s="195"/>
      <c r="BB875" s="153"/>
      <c r="BC875" s="1151"/>
      <c r="BD875" s="1153"/>
      <c r="BE875" s="213"/>
      <c r="BF875" s="154"/>
      <c r="BG875" s="1149"/>
      <c r="BH875" s="1150"/>
      <c r="BI875" s="1147"/>
      <c r="BJ875" s="195"/>
      <c r="BK875" s="153"/>
      <c r="BL875" s="1151"/>
      <c r="BM875" s="1153"/>
      <c r="BN875" s="213"/>
      <c r="BO875" s="154"/>
      <c r="BP875" s="584">
        <f>+BT875*(1+BU875)</f>
        <v>1.4574999999999999E-2</v>
      </c>
      <c r="BQ875" s="585">
        <f>BT875*(1+BV875)</f>
        <v>1.4574999999999999E-2</v>
      </c>
      <c r="BR875" s="628">
        <v>1990</v>
      </c>
      <c r="BS875" s="195"/>
      <c r="BT875" s="153">
        <f>+H875/1000</f>
        <v>5.8299999999999998E-2</v>
      </c>
      <c r="BU875" s="1151">
        <v>-0.75</v>
      </c>
      <c r="BV875" s="1152">
        <v>-0.75</v>
      </c>
      <c r="BW875" s="305"/>
      <c r="BX875" s="314"/>
      <c r="BY875" s="1154"/>
    </row>
    <row r="876" spans="1:77" ht="15" customHeight="1" x14ac:dyDescent="0.2">
      <c r="A876" s="57" t="s">
        <v>17</v>
      </c>
      <c r="B876" s="162" t="s">
        <v>477</v>
      </c>
      <c r="C876" s="583" t="s">
        <v>809</v>
      </c>
      <c r="D876" s="546">
        <v>445</v>
      </c>
      <c r="E876" s="162" t="s">
        <v>631</v>
      </c>
      <c r="F876" s="358"/>
      <c r="G876" s="65"/>
      <c r="H876" s="73"/>
      <c r="I876" s="90"/>
      <c r="J876" s="73"/>
      <c r="K876" s="66"/>
      <c r="L876" s="717">
        <v>2009</v>
      </c>
      <c r="M876" s="73"/>
      <c r="N876" s="359">
        <v>5.82</v>
      </c>
      <c r="O876" s="1041"/>
      <c r="P876" s="73"/>
      <c r="Q876" s="359"/>
      <c r="R876" s="1041"/>
      <c r="S876" s="73"/>
      <c r="T876" s="359"/>
      <c r="U876" s="73"/>
      <c r="V876" s="66"/>
      <c r="W876" s="594">
        <f>AA876*(1+AB876)</f>
        <v>4.0740000000000004E-3</v>
      </c>
      <c r="X876" s="595">
        <f>AA876*(1+AC876)</f>
        <v>4.0740000000000004E-3</v>
      </c>
      <c r="Y876" s="52">
        <v>2009</v>
      </c>
      <c r="Z876" s="596"/>
      <c r="AA876" s="596">
        <f>+N876/1000</f>
        <v>5.8200000000000005E-3</v>
      </c>
      <c r="AB876" s="256">
        <v>-0.3</v>
      </c>
      <c r="AC876" s="688">
        <f>AB876</f>
        <v>-0.3</v>
      </c>
      <c r="AD876" s="1032"/>
      <c r="AE876" s="164"/>
      <c r="AF876" s="25"/>
      <c r="AG876" s="26"/>
      <c r="AH876" s="275"/>
      <c r="AI876" s="52"/>
      <c r="AJ876" s="35"/>
      <c r="AK876" s="289"/>
      <c r="AL876" s="290"/>
      <c r="AM876" s="211"/>
      <c r="AN876" s="164"/>
      <c r="AO876" s="76"/>
      <c r="AP876" s="44"/>
      <c r="AQ876" s="275"/>
      <c r="AR876" s="52"/>
      <c r="AS876" s="35"/>
      <c r="AT876" s="79"/>
      <c r="AU876" s="212"/>
      <c r="AV876" s="164"/>
      <c r="AW876" s="164"/>
      <c r="AX876" s="76"/>
      <c r="AY876" s="44"/>
      <c r="AZ876" s="275"/>
      <c r="BA876" s="52"/>
      <c r="BB876" s="35"/>
      <c r="BC876" s="79"/>
      <c r="BD876" s="230"/>
      <c r="BE876" s="211"/>
      <c r="BF876" s="164"/>
      <c r="BG876" s="76"/>
      <c r="BH876" s="44"/>
      <c r="BI876" s="275"/>
      <c r="BJ876" s="52"/>
      <c r="BK876" s="35"/>
      <c r="BL876" s="79"/>
      <c r="BM876" s="230"/>
      <c r="BN876" s="211"/>
      <c r="BO876" s="164"/>
      <c r="BP876" s="584"/>
      <c r="BQ876" s="585"/>
      <c r="BR876" s="299"/>
      <c r="BS876" s="35"/>
      <c r="BT876" s="35"/>
      <c r="BU876" s="79"/>
      <c r="BV876" s="212"/>
      <c r="BW876" s="304"/>
      <c r="BX876" s="313"/>
      <c r="BY876" s="138"/>
    </row>
    <row r="877" spans="1:77" ht="15" customHeight="1" x14ac:dyDescent="0.2">
      <c r="A877" s="57" t="s">
        <v>17</v>
      </c>
      <c r="B877" s="162" t="s">
        <v>477</v>
      </c>
      <c r="C877" s="583" t="s">
        <v>588</v>
      </c>
      <c r="D877" s="546">
        <v>1325</v>
      </c>
      <c r="E877" s="162" t="s">
        <v>387</v>
      </c>
      <c r="F877" s="358"/>
      <c r="G877" s="65"/>
      <c r="H877" s="73"/>
      <c r="I877" s="90">
        <v>2003</v>
      </c>
      <c r="J877" s="73"/>
      <c r="K877" s="66">
        <v>7.6</v>
      </c>
      <c r="L877" s="717"/>
      <c r="M877" s="73"/>
      <c r="N877" s="359"/>
      <c r="O877" s="1041"/>
      <c r="P877" s="73"/>
      <c r="Q877" s="359"/>
      <c r="R877" s="1041"/>
      <c r="S877" s="73"/>
      <c r="T877" s="359"/>
      <c r="U877" s="73"/>
      <c r="V877" s="66"/>
      <c r="W877" s="594">
        <f>AA877*(1+AB877)</f>
        <v>5.3200000000000001E-3</v>
      </c>
      <c r="X877" s="595">
        <f>AA877*(1+AC877)</f>
        <v>5.3200000000000001E-3</v>
      </c>
      <c r="Y877" s="52">
        <v>2000</v>
      </c>
      <c r="Z877" s="596"/>
      <c r="AA877" s="596">
        <f>+K877/1000</f>
        <v>7.6E-3</v>
      </c>
      <c r="AB877" s="256">
        <v>-0.3</v>
      </c>
      <c r="AC877" s="688">
        <f>AB877</f>
        <v>-0.3</v>
      </c>
      <c r="AD877" s="1032"/>
      <c r="AE877" s="164"/>
      <c r="AF877" s="25"/>
      <c r="AG877" s="26"/>
      <c r="AH877" s="275"/>
      <c r="AI877" s="52"/>
      <c r="AJ877" s="35"/>
      <c r="AK877" s="289"/>
      <c r="AL877" s="290"/>
      <c r="AM877" s="211"/>
      <c r="AN877" s="164"/>
      <c r="AO877" s="76"/>
      <c r="AP877" s="44"/>
      <c r="AQ877" s="275"/>
      <c r="AR877" s="52"/>
      <c r="AS877" s="35"/>
      <c r="AT877" s="79"/>
      <c r="AU877" s="212"/>
      <c r="AV877" s="164"/>
      <c r="AW877" s="164"/>
      <c r="AX877" s="76"/>
      <c r="AY877" s="44"/>
      <c r="AZ877" s="275"/>
      <c r="BA877" s="52"/>
      <c r="BB877" s="35"/>
      <c r="BC877" s="79"/>
      <c r="BD877" s="230"/>
      <c r="BE877" s="211"/>
      <c r="BF877" s="164"/>
      <c r="BG877" s="76"/>
      <c r="BH877" s="44"/>
      <c r="BI877" s="275"/>
      <c r="BJ877" s="52"/>
      <c r="BK877" s="35"/>
      <c r="BL877" s="79"/>
      <c r="BM877" s="230"/>
      <c r="BN877" s="211"/>
      <c r="BO877" s="164"/>
      <c r="BP877" s="584"/>
      <c r="BQ877" s="585"/>
      <c r="BR877" s="299"/>
      <c r="BS877" s="35"/>
      <c r="BT877" s="35"/>
      <c r="BU877" s="79"/>
      <c r="BV877" s="212"/>
      <c r="BW877" s="304"/>
      <c r="BX877" s="313"/>
      <c r="BY877" s="138"/>
    </row>
    <row r="878" spans="1:77" ht="15" customHeight="1" x14ac:dyDescent="0.2">
      <c r="A878" s="57" t="s">
        <v>17</v>
      </c>
      <c r="B878" s="162" t="s">
        <v>2445</v>
      </c>
      <c r="C878" s="57"/>
      <c r="D878" s="546">
        <v>1100</v>
      </c>
      <c r="E878" s="162" t="s">
        <v>371</v>
      </c>
      <c r="F878" s="358"/>
      <c r="G878" s="65"/>
      <c r="H878" s="73"/>
      <c r="I878" s="90"/>
      <c r="J878" s="73"/>
      <c r="K878" s="66"/>
      <c r="L878" s="717"/>
      <c r="M878" s="73"/>
      <c r="N878" s="359"/>
      <c r="O878" s="1041"/>
      <c r="P878" s="73"/>
      <c r="Q878" s="359"/>
      <c r="R878" s="1041"/>
      <c r="S878" s="73"/>
      <c r="T878" s="359"/>
      <c r="U878" s="73"/>
      <c r="V878" s="66"/>
      <c r="W878" s="594"/>
      <c r="X878" s="595"/>
      <c r="Y878" s="52"/>
      <c r="Z878" s="596"/>
      <c r="AA878" s="596"/>
      <c r="AB878" s="256"/>
      <c r="AC878" s="688"/>
      <c r="AD878" s="1032"/>
      <c r="AE878" s="164"/>
      <c r="AF878" s="25"/>
      <c r="AG878" s="26"/>
      <c r="AH878" s="275"/>
      <c r="AI878" s="52"/>
      <c r="AJ878" s="35"/>
      <c r="AK878" s="289"/>
      <c r="AL878" s="290"/>
      <c r="AM878" s="211"/>
      <c r="AN878" s="164"/>
      <c r="AO878" s="76"/>
      <c r="AP878" s="44"/>
      <c r="AQ878" s="275"/>
      <c r="AR878" s="52"/>
      <c r="AS878" s="35"/>
      <c r="AT878" s="79"/>
      <c r="AU878" s="212"/>
      <c r="AV878" s="164"/>
      <c r="AW878" s="164"/>
      <c r="AX878" s="76"/>
      <c r="AY878" s="44"/>
      <c r="AZ878" s="275"/>
      <c r="BA878" s="52"/>
      <c r="BB878" s="35"/>
      <c r="BC878" s="79"/>
      <c r="BD878" s="230"/>
      <c r="BE878" s="211"/>
      <c r="BF878" s="164"/>
      <c r="BG878" s="76"/>
      <c r="BH878" s="44"/>
      <c r="BI878" s="275"/>
      <c r="BJ878" s="52"/>
      <c r="BK878" s="35"/>
      <c r="BL878" s="79"/>
      <c r="BM878" s="230"/>
      <c r="BN878" s="211"/>
      <c r="BO878" s="164"/>
      <c r="BP878" s="76">
        <v>0</v>
      </c>
      <c r="BQ878" s="44">
        <v>0</v>
      </c>
      <c r="BR878" s="1025"/>
      <c r="BS878" s="52"/>
      <c r="BT878" s="589"/>
      <c r="BU878" s="79">
        <v>-0.8</v>
      </c>
      <c r="BV878" s="212">
        <v>-0.95</v>
      </c>
      <c r="BW878" s="304"/>
      <c r="BX878" s="313"/>
      <c r="BY878" s="138"/>
    </row>
    <row r="879" spans="1:77" ht="15" customHeight="1" x14ac:dyDescent="0.2">
      <c r="A879" s="57" t="s">
        <v>17</v>
      </c>
      <c r="B879" s="162" t="s">
        <v>445</v>
      </c>
      <c r="C879" s="57"/>
      <c r="D879" s="546">
        <v>3195</v>
      </c>
      <c r="E879" s="162" t="s">
        <v>1609</v>
      </c>
      <c r="F879" s="358"/>
      <c r="G879" s="65"/>
      <c r="H879" s="73"/>
      <c r="I879" s="90"/>
      <c r="J879" s="73"/>
      <c r="K879" s="66">
        <v>24.5</v>
      </c>
      <c r="L879" s="717"/>
      <c r="M879" s="73"/>
      <c r="N879" s="359">
        <v>24.5</v>
      </c>
      <c r="O879" s="1041"/>
      <c r="P879" s="73"/>
      <c r="Q879" s="359"/>
      <c r="R879" s="1041"/>
      <c r="S879" s="73"/>
      <c r="T879" s="359"/>
      <c r="U879" s="73"/>
      <c r="V879" s="66"/>
      <c r="W879" s="594">
        <f t="shared" ref="W879:W886" si="531">AA879*(1+AB879)</f>
        <v>2.0334999999999999E-2</v>
      </c>
      <c r="X879" s="595">
        <f t="shared" ref="X879:X886" si="532">AA879*(1+AC879)</f>
        <v>2.0334999999999999E-2</v>
      </c>
      <c r="Y879" s="52">
        <v>2005</v>
      </c>
      <c r="Z879" s="596"/>
      <c r="AA879" s="596">
        <f>+K879/1000</f>
        <v>2.4500000000000001E-2</v>
      </c>
      <c r="AB879" s="256">
        <v>-0.17</v>
      </c>
      <c r="AC879" s="688">
        <f t="shared" ref="AC879:AC885" si="533">AB879</f>
        <v>-0.17</v>
      </c>
      <c r="AD879" s="1032"/>
      <c r="AE879" s="164"/>
      <c r="AF879" s="25"/>
      <c r="AG879" s="26"/>
      <c r="AH879" s="275"/>
      <c r="AI879" s="52"/>
      <c r="AJ879" s="35"/>
      <c r="AK879" s="289"/>
      <c r="AL879" s="290"/>
      <c r="AM879" s="211"/>
      <c r="AN879" s="164"/>
      <c r="AO879" s="76"/>
      <c r="AP879" s="44"/>
      <c r="AQ879" s="275"/>
      <c r="AR879" s="52"/>
      <c r="AS879" s="35"/>
      <c r="AT879" s="79"/>
      <c r="AU879" s="212"/>
      <c r="AV879" s="164"/>
      <c r="AW879" s="164"/>
      <c r="AX879" s="76"/>
      <c r="AY879" s="44"/>
      <c r="AZ879" s="275"/>
      <c r="BA879" s="52"/>
      <c r="BB879" s="35"/>
      <c r="BC879" s="79"/>
      <c r="BD879" s="230"/>
      <c r="BE879" s="211"/>
      <c r="BF879" s="164"/>
      <c r="BG879" s="76"/>
      <c r="BH879" s="44"/>
      <c r="BI879" s="275"/>
      <c r="BJ879" s="52"/>
      <c r="BK879" s="35"/>
      <c r="BL879" s="79"/>
      <c r="BM879" s="230"/>
      <c r="BN879" s="211"/>
      <c r="BO879" s="164"/>
      <c r="BP879" s="584">
        <f>+BT879*(1+BU879)</f>
        <v>1.176E-2</v>
      </c>
      <c r="BQ879" s="585">
        <f>BT879*(1+BV879)</f>
        <v>1.176E-2</v>
      </c>
      <c r="BR879" s="299">
        <v>2005</v>
      </c>
      <c r="BS879" s="52"/>
      <c r="BT879" s="35">
        <f>+K879/1000</f>
        <v>2.4500000000000001E-2</v>
      </c>
      <c r="BU879" s="79">
        <v>-0.52</v>
      </c>
      <c r="BV879" s="212">
        <f>BU879</f>
        <v>-0.52</v>
      </c>
      <c r="BW879" s="304"/>
      <c r="BX879" s="313"/>
      <c r="BY879" s="138"/>
    </row>
    <row r="880" spans="1:77" ht="15" customHeight="1" x14ac:dyDescent="0.2">
      <c r="A880" s="57" t="s">
        <v>17</v>
      </c>
      <c r="B880" s="162" t="s">
        <v>446</v>
      </c>
      <c r="C880" s="57"/>
      <c r="D880" s="546">
        <v>2500</v>
      </c>
      <c r="E880" s="162" t="s">
        <v>387</v>
      </c>
      <c r="F880" s="358"/>
      <c r="G880" s="65"/>
      <c r="H880" s="73">
        <v>18.100000000000001</v>
      </c>
      <c r="I880" s="90"/>
      <c r="J880" s="73"/>
      <c r="K880" s="66"/>
      <c r="L880" s="717"/>
      <c r="M880" s="73"/>
      <c r="N880" s="359"/>
      <c r="O880" s="1041"/>
      <c r="P880" s="73"/>
      <c r="Q880" s="359"/>
      <c r="R880" s="1041"/>
      <c r="S880" s="73"/>
      <c r="T880" s="359"/>
      <c r="U880" s="73"/>
      <c r="V880" s="66"/>
      <c r="W880" s="594">
        <f t="shared" si="531"/>
        <v>1.086E-2</v>
      </c>
      <c r="X880" s="595">
        <f t="shared" si="532"/>
        <v>1.086E-2</v>
      </c>
      <c r="Y880" s="52">
        <v>1990</v>
      </c>
      <c r="Z880" s="596"/>
      <c r="AA880" s="596">
        <f>+H880/1000</f>
        <v>1.8100000000000002E-2</v>
      </c>
      <c r="AB880" s="256">
        <v>-0.4</v>
      </c>
      <c r="AC880" s="688">
        <f t="shared" si="533"/>
        <v>-0.4</v>
      </c>
      <c r="AD880" s="1032"/>
      <c r="AE880" s="164"/>
      <c r="AF880" s="25"/>
      <c r="AG880" s="26"/>
      <c r="AH880" s="275"/>
      <c r="AI880" s="52"/>
      <c r="AJ880" s="35"/>
      <c r="AK880" s="289"/>
      <c r="AL880" s="290"/>
      <c r="AM880" s="211"/>
      <c r="AN880" s="164"/>
      <c r="AO880" s="76"/>
      <c r="AP880" s="44"/>
      <c r="AQ880" s="275"/>
      <c r="AR880" s="52"/>
      <c r="AS880" s="35"/>
      <c r="AT880" s="79"/>
      <c r="AU880" s="212"/>
      <c r="AV880" s="164"/>
      <c r="AW880" s="164"/>
      <c r="AX880" s="76"/>
      <c r="AY880" s="44"/>
      <c r="AZ880" s="275"/>
      <c r="BA880" s="52"/>
      <c r="BB880" s="35"/>
      <c r="BC880" s="79"/>
      <c r="BD880" s="230"/>
      <c r="BE880" s="211"/>
      <c r="BF880" s="164"/>
      <c r="BG880" s="76"/>
      <c r="BH880" s="44"/>
      <c r="BI880" s="275"/>
      <c r="BJ880" s="52"/>
      <c r="BK880" s="35"/>
      <c r="BL880" s="79"/>
      <c r="BM880" s="230"/>
      <c r="BN880" s="211"/>
      <c r="BO880" s="164"/>
      <c r="BP880" s="584">
        <f>+BT880*(1+BU880)</f>
        <v>4.5250000000000004E-3</v>
      </c>
      <c r="BQ880" s="585">
        <f>BT880*(1+BV880)</f>
        <v>4.5250000000000004E-3</v>
      </c>
      <c r="BR880" s="299">
        <v>1990</v>
      </c>
      <c r="BS880" s="52"/>
      <c r="BT880" s="35">
        <f>+H880/1000</f>
        <v>1.8100000000000002E-2</v>
      </c>
      <c r="BU880" s="79">
        <v>-0.75</v>
      </c>
      <c r="BV880" s="212">
        <f>BU880</f>
        <v>-0.75</v>
      </c>
      <c r="BW880" s="304"/>
      <c r="BX880" s="313"/>
      <c r="BY880" s="138"/>
    </row>
    <row r="881" spans="1:77" s="135" customFormat="1" ht="15" customHeight="1" x14ac:dyDescent="0.2">
      <c r="A881" s="1020" t="s">
        <v>17</v>
      </c>
      <c r="B881" s="971" t="s">
        <v>2570</v>
      </c>
      <c r="C881" s="1020"/>
      <c r="D881" s="985">
        <v>1339</v>
      </c>
      <c r="E881" s="971" t="s">
        <v>387</v>
      </c>
      <c r="F881" s="986"/>
      <c r="G881" s="987"/>
      <c r="H881" s="988"/>
      <c r="I881" s="989"/>
      <c r="J881" s="988"/>
      <c r="K881" s="993">
        <v>14.221</v>
      </c>
      <c r="L881" s="991"/>
      <c r="M881" s="988"/>
      <c r="N881" s="1136"/>
      <c r="O881" s="1046"/>
      <c r="P881" s="988"/>
      <c r="Q881" s="1136"/>
      <c r="R881" s="1046"/>
      <c r="S881" s="988"/>
      <c r="T881" s="1136"/>
      <c r="U881" s="988"/>
      <c r="V881" s="993"/>
      <c r="W881" s="1021">
        <f t="shared" si="531"/>
        <v>1.1376799999999999E-2</v>
      </c>
      <c r="X881" s="1022">
        <f t="shared" si="532"/>
        <v>1.1376799999999999E-2</v>
      </c>
      <c r="Y881" s="996">
        <v>2005</v>
      </c>
      <c r="Z881" s="1008"/>
      <c r="AA881" s="1008">
        <f t="shared" ref="AA881:AA887" si="534">+K881/1000</f>
        <v>1.4220999999999999E-2</v>
      </c>
      <c r="AB881" s="998">
        <v>-0.2</v>
      </c>
      <c r="AC881" s="999">
        <f t="shared" si="533"/>
        <v>-0.2</v>
      </c>
      <c r="AD881" s="1137"/>
      <c r="AE881" s="1000"/>
      <c r="AF881" s="1001"/>
      <c r="AG881" s="1002"/>
      <c r="AH881" s="1003"/>
      <c r="AI881" s="996"/>
      <c r="AJ881" s="1004"/>
      <c r="AK881" s="1005"/>
      <c r="AL881" s="1006"/>
      <c r="AM881" s="1007"/>
      <c r="AN881" s="1000"/>
      <c r="AO881" s="1011"/>
      <c r="AP881" s="1012"/>
      <c r="AQ881" s="1003"/>
      <c r="AR881" s="996"/>
      <c r="AS881" s="1004"/>
      <c r="AT881" s="1009"/>
      <c r="AU881" s="1010"/>
      <c r="AV881" s="1000"/>
      <c r="AW881" s="1000"/>
      <c r="AX881" s="1011"/>
      <c r="AY881" s="1012"/>
      <c r="AZ881" s="1003"/>
      <c r="BA881" s="996"/>
      <c r="BB881" s="1004"/>
      <c r="BC881" s="1009"/>
      <c r="BD881" s="1013"/>
      <c r="BE881" s="1007"/>
      <c r="BF881" s="1000"/>
      <c r="BG881" s="1011"/>
      <c r="BH881" s="1012"/>
      <c r="BI881" s="1003"/>
      <c r="BJ881" s="996"/>
      <c r="BK881" s="1004"/>
      <c r="BL881" s="1009"/>
      <c r="BM881" s="1013"/>
      <c r="BN881" s="1007"/>
      <c r="BO881" s="1000"/>
      <c r="BP881" s="1138"/>
      <c r="BQ881" s="1139"/>
      <c r="BR881" s="1016"/>
      <c r="BS881" s="996"/>
      <c r="BT881" s="1004"/>
      <c r="BU881" s="1009"/>
      <c r="BV881" s="1010"/>
      <c r="BW881" s="304"/>
      <c r="BX881" s="313"/>
      <c r="BY881" s="1017"/>
    </row>
    <row r="882" spans="1:77" s="135" customFormat="1" ht="15" customHeight="1" x14ac:dyDescent="0.2">
      <c r="A882" s="1020" t="s">
        <v>17</v>
      </c>
      <c r="B882" s="971" t="s">
        <v>2571</v>
      </c>
      <c r="C882" s="1020"/>
      <c r="D882" s="985">
        <v>1160</v>
      </c>
      <c r="E882" s="971" t="s">
        <v>387</v>
      </c>
      <c r="F882" s="986"/>
      <c r="G882" s="987"/>
      <c r="H882" s="988"/>
      <c r="I882" s="989">
        <v>2008</v>
      </c>
      <c r="J882" s="988"/>
      <c r="K882" s="993">
        <v>10.279</v>
      </c>
      <c r="L882" s="991"/>
      <c r="M882" s="988"/>
      <c r="N882" s="1136"/>
      <c r="O882" s="1046"/>
      <c r="P882" s="988"/>
      <c r="Q882" s="1136"/>
      <c r="R882" s="1046"/>
      <c r="S882" s="988"/>
      <c r="T882" s="1136"/>
      <c r="U882" s="988"/>
      <c r="V882" s="993"/>
      <c r="W882" s="1021">
        <f t="shared" si="531"/>
        <v>8.2232E-3</v>
      </c>
      <c r="X882" s="1022">
        <f t="shared" si="532"/>
        <v>8.2232E-3</v>
      </c>
      <c r="Y882" s="996">
        <v>2008</v>
      </c>
      <c r="Z882" s="1008"/>
      <c r="AA882" s="1008">
        <f t="shared" si="534"/>
        <v>1.0279E-2</v>
      </c>
      <c r="AB882" s="998">
        <v>-0.2</v>
      </c>
      <c r="AC882" s="999">
        <f t="shared" si="533"/>
        <v>-0.2</v>
      </c>
      <c r="AD882" s="1137"/>
      <c r="AE882" s="1000"/>
      <c r="AF882" s="1001"/>
      <c r="AG882" s="1002"/>
      <c r="AH882" s="1003"/>
      <c r="AI882" s="996"/>
      <c r="AJ882" s="1004"/>
      <c r="AK882" s="1005"/>
      <c r="AL882" s="1006"/>
      <c r="AM882" s="1007"/>
      <c r="AN882" s="1000"/>
      <c r="AO882" s="1011"/>
      <c r="AP882" s="1012"/>
      <c r="AQ882" s="1003"/>
      <c r="AR882" s="996"/>
      <c r="AS882" s="1004"/>
      <c r="AT882" s="1009"/>
      <c r="AU882" s="1010"/>
      <c r="AV882" s="1000"/>
      <c r="AW882" s="1000"/>
      <c r="AX882" s="1011"/>
      <c r="AY882" s="1012"/>
      <c r="AZ882" s="1003"/>
      <c r="BA882" s="996"/>
      <c r="BB882" s="1004"/>
      <c r="BC882" s="1009"/>
      <c r="BD882" s="1013"/>
      <c r="BE882" s="1007"/>
      <c r="BF882" s="1000"/>
      <c r="BG882" s="1011"/>
      <c r="BH882" s="1012"/>
      <c r="BI882" s="1003"/>
      <c r="BJ882" s="996"/>
      <c r="BK882" s="1004"/>
      <c r="BL882" s="1009"/>
      <c r="BM882" s="1013"/>
      <c r="BN882" s="1007"/>
      <c r="BO882" s="1000"/>
      <c r="BP882" s="1138">
        <f>+BT882*(1+BU882)</f>
        <v>4.8311299999999995E-3</v>
      </c>
      <c r="BQ882" s="1139">
        <f>BT882*(1+BV882)</f>
        <v>4.8311299999999995E-3</v>
      </c>
      <c r="BR882" s="1016">
        <v>2005</v>
      </c>
      <c r="BS882" s="996"/>
      <c r="BT882" s="1004">
        <f>+K882/1000</f>
        <v>1.0279E-2</v>
      </c>
      <c r="BU882" s="1009">
        <v>-0.53</v>
      </c>
      <c r="BV882" s="1010">
        <f>BU882</f>
        <v>-0.53</v>
      </c>
      <c r="BW882" s="304"/>
      <c r="BX882" s="313"/>
      <c r="BY882" s="1017"/>
    </row>
    <row r="883" spans="1:77" ht="15" customHeight="1" x14ac:dyDescent="0.2">
      <c r="A883" s="57" t="s">
        <v>17</v>
      </c>
      <c r="B883" s="162" t="s">
        <v>477</v>
      </c>
      <c r="C883" s="583" t="s">
        <v>587</v>
      </c>
      <c r="D883" s="546">
        <v>116</v>
      </c>
      <c r="E883" s="162" t="s">
        <v>392</v>
      </c>
      <c r="F883" s="358"/>
      <c r="G883" s="65"/>
      <c r="H883" s="73"/>
      <c r="I883" s="90">
        <v>2008</v>
      </c>
      <c r="J883" s="73"/>
      <c r="K883" s="66">
        <v>0.53369999999999995</v>
      </c>
      <c r="L883" s="717"/>
      <c r="M883" s="73"/>
      <c r="N883" s="359"/>
      <c r="O883" s="1041"/>
      <c r="P883" s="73"/>
      <c r="Q883" s="359"/>
      <c r="R883" s="1041"/>
      <c r="S883" s="73"/>
      <c r="T883" s="359"/>
      <c r="U883" s="73"/>
      <c r="V883" s="66"/>
      <c r="W883" s="594"/>
      <c r="X883" s="595"/>
      <c r="Y883" s="52"/>
      <c r="Z883" s="596"/>
      <c r="AA883" s="596"/>
      <c r="AB883" s="256"/>
      <c r="AC883" s="688"/>
      <c r="AD883" s="1032"/>
      <c r="AE883" s="164"/>
      <c r="AF883" s="25"/>
      <c r="AG883" s="26"/>
      <c r="AH883" s="275"/>
      <c r="AI883" s="52"/>
      <c r="AJ883" s="35"/>
      <c r="AK883" s="289"/>
      <c r="AL883" s="290"/>
      <c r="AM883" s="211"/>
      <c r="AN883" s="164"/>
      <c r="AO883" s="740">
        <f t="shared" ref="AO883" si="535">AS883*(1+AT883)</f>
        <v>5.3369999999999991E-4</v>
      </c>
      <c r="AP883" s="741">
        <f t="shared" ref="AP883" si="536">AS883*(1+AU883)</f>
        <v>5.3369999999999991E-4</v>
      </c>
      <c r="AQ883" s="275">
        <v>2008</v>
      </c>
      <c r="AR883" s="52"/>
      <c r="AS883" s="739">
        <f t="shared" ref="AS883" si="537">+K883/1000</f>
        <v>5.3369999999999991E-4</v>
      </c>
      <c r="AT883" s="79"/>
      <c r="AU883" s="212"/>
      <c r="AV883" s="164"/>
      <c r="AW883" s="164"/>
      <c r="AX883" s="76"/>
      <c r="AY883" s="44"/>
      <c r="AZ883" s="275"/>
      <c r="BA883" s="52"/>
      <c r="BB883" s="35"/>
      <c r="BC883" s="79"/>
      <c r="BD883" s="230"/>
      <c r="BE883" s="211"/>
      <c r="BF883" s="164"/>
      <c r="BG883" s="76"/>
      <c r="BH883" s="44"/>
      <c r="BI883" s="275"/>
      <c r="BJ883" s="52"/>
      <c r="BK883" s="35"/>
      <c r="BL883" s="79"/>
      <c r="BM883" s="230"/>
      <c r="BN883" s="211"/>
      <c r="BO883" s="164"/>
      <c r="BP883" s="584"/>
      <c r="BQ883" s="585"/>
      <c r="BR883" s="299"/>
      <c r="BS883" s="52"/>
      <c r="BT883" s="35"/>
      <c r="BU883" s="79"/>
      <c r="BV883" s="212"/>
      <c r="BW883" s="304"/>
      <c r="BX883" s="313"/>
      <c r="BY883" s="138"/>
    </row>
    <row r="884" spans="1:77" s="135" customFormat="1" ht="15" customHeight="1" x14ac:dyDescent="0.2">
      <c r="A884" s="1020" t="s">
        <v>17</v>
      </c>
      <c r="B884" s="971" t="s">
        <v>2574</v>
      </c>
      <c r="C884" s="1020"/>
      <c r="D884" s="985">
        <v>1900</v>
      </c>
      <c r="E884" s="971" t="s">
        <v>387</v>
      </c>
      <c r="F884" s="986"/>
      <c r="G884" s="987"/>
      <c r="H884" s="988"/>
      <c r="I884" s="989"/>
      <c r="J884" s="988"/>
      <c r="K884" s="993">
        <v>28.2</v>
      </c>
      <c r="L884" s="991"/>
      <c r="M884" s="988"/>
      <c r="N884" s="1136"/>
      <c r="O884" s="1046"/>
      <c r="P884" s="988"/>
      <c r="Q884" s="1136"/>
      <c r="R884" s="1046"/>
      <c r="S884" s="988"/>
      <c r="T884" s="1136"/>
      <c r="U884" s="988"/>
      <c r="V884" s="993"/>
      <c r="W884" s="1021">
        <f t="shared" si="531"/>
        <v>2.256E-2</v>
      </c>
      <c r="X884" s="1022">
        <f t="shared" si="532"/>
        <v>2.256E-2</v>
      </c>
      <c r="Y884" s="996">
        <v>2005</v>
      </c>
      <c r="Z884" s="1008"/>
      <c r="AA884" s="1008">
        <f t="shared" si="534"/>
        <v>2.8199999999999999E-2</v>
      </c>
      <c r="AB884" s="998">
        <v>-0.2</v>
      </c>
      <c r="AC884" s="999">
        <f t="shared" si="533"/>
        <v>-0.2</v>
      </c>
      <c r="AD884" s="1137"/>
      <c r="AE884" s="1000"/>
      <c r="AF884" s="1001"/>
      <c r="AG884" s="1002"/>
      <c r="AH884" s="1003"/>
      <c r="AI884" s="996"/>
      <c r="AJ884" s="1004"/>
      <c r="AK884" s="1005"/>
      <c r="AL884" s="1006"/>
      <c r="AM884" s="1007"/>
      <c r="AN884" s="1000"/>
      <c r="AO884" s="1011"/>
      <c r="AP884" s="1012"/>
      <c r="AQ884" s="1003"/>
      <c r="AR884" s="996"/>
      <c r="AS884" s="1004"/>
      <c r="AT884" s="1009"/>
      <c r="AU884" s="1010"/>
      <c r="AV884" s="1000"/>
      <c r="AW884" s="1000"/>
      <c r="AX884" s="1011"/>
      <c r="AY884" s="1012"/>
      <c r="AZ884" s="1003"/>
      <c r="BA884" s="996"/>
      <c r="BB884" s="1004"/>
      <c r="BC884" s="1009"/>
      <c r="BD884" s="1013"/>
      <c r="BE884" s="1007"/>
      <c r="BF884" s="1000"/>
      <c r="BG884" s="1011"/>
      <c r="BH884" s="1012"/>
      <c r="BI884" s="1003"/>
      <c r="BJ884" s="996"/>
      <c r="BK884" s="1004"/>
      <c r="BL884" s="1009"/>
      <c r="BM884" s="1013"/>
      <c r="BN884" s="1007"/>
      <c r="BO884" s="1000"/>
      <c r="BP884" s="1138"/>
      <c r="BQ884" s="1139"/>
      <c r="BR884" s="1016"/>
      <c r="BS884" s="996"/>
      <c r="BT884" s="1004"/>
      <c r="BU884" s="1009"/>
      <c r="BV884" s="1010"/>
      <c r="BW884" s="304"/>
      <c r="BX884" s="313"/>
      <c r="BY884" s="1017"/>
    </row>
    <row r="885" spans="1:77" ht="15" customHeight="1" x14ac:dyDescent="0.2">
      <c r="A885" s="57" t="s">
        <v>17</v>
      </c>
      <c r="B885" s="162" t="s">
        <v>447</v>
      </c>
      <c r="C885" s="57"/>
      <c r="D885" s="546">
        <v>11853</v>
      </c>
      <c r="E885" s="162" t="s">
        <v>387</v>
      </c>
      <c r="F885" s="358"/>
      <c r="G885" s="65"/>
      <c r="H885" s="73"/>
      <c r="I885" s="90"/>
      <c r="J885" s="73"/>
      <c r="K885" s="66">
        <v>50</v>
      </c>
      <c r="L885" s="717">
        <v>2012</v>
      </c>
      <c r="M885" s="73"/>
      <c r="N885" s="359">
        <f>K885*0.82</f>
        <v>41</v>
      </c>
      <c r="O885" s="1041"/>
      <c r="P885" s="73"/>
      <c r="Q885" s="359"/>
      <c r="R885" s="1041"/>
      <c r="S885" s="73"/>
      <c r="T885" s="359"/>
      <c r="U885" s="73"/>
      <c r="V885" s="66"/>
      <c r="W885" s="594">
        <f t="shared" si="531"/>
        <v>3.5999999999999997E-2</v>
      </c>
      <c r="X885" s="595">
        <f t="shared" si="532"/>
        <v>3.5999999999999997E-2</v>
      </c>
      <c r="Y885" s="52">
        <v>2005</v>
      </c>
      <c r="Z885" s="596"/>
      <c r="AA885" s="596">
        <f t="shared" si="534"/>
        <v>0.05</v>
      </c>
      <c r="AB885" s="256">
        <v>-0.28000000000000003</v>
      </c>
      <c r="AC885" s="688">
        <f t="shared" si="533"/>
        <v>-0.28000000000000003</v>
      </c>
      <c r="AD885" s="1032"/>
      <c r="AE885" s="164"/>
      <c r="AF885" s="25"/>
      <c r="AG885" s="26"/>
      <c r="AH885" s="275"/>
      <c r="AI885" s="52"/>
      <c r="AJ885" s="35"/>
      <c r="AK885" s="289"/>
      <c r="AL885" s="290"/>
      <c r="AM885" s="211"/>
      <c r="AN885" s="164"/>
      <c r="AO885" s="76"/>
      <c r="AP885" s="44"/>
      <c r="AQ885" s="275"/>
      <c r="AR885" s="52"/>
      <c r="AS885" s="35"/>
      <c r="AT885" s="79"/>
      <c r="AU885" s="212"/>
      <c r="AV885" s="164"/>
      <c r="AW885" s="164"/>
      <c r="AX885" s="76"/>
      <c r="AY885" s="44"/>
      <c r="AZ885" s="275"/>
      <c r="BA885" s="52"/>
      <c r="BB885" s="35"/>
      <c r="BC885" s="79"/>
      <c r="BD885" s="230"/>
      <c r="BE885" s="211"/>
      <c r="BF885" s="164"/>
      <c r="BG885" s="76"/>
      <c r="BH885" s="44"/>
      <c r="BI885" s="275"/>
      <c r="BJ885" s="52"/>
      <c r="BK885" s="35"/>
      <c r="BL885" s="79"/>
      <c r="BM885" s="230"/>
      <c r="BN885" s="211"/>
      <c r="BO885" s="164"/>
      <c r="BP885" s="584"/>
      <c r="BQ885" s="585"/>
      <c r="BR885" s="299"/>
      <c r="BS885" s="52"/>
      <c r="BT885" s="35"/>
      <c r="BU885" s="79"/>
      <c r="BV885" s="212"/>
      <c r="BW885" s="304"/>
      <c r="BX885" s="313"/>
      <c r="BY885" s="138"/>
    </row>
    <row r="886" spans="1:77" ht="15" customHeight="1" x14ac:dyDescent="0.2">
      <c r="A886" s="57" t="s">
        <v>17</v>
      </c>
      <c r="B886" s="162" t="s">
        <v>477</v>
      </c>
      <c r="C886" s="583" t="s">
        <v>349</v>
      </c>
      <c r="D886" s="546">
        <v>2210.875</v>
      </c>
      <c r="E886" s="162" t="s">
        <v>380</v>
      </c>
      <c r="F886" s="358"/>
      <c r="G886" s="65"/>
      <c r="H886" s="73"/>
      <c r="I886" s="90">
        <v>2004</v>
      </c>
      <c r="J886" s="73"/>
      <c r="K886" s="66">
        <v>25</v>
      </c>
      <c r="L886" s="717"/>
      <c r="M886" s="73"/>
      <c r="N886" s="359"/>
      <c r="O886" s="1041">
        <v>2014</v>
      </c>
      <c r="P886" s="73"/>
      <c r="Q886" s="359"/>
      <c r="R886" s="1041"/>
      <c r="S886" s="73"/>
      <c r="T886" s="359"/>
      <c r="U886" s="73"/>
      <c r="V886" s="66"/>
      <c r="W886" s="594">
        <f t="shared" si="531"/>
        <v>1.7499999999999998E-2</v>
      </c>
      <c r="X886" s="595">
        <f t="shared" si="532"/>
        <v>1.7499999999999998E-2</v>
      </c>
      <c r="Y886" s="52">
        <v>2004</v>
      </c>
      <c r="Z886" s="596"/>
      <c r="AA886" s="596">
        <f t="shared" si="534"/>
        <v>2.5000000000000001E-2</v>
      </c>
      <c r="AB886" s="256">
        <v>-0.3</v>
      </c>
      <c r="AC886" s="688">
        <f>AB886</f>
        <v>-0.3</v>
      </c>
      <c r="AD886" s="1032"/>
      <c r="AE886" s="164"/>
      <c r="AF886" s="25"/>
      <c r="AG886" s="26"/>
      <c r="AH886" s="275"/>
      <c r="AI886" s="52"/>
      <c r="AJ886" s="35"/>
      <c r="AK886" s="289"/>
      <c r="AL886" s="290"/>
      <c r="AM886" s="211"/>
      <c r="AN886" s="164"/>
      <c r="AO886" s="76"/>
      <c r="AP886" s="44"/>
      <c r="AQ886" s="275"/>
      <c r="AR886" s="52"/>
      <c r="AS886" s="35"/>
      <c r="AT886" s="79"/>
      <c r="AU886" s="212"/>
      <c r="AV886" s="164"/>
      <c r="AW886" s="164"/>
      <c r="AX886" s="76"/>
      <c r="AY886" s="44"/>
      <c r="AZ886" s="275"/>
      <c r="BA886" s="52"/>
      <c r="BB886" s="35"/>
      <c r="BC886" s="79"/>
      <c r="BD886" s="230"/>
      <c r="BE886" s="211"/>
      <c r="BF886" s="164"/>
      <c r="BG886" s="76"/>
      <c r="BH886" s="44"/>
      <c r="BI886" s="275"/>
      <c r="BJ886" s="52"/>
      <c r="BK886" s="35"/>
      <c r="BL886" s="79"/>
      <c r="BM886" s="230"/>
      <c r="BN886" s="211"/>
      <c r="BO886" s="164"/>
      <c r="BP886" s="584">
        <f>+BT886*(1+BU886)</f>
        <v>0</v>
      </c>
      <c r="BQ886" s="585">
        <f>BT886*(1+BV886)</f>
        <v>0</v>
      </c>
      <c r="BR886" s="299">
        <v>2004</v>
      </c>
      <c r="BS886" s="35"/>
      <c r="BT886" s="35">
        <f>+K886/1000</f>
        <v>2.5000000000000001E-2</v>
      </c>
      <c r="BU886" s="977">
        <v>-1</v>
      </c>
      <c r="BV886" s="1253">
        <f t="shared" ref="BV886" si="538">BU886</f>
        <v>-1</v>
      </c>
      <c r="BW886" s="304"/>
      <c r="BX886" s="313"/>
      <c r="BY886" s="300" t="s">
        <v>351</v>
      </c>
    </row>
    <row r="887" spans="1:77" ht="15" customHeight="1" x14ac:dyDescent="0.2">
      <c r="A887" s="57" t="s">
        <v>17</v>
      </c>
      <c r="B887" s="162" t="s">
        <v>353</v>
      </c>
      <c r="C887" s="57"/>
      <c r="D887" s="546">
        <v>841</v>
      </c>
      <c r="E887" s="162" t="s">
        <v>2919</v>
      </c>
      <c r="F887" s="358"/>
      <c r="G887" s="65"/>
      <c r="H887" s="73"/>
      <c r="I887" s="90">
        <v>2011</v>
      </c>
      <c r="J887" s="73"/>
      <c r="K887" s="66">
        <v>4.6589999999999998</v>
      </c>
      <c r="L887" s="717" t="s">
        <v>354</v>
      </c>
      <c r="M887" s="73"/>
      <c r="N887" s="359"/>
      <c r="O887" s="1041"/>
      <c r="P887" s="73">
        <v>4.3285119999999999</v>
      </c>
      <c r="Q887" s="359">
        <v>4.8383479999999999</v>
      </c>
      <c r="R887" s="1041"/>
      <c r="S887" s="73"/>
      <c r="T887" s="359"/>
      <c r="U887" s="73"/>
      <c r="V887" s="66"/>
      <c r="W887" s="594">
        <f>AA887*(1+AB887)</f>
        <v>4.1931E-3</v>
      </c>
      <c r="X887" s="595">
        <f>AA887*(1+AC887)</f>
        <v>4.1931E-3</v>
      </c>
      <c r="Y887" s="52">
        <v>2011</v>
      </c>
      <c r="Z887" s="596"/>
      <c r="AA887" s="596">
        <f t="shared" si="534"/>
        <v>4.6589999999999999E-3</v>
      </c>
      <c r="AB887" s="256">
        <v>-0.1</v>
      </c>
      <c r="AC887" s="688">
        <f>AB887</f>
        <v>-0.1</v>
      </c>
      <c r="AD887" s="1032"/>
      <c r="AE887" s="164"/>
      <c r="AF887" s="25"/>
      <c r="AG887" s="26"/>
      <c r="AH887" s="275"/>
      <c r="AI887" s="52"/>
      <c r="AJ887" s="35"/>
      <c r="AK887" s="289"/>
      <c r="AL887" s="290"/>
      <c r="AM887" s="211"/>
      <c r="AN887" s="164"/>
      <c r="AO887" s="76"/>
      <c r="AP887" s="44"/>
      <c r="AQ887" s="275"/>
      <c r="AR887" s="52"/>
      <c r="AS887" s="35"/>
      <c r="AT887" s="79"/>
      <c r="AU887" s="212"/>
      <c r="AV887" s="164"/>
      <c r="AW887" s="164"/>
      <c r="AX887" s="76"/>
      <c r="AY887" s="44"/>
      <c r="AZ887" s="275"/>
      <c r="BA887" s="52"/>
      <c r="BB887" s="35"/>
      <c r="BC887" s="79"/>
      <c r="BD887" s="230"/>
      <c r="BE887" s="211"/>
      <c r="BF887" s="164"/>
      <c r="BG887" s="76"/>
      <c r="BH887" s="44"/>
      <c r="BI887" s="275"/>
      <c r="BJ887" s="52"/>
      <c r="BK887" s="35"/>
      <c r="BL887" s="79"/>
      <c r="BM887" s="230"/>
      <c r="BN887" s="211"/>
      <c r="BO887" s="164"/>
      <c r="BP887" s="76"/>
      <c r="BQ887" s="44"/>
      <c r="BR887" s="299"/>
      <c r="BS887" s="52"/>
      <c r="BT887" s="35"/>
      <c r="BU887" s="79"/>
      <c r="BV887" s="212"/>
      <c r="BW887" s="304"/>
      <c r="BX887" s="313"/>
      <c r="BY887" s="138"/>
    </row>
    <row r="888" spans="1:77" ht="15" customHeight="1" x14ac:dyDescent="0.2">
      <c r="A888" s="57" t="s">
        <v>17</v>
      </c>
      <c r="B888" s="162" t="s">
        <v>355</v>
      </c>
      <c r="C888" s="57"/>
      <c r="D888" s="546">
        <v>269</v>
      </c>
      <c r="E888" s="162" t="s">
        <v>1609</v>
      </c>
      <c r="F888" s="358"/>
      <c r="G888" s="65"/>
      <c r="H888" s="73"/>
      <c r="I888" s="90"/>
      <c r="J888" s="73"/>
      <c r="K888" s="66"/>
      <c r="L888" s="717"/>
      <c r="M888" s="73"/>
      <c r="N888" s="359">
        <v>4.26</v>
      </c>
      <c r="O888" s="1041"/>
      <c r="P888" s="73"/>
      <c r="Q888" s="359"/>
      <c r="R888" s="1041"/>
      <c r="S888" s="73"/>
      <c r="T888" s="359"/>
      <c r="U888" s="73"/>
      <c r="V888" s="66"/>
      <c r="W888" s="594"/>
      <c r="X888" s="595"/>
      <c r="Y888" s="52"/>
      <c r="Z888" s="596"/>
      <c r="AA888" s="596"/>
      <c r="AB888" s="256"/>
      <c r="AC888" s="688"/>
      <c r="AD888" s="1032"/>
      <c r="AE888" s="164"/>
      <c r="AF888" s="25"/>
      <c r="AG888" s="26"/>
      <c r="AH888" s="275"/>
      <c r="AI888" s="52"/>
      <c r="AJ888" s="35"/>
      <c r="AK888" s="289"/>
      <c r="AL888" s="290"/>
      <c r="AM888" s="211"/>
      <c r="AN888" s="164"/>
      <c r="AO888" s="594">
        <f t="shared" ref="AO888" si="539">AS888*(1+AT888)</f>
        <v>1.0985E-4</v>
      </c>
      <c r="AP888" s="595">
        <f t="shared" ref="AP888" si="540">AS888*(1+AU888)</f>
        <v>1.0985E-4</v>
      </c>
      <c r="AQ888" s="275">
        <v>2030</v>
      </c>
      <c r="AR888" s="52"/>
      <c r="AS888" s="596">
        <f>0.000169</f>
        <v>1.6899999999999999E-4</v>
      </c>
      <c r="AT888" s="79">
        <v>-0.35</v>
      </c>
      <c r="AU888" s="212">
        <f>AT888</f>
        <v>-0.35</v>
      </c>
      <c r="AV888" s="164"/>
      <c r="AW888" s="164"/>
      <c r="AX888" s="76"/>
      <c r="AY888" s="44"/>
      <c r="AZ888" s="275"/>
      <c r="BA888" s="52"/>
      <c r="BB888" s="35"/>
      <c r="BC888" s="79"/>
      <c r="BD888" s="230"/>
      <c r="BE888" s="211"/>
      <c r="BF888" s="164"/>
      <c r="BG888" s="76"/>
      <c r="BH888" s="44"/>
      <c r="BI888" s="275"/>
      <c r="BJ888" s="52"/>
      <c r="BK888" s="35"/>
      <c r="BL888" s="79"/>
      <c r="BM888" s="230"/>
      <c r="BN888" s="211"/>
      <c r="BO888" s="164"/>
      <c r="BP888" s="76"/>
      <c r="BQ888" s="44"/>
      <c r="BR888" s="299"/>
      <c r="BS888" s="52"/>
      <c r="BT888" s="35"/>
      <c r="BU888" s="79"/>
      <c r="BV888" s="212"/>
      <c r="BW888" s="304"/>
      <c r="BX888" s="313"/>
      <c r="BY888" s="138"/>
    </row>
    <row r="889" spans="1:77" ht="15" customHeight="1" x14ac:dyDescent="0.2">
      <c r="A889" s="57" t="s">
        <v>17</v>
      </c>
      <c r="B889" s="162" t="s">
        <v>2566</v>
      </c>
      <c r="C889" s="57"/>
      <c r="D889" s="546">
        <f>2799+5000</f>
        <v>7799</v>
      </c>
      <c r="E889" s="162" t="s">
        <v>2550</v>
      </c>
      <c r="F889" s="358"/>
      <c r="G889" s="65"/>
      <c r="H889" s="73"/>
      <c r="I889" s="90"/>
      <c r="J889" s="73"/>
      <c r="K889" s="723">
        <f>15.6+18.5</f>
        <v>34.1</v>
      </c>
      <c r="L889" s="717"/>
      <c r="M889" s="73"/>
      <c r="N889" s="359"/>
      <c r="O889" s="1041"/>
      <c r="P889" s="73"/>
      <c r="Q889" s="359"/>
      <c r="R889" s="1041"/>
      <c r="S889" s="73"/>
      <c r="T889" s="359"/>
      <c r="U889" s="73"/>
      <c r="V889" s="66"/>
      <c r="W889" s="802" t="s">
        <v>2567</v>
      </c>
      <c r="X889" s="595"/>
      <c r="Y889" s="52"/>
      <c r="Z889" s="596"/>
      <c r="AA889" s="596"/>
      <c r="AB889" s="256"/>
      <c r="AC889" s="688"/>
      <c r="AD889" s="1032"/>
      <c r="AE889" s="164"/>
      <c r="AF889" s="25"/>
      <c r="AG889" s="26"/>
      <c r="AH889" s="275"/>
      <c r="AI889" s="52"/>
      <c r="AJ889" s="35"/>
      <c r="AK889" s="289"/>
      <c r="AL889" s="290"/>
      <c r="AM889" s="211"/>
      <c r="AN889" s="164"/>
      <c r="AO889" s="594"/>
      <c r="AP889" s="595"/>
      <c r="AQ889" s="275"/>
      <c r="AR889" s="52"/>
      <c r="AS889" s="596"/>
      <c r="AT889" s="79"/>
      <c r="AU889" s="212"/>
      <c r="AV889" s="164"/>
      <c r="AW889" s="164"/>
      <c r="AX889" s="76"/>
      <c r="AY889" s="44"/>
      <c r="AZ889" s="275"/>
      <c r="BA889" s="52"/>
      <c r="BB889" s="35"/>
      <c r="BC889" s="79"/>
      <c r="BD889" s="230"/>
      <c r="BE889" s="211"/>
      <c r="BF889" s="164"/>
      <c r="BG889" s="76"/>
      <c r="BH889" s="44"/>
      <c r="BI889" s="275"/>
      <c r="BJ889" s="52"/>
      <c r="BK889" s="35"/>
      <c r="BL889" s="79"/>
      <c r="BM889" s="230"/>
      <c r="BN889" s="211"/>
      <c r="BO889" s="164"/>
      <c r="BP889" s="802" t="s">
        <v>2568</v>
      </c>
      <c r="BQ889" s="44"/>
      <c r="BR889" s="299"/>
      <c r="BS889" s="52"/>
      <c r="BT889" s="35"/>
      <c r="BU889" s="79"/>
      <c r="BV889" s="212"/>
      <c r="BW889" s="304"/>
      <c r="BX889" s="313"/>
      <c r="BY889" s="138"/>
    </row>
    <row r="890" spans="1:77" ht="15" customHeight="1" x14ac:dyDescent="0.2">
      <c r="A890" s="57" t="s">
        <v>17</v>
      </c>
      <c r="B890" s="162" t="s">
        <v>448</v>
      </c>
      <c r="C890" s="57"/>
      <c r="D890" s="546">
        <v>3500</v>
      </c>
      <c r="E890" s="162" t="s">
        <v>387</v>
      </c>
      <c r="F890" s="358"/>
      <c r="G890" s="65"/>
      <c r="H890" s="73">
        <v>2.81</v>
      </c>
      <c r="I890" s="90"/>
      <c r="J890" s="73"/>
      <c r="K890" s="66"/>
      <c r="L890" s="717"/>
      <c r="M890" s="73"/>
      <c r="N890" s="359"/>
      <c r="O890" s="1041"/>
      <c r="P890" s="73"/>
      <c r="Q890" s="359"/>
      <c r="R890" s="1041"/>
      <c r="S890" s="73"/>
      <c r="T890" s="359"/>
      <c r="U890" s="73"/>
      <c r="V890" s="66"/>
      <c r="W890" s="594">
        <f>AA890*(1+AB890)</f>
        <v>2.248E-3</v>
      </c>
      <c r="X890" s="595">
        <f>AA890*(1+AC890)</f>
        <v>2.248E-3</v>
      </c>
      <c r="Y890" s="52">
        <v>1990</v>
      </c>
      <c r="Z890" s="596"/>
      <c r="AA890" s="596">
        <f>+H890/1000</f>
        <v>2.81E-3</v>
      </c>
      <c r="AB890" s="256">
        <v>-0.2</v>
      </c>
      <c r="AC890" s="688">
        <f>AB890</f>
        <v>-0.2</v>
      </c>
      <c r="AD890" s="1032"/>
      <c r="AE890" s="164"/>
      <c r="AF890" s="25"/>
      <c r="AG890" s="26"/>
      <c r="AH890" s="275"/>
      <c r="AI890" s="52"/>
      <c r="AJ890" s="35"/>
      <c r="AK890" s="289"/>
      <c r="AL890" s="290"/>
      <c r="AM890" s="211"/>
      <c r="AN890" s="164"/>
      <c r="AO890" s="594"/>
      <c r="AP890" s="595"/>
      <c r="AQ890" s="275"/>
      <c r="AR890" s="52"/>
      <c r="AS890" s="35"/>
      <c r="AT890" s="79"/>
      <c r="AU890" s="212"/>
      <c r="AV890" s="164"/>
      <c r="AW890" s="164"/>
      <c r="AX890" s="76"/>
      <c r="AY890" s="44"/>
      <c r="AZ890" s="275"/>
      <c r="BA890" s="52"/>
      <c r="BB890" s="35"/>
      <c r="BC890" s="79"/>
      <c r="BD890" s="230"/>
      <c r="BE890" s="211"/>
      <c r="BF890" s="164"/>
      <c r="BG890" s="76"/>
      <c r="BH890" s="44"/>
      <c r="BI890" s="275"/>
      <c r="BJ890" s="52"/>
      <c r="BK890" s="35"/>
      <c r="BL890" s="79"/>
      <c r="BM890" s="230"/>
      <c r="BN890" s="211"/>
      <c r="BO890" s="164"/>
      <c r="BP890" s="584">
        <f>+BT890*(1+BU890)</f>
        <v>1.405E-3</v>
      </c>
      <c r="BQ890" s="585">
        <f>BT890*(1+BV890)</f>
        <v>1.405E-3</v>
      </c>
      <c r="BR890" s="299">
        <v>1990</v>
      </c>
      <c r="BS890" s="35"/>
      <c r="BT890" s="35">
        <f>+H890/1000</f>
        <v>2.81E-3</v>
      </c>
      <c r="BU890" s="79">
        <v>-0.5</v>
      </c>
      <c r="BV890" s="212">
        <f>BU890</f>
        <v>-0.5</v>
      </c>
      <c r="BW890" s="304"/>
      <c r="BX890" s="313"/>
      <c r="BY890" s="138"/>
    </row>
    <row r="891" spans="1:77" ht="15" customHeight="1" x14ac:dyDescent="0.2">
      <c r="A891" s="57" t="s">
        <v>17</v>
      </c>
      <c r="B891" s="162" t="s">
        <v>477</v>
      </c>
      <c r="C891" s="583" t="s">
        <v>586</v>
      </c>
      <c r="D891" s="546">
        <v>600</v>
      </c>
      <c r="E891" s="162" t="s">
        <v>392</v>
      </c>
      <c r="F891" s="358"/>
      <c r="G891" s="65"/>
      <c r="H891" s="73"/>
      <c r="I891" s="90">
        <v>2003</v>
      </c>
      <c r="J891" s="73"/>
      <c r="K891" s="66">
        <v>2.0760000000000001</v>
      </c>
      <c r="L891" s="717"/>
      <c r="M891" s="73"/>
      <c r="N891" s="359"/>
      <c r="O891" s="1041"/>
      <c r="P891" s="73"/>
      <c r="Q891" s="359"/>
      <c r="R891" s="1041"/>
      <c r="S891" s="73"/>
      <c r="T891" s="359"/>
      <c r="U891" s="73"/>
      <c r="V891" s="66"/>
      <c r="W891" s="594">
        <f>AA891*(1+AB891)</f>
        <v>1.4532E-3</v>
      </c>
      <c r="X891" s="595">
        <f>AA891*(1+AC891)</f>
        <v>1.4532E-3</v>
      </c>
      <c r="Y891" s="52">
        <v>2003</v>
      </c>
      <c r="Z891" s="596"/>
      <c r="AA891" s="596">
        <f>+K891/1000</f>
        <v>2.0760000000000002E-3</v>
      </c>
      <c r="AB891" s="256">
        <v>-0.3</v>
      </c>
      <c r="AC891" s="688">
        <f>AB891</f>
        <v>-0.3</v>
      </c>
      <c r="AD891" s="1032"/>
      <c r="AE891" s="164"/>
      <c r="AF891" s="25"/>
      <c r="AG891" s="26"/>
      <c r="AH891" s="275"/>
      <c r="AI891" s="52"/>
      <c r="AJ891" s="35"/>
      <c r="AK891" s="289"/>
      <c r="AL891" s="290"/>
      <c r="AM891" s="211"/>
      <c r="AN891" s="164"/>
      <c r="AO891" s="594"/>
      <c r="AP891" s="595"/>
      <c r="AQ891" s="275"/>
      <c r="AR891" s="52"/>
      <c r="AS891" s="35"/>
      <c r="AT891" s="79"/>
      <c r="AU891" s="212"/>
      <c r="AV891" s="164"/>
      <c r="AW891" s="164"/>
      <c r="AX891" s="76"/>
      <c r="AY891" s="44"/>
      <c r="AZ891" s="275"/>
      <c r="BA891" s="52"/>
      <c r="BB891" s="35"/>
      <c r="BC891" s="79"/>
      <c r="BD891" s="230"/>
      <c r="BE891" s="211"/>
      <c r="BF891" s="164"/>
      <c r="BG891" s="76"/>
      <c r="BH891" s="44"/>
      <c r="BI891" s="275"/>
      <c r="BJ891" s="52"/>
      <c r="BK891" s="35"/>
      <c r="BL891" s="79"/>
      <c r="BM891" s="230"/>
      <c r="BN891" s="211"/>
      <c r="BO891" s="164"/>
      <c r="BP891" s="584"/>
      <c r="BQ891" s="585"/>
      <c r="BR891" s="299"/>
      <c r="BS891" s="35"/>
      <c r="BT891" s="35"/>
      <c r="BU891" s="79"/>
      <c r="BV891" s="212"/>
      <c r="BW891" s="304"/>
      <c r="BX891" s="313"/>
      <c r="BY891" s="138"/>
    </row>
    <row r="892" spans="1:77" s="135" customFormat="1" ht="15" customHeight="1" x14ac:dyDescent="0.2">
      <c r="A892" s="1020" t="s">
        <v>17</v>
      </c>
      <c r="B892" s="971" t="s">
        <v>2575</v>
      </c>
      <c r="C892" s="1020"/>
      <c r="D892" s="985">
        <v>1900</v>
      </c>
      <c r="E892" s="971" t="s">
        <v>387</v>
      </c>
      <c r="F892" s="986"/>
      <c r="G892" s="987"/>
      <c r="H892" s="988"/>
      <c r="I892" s="989">
        <v>2007</v>
      </c>
      <c r="J892" s="988"/>
      <c r="K892" s="993">
        <v>15.82</v>
      </c>
      <c r="L892" s="991"/>
      <c r="M892" s="988"/>
      <c r="N892" s="1136"/>
      <c r="O892" s="1046"/>
      <c r="P892" s="988"/>
      <c r="Q892" s="1136"/>
      <c r="R892" s="1046"/>
      <c r="S892" s="988"/>
      <c r="T892" s="1136"/>
      <c r="U892" s="988"/>
      <c r="V892" s="993"/>
      <c r="W892" s="1021">
        <f>AA892*(1+AB892)</f>
        <v>1.2656000000000001E-2</v>
      </c>
      <c r="X892" s="1022">
        <f>AA892*(1+AC892)</f>
        <v>1.2656000000000001E-2</v>
      </c>
      <c r="Y892" s="996">
        <v>2007</v>
      </c>
      <c r="Z892" s="1008"/>
      <c r="AA892" s="1008">
        <f>+K892/1000</f>
        <v>1.5820000000000001E-2</v>
      </c>
      <c r="AB892" s="998">
        <v>-0.2</v>
      </c>
      <c r="AC892" s="999">
        <f>AB892</f>
        <v>-0.2</v>
      </c>
      <c r="AD892" s="1137"/>
      <c r="AE892" s="1000"/>
      <c r="AF892" s="1001"/>
      <c r="AG892" s="1002"/>
      <c r="AH892" s="1003"/>
      <c r="AI892" s="996"/>
      <c r="AJ892" s="1004"/>
      <c r="AK892" s="1005"/>
      <c r="AL892" s="1006"/>
      <c r="AM892" s="1007"/>
      <c r="AN892" s="1000"/>
      <c r="AO892" s="1021"/>
      <c r="AP892" s="1022"/>
      <c r="AQ892" s="1003"/>
      <c r="AR892" s="996"/>
      <c r="AS892" s="1004"/>
      <c r="AT892" s="1009"/>
      <c r="AU892" s="1010"/>
      <c r="AV892" s="1000"/>
      <c r="AW892" s="1000"/>
      <c r="AX892" s="1011"/>
      <c r="AY892" s="1012"/>
      <c r="AZ892" s="1003"/>
      <c r="BA892" s="996"/>
      <c r="BB892" s="1004"/>
      <c r="BC892" s="1009"/>
      <c r="BD892" s="1013"/>
      <c r="BE892" s="1007"/>
      <c r="BF892" s="1000"/>
      <c r="BG892" s="1011"/>
      <c r="BH892" s="1012"/>
      <c r="BI892" s="1003"/>
      <c r="BJ892" s="996"/>
      <c r="BK892" s="1004"/>
      <c r="BL892" s="1009"/>
      <c r="BM892" s="1013"/>
      <c r="BN892" s="1007"/>
      <c r="BO892" s="1000"/>
      <c r="BP892" s="1138"/>
      <c r="BQ892" s="1139"/>
      <c r="BR892" s="1016"/>
      <c r="BS892" s="1004"/>
      <c r="BT892" s="1004"/>
      <c r="BU892" s="1009"/>
      <c r="BV892" s="1010"/>
      <c r="BW892" s="304"/>
      <c r="BX892" s="313"/>
      <c r="BY892" s="1017"/>
    </row>
    <row r="893" spans="1:77" ht="15" customHeight="1" x14ac:dyDescent="0.2">
      <c r="A893" s="57" t="s">
        <v>17</v>
      </c>
      <c r="B893" s="162" t="s">
        <v>477</v>
      </c>
      <c r="C893" s="583" t="s">
        <v>2179</v>
      </c>
      <c r="D893" s="546">
        <v>177</v>
      </c>
      <c r="E893" s="162" t="s">
        <v>387</v>
      </c>
      <c r="F893" s="358"/>
      <c r="G893" s="65"/>
      <c r="H893" s="73"/>
      <c r="I893" s="90"/>
      <c r="J893" s="73"/>
      <c r="K893" s="66"/>
      <c r="L893" s="717">
        <v>2012</v>
      </c>
      <c r="M893" s="73"/>
      <c r="N893" s="359">
        <v>0.63</v>
      </c>
      <c r="O893" s="1041"/>
      <c r="P893" s="73"/>
      <c r="Q893" s="359"/>
      <c r="R893" s="1041"/>
      <c r="S893" s="73"/>
      <c r="T893" s="359"/>
      <c r="U893" s="73"/>
      <c r="V893" s="66"/>
      <c r="W893" s="594">
        <f>AA893*(1+AB893)</f>
        <v>5.04E-4</v>
      </c>
      <c r="X893" s="595">
        <f>AA893*(1+AC893)</f>
        <v>5.04E-4</v>
      </c>
      <c r="Y893" s="52">
        <v>2012</v>
      </c>
      <c r="Z893" s="596"/>
      <c r="AA893" s="596">
        <f>+N893/1000</f>
        <v>6.3000000000000003E-4</v>
      </c>
      <c r="AB893" s="256">
        <v>-0.2</v>
      </c>
      <c r="AC893" s="688">
        <f>AB893</f>
        <v>-0.2</v>
      </c>
      <c r="AD893" s="1032"/>
      <c r="AE893" s="164"/>
      <c r="AF893" s="25"/>
      <c r="AG893" s="26"/>
      <c r="AH893" s="275"/>
      <c r="AI893" s="52"/>
      <c r="AJ893" s="35"/>
      <c r="AK893" s="289"/>
      <c r="AL893" s="290"/>
      <c r="AM893" s="211"/>
      <c r="AN893" s="164"/>
      <c r="AO893" s="594"/>
      <c r="AP893" s="595"/>
      <c r="AQ893" s="275"/>
      <c r="AR893" s="52"/>
      <c r="AS893" s="35"/>
      <c r="AT893" s="79"/>
      <c r="AU893" s="212"/>
      <c r="AV893" s="164"/>
      <c r="AW893" s="164"/>
      <c r="AX893" s="76"/>
      <c r="AY893" s="44"/>
      <c r="AZ893" s="275"/>
      <c r="BA893" s="52"/>
      <c r="BB893" s="35"/>
      <c r="BC893" s="79"/>
      <c r="BD893" s="230"/>
      <c r="BE893" s="211"/>
      <c r="BF893" s="164"/>
      <c r="BG893" s="76"/>
      <c r="BH893" s="44"/>
      <c r="BI893" s="275"/>
      <c r="BJ893" s="52"/>
      <c r="BK893" s="35"/>
      <c r="BL893" s="79"/>
      <c r="BM893" s="230"/>
      <c r="BN893" s="211"/>
      <c r="BO893" s="164"/>
      <c r="BP893" s="584"/>
      <c r="BQ893" s="585"/>
      <c r="BR893" s="299"/>
      <c r="BS893" s="35"/>
      <c r="BT893" s="35"/>
      <c r="BU893" s="79"/>
      <c r="BV893" s="212"/>
      <c r="BW893" s="304"/>
      <c r="BX893" s="313"/>
      <c r="BY893" s="138"/>
    </row>
    <row r="894" spans="1:77" ht="15" customHeight="1" x14ac:dyDescent="0.2">
      <c r="A894" s="57" t="s">
        <v>17</v>
      </c>
      <c r="B894" s="162" t="s">
        <v>352</v>
      </c>
      <c r="C894" s="57"/>
      <c r="D894" s="546">
        <v>5000</v>
      </c>
      <c r="E894" s="162" t="s">
        <v>2550</v>
      </c>
      <c r="F894" s="358"/>
      <c r="G894" s="65"/>
      <c r="H894" s="73"/>
      <c r="I894" s="90">
        <v>2007</v>
      </c>
      <c r="J894" s="73"/>
      <c r="K894" s="66">
        <v>47.7</v>
      </c>
      <c r="L894" s="717">
        <v>2013</v>
      </c>
      <c r="M894" s="73"/>
      <c r="N894" s="359">
        <v>33</v>
      </c>
      <c r="O894" s="1041">
        <v>2014</v>
      </c>
      <c r="P894" s="73"/>
      <c r="Q894" s="359">
        <f>N894*(1-0.27)</f>
        <v>24.09</v>
      </c>
      <c r="R894" s="1041"/>
      <c r="S894" s="73"/>
      <c r="T894" s="359"/>
      <c r="U894" s="73"/>
      <c r="V894" s="66"/>
      <c r="W894" s="1132">
        <f t="shared" ref="W894:W897" si="541">AA894*(1+AB894)</f>
        <v>3.8160000000000006E-2</v>
      </c>
      <c r="X894" s="1133">
        <f t="shared" ref="X894:X897" si="542">AA894*(1+AC894)</f>
        <v>3.8160000000000006E-2</v>
      </c>
      <c r="Y894" s="52">
        <v>2007</v>
      </c>
      <c r="Z894" s="596"/>
      <c r="AA894" s="596">
        <f>+K894/1000</f>
        <v>4.7700000000000006E-2</v>
      </c>
      <c r="AB894" s="1109">
        <v>-0.2</v>
      </c>
      <c r="AC894" s="1110">
        <f t="shared" ref="AC894:AC897" si="543">AB894</f>
        <v>-0.2</v>
      </c>
      <c r="AD894" s="1032"/>
      <c r="AE894" s="164"/>
      <c r="AF894" s="25"/>
      <c r="AG894" s="26"/>
      <c r="AH894" s="275"/>
      <c r="AI894" s="52"/>
      <c r="AJ894" s="35"/>
      <c r="AK894" s="289"/>
      <c r="AL894" s="290"/>
      <c r="AM894" s="211"/>
      <c r="AN894" s="164"/>
      <c r="AO894" s="594">
        <f>AS894*(1+AT894)</f>
        <v>3.1005000000000005E-2</v>
      </c>
      <c r="AP894" s="595">
        <f>AS894*(1+AU894)</f>
        <v>3.1005000000000005E-2</v>
      </c>
      <c r="AQ894" s="275">
        <v>2007</v>
      </c>
      <c r="AR894" s="52"/>
      <c r="AS894" s="596">
        <f>+K894/1000</f>
        <v>4.7700000000000006E-2</v>
      </c>
      <c r="AT894" s="79">
        <v>-0.35</v>
      </c>
      <c r="AU894" s="212">
        <f>AT894</f>
        <v>-0.35</v>
      </c>
      <c r="AV894" s="164"/>
      <c r="AW894" s="164"/>
      <c r="AX894" s="76"/>
      <c r="AY894" s="44"/>
      <c r="AZ894" s="275"/>
      <c r="BA894" s="52"/>
      <c r="BB894" s="35"/>
      <c r="BC894" s="79"/>
      <c r="BD894" s="230"/>
      <c r="BE894" s="211"/>
      <c r="BF894" s="164"/>
      <c r="BG894" s="76"/>
      <c r="BH894" s="44"/>
      <c r="BI894" s="275"/>
      <c r="BJ894" s="52"/>
      <c r="BK894" s="35"/>
      <c r="BL894" s="79"/>
      <c r="BM894" s="230"/>
      <c r="BN894" s="211"/>
      <c r="BO894" s="164"/>
      <c r="BP894" s="76"/>
      <c r="BQ894" s="44"/>
      <c r="BR894" s="299"/>
      <c r="BS894" s="52"/>
      <c r="BT894" s="35"/>
      <c r="BU894" s="79"/>
      <c r="BV894" s="212"/>
      <c r="BW894" s="304"/>
      <c r="BX894" s="313"/>
      <c r="BY894" s="138"/>
    </row>
    <row r="895" spans="1:77" ht="15" customHeight="1" x14ac:dyDescent="0.2">
      <c r="A895" s="57" t="s">
        <v>17</v>
      </c>
      <c r="B895" s="583" t="s">
        <v>477</v>
      </c>
      <c r="C895" s="583" t="s">
        <v>811</v>
      </c>
      <c r="D895" s="546">
        <v>520</v>
      </c>
      <c r="E895" s="162" t="s">
        <v>631</v>
      </c>
      <c r="F895" s="358"/>
      <c r="G895" s="65"/>
      <c r="H895" s="73"/>
      <c r="I895" s="90"/>
      <c r="J895" s="73"/>
      <c r="K895" s="66"/>
      <c r="L895" s="717">
        <v>2010</v>
      </c>
      <c r="M895" s="73"/>
      <c r="N895" s="796">
        <v>0.85275800000000002</v>
      </c>
      <c r="O895" s="1041"/>
      <c r="P895" s="73"/>
      <c r="Q895" s="796"/>
      <c r="R895" s="1041"/>
      <c r="S895" s="73"/>
      <c r="T895" s="796"/>
      <c r="U895" s="73"/>
      <c r="V895" s="66"/>
      <c r="W895" s="594">
        <f t="shared" si="541"/>
        <v>6.3104092000000004E-4</v>
      </c>
      <c r="X895" s="595">
        <f t="shared" si="542"/>
        <v>6.3104092000000004E-4</v>
      </c>
      <c r="Y895" s="52">
        <v>2010</v>
      </c>
      <c r="Z895" s="596"/>
      <c r="AA895" s="596">
        <f>+N895/1000</f>
        <v>8.5275800000000001E-4</v>
      </c>
      <c r="AB895" s="256">
        <v>-0.26</v>
      </c>
      <c r="AC895" s="688">
        <f t="shared" si="543"/>
        <v>-0.26</v>
      </c>
      <c r="AD895" s="1032"/>
      <c r="AE895" s="164"/>
      <c r="AF895" s="25"/>
      <c r="AG895" s="26"/>
      <c r="AH895" s="275"/>
      <c r="AI895" s="52"/>
      <c r="AJ895" s="35"/>
      <c r="AK895" s="289"/>
      <c r="AL895" s="290"/>
      <c r="AM895" s="211"/>
      <c r="AN895" s="164"/>
      <c r="AO895" s="594"/>
      <c r="AP895" s="595"/>
      <c r="AQ895" s="275"/>
      <c r="AR895" s="52"/>
      <c r="AS895" s="596"/>
      <c r="AT895" s="79"/>
      <c r="AU895" s="212"/>
      <c r="AV895" s="164"/>
      <c r="AW895" s="164"/>
      <c r="AX895" s="76"/>
      <c r="AY895" s="44"/>
      <c r="AZ895" s="275"/>
      <c r="BA895" s="52"/>
      <c r="BB895" s="35"/>
      <c r="BC895" s="79"/>
      <c r="BD895" s="230"/>
      <c r="BE895" s="211"/>
      <c r="BF895" s="164"/>
      <c r="BG895" s="76"/>
      <c r="BH895" s="44"/>
      <c r="BI895" s="275"/>
      <c r="BJ895" s="52"/>
      <c r="BK895" s="35"/>
      <c r="BL895" s="79"/>
      <c r="BM895" s="230"/>
      <c r="BN895" s="211"/>
      <c r="BO895" s="164"/>
      <c r="BP895" s="76"/>
      <c r="BQ895" s="44"/>
      <c r="BR895" s="299"/>
      <c r="BS895" s="52"/>
      <c r="BT895" s="35"/>
      <c r="BU895" s="79"/>
      <c r="BV895" s="212"/>
      <c r="BW895" s="304"/>
      <c r="BX895" s="313"/>
      <c r="BY895" s="138"/>
    </row>
    <row r="896" spans="1:77" ht="15" customHeight="1" x14ac:dyDescent="0.2">
      <c r="A896" s="57" t="s">
        <v>17</v>
      </c>
      <c r="B896" s="583"/>
      <c r="C896" s="583" t="s">
        <v>808</v>
      </c>
      <c r="D896" s="546">
        <v>21</v>
      </c>
      <c r="E896" s="162" t="s">
        <v>381</v>
      </c>
      <c r="F896" s="358"/>
      <c r="G896" s="65"/>
      <c r="H896" s="73"/>
      <c r="I896" s="90"/>
      <c r="J896" s="73"/>
      <c r="K896" s="66"/>
      <c r="L896" s="717">
        <v>2009</v>
      </c>
      <c r="M896" s="73"/>
      <c r="N896" s="738">
        <v>5.8199999999999997E-3</v>
      </c>
      <c r="O896" s="1041"/>
      <c r="P896" s="73"/>
      <c r="Q896" s="738"/>
      <c r="R896" s="1041"/>
      <c r="S896" s="73"/>
      <c r="T896" s="738"/>
      <c r="U896" s="73"/>
      <c r="V896" s="66"/>
      <c r="W896" s="788">
        <f t="shared" si="541"/>
        <v>4.0739999999999994E-6</v>
      </c>
      <c r="X896" s="789">
        <f t="shared" si="542"/>
        <v>4.0739999999999994E-6</v>
      </c>
      <c r="Y896" s="52">
        <v>2009</v>
      </c>
      <c r="Z896" s="596"/>
      <c r="AA896" s="739">
        <f>+N896/1000</f>
        <v>5.8199999999999993E-6</v>
      </c>
      <c r="AB896" s="256">
        <v>-0.3</v>
      </c>
      <c r="AC896" s="688">
        <f t="shared" si="543"/>
        <v>-0.3</v>
      </c>
      <c r="AD896" s="1032"/>
      <c r="AE896" s="164"/>
      <c r="AF896" s="25"/>
      <c r="AG896" s="26"/>
      <c r="AH896" s="275"/>
      <c r="AI896" s="52"/>
      <c r="AJ896" s="35"/>
      <c r="AK896" s="289"/>
      <c r="AL896" s="290"/>
      <c r="AM896" s="211"/>
      <c r="AN896" s="164"/>
      <c r="AO896" s="76"/>
      <c r="AP896" s="44"/>
      <c r="AQ896" s="275"/>
      <c r="AR896" s="52"/>
      <c r="AS896" s="35"/>
      <c r="AT896" s="79"/>
      <c r="AU896" s="212"/>
      <c r="AV896" s="164"/>
      <c r="AW896" s="164"/>
      <c r="AX896" s="76"/>
      <c r="AY896" s="44"/>
      <c r="AZ896" s="275"/>
      <c r="BA896" s="52"/>
      <c r="BB896" s="35"/>
      <c r="BC896" s="79"/>
      <c r="BD896" s="230"/>
      <c r="BE896" s="211"/>
      <c r="BF896" s="164"/>
      <c r="BG896" s="76"/>
      <c r="BH896" s="44"/>
      <c r="BI896" s="275"/>
      <c r="BJ896" s="52"/>
      <c r="BK896" s="35"/>
      <c r="BL896" s="79"/>
      <c r="BM896" s="230"/>
      <c r="BN896" s="211"/>
      <c r="BO896" s="164"/>
      <c r="BP896" s="584"/>
      <c r="BQ896" s="585"/>
      <c r="BR896" s="299"/>
      <c r="BS896" s="35"/>
      <c r="BT896" s="35"/>
      <c r="BU896" s="79"/>
      <c r="BV896" s="212"/>
      <c r="BW896" s="304"/>
      <c r="BX896" s="313"/>
      <c r="BY896" s="138"/>
    </row>
    <row r="897" spans="1:77" ht="15" customHeight="1" x14ac:dyDescent="0.2">
      <c r="A897" s="57" t="s">
        <v>17</v>
      </c>
      <c r="B897" s="583"/>
      <c r="C897" s="583" t="s">
        <v>810</v>
      </c>
      <c r="D897" s="546">
        <v>1106.885</v>
      </c>
      <c r="E897" s="162" t="s">
        <v>631</v>
      </c>
      <c r="F897" s="358"/>
      <c r="G897" s="65"/>
      <c r="H897" s="73">
        <v>8.0020000000000007</v>
      </c>
      <c r="I897" s="90"/>
      <c r="J897" s="73"/>
      <c r="K897" s="66"/>
      <c r="L897" s="717"/>
      <c r="M897" s="73"/>
      <c r="N897" s="359"/>
      <c r="O897" s="1041"/>
      <c r="P897" s="73"/>
      <c r="Q897" s="359"/>
      <c r="R897" s="1041"/>
      <c r="S897" s="73"/>
      <c r="T897" s="359"/>
      <c r="U897" s="73"/>
      <c r="V897" s="66"/>
      <c r="W897" s="594">
        <f t="shared" si="541"/>
        <v>5.6014000000000003E-3</v>
      </c>
      <c r="X897" s="595">
        <f t="shared" si="542"/>
        <v>5.6014000000000003E-3</v>
      </c>
      <c r="Y897" s="52">
        <v>1990</v>
      </c>
      <c r="Z897" s="596"/>
      <c r="AA897" s="596">
        <f>+H897/1000</f>
        <v>8.0020000000000004E-3</v>
      </c>
      <c r="AB897" s="256">
        <v>-0.3</v>
      </c>
      <c r="AC897" s="688">
        <f t="shared" si="543"/>
        <v>-0.3</v>
      </c>
      <c r="AD897" s="1032"/>
      <c r="AE897" s="164"/>
      <c r="AF897" s="25"/>
      <c r="AG897" s="26"/>
      <c r="AH897" s="275"/>
      <c r="AI897" s="52"/>
      <c r="AJ897" s="35"/>
      <c r="AK897" s="289"/>
      <c r="AL897" s="290"/>
      <c r="AM897" s="211"/>
      <c r="AN897" s="164"/>
      <c r="AO897" s="76"/>
      <c r="AP897" s="44"/>
      <c r="AQ897" s="275"/>
      <c r="AR897" s="52"/>
      <c r="AS897" s="35"/>
      <c r="AT897" s="79"/>
      <c r="AU897" s="212"/>
      <c r="AV897" s="164"/>
      <c r="AW897" s="164"/>
      <c r="AX897" s="76"/>
      <c r="AY897" s="44"/>
      <c r="AZ897" s="275"/>
      <c r="BA897" s="52"/>
      <c r="BB897" s="35"/>
      <c r="BC897" s="79"/>
      <c r="BD897" s="230"/>
      <c r="BE897" s="211"/>
      <c r="BF897" s="164"/>
      <c r="BG897" s="76"/>
      <c r="BH897" s="44"/>
      <c r="BI897" s="275"/>
      <c r="BJ897" s="52"/>
      <c r="BK897" s="35"/>
      <c r="BL897" s="79"/>
      <c r="BM897" s="230"/>
      <c r="BN897" s="211"/>
      <c r="BO897" s="164"/>
      <c r="BP897" s="584"/>
      <c r="BQ897" s="585"/>
      <c r="BR897" s="299"/>
      <c r="BS897" s="35"/>
      <c r="BT897" s="35"/>
      <c r="BU897" s="79"/>
      <c r="BV897" s="212"/>
      <c r="BW897" s="304"/>
      <c r="BX897" s="313"/>
      <c r="BY897" s="138"/>
    </row>
    <row r="898" spans="1:77" ht="15" customHeight="1" x14ac:dyDescent="0.2">
      <c r="A898" s="57" t="s">
        <v>17</v>
      </c>
      <c r="B898" s="583"/>
      <c r="C898" s="583" t="s">
        <v>2243</v>
      </c>
      <c r="D898" s="546">
        <v>254</v>
      </c>
      <c r="E898" s="162" t="s">
        <v>387</v>
      </c>
      <c r="F898" s="358"/>
      <c r="G898" s="65"/>
      <c r="H898" s="73">
        <v>1.7</v>
      </c>
      <c r="I898" s="90"/>
      <c r="J898" s="73"/>
      <c r="K898" s="66"/>
      <c r="L898" s="717"/>
      <c r="M898" s="73"/>
      <c r="N898" s="359"/>
      <c r="O898" s="1041"/>
      <c r="P898" s="73"/>
      <c r="Q898" s="359"/>
      <c r="R898" s="1041"/>
      <c r="S898" s="73"/>
      <c r="T898" s="359"/>
      <c r="U898" s="73"/>
      <c r="V898" s="66"/>
      <c r="W898" s="594">
        <f t="shared" ref="W898" si="544">AA898*(1+AB898)</f>
        <v>1.3600000000000001E-3</v>
      </c>
      <c r="X898" s="595">
        <f t="shared" ref="X898" si="545">AA898*(1+AC898)</f>
        <v>1.3600000000000001E-3</v>
      </c>
      <c r="Y898" s="52">
        <v>1990</v>
      </c>
      <c r="Z898" s="596"/>
      <c r="AA898" s="596">
        <f>+H898/1000</f>
        <v>1.6999999999999999E-3</v>
      </c>
      <c r="AB898" s="256">
        <v>-0.2</v>
      </c>
      <c r="AC898" s="688">
        <f t="shared" ref="AC898" si="546">AB898</f>
        <v>-0.2</v>
      </c>
      <c r="AD898" s="1032"/>
      <c r="AE898" s="164"/>
      <c r="AF898" s="25"/>
      <c r="AG898" s="26"/>
      <c r="AH898" s="275"/>
      <c r="AI898" s="52"/>
      <c r="AJ898" s="35"/>
      <c r="AK898" s="289"/>
      <c r="AL898" s="290"/>
      <c r="AM898" s="211"/>
      <c r="AN898" s="164"/>
      <c r="AO898" s="76"/>
      <c r="AP898" s="44"/>
      <c r="AQ898" s="275"/>
      <c r="AR898" s="52"/>
      <c r="AS898" s="35"/>
      <c r="AT898" s="79"/>
      <c r="AU898" s="212"/>
      <c r="AV898" s="164"/>
      <c r="AW898" s="164"/>
      <c r="AX898" s="76"/>
      <c r="AY898" s="44"/>
      <c r="AZ898" s="275"/>
      <c r="BA898" s="52"/>
      <c r="BB898" s="35"/>
      <c r="BC898" s="79"/>
      <c r="BD898" s="230"/>
      <c r="BE898" s="211"/>
      <c r="BF898" s="164"/>
      <c r="BG898" s="76"/>
      <c r="BH898" s="44"/>
      <c r="BI898" s="275"/>
      <c r="BJ898" s="52"/>
      <c r="BK898" s="35"/>
      <c r="BL898" s="79"/>
      <c r="BM898" s="230"/>
      <c r="BN898" s="211"/>
      <c r="BO898" s="164"/>
      <c r="BP898" s="584"/>
      <c r="BQ898" s="585"/>
      <c r="BR898" s="299"/>
      <c r="BS898" s="35"/>
      <c r="BT898" s="35"/>
      <c r="BU898" s="79"/>
      <c r="BV898" s="212"/>
      <c r="BW898" s="304"/>
      <c r="BX898" s="313"/>
      <c r="BY898" s="138"/>
    </row>
    <row r="899" spans="1:77" ht="15" customHeight="1" x14ac:dyDescent="0.2">
      <c r="A899" s="57" t="s">
        <v>17</v>
      </c>
      <c r="B899" s="583"/>
      <c r="C899" s="583" t="s">
        <v>2367</v>
      </c>
      <c r="D899" s="546">
        <v>12.333</v>
      </c>
      <c r="E899" s="162" t="s">
        <v>631</v>
      </c>
      <c r="F899" s="358"/>
      <c r="G899" s="65"/>
      <c r="H899" s="73"/>
      <c r="I899" s="90"/>
      <c r="J899" s="73"/>
      <c r="K899" s="66"/>
      <c r="L899" s="717">
        <v>2011</v>
      </c>
      <c r="M899" s="73"/>
      <c r="N899" s="786">
        <v>3.052E-3</v>
      </c>
      <c r="O899" s="1041"/>
      <c r="P899" s="73"/>
      <c r="Q899" s="359"/>
      <c r="R899" s="1041"/>
      <c r="S899" s="73"/>
      <c r="T899" s="359"/>
      <c r="U899" s="73"/>
      <c r="V899" s="66"/>
      <c r="W899" s="788">
        <f t="shared" ref="W899" si="547">AA899*(1+AB899)</f>
        <v>2.1364E-6</v>
      </c>
      <c r="X899" s="789">
        <f t="shared" ref="X899" si="548">AA899*(1+AC899)</f>
        <v>2.1364E-6</v>
      </c>
      <c r="Y899" s="52">
        <v>1990</v>
      </c>
      <c r="Z899" s="596"/>
      <c r="AA899" s="787">
        <f>+N899/1000</f>
        <v>3.0520000000000002E-6</v>
      </c>
      <c r="AB899" s="256">
        <v>-0.3</v>
      </c>
      <c r="AC899" s="688">
        <f t="shared" ref="AC899" si="549">AB899</f>
        <v>-0.3</v>
      </c>
      <c r="AD899" s="164"/>
      <c r="AE899" s="164"/>
      <c r="AF899" s="25"/>
      <c r="AG899" s="26"/>
      <c r="AH899" s="275"/>
      <c r="AI899" s="52"/>
      <c r="AJ899" s="35"/>
      <c r="AK899" s="289"/>
      <c r="AL899" s="290"/>
      <c r="AM899" s="211"/>
      <c r="AN899" s="164"/>
      <c r="AO899" s="76"/>
      <c r="AP899" s="44"/>
      <c r="AQ899" s="275"/>
      <c r="AR899" s="52"/>
      <c r="AS899" s="35"/>
      <c r="AT899" s="79"/>
      <c r="AU899" s="212"/>
      <c r="AV899" s="164"/>
      <c r="AW899" s="164"/>
      <c r="AX899" s="76"/>
      <c r="AY899" s="44"/>
      <c r="AZ899" s="275"/>
      <c r="BA899" s="52"/>
      <c r="BB899" s="35"/>
      <c r="BC899" s="79"/>
      <c r="BD899" s="230"/>
      <c r="BE899" s="211"/>
      <c r="BF899" s="164"/>
      <c r="BG899" s="76"/>
      <c r="BH899" s="44"/>
      <c r="BI899" s="275"/>
      <c r="BJ899" s="52"/>
      <c r="BK899" s="35"/>
      <c r="BL899" s="79"/>
      <c r="BM899" s="230"/>
      <c r="BN899" s="211"/>
      <c r="BO899" s="164"/>
      <c r="BP899" s="584"/>
      <c r="BQ899" s="585"/>
      <c r="BR899" s="299"/>
      <c r="BS899" s="35"/>
      <c r="BT899" s="35"/>
      <c r="BU899" s="79"/>
      <c r="BV899" s="212"/>
      <c r="BW899" s="304"/>
      <c r="BX899" s="313"/>
      <c r="BY899" s="138"/>
    </row>
    <row r="900" spans="1:77" ht="15" customHeight="1" x14ac:dyDescent="0.2">
      <c r="A900" s="57" t="s">
        <v>15</v>
      </c>
      <c r="B900" s="583" t="s">
        <v>1606</v>
      </c>
      <c r="C900" s="57"/>
      <c r="D900" s="546">
        <v>83017.403999999995</v>
      </c>
      <c r="E900" s="1101" t="s">
        <v>2896</v>
      </c>
      <c r="F900" s="729"/>
      <c r="G900" s="730">
        <v>1219.681</v>
      </c>
      <c r="H900" s="723">
        <v>1250.9929999999999</v>
      </c>
      <c r="I900" s="1282"/>
      <c r="J900" s="1283">
        <v>981.28399999999999</v>
      </c>
      <c r="K900" s="1283">
        <v>933.34400000000005</v>
      </c>
      <c r="L900" s="1282"/>
      <c r="M900" s="1283">
        <v>926.13699999999994</v>
      </c>
      <c r="N900" s="1283">
        <v>942.54200000000003</v>
      </c>
      <c r="O900" s="1284"/>
      <c r="P900" s="1283">
        <v>892.81505000000004</v>
      </c>
      <c r="Q900" s="796">
        <v>907.19047999999998</v>
      </c>
      <c r="R900" s="1284">
        <v>2017</v>
      </c>
      <c r="S900" s="1283">
        <v>891.42600000000004</v>
      </c>
      <c r="T900" s="796">
        <v>906.61099999999999</v>
      </c>
      <c r="U900" s="73"/>
      <c r="V900" s="66"/>
      <c r="W900" s="592"/>
      <c r="X900" s="593"/>
      <c r="Y900" s="52">
        <v>1990</v>
      </c>
      <c r="Z900" s="596"/>
      <c r="AA900" s="596"/>
      <c r="AB900" s="824">
        <v>-0.2</v>
      </c>
      <c r="AC900" s="825">
        <v>-0.3</v>
      </c>
      <c r="AD900" s="164"/>
      <c r="AE900" s="164"/>
      <c r="AF900" s="25"/>
      <c r="AG900" s="26"/>
      <c r="AH900" s="275"/>
      <c r="AI900" s="52"/>
      <c r="AJ900" s="35"/>
      <c r="AK900" s="289"/>
      <c r="AL900" s="290"/>
      <c r="AM900" s="211"/>
      <c r="AN900" s="164"/>
      <c r="AO900" s="76"/>
      <c r="AP900" s="44"/>
      <c r="AQ900" s="275"/>
      <c r="AR900" s="52"/>
      <c r="AS900" s="35"/>
      <c r="AT900" s="840">
        <v>0.55000000000000004</v>
      </c>
      <c r="AU900" s="688">
        <v>0.55000000000000004</v>
      </c>
      <c r="AV900" s="164"/>
      <c r="AW900" s="164"/>
      <c r="AX900" s="76"/>
      <c r="AY900" s="44"/>
      <c r="AZ900" s="275"/>
      <c r="BA900" s="52"/>
      <c r="BB900" s="35"/>
      <c r="BC900" s="79"/>
      <c r="BD900" s="230"/>
      <c r="BE900" s="211"/>
      <c r="BF900" s="164"/>
      <c r="BG900" s="76"/>
      <c r="BH900" s="44"/>
      <c r="BI900" s="275"/>
      <c r="BJ900" s="52"/>
      <c r="BK900" s="35"/>
      <c r="BL900" s="79"/>
      <c r="BM900" s="230"/>
      <c r="BN900" s="211"/>
      <c r="BO900" s="164"/>
      <c r="BP900" s="76"/>
      <c r="BQ900" s="44"/>
      <c r="BR900" s="299"/>
      <c r="BS900" s="52"/>
      <c r="BT900" s="35"/>
      <c r="BU900" s="79">
        <v>-1</v>
      </c>
      <c r="BV900" s="212">
        <f>BU900</f>
        <v>-1</v>
      </c>
      <c r="BW900" s="304"/>
      <c r="BX900" s="339" t="s">
        <v>273</v>
      </c>
      <c r="BY900" s="138" t="s">
        <v>272</v>
      </c>
    </row>
    <row r="901" spans="1:77" customFormat="1" ht="15" customHeight="1" x14ac:dyDescent="0.2">
      <c r="A901" s="57" t="s">
        <v>15</v>
      </c>
      <c r="B901" s="57" t="s">
        <v>425</v>
      </c>
      <c r="C901" s="583"/>
      <c r="D901" s="546">
        <v>10753.88</v>
      </c>
      <c r="E901" s="971" t="s">
        <v>2920</v>
      </c>
      <c r="F901" s="358"/>
      <c r="G901" s="777"/>
      <c r="H901" s="65">
        <v>74.373999999999995</v>
      </c>
      <c r="I901" s="722"/>
      <c r="J901" s="717"/>
      <c r="K901" s="66">
        <v>77.221999999999994</v>
      </c>
      <c r="L901" s="73"/>
      <c r="M901" s="717"/>
      <c r="N901" s="359">
        <v>69.326999999999998</v>
      </c>
      <c r="O901" s="1043">
        <v>2014</v>
      </c>
      <c r="P901" s="717"/>
      <c r="Q901" s="359">
        <f>H901*0.85</f>
        <v>63.217899999999993</v>
      </c>
      <c r="R901" s="1284">
        <v>2017</v>
      </c>
      <c r="S901" s="717"/>
      <c r="T901" s="359">
        <f>H901*(1-0.12)</f>
        <v>65.449119999999994</v>
      </c>
      <c r="U901" s="73"/>
      <c r="V901" s="66"/>
      <c r="W901" s="594">
        <f t="shared" ref="W901:W910" si="550">AA901*(1+AB901)</f>
        <v>5.5780499999999997E-2</v>
      </c>
      <c r="X901" s="595">
        <f t="shared" ref="X901:X910" si="551">AA901*(1+AC901)</f>
        <v>5.5780499999999997E-2</v>
      </c>
      <c r="Y901" s="52">
        <v>1990</v>
      </c>
      <c r="Z901" s="52"/>
      <c r="AA901" s="596">
        <f t="shared" ref="AA901:AA951" si="552">+H901/1000</f>
        <v>7.4373999999999996E-2</v>
      </c>
      <c r="AB901" s="256">
        <v>-0.25</v>
      </c>
      <c r="AC901" s="688">
        <v>-0.25</v>
      </c>
      <c r="AD901" s="164"/>
      <c r="AE901" s="164"/>
      <c r="AF901" s="25"/>
      <c r="AG901" s="26"/>
      <c r="AH901" s="275"/>
      <c r="AI901" s="52"/>
      <c r="AJ901" s="35"/>
      <c r="AK901" s="289"/>
      <c r="AL901" s="290"/>
      <c r="AM901" s="211"/>
      <c r="AN901" s="164"/>
      <c r="AO901" s="76"/>
      <c r="AP901" s="44"/>
      <c r="AQ901" s="275"/>
      <c r="AR901" s="52"/>
      <c r="AS901" s="35"/>
      <c r="AT901" s="79"/>
      <c r="AU901" s="212"/>
      <c r="AV901" s="164"/>
      <c r="AW901" s="164"/>
      <c r="AX901" s="76"/>
      <c r="AY901" s="44"/>
      <c r="AZ901" s="275"/>
      <c r="BA901" s="52"/>
      <c r="BB901" s="35"/>
      <c r="BC901" s="79"/>
      <c r="BD901" s="230"/>
      <c r="BE901" s="211"/>
      <c r="BF901" s="164"/>
      <c r="BG901" s="76"/>
      <c r="BH901" s="44"/>
      <c r="BI901" s="275"/>
      <c r="BJ901" s="52"/>
      <c r="BK901" s="35"/>
      <c r="BL901" s="79"/>
      <c r="BM901" s="230"/>
      <c r="BN901" s="211"/>
      <c r="BO901" s="164"/>
      <c r="BP901" s="584">
        <f>+BT901*(1+BU901)</f>
        <v>7.4373999999999977E-3</v>
      </c>
      <c r="BQ901" s="585">
        <f>BT901*(1+BV901)</f>
        <v>7.4373999999999977E-3</v>
      </c>
      <c r="BR901" s="299">
        <v>1990</v>
      </c>
      <c r="BS901" s="35"/>
      <c r="BT901" s="35">
        <f>+AA901</f>
        <v>7.4373999999999996E-2</v>
      </c>
      <c r="BU901" s="79">
        <v>-0.9</v>
      </c>
      <c r="BV901" s="212">
        <v>-0.9</v>
      </c>
      <c r="BW901" s="304"/>
      <c r="BX901" s="313" t="s">
        <v>441</v>
      </c>
      <c r="BY901" s="138"/>
    </row>
    <row r="902" spans="1:77" customFormat="1" ht="15" customHeight="1" x14ac:dyDescent="0.2">
      <c r="A902" s="57" t="s">
        <v>15</v>
      </c>
      <c r="B902" s="583" t="s">
        <v>477</v>
      </c>
      <c r="C902" s="583" t="s">
        <v>815</v>
      </c>
      <c r="D902" s="546">
        <v>5.9870000000000001</v>
      </c>
      <c r="E902" s="162" t="s">
        <v>631</v>
      </c>
      <c r="F902" s="358"/>
      <c r="G902" s="777"/>
      <c r="H902" s="797">
        <v>3.7111999999999999E-2</v>
      </c>
      <c r="I902" s="722"/>
      <c r="J902" s="717"/>
      <c r="K902" s="66"/>
      <c r="L902" s="73"/>
      <c r="M902" s="717"/>
      <c r="N902" s="359"/>
      <c r="O902" s="1044"/>
      <c r="P902" s="717"/>
      <c r="Q902" s="359"/>
      <c r="R902" s="1044"/>
      <c r="S902" s="717"/>
      <c r="T902" s="359"/>
      <c r="U902" s="73"/>
      <c r="V902" s="66"/>
      <c r="W902" s="740">
        <f t="shared" si="550"/>
        <v>2.5978399999999998E-5</v>
      </c>
      <c r="X902" s="741">
        <f t="shared" si="551"/>
        <v>2.5978399999999998E-5</v>
      </c>
      <c r="Y902" s="52">
        <v>1990</v>
      </c>
      <c r="Z902" s="52"/>
      <c r="AA902" s="739">
        <f t="shared" ref="AA902" si="553">+H902/1000</f>
        <v>3.7112E-5</v>
      </c>
      <c r="AB902" s="256">
        <v>-0.3</v>
      </c>
      <c r="AC902" s="688">
        <f t="shared" ref="AC902:AC910" si="554">AB902</f>
        <v>-0.3</v>
      </c>
      <c r="AD902" s="164"/>
      <c r="AE902" s="164"/>
      <c r="AF902" s="25"/>
      <c r="AG902" s="26"/>
      <c r="AH902" s="275"/>
      <c r="AI902" s="52"/>
      <c r="AJ902" s="35"/>
      <c r="AK902" s="289"/>
      <c r="AL902" s="290"/>
      <c r="AM902" s="211"/>
      <c r="AN902" s="164"/>
      <c r="AO902" s="76"/>
      <c r="AP902" s="44"/>
      <c r="AQ902" s="275"/>
      <c r="AR902" s="52"/>
      <c r="AS902" s="35"/>
      <c r="AT902" s="79"/>
      <c r="AU902" s="212"/>
      <c r="AV902" s="164"/>
      <c r="AW902" s="164"/>
      <c r="AX902" s="76"/>
      <c r="AY902" s="44"/>
      <c r="AZ902" s="275"/>
      <c r="BA902" s="52"/>
      <c r="BB902" s="35"/>
      <c r="BC902" s="79"/>
      <c r="BD902" s="230"/>
      <c r="BE902" s="211"/>
      <c r="BF902" s="164"/>
      <c r="BG902" s="76"/>
      <c r="BH902" s="44"/>
      <c r="BI902" s="275"/>
      <c r="BJ902" s="52"/>
      <c r="BK902" s="35"/>
      <c r="BL902" s="79"/>
      <c r="BM902" s="230"/>
      <c r="BN902" s="211"/>
      <c r="BO902" s="164"/>
      <c r="BP902" s="584"/>
      <c r="BQ902" s="585"/>
      <c r="BR902" s="299"/>
      <c r="BS902" s="35"/>
      <c r="BT902" s="35"/>
      <c r="BU902" s="79"/>
      <c r="BV902" s="212"/>
      <c r="BW902" s="304"/>
      <c r="BX902" s="313"/>
      <c r="BY902" s="138"/>
    </row>
    <row r="903" spans="1:77" customFormat="1" ht="15" customHeight="1" x14ac:dyDescent="0.2">
      <c r="A903" s="57" t="s">
        <v>15</v>
      </c>
      <c r="B903" s="583" t="s">
        <v>477</v>
      </c>
      <c r="C903" s="583" t="s">
        <v>831</v>
      </c>
      <c r="D903" s="546">
        <v>91.869</v>
      </c>
      <c r="E903" s="162" t="s">
        <v>631</v>
      </c>
      <c r="F903" s="358"/>
      <c r="G903" s="777"/>
      <c r="H903" s="797"/>
      <c r="I903" s="799">
        <v>2007</v>
      </c>
      <c r="J903" s="717"/>
      <c r="K903" s="66">
        <v>1.046</v>
      </c>
      <c r="L903" s="73"/>
      <c r="M903" s="717"/>
      <c r="N903" s="359"/>
      <c r="O903" s="1044"/>
      <c r="P903" s="717"/>
      <c r="Q903" s="359"/>
      <c r="R903" s="1044"/>
      <c r="S903" s="717"/>
      <c r="T903" s="359"/>
      <c r="U903" s="73"/>
      <c r="V903" s="66"/>
      <c r="W903" s="594">
        <f t="shared" si="550"/>
        <v>7.8450000000000004E-4</v>
      </c>
      <c r="X903" s="595">
        <f t="shared" si="551"/>
        <v>7.8450000000000004E-4</v>
      </c>
      <c r="Y903" s="52">
        <v>2007</v>
      </c>
      <c r="Z903" s="52"/>
      <c r="AA903" s="596">
        <f>+K903/1000</f>
        <v>1.0460000000000001E-3</v>
      </c>
      <c r="AB903" s="256">
        <v>-0.25</v>
      </c>
      <c r="AC903" s="688">
        <f t="shared" si="554"/>
        <v>-0.25</v>
      </c>
      <c r="AD903" s="164"/>
      <c r="AE903" s="164"/>
      <c r="AF903" s="25"/>
      <c r="AG903" s="26"/>
      <c r="AH903" s="275"/>
      <c r="AI903" s="52"/>
      <c r="AJ903" s="35"/>
      <c r="AK903" s="289"/>
      <c r="AL903" s="290"/>
      <c r="AM903" s="211"/>
      <c r="AN903" s="164"/>
      <c r="AO903" s="76"/>
      <c r="AP903" s="44"/>
      <c r="AQ903" s="275"/>
      <c r="AR903" s="52"/>
      <c r="AS903" s="35"/>
      <c r="AT903" s="79"/>
      <c r="AU903" s="212"/>
      <c r="AV903" s="164"/>
      <c r="AW903" s="164"/>
      <c r="AX903" s="76"/>
      <c r="AY903" s="44"/>
      <c r="AZ903" s="275"/>
      <c r="BA903" s="52"/>
      <c r="BB903" s="35"/>
      <c r="BC903" s="79"/>
      <c r="BD903" s="230"/>
      <c r="BE903" s="211"/>
      <c r="BF903" s="164"/>
      <c r="BG903" s="76"/>
      <c r="BH903" s="44"/>
      <c r="BI903" s="275"/>
      <c r="BJ903" s="52"/>
      <c r="BK903" s="35"/>
      <c r="BL903" s="79"/>
      <c r="BM903" s="230"/>
      <c r="BN903" s="211"/>
      <c r="BO903" s="164"/>
      <c r="BP903" s="584"/>
      <c r="BQ903" s="585"/>
      <c r="BR903" s="299"/>
      <c r="BS903" s="35"/>
      <c r="BT903" s="35"/>
      <c r="BU903" s="79"/>
      <c r="BV903" s="212"/>
      <c r="BW903" s="304"/>
      <c r="BX903" s="313"/>
      <c r="BY903" s="138"/>
    </row>
    <row r="904" spans="1:77" customFormat="1" ht="15" customHeight="1" x14ac:dyDescent="0.2">
      <c r="A904" s="57" t="s">
        <v>15</v>
      </c>
      <c r="B904" s="583" t="s">
        <v>477</v>
      </c>
      <c r="C904" s="583" t="s">
        <v>844</v>
      </c>
      <c r="D904" s="546">
        <v>220</v>
      </c>
      <c r="E904" s="162" t="s">
        <v>631</v>
      </c>
      <c r="F904" s="800">
        <v>1992</v>
      </c>
      <c r="G904" s="777"/>
      <c r="H904" s="797">
        <v>1.98</v>
      </c>
      <c r="I904" s="799"/>
      <c r="J904" s="717"/>
      <c r="K904" s="66"/>
      <c r="L904" s="73"/>
      <c r="M904" s="717"/>
      <c r="N904" s="359"/>
      <c r="O904" s="1044"/>
      <c r="P904" s="717"/>
      <c r="Q904" s="359"/>
      <c r="R904" s="1044"/>
      <c r="S904" s="717"/>
      <c r="T904" s="359"/>
      <c r="U904" s="73"/>
      <c r="V904" s="66"/>
      <c r="W904" s="594">
        <f t="shared" si="550"/>
        <v>1.0296000000000001E-3</v>
      </c>
      <c r="X904" s="595">
        <f t="shared" si="551"/>
        <v>1.0296000000000001E-3</v>
      </c>
      <c r="Y904" s="52">
        <v>1993</v>
      </c>
      <c r="Z904" s="52"/>
      <c r="AA904" s="596">
        <f t="shared" ref="AA904" si="555">+H904/1000</f>
        <v>1.98E-3</v>
      </c>
      <c r="AB904" s="256">
        <v>-0.48</v>
      </c>
      <c r="AC904" s="688">
        <f t="shared" si="554"/>
        <v>-0.48</v>
      </c>
      <c r="AD904" s="164"/>
      <c r="AE904" s="164"/>
      <c r="AF904" s="25"/>
      <c r="AG904" s="26"/>
      <c r="AH904" s="275"/>
      <c r="AI904" s="52"/>
      <c r="AJ904" s="35"/>
      <c r="AK904" s="289"/>
      <c r="AL904" s="290"/>
      <c r="AM904" s="211"/>
      <c r="AN904" s="164"/>
      <c r="AO904" s="76"/>
      <c r="AP904" s="44"/>
      <c r="AQ904" s="275"/>
      <c r="AR904" s="52"/>
      <c r="AS904" s="35"/>
      <c r="AT904" s="79"/>
      <c r="AU904" s="212"/>
      <c r="AV904" s="164"/>
      <c r="AW904" s="164"/>
      <c r="AX904" s="76"/>
      <c r="AY904" s="44"/>
      <c r="AZ904" s="275"/>
      <c r="BA904" s="52"/>
      <c r="BB904" s="35"/>
      <c r="BC904" s="79"/>
      <c r="BD904" s="230"/>
      <c r="BE904" s="211"/>
      <c r="BF904" s="164"/>
      <c r="BG904" s="76"/>
      <c r="BH904" s="44"/>
      <c r="BI904" s="275"/>
      <c r="BJ904" s="52"/>
      <c r="BK904" s="35"/>
      <c r="BL904" s="79"/>
      <c r="BM904" s="230"/>
      <c r="BN904" s="211"/>
      <c r="BO904" s="164"/>
      <c r="BP904" s="584"/>
      <c r="BQ904" s="585"/>
      <c r="BR904" s="299"/>
      <c r="BS904" s="35"/>
      <c r="BT904" s="35"/>
      <c r="BU904" s="79"/>
      <c r="BV904" s="212"/>
      <c r="BW904" s="304"/>
      <c r="BX904" s="313"/>
      <c r="BY904" s="138"/>
    </row>
    <row r="905" spans="1:77" customFormat="1" ht="15" customHeight="1" x14ac:dyDescent="0.2">
      <c r="A905" s="57" t="s">
        <v>15</v>
      </c>
      <c r="B905" s="583" t="s">
        <v>477</v>
      </c>
      <c r="C905" s="583" t="s">
        <v>2522</v>
      </c>
      <c r="D905" s="546">
        <v>148.36500000000001</v>
      </c>
      <c r="E905" s="162" t="s">
        <v>387</v>
      </c>
      <c r="F905" s="800"/>
      <c r="G905" s="777"/>
      <c r="H905" s="797">
        <v>0.91500000000000004</v>
      </c>
      <c r="I905" s="799"/>
      <c r="J905" s="717"/>
      <c r="K905" s="66"/>
      <c r="L905" s="73"/>
      <c r="M905" s="717"/>
      <c r="N905" s="359">
        <v>1.2250000000000001</v>
      </c>
      <c r="O905" s="1043"/>
      <c r="P905" s="717"/>
      <c r="Q905" s="738">
        <v>0.80600000000000005</v>
      </c>
      <c r="R905" s="1043"/>
      <c r="S905" s="717"/>
      <c r="T905" s="738"/>
      <c r="U905" s="73"/>
      <c r="V905" s="66"/>
      <c r="W905" s="594"/>
      <c r="X905" s="595"/>
      <c r="Y905" s="52"/>
      <c r="Z905" s="52"/>
      <c r="AA905" s="596"/>
      <c r="AB905" s="256"/>
      <c r="AC905" s="688"/>
      <c r="AD905" s="164"/>
      <c r="AE905" s="164"/>
      <c r="AF905" s="25"/>
      <c r="AG905" s="26"/>
      <c r="AH905" s="275"/>
      <c r="AI905" s="52"/>
      <c r="AJ905" s="35"/>
      <c r="AK905" s="289"/>
      <c r="AL905" s="290"/>
      <c r="AM905" s="211"/>
      <c r="AN905" s="164"/>
      <c r="AO905" s="76"/>
      <c r="AP905" s="44"/>
      <c r="AQ905" s="275"/>
      <c r="AR905" s="52"/>
      <c r="AS905" s="35"/>
      <c r="AT905" s="79"/>
      <c r="AU905" s="212"/>
      <c r="AV905" s="164"/>
      <c r="AW905" s="164"/>
      <c r="AX905" s="76"/>
      <c r="AY905" s="44"/>
      <c r="AZ905" s="275"/>
      <c r="BA905" s="52"/>
      <c r="BB905" s="35"/>
      <c r="BC905" s="79"/>
      <c r="BD905" s="230"/>
      <c r="BE905" s="211"/>
      <c r="BF905" s="164"/>
      <c r="BG905" s="76"/>
      <c r="BH905" s="44"/>
      <c r="BI905" s="275"/>
      <c r="BJ905" s="52"/>
      <c r="BK905" s="35"/>
      <c r="BL905" s="79"/>
      <c r="BM905" s="230"/>
      <c r="BN905" s="211"/>
      <c r="BO905" s="164"/>
      <c r="BP905" s="1061">
        <f>+BT905*(1+BU905)</f>
        <v>6.1250000000000061E-2</v>
      </c>
      <c r="BQ905" s="1062">
        <f>BT905*(1+BV905)</f>
        <v>6.1250000000000061E-2</v>
      </c>
      <c r="BR905" s="299">
        <v>1990</v>
      </c>
      <c r="BS905" s="35"/>
      <c r="BT905" s="1060">
        <f>+N905</f>
        <v>1.2250000000000001</v>
      </c>
      <c r="BU905" s="79">
        <v>-0.95</v>
      </c>
      <c r="BV905" s="212">
        <f>BU905</f>
        <v>-0.95</v>
      </c>
      <c r="BW905" s="304"/>
      <c r="BX905" s="313"/>
      <c r="BY905" s="138"/>
    </row>
    <row r="906" spans="1:77" customFormat="1" ht="15" customHeight="1" x14ac:dyDescent="0.2">
      <c r="A906" s="57" t="s">
        <v>15</v>
      </c>
      <c r="B906" s="583" t="s">
        <v>477</v>
      </c>
      <c r="C906" s="583" t="s">
        <v>819</v>
      </c>
      <c r="D906" s="546">
        <v>280.327</v>
      </c>
      <c r="E906" s="162" t="s">
        <v>631</v>
      </c>
      <c r="F906" s="358"/>
      <c r="G906" s="777"/>
      <c r="H906" s="797"/>
      <c r="I906" s="799">
        <v>2007</v>
      </c>
      <c r="J906" s="717"/>
      <c r="K906" s="66">
        <v>3.222</v>
      </c>
      <c r="L906" s="73"/>
      <c r="M906" s="717"/>
      <c r="N906" s="359"/>
      <c r="O906" s="1044"/>
      <c r="P906" s="717"/>
      <c r="Q906" s="359"/>
      <c r="R906" s="1044"/>
      <c r="S906" s="717"/>
      <c r="T906" s="359"/>
      <c r="U906" s="73"/>
      <c r="V906" s="66"/>
      <c r="W906" s="594">
        <f t="shared" si="550"/>
        <v>2.2876199999999998E-3</v>
      </c>
      <c r="X906" s="595">
        <f t="shared" si="551"/>
        <v>2.2876199999999998E-3</v>
      </c>
      <c r="Y906" s="52">
        <v>1992</v>
      </c>
      <c r="Z906" s="52"/>
      <c r="AA906" s="596">
        <f>+K906/1000</f>
        <v>3.222E-3</v>
      </c>
      <c r="AB906" s="256">
        <v>-0.28999999999999998</v>
      </c>
      <c r="AC906" s="688">
        <f t="shared" si="554"/>
        <v>-0.28999999999999998</v>
      </c>
      <c r="AD906" s="164"/>
      <c r="AE906" s="164"/>
      <c r="AF906" s="25"/>
      <c r="AG906" s="26"/>
      <c r="AH906" s="275"/>
      <c r="AI906" s="52"/>
      <c r="AJ906" s="35"/>
      <c r="AK906" s="289"/>
      <c r="AL906" s="290"/>
      <c r="AM906" s="211"/>
      <c r="AN906" s="164"/>
      <c r="AO906" s="76"/>
      <c r="AP906" s="44"/>
      <c r="AQ906" s="275"/>
      <c r="AR906" s="52"/>
      <c r="AS906" s="35"/>
      <c r="AT906" s="79"/>
      <c r="AU906" s="212"/>
      <c r="AV906" s="164"/>
      <c r="AW906" s="164"/>
      <c r="AX906" s="76"/>
      <c r="AY906" s="44"/>
      <c r="AZ906" s="275"/>
      <c r="BA906" s="52"/>
      <c r="BB906" s="35"/>
      <c r="BC906" s="79"/>
      <c r="BD906" s="230"/>
      <c r="BE906" s="211"/>
      <c r="BF906" s="164"/>
      <c r="BG906" s="76"/>
      <c r="BH906" s="44"/>
      <c r="BI906" s="275"/>
      <c r="BJ906" s="52"/>
      <c r="BK906" s="35"/>
      <c r="BL906" s="79"/>
      <c r="BM906" s="230"/>
      <c r="BN906" s="211"/>
      <c r="BO906" s="164"/>
      <c r="BP906" s="584"/>
      <c r="BQ906" s="585"/>
      <c r="BR906" s="299"/>
      <c r="BS906" s="35"/>
      <c r="BT906" s="35"/>
      <c r="BU906" s="79"/>
      <c r="BV906" s="212"/>
      <c r="BW906" s="304"/>
      <c r="BX906" s="313"/>
      <c r="BY906" s="138"/>
    </row>
    <row r="907" spans="1:77" customFormat="1" ht="15" customHeight="1" x14ac:dyDescent="0.2">
      <c r="A907" s="57" t="s">
        <v>15</v>
      </c>
      <c r="B907" s="583" t="s">
        <v>477</v>
      </c>
      <c r="C907" s="583" t="s">
        <v>826</v>
      </c>
      <c r="D907" s="546">
        <v>48.4</v>
      </c>
      <c r="E907" s="162" t="s">
        <v>631</v>
      </c>
      <c r="F907" s="358"/>
      <c r="G907" s="777"/>
      <c r="H907" s="797">
        <v>0.57013999999999998</v>
      </c>
      <c r="I907" s="799"/>
      <c r="J907" s="717"/>
      <c r="K907" s="66"/>
      <c r="L907" s="73"/>
      <c r="M907" s="717"/>
      <c r="N907" s="359"/>
      <c r="O907" s="1044"/>
      <c r="P907" s="717"/>
      <c r="Q907" s="359"/>
      <c r="R907" s="1044"/>
      <c r="S907" s="717"/>
      <c r="T907" s="359"/>
      <c r="U907" s="73"/>
      <c r="V907" s="66"/>
      <c r="W907" s="594">
        <f t="shared" si="550"/>
        <v>2.9647279999999999E-4</v>
      </c>
      <c r="X907" s="595">
        <f t="shared" si="551"/>
        <v>2.9647279999999999E-4</v>
      </c>
      <c r="Y907" s="52">
        <v>1990</v>
      </c>
      <c r="Z907" s="52"/>
      <c r="AA907" s="596">
        <f t="shared" ref="AA907" si="556">+H907/1000</f>
        <v>5.7014000000000001E-4</v>
      </c>
      <c r="AB907" s="256">
        <v>-0.48</v>
      </c>
      <c r="AC907" s="688">
        <f t="shared" si="554"/>
        <v>-0.48</v>
      </c>
      <c r="AD907" s="164"/>
      <c r="AE907" s="164"/>
      <c r="AF907" s="25"/>
      <c r="AG907" s="26"/>
      <c r="AH907" s="275"/>
      <c r="AI907" s="52"/>
      <c r="AJ907" s="35"/>
      <c r="AK907" s="289"/>
      <c r="AL907" s="290"/>
      <c r="AM907" s="211"/>
      <c r="AN907" s="164"/>
      <c r="AO907" s="76"/>
      <c r="AP907" s="44"/>
      <c r="AQ907" s="275"/>
      <c r="AR907" s="52"/>
      <c r="AS907" s="35"/>
      <c r="AT907" s="79"/>
      <c r="AU907" s="212"/>
      <c r="AV907" s="164"/>
      <c r="AW907" s="164"/>
      <c r="AX907" s="76"/>
      <c r="AY907" s="44"/>
      <c r="AZ907" s="275"/>
      <c r="BA907" s="52"/>
      <c r="BB907" s="35"/>
      <c r="BC907" s="79"/>
      <c r="BD907" s="230"/>
      <c r="BE907" s="211"/>
      <c r="BF907" s="164"/>
      <c r="BG907" s="76"/>
      <c r="BH907" s="44"/>
      <c r="BI907" s="275"/>
      <c r="BJ907" s="52"/>
      <c r="BK907" s="35"/>
      <c r="BL907" s="79"/>
      <c r="BM907" s="230"/>
      <c r="BN907" s="211"/>
      <c r="BO907" s="164"/>
      <c r="BP907" s="584"/>
      <c r="BQ907" s="585"/>
      <c r="BR907" s="299"/>
      <c r="BS907" s="35"/>
      <c r="BT907" s="35"/>
      <c r="BU907" s="79"/>
      <c r="BV907" s="212"/>
      <c r="BW907" s="304"/>
      <c r="BX907" s="313"/>
      <c r="BY907" s="138"/>
    </row>
    <row r="908" spans="1:77" customFormat="1" ht="15" customHeight="1" x14ac:dyDescent="0.2">
      <c r="A908" s="57" t="s">
        <v>15</v>
      </c>
      <c r="B908" s="583" t="s">
        <v>477</v>
      </c>
      <c r="C908" s="583" t="s">
        <v>838</v>
      </c>
      <c r="D908" s="546">
        <v>311.34199999999998</v>
      </c>
      <c r="E908" s="162" t="s">
        <v>631</v>
      </c>
      <c r="F908" s="358"/>
      <c r="G908" s="777"/>
      <c r="H908" s="65">
        <v>4.468</v>
      </c>
      <c r="I908" s="799"/>
      <c r="J908" s="717"/>
      <c r="K908" s="66"/>
      <c r="L908" s="724">
        <v>2012</v>
      </c>
      <c r="M908" s="717"/>
      <c r="N908" s="359">
        <v>3.806</v>
      </c>
      <c r="O908" s="1043"/>
      <c r="P908" s="717"/>
      <c r="Q908" s="359"/>
      <c r="R908" s="1043"/>
      <c r="S908" s="717"/>
      <c r="T908" s="359"/>
      <c r="U908" s="73"/>
      <c r="V908" s="66"/>
      <c r="W908" s="594">
        <f t="shared" si="550"/>
        <v>2.6807999999999997E-3</v>
      </c>
      <c r="X908" s="595">
        <f t="shared" si="551"/>
        <v>2.6807999999999997E-3</v>
      </c>
      <c r="Y908" s="52">
        <v>1990</v>
      </c>
      <c r="Z908" s="52"/>
      <c r="AA908" s="596">
        <f t="shared" ref="AA908" si="557">+H908/1000</f>
        <v>4.4679999999999997E-3</v>
      </c>
      <c r="AB908" s="256">
        <v>-0.4</v>
      </c>
      <c r="AC908" s="688">
        <f t="shared" si="554"/>
        <v>-0.4</v>
      </c>
      <c r="AD908" s="164"/>
      <c r="AE908" s="164"/>
      <c r="AF908" s="25"/>
      <c r="AG908" s="26"/>
      <c r="AH908" s="275"/>
      <c r="AI908" s="52"/>
      <c r="AJ908" s="35"/>
      <c r="AK908" s="289"/>
      <c r="AL908" s="290"/>
      <c r="AM908" s="211"/>
      <c r="AN908" s="164"/>
      <c r="AO908" s="76"/>
      <c r="AP908" s="44"/>
      <c r="AQ908" s="275"/>
      <c r="AR908" s="52"/>
      <c r="AS908" s="35"/>
      <c r="AT908" s="79"/>
      <c r="AU908" s="212"/>
      <c r="AV908" s="164"/>
      <c r="AW908" s="164"/>
      <c r="AX908" s="76"/>
      <c r="AY908" s="44"/>
      <c r="AZ908" s="275"/>
      <c r="BA908" s="52"/>
      <c r="BB908" s="35"/>
      <c r="BC908" s="79"/>
      <c r="BD908" s="230"/>
      <c r="BE908" s="211"/>
      <c r="BF908" s="164"/>
      <c r="BG908" s="76"/>
      <c r="BH908" s="44"/>
      <c r="BI908" s="275"/>
      <c r="BJ908" s="52"/>
      <c r="BK908" s="35"/>
      <c r="BL908" s="79"/>
      <c r="BM908" s="230"/>
      <c r="BN908" s="211"/>
      <c r="BO908" s="164"/>
      <c r="BP908" s="584"/>
      <c r="BQ908" s="585"/>
      <c r="BR908" s="299"/>
      <c r="BS908" s="35"/>
      <c r="BT908" s="35"/>
      <c r="BU908" s="79"/>
      <c r="BV908" s="212"/>
      <c r="BW908" s="304"/>
      <c r="BX908" s="313"/>
      <c r="BY908" s="138"/>
    </row>
    <row r="909" spans="1:77" customFormat="1" ht="15" customHeight="1" x14ac:dyDescent="0.2">
      <c r="A909" s="57" t="s">
        <v>15</v>
      </c>
      <c r="B909" s="583" t="s">
        <v>477</v>
      </c>
      <c r="C909" s="583" t="s">
        <v>816</v>
      </c>
      <c r="D909" s="546">
        <v>119</v>
      </c>
      <c r="E909" s="162" t="s">
        <v>631</v>
      </c>
      <c r="F909" s="358"/>
      <c r="G909" s="777"/>
      <c r="H909" s="797">
        <v>1.0069999999999999</v>
      </c>
      <c r="I909" s="798"/>
      <c r="J909" s="717"/>
      <c r="K909" s="66"/>
      <c r="L909" s="73"/>
      <c r="M909" s="717"/>
      <c r="N909" s="359"/>
      <c r="O909" s="1044"/>
      <c r="P909" s="717"/>
      <c r="Q909" s="359"/>
      <c r="R909" s="1044"/>
      <c r="S909" s="717"/>
      <c r="T909" s="359"/>
      <c r="U909" s="73"/>
      <c r="V909" s="66"/>
      <c r="W909" s="594">
        <f t="shared" si="550"/>
        <v>6.5454999999999995E-4</v>
      </c>
      <c r="X909" s="595">
        <f t="shared" si="551"/>
        <v>6.5454999999999995E-4</v>
      </c>
      <c r="Y909" s="52">
        <v>1990</v>
      </c>
      <c r="Z909" s="52"/>
      <c r="AA909" s="596">
        <f t="shared" ref="AA909" si="558">+H909/1000</f>
        <v>1.0069999999999999E-3</v>
      </c>
      <c r="AB909" s="256">
        <v>-0.35</v>
      </c>
      <c r="AC909" s="688">
        <f t="shared" si="554"/>
        <v>-0.35</v>
      </c>
      <c r="AD909" s="164"/>
      <c r="AE909" s="164"/>
      <c r="AF909" s="25"/>
      <c r="AG909" s="26"/>
      <c r="AH909" s="275"/>
      <c r="AI909" s="52"/>
      <c r="AJ909" s="35"/>
      <c r="AK909" s="289"/>
      <c r="AL909" s="290"/>
      <c r="AM909" s="211"/>
      <c r="AN909" s="164"/>
      <c r="AO909" s="76"/>
      <c r="AP909" s="44"/>
      <c r="AQ909" s="275"/>
      <c r="AR909" s="52"/>
      <c r="AS909" s="35"/>
      <c r="AT909" s="79"/>
      <c r="AU909" s="212"/>
      <c r="AV909" s="164"/>
      <c r="AW909" s="164"/>
      <c r="AX909" s="76"/>
      <c r="AY909" s="44"/>
      <c r="AZ909" s="275"/>
      <c r="BA909" s="52"/>
      <c r="BB909" s="35"/>
      <c r="BC909" s="79"/>
      <c r="BD909" s="230"/>
      <c r="BE909" s="211"/>
      <c r="BF909" s="164"/>
      <c r="BG909" s="76"/>
      <c r="BH909" s="44"/>
      <c r="BI909" s="275"/>
      <c r="BJ909" s="52"/>
      <c r="BK909" s="35"/>
      <c r="BL909" s="79"/>
      <c r="BM909" s="230"/>
      <c r="BN909" s="211"/>
      <c r="BO909" s="164"/>
      <c r="BP909" s="584"/>
      <c r="BQ909" s="585"/>
      <c r="BR909" s="299"/>
      <c r="BS909" s="35"/>
      <c r="BT909" s="35"/>
      <c r="BU909" s="79"/>
      <c r="BV909" s="212"/>
      <c r="BW909" s="304"/>
      <c r="BX909" s="313"/>
      <c r="BY909" s="138"/>
    </row>
    <row r="910" spans="1:77" customFormat="1" ht="15" customHeight="1" x14ac:dyDescent="0.2">
      <c r="A910" s="57" t="s">
        <v>15</v>
      </c>
      <c r="B910" s="583" t="s">
        <v>477</v>
      </c>
      <c r="C910" s="583" t="s">
        <v>821</v>
      </c>
      <c r="D910" s="546">
        <v>25.896999999999998</v>
      </c>
      <c r="E910" s="162" t="s">
        <v>631</v>
      </c>
      <c r="F910" s="800">
        <v>1993</v>
      </c>
      <c r="G910" s="777"/>
      <c r="H910" s="797">
        <v>0.21771180000000001</v>
      </c>
      <c r="I910" s="798"/>
      <c r="J910" s="717"/>
      <c r="K910" s="66"/>
      <c r="L910" s="73"/>
      <c r="M910" s="717"/>
      <c r="N910" s="359"/>
      <c r="O910" s="1044"/>
      <c r="P910" s="717"/>
      <c r="Q910" s="359"/>
      <c r="R910" s="1044"/>
      <c r="S910" s="717"/>
      <c r="T910" s="359"/>
      <c r="U910" s="73"/>
      <c r="V910" s="66"/>
      <c r="W910" s="594">
        <f t="shared" si="550"/>
        <v>1.4804402399999999E-4</v>
      </c>
      <c r="X910" s="595">
        <f t="shared" si="551"/>
        <v>1.4804402399999999E-4</v>
      </c>
      <c r="Y910" s="52">
        <v>1993</v>
      </c>
      <c r="Z910" s="52"/>
      <c r="AA910" s="596">
        <f t="shared" ref="AA910" si="559">+H910/1000</f>
        <v>2.1771180000000002E-4</v>
      </c>
      <c r="AB910" s="256">
        <v>-0.32</v>
      </c>
      <c r="AC910" s="688">
        <f t="shared" si="554"/>
        <v>-0.32</v>
      </c>
      <c r="AD910" s="164"/>
      <c r="AE910" s="164"/>
      <c r="AF910" s="25"/>
      <c r="AG910" s="26"/>
      <c r="AH910" s="275"/>
      <c r="AI910" s="52"/>
      <c r="AJ910" s="35"/>
      <c r="AK910" s="289"/>
      <c r="AL910" s="290"/>
      <c r="AM910" s="211"/>
      <c r="AN910" s="164"/>
      <c r="AO910" s="76"/>
      <c r="AP910" s="44"/>
      <c r="AQ910" s="275"/>
      <c r="AR910" s="52"/>
      <c r="AS910" s="35"/>
      <c r="AT910" s="79"/>
      <c r="AU910" s="212"/>
      <c r="AV910" s="164"/>
      <c r="AW910" s="164"/>
      <c r="AX910" s="76"/>
      <c r="AY910" s="44"/>
      <c r="AZ910" s="275"/>
      <c r="BA910" s="52"/>
      <c r="BB910" s="35"/>
      <c r="BC910" s="79"/>
      <c r="BD910" s="230"/>
      <c r="BE910" s="211"/>
      <c r="BF910" s="164"/>
      <c r="BG910" s="76"/>
      <c r="BH910" s="44"/>
      <c r="BI910" s="275"/>
      <c r="BJ910" s="52"/>
      <c r="BK910" s="35"/>
      <c r="BL910" s="79"/>
      <c r="BM910" s="230"/>
      <c r="BN910" s="211"/>
      <c r="BO910" s="164"/>
      <c r="BP910" s="584"/>
      <c r="BQ910" s="585"/>
      <c r="BR910" s="299"/>
      <c r="BS910" s="35"/>
      <c r="BT910" s="35"/>
      <c r="BU910" s="79"/>
      <c r="BV910" s="212"/>
      <c r="BW910" s="304"/>
      <c r="BX910" s="313"/>
      <c r="BY910" s="138"/>
    </row>
    <row r="911" spans="1:77" customFormat="1" ht="15" customHeight="1" x14ac:dyDescent="0.2">
      <c r="A911" s="57" t="s">
        <v>15</v>
      </c>
      <c r="B911" s="57" t="s">
        <v>426</v>
      </c>
      <c r="C911" s="57"/>
      <c r="D911" s="546">
        <v>12800</v>
      </c>
      <c r="E911" s="971" t="s">
        <v>2920</v>
      </c>
      <c r="F911" s="358"/>
      <c r="G911" s="777"/>
      <c r="H911" s="65">
        <v>84.543999999999997</v>
      </c>
      <c r="I911" s="798"/>
      <c r="J911" s="717"/>
      <c r="K911" s="66">
        <v>80.540999999999997</v>
      </c>
      <c r="L911" s="73"/>
      <c r="M911" s="717"/>
      <c r="N911" s="359">
        <v>80.022000000000006</v>
      </c>
      <c r="O911" s="1043">
        <v>2015</v>
      </c>
      <c r="P911" s="717"/>
      <c r="Q911" s="359">
        <v>76.5</v>
      </c>
      <c r="R911" s="1307"/>
      <c r="S911" s="717"/>
      <c r="T911" s="359"/>
      <c r="U911" s="73"/>
      <c r="V911" s="66"/>
      <c r="W911" s="592">
        <f t="shared" ref="W911:W951" si="560">AA911*(1+AB911)</f>
        <v>7.6089599999999993E-2</v>
      </c>
      <c r="X911" s="593">
        <f t="shared" ref="X911:X951" si="561">AA911*(1+AC911)</f>
        <v>7.6089599999999993E-2</v>
      </c>
      <c r="Y911" s="52">
        <v>1990</v>
      </c>
      <c r="Z911" s="52"/>
      <c r="AA911" s="596">
        <f t="shared" si="552"/>
        <v>8.4543999999999994E-2</v>
      </c>
      <c r="AB911" s="256">
        <v>-0.1</v>
      </c>
      <c r="AC911" s="688">
        <v>-0.1</v>
      </c>
      <c r="AD911" s="164"/>
      <c r="AE911" s="164"/>
      <c r="AF911" s="25"/>
      <c r="AG911" s="26">
        <f>5.5*D911/1000000</f>
        <v>7.0400000000000004E-2</v>
      </c>
      <c r="AH911" s="275"/>
      <c r="AI911" s="52"/>
      <c r="AJ911" s="35"/>
      <c r="AK911" s="289"/>
      <c r="AL911" s="290"/>
      <c r="AM911" s="211"/>
      <c r="AN911" s="164"/>
      <c r="AO911" s="76"/>
      <c r="AP911" s="44"/>
      <c r="AQ911" s="275"/>
      <c r="AR911" s="52"/>
      <c r="AS911" s="35"/>
      <c r="AT911" s="79"/>
      <c r="AU911" s="212"/>
      <c r="AV911" s="164"/>
      <c r="AW911" s="164"/>
      <c r="AX911" s="76"/>
      <c r="AY911" s="44"/>
      <c r="AZ911" s="275"/>
      <c r="BA911" s="52"/>
      <c r="BB911" s="35"/>
      <c r="BC911" s="79"/>
      <c r="BD911" s="230"/>
      <c r="BE911" s="211"/>
      <c r="BF911" s="164"/>
      <c r="BG911" s="76"/>
      <c r="BH911" s="44"/>
      <c r="BI911" s="275"/>
      <c r="BJ911" s="52"/>
      <c r="BK911" s="35"/>
      <c r="BL911" s="79"/>
      <c r="BM911" s="230"/>
      <c r="BN911" s="211"/>
      <c r="BO911" s="164"/>
      <c r="BP911" s="584">
        <f>+BT911*(1+BU911)</f>
        <v>2.0805720000000003E-2</v>
      </c>
      <c r="BQ911" s="585">
        <f>BT911*(1+BV911)</f>
        <v>2.0805720000000003E-2</v>
      </c>
      <c r="BR911" s="299">
        <v>2011</v>
      </c>
      <c r="BS911" s="35"/>
      <c r="BT911" s="35">
        <f>+N911/1000</f>
        <v>8.002200000000001E-2</v>
      </c>
      <c r="BU911" s="79">
        <v>-0.74</v>
      </c>
      <c r="BV911" s="212">
        <f>BU911</f>
        <v>-0.74</v>
      </c>
      <c r="BW911" s="304"/>
      <c r="BX911" s="313" t="s">
        <v>441</v>
      </c>
      <c r="BY911" s="138" t="s">
        <v>440</v>
      </c>
    </row>
    <row r="912" spans="1:77" customFormat="1" ht="15" customHeight="1" x14ac:dyDescent="0.2">
      <c r="A912" s="57" t="s">
        <v>15</v>
      </c>
      <c r="B912" s="583" t="s">
        <v>477</v>
      </c>
      <c r="C912" s="583" t="s">
        <v>823</v>
      </c>
      <c r="D912" s="546">
        <v>13</v>
      </c>
      <c r="E912" s="162" t="s">
        <v>631</v>
      </c>
      <c r="F912" s="358"/>
      <c r="G912" s="777"/>
      <c r="H912" s="65"/>
      <c r="I912" s="799">
        <v>2006</v>
      </c>
      <c r="J912" s="717"/>
      <c r="K912" s="734">
        <v>8.5979999999999997E-3</v>
      </c>
      <c r="L912" s="73"/>
      <c r="M912" s="717"/>
      <c r="N912" s="359"/>
      <c r="O912" s="1044"/>
      <c r="P912" s="717"/>
      <c r="Q912" s="359"/>
      <c r="R912" s="1044"/>
      <c r="S912" s="717"/>
      <c r="T912" s="359"/>
      <c r="U912" s="73"/>
      <c r="V912" s="66"/>
      <c r="W912" s="788">
        <f t="shared" ref="W912:W918" si="562">AA912*(1+AB912)</f>
        <v>4.2989999999999998E-6</v>
      </c>
      <c r="X912" s="789">
        <f t="shared" ref="X912:X918" si="563">AA912*(1+AC912)</f>
        <v>4.2989999999999998E-6</v>
      </c>
      <c r="Y912" s="52">
        <v>2006</v>
      </c>
      <c r="Z912" s="52"/>
      <c r="AA912" s="739">
        <f>+K912/1000</f>
        <v>8.5979999999999997E-6</v>
      </c>
      <c r="AB912" s="256">
        <v>-0.5</v>
      </c>
      <c r="AC912" s="688">
        <f t="shared" ref="AC912:AC917" si="564">AB912</f>
        <v>-0.5</v>
      </c>
      <c r="AD912" s="164"/>
      <c r="AE912" s="164"/>
      <c r="AF912" s="25"/>
      <c r="AG912" s="26"/>
      <c r="AH912" s="275"/>
      <c r="AI912" s="52"/>
      <c r="AJ912" s="35"/>
      <c r="AK912" s="289"/>
      <c r="AL912" s="290"/>
      <c r="AM912" s="211"/>
      <c r="AN912" s="164"/>
      <c r="AO912" s="76"/>
      <c r="AP912" s="44"/>
      <c r="AQ912" s="275"/>
      <c r="AR912" s="52"/>
      <c r="AS912" s="35"/>
      <c r="AT912" s="79"/>
      <c r="AU912" s="212"/>
      <c r="AV912" s="164"/>
      <c r="AW912" s="164"/>
      <c r="AX912" s="76"/>
      <c r="AY912" s="44"/>
      <c r="AZ912" s="275"/>
      <c r="BA912" s="52"/>
      <c r="BB912" s="35"/>
      <c r="BC912" s="79"/>
      <c r="BD912" s="230"/>
      <c r="BE912" s="211"/>
      <c r="BF912" s="164"/>
      <c r="BG912" s="76"/>
      <c r="BH912" s="44"/>
      <c r="BI912" s="275"/>
      <c r="BJ912" s="52"/>
      <c r="BK912" s="35"/>
      <c r="BL912" s="79"/>
      <c r="BM912" s="230"/>
      <c r="BN912" s="211"/>
      <c r="BO912" s="164"/>
      <c r="BP912" s="584"/>
      <c r="BQ912" s="585"/>
      <c r="BR912" s="299"/>
      <c r="BS912" s="35"/>
      <c r="BT912" s="35"/>
      <c r="BU912" s="79"/>
      <c r="BV912" s="212"/>
      <c r="BW912" s="304"/>
      <c r="BX912" s="313"/>
      <c r="BY912" s="138"/>
    </row>
    <row r="913" spans="1:77" customFormat="1" ht="15" customHeight="1" x14ac:dyDescent="0.2">
      <c r="A913" s="57" t="s">
        <v>15</v>
      </c>
      <c r="B913" s="583" t="s">
        <v>477</v>
      </c>
      <c r="C913" s="583" t="s">
        <v>817</v>
      </c>
      <c r="D913" s="546">
        <v>13.961</v>
      </c>
      <c r="E913" s="162" t="s">
        <v>631</v>
      </c>
      <c r="F913" s="358"/>
      <c r="G913" s="777"/>
      <c r="H913" s="65"/>
      <c r="I913" s="798"/>
      <c r="J913" s="717"/>
      <c r="K913" s="66"/>
      <c r="L913" s="724">
        <v>2009</v>
      </c>
      <c r="M913" s="717"/>
      <c r="N913" s="738">
        <v>6.676E-2</v>
      </c>
      <c r="O913" s="1043"/>
      <c r="P913" s="717"/>
      <c r="Q913" s="738"/>
      <c r="R913" s="1043"/>
      <c r="S913" s="717"/>
      <c r="T913" s="738"/>
      <c r="U913" s="73"/>
      <c r="V913" s="66"/>
      <c r="W913" s="740">
        <f t="shared" si="562"/>
        <v>4.0056000000000004E-5</v>
      </c>
      <c r="X913" s="741">
        <f t="shared" si="563"/>
        <v>4.0056000000000004E-5</v>
      </c>
      <c r="Y913" s="52">
        <v>2009</v>
      </c>
      <c r="Z913" s="52"/>
      <c r="AA913" s="739">
        <f>+N913/1000</f>
        <v>6.6760000000000005E-5</v>
      </c>
      <c r="AB913" s="256">
        <v>-0.4</v>
      </c>
      <c r="AC913" s="688">
        <f t="shared" si="564"/>
        <v>-0.4</v>
      </c>
      <c r="AD913" s="164"/>
      <c r="AE913" s="164"/>
      <c r="AF913" s="25"/>
      <c r="AG913" s="26"/>
      <c r="AH913" s="275"/>
      <c r="AI913" s="52"/>
      <c r="AJ913" s="35"/>
      <c r="AK913" s="289"/>
      <c r="AL913" s="290"/>
      <c r="AM913" s="211"/>
      <c r="AN913" s="164"/>
      <c r="AO913" s="76"/>
      <c r="AP913" s="44"/>
      <c r="AQ913" s="275"/>
      <c r="AR913" s="52"/>
      <c r="AS913" s="35"/>
      <c r="AT913" s="79"/>
      <c r="AU913" s="212"/>
      <c r="AV913" s="164"/>
      <c r="AW913" s="164"/>
      <c r="AX913" s="76"/>
      <c r="AY913" s="44"/>
      <c r="AZ913" s="275"/>
      <c r="BA913" s="52"/>
      <c r="BB913" s="35"/>
      <c r="BC913" s="79"/>
      <c r="BD913" s="230"/>
      <c r="BE913" s="211"/>
      <c r="BF913" s="164"/>
      <c r="BG913" s="76"/>
      <c r="BH913" s="44"/>
      <c r="BI913" s="275"/>
      <c r="BJ913" s="52"/>
      <c r="BK913" s="35"/>
      <c r="BL913" s="79"/>
      <c r="BM913" s="230"/>
      <c r="BN913" s="211"/>
      <c r="BO913" s="164"/>
      <c r="BP913" s="584"/>
      <c r="BQ913" s="585"/>
      <c r="BR913" s="299"/>
      <c r="BS913" s="35"/>
      <c r="BT913" s="35"/>
      <c r="BU913" s="79"/>
      <c r="BV913" s="212"/>
      <c r="BW913" s="304"/>
      <c r="BX913" s="313"/>
      <c r="BY913" s="138"/>
    </row>
    <row r="914" spans="1:77" customFormat="1" ht="15" customHeight="1" x14ac:dyDescent="0.2">
      <c r="A914" s="57" t="s">
        <v>15</v>
      </c>
      <c r="B914" s="583" t="s">
        <v>477</v>
      </c>
      <c r="C914" s="583" t="s">
        <v>824</v>
      </c>
      <c r="D914" s="546">
        <v>35.588000000000001</v>
      </c>
      <c r="E914" s="162" t="s">
        <v>631</v>
      </c>
      <c r="F914" s="358"/>
      <c r="G914" s="777"/>
      <c r="H914" s="65"/>
      <c r="I914" s="798"/>
      <c r="J914" s="717"/>
      <c r="K914" s="66">
        <v>6.32</v>
      </c>
      <c r="L914" s="724"/>
      <c r="M914" s="717"/>
      <c r="N914" s="738"/>
      <c r="O914" s="1043"/>
      <c r="P914" s="717"/>
      <c r="Q914" s="738"/>
      <c r="R914" s="1043"/>
      <c r="S914" s="717"/>
      <c r="T914" s="738"/>
      <c r="U914" s="73"/>
      <c r="V914" s="66"/>
      <c r="W914" s="594">
        <f t="shared" si="562"/>
        <v>4.1080000000000005E-3</v>
      </c>
      <c r="X914" s="595">
        <f t="shared" si="563"/>
        <v>4.1080000000000005E-3</v>
      </c>
      <c r="Y914" s="52">
        <v>2005</v>
      </c>
      <c r="Z914" s="52"/>
      <c r="AA914" s="596">
        <f>+K914/1000</f>
        <v>6.3200000000000001E-3</v>
      </c>
      <c r="AB914" s="256">
        <v>-0.35</v>
      </c>
      <c r="AC914" s="688">
        <f t="shared" si="564"/>
        <v>-0.35</v>
      </c>
      <c r="AD914" s="164"/>
      <c r="AE914" s="164"/>
      <c r="AF914" s="25"/>
      <c r="AG914" s="26"/>
      <c r="AH914" s="275"/>
      <c r="AI914" s="52"/>
      <c r="AJ914" s="35"/>
      <c r="AK914" s="289"/>
      <c r="AL914" s="290"/>
      <c r="AM914" s="211"/>
      <c r="AN914" s="164"/>
      <c r="AO914" s="76"/>
      <c r="AP914" s="44"/>
      <c r="AQ914" s="275"/>
      <c r="AR914" s="52"/>
      <c r="AS914" s="35"/>
      <c r="AT914" s="79"/>
      <c r="AU914" s="212"/>
      <c r="AV914" s="164"/>
      <c r="AW914" s="164"/>
      <c r="AX914" s="76"/>
      <c r="AY914" s="44"/>
      <c r="AZ914" s="275"/>
      <c r="BA914" s="52"/>
      <c r="BB914" s="35"/>
      <c r="BC914" s="79"/>
      <c r="BD914" s="230"/>
      <c r="BE914" s="211"/>
      <c r="BF914" s="164"/>
      <c r="BG914" s="76"/>
      <c r="BH914" s="44"/>
      <c r="BI914" s="275"/>
      <c r="BJ914" s="52"/>
      <c r="BK914" s="35"/>
      <c r="BL914" s="79"/>
      <c r="BM914" s="230"/>
      <c r="BN914" s="211"/>
      <c r="BO914" s="164"/>
      <c r="BP914" s="584"/>
      <c r="BQ914" s="585"/>
      <c r="BR914" s="299"/>
      <c r="BS914" s="35"/>
      <c r="BT914" s="35"/>
      <c r="BU914" s="79"/>
      <c r="BV914" s="212"/>
      <c r="BW914" s="304"/>
      <c r="BX914" s="313"/>
      <c r="BY914" s="138"/>
    </row>
    <row r="915" spans="1:77" customFormat="1" ht="15" customHeight="1" x14ac:dyDescent="0.2">
      <c r="A915" s="57" t="s">
        <v>15</v>
      </c>
      <c r="B915" s="583" t="s">
        <v>477</v>
      </c>
      <c r="C915" s="583" t="s">
        <v>832</v>
      </c>
      <c r="D915" s="546">
        <v>1464.962</v>
      </c>
      <c r="E915" s="162" t="s">
        <v>631</v>
      </c>
      <c r="F915" s="358"/>
      <c r="G915" s="777"/>
      <c r="H915" s="65">
        <v>10.882</v>
      </c>
      <c r="I915" s="798"/>
      <c r="J915" s="717"/>
      <c r="K915" s="66"/>
      <c r="L915" s="724"/>
      <c r="M915" s="717"/>
      <c r="N915" s="738"/>
      <c r="O915" s="1043"/>
      <c r="P915" s="717"/>
      <c r="Q915" s="738"/>
      <c r="R915" s="1043"/>
      <c r="S915" s="717"/>
      <c r="T915" s="738"/>
      <c r="U915" s="73"/>
      <c r="V915" s="66"/>
      <c r="W915" s="594">
        <f t="shared" si="562"/>
        <v>5.7674600000000003E-3</v>
      </c>
      <c r="X915" s="595">
        <f t="shared" si="563"/>
        <v>5.7674600000000003E-3</v>
      </c>
      <c r="Y915" s="52">
        <v>1990</v>
      </c>
      <c r="Z915" s="52"/>
      <c r="AA915" s="596">
        <f t="shared" ref="AA915" si="565">+H915/1000</f>
        <v>1.0881999999999999E-2</v>
      </c>
      <c r="AB915" s="256">
        <v>-0.47</v>
      </c>
      <c r="AC915" s="688">
        <f t="shared" si="564"/>
        <v>-0.47</v>
      </c>
      <c r="AD915" s="164"/>
      <c r="AE915" s="164"/>
      <c r="AF915" s="25"/>
      <c r="AG915" s="26"/>
      <c r="AH915" s="275"/>
      <c r="AI915" s="52"/>
      <c r="AJ915" s="35"/>
      <c r="AK915" s="289"/>
      <c r="AL915" s="290"/>
      <c r="AM915" s="211"/>
      <c r="AN915" s="164"/>
      <c r="AO915" s="76"/>
      <c r="AP915" s="44"/>
      <c r="AQ915" s="275"/>
      <c r="AR915" s="52"/>
      <c r="AS915" s="35"/>
      <c r="AT915" s="79"/>
      <c r="AU915" s="212"/>
      <c r="AV915" s="164"/>
      <c r="AW915" s="164"/>
      <c r="AX915" s="76"/>
      <c r="AY915" s="44"/>
      <c r="AZ915" s="275"/>
      <c r="BA915" s="52"/>
      <c r="BB915" s="35"/>
      <c r="BC915" s="79"/>
      <c r="BD915" s="230"/>
      <c r="BE915" s="211"/>
      <c r="BF915" s="164"/>
      <c r="BG915" s="76"/>
      <c r="BH915" s="44"/>
      <c r="BI915" s="275"/>
      <c r="BJ915" s="52"/>
      <c r="BK915" s="35"/>
      <c r="BL915" s="79"/>
      <c r="BM915" s="230"/>
      <c r="BN915" s="211"/>
      <c r="BO915" s="164"/>
      <c r="BP915" s="584"/>
      <c r="BQ915" s="585"/>
      <c r="BR915" s="299"/>
      <c r="BS915" s="35"/>
      <c r="BT915" s="35"/>
      <c r="BU915" s="79"/>
      <c r="BV915" s="212"/>
      <c r="BW915" s="304"/>
      <c r="BX915" s="313"/>
      <c r="BY915" s="138"/>
    </row>
    <row r="916" spans="1:77" customFormat="1" ht="15" customHeight="1" x14ac:dyDescent="0.2">
      <c r="A916" s="57" t="s">
        <v>15</v>
      </c>
      <c r="B916" s="583" t="s">
        <v>477</v>
      </c>
      <c r="C916" s="583" t="s">
        <v>837</v>
      </c>
      <c r="D916" s="546">
        <v>39.246000000000002</v>
      </c>
      <c r="E916" s="162" t="s">
        <v>631</v>
      </c>
      <c r="F916" s="358"/>
      <c r="G916" s="777"/>
      <c r="H916" s="65">
        <v>0.36082900000000001</v>
      </c>
      <c r="I916" s="798"/>
      <c r="J916" s="717"/>
      <c r="K916" s="66"/>
      <c r="L916" s="724"/>
      <c r="M916" s="717"/>
      <c r="N916" s="738"/>
      <c r="O916" s="1043"/>
      <c r="P916" s="717"/>
      <c r="Q916" s="738"/>
      <c r="R916" s="1043"/>
      <c r="S916" s="717"/>
      <c r="T916" s="738"/>
      <c r="U916" s="73"/>
      <c r="V916" s="66"/>
      <c r="W916" s="594">
        <f t="shared" si="562"/>
        <v>1.7319792E-4</v>
      </c>
      <c r="X916" s="595">
        <f t="shared" si="563"/>
        <v>1.7319792E-4</v>
      </c>
      <c r="Y916" s="52">
        <v>1990</v>
      </c>
      <c r="Z916" s="52"/>
      <c r="AA916" s="596">
        <f t="shared" ref="AA916" si="566">+H916/1000</f>
        <v>3.6082900000000001E-4</v>
      </c>
      <c r="AB916" s="256">
        <v>-0.52</v>
      </c>
      <c r="AC916" s="688">
        <f t="shared" si="564"/>
        <v>-0.52</v>
      </c>
      <c r="AD916" s="164"/>
      <c r="AE916" s="164"/>
      <c r="AF916" s="25"/>
      <c r="AG916" s="26"/>
      <c r="AH916" s="275"/>
      <c r="AI916" s="52"/>
      <c r="AJ916" s="35"/>
      <c r="AK916" s="289"/>
      <c r="AL916" s="290"/>
      <c r="AM916" s="211"/>
      <c r="AN916" s="164"/>
      <c r="AO916" s="76"/>
      <c r="AP916" s="44"/>
      <c r="AQ916" s="275"/>
      <c r="AR916" s="52"/>
      <c r="AS916" s="35"/>
      <c r="AT916" s="79"/>
      <c r="AU916" s="212"/>
      <c r="AV916" s="164"/>
      <c r="AW916" s="164"/>
      <c r="AX916" s="76"/>
      <c r="AY916" s="44"/>
      <c r="AZ916" s="275"/>
      <c r="BA916" s="52"/>
      <c r="BB916" s="35"/>
      <c r="BC916" s="79"/>
      <c r="BD916" s="230"/>
      <c r="BE916" s="211"/>
      <c r="BF916" s="164"/>
      <c r="BG916" s="76"/>
      <c r="BH916" s="44"/>
      <c r="BI916" s="275"/>
      <c r="BJ916" s="52"/>
      <c r="BK916" s="35"/>
      <c r="BL916" s="79"/>
      <c r="BM916" s="230"/>
      <c r="BN916" s="211"/>
      <c r="BO916" s="164"/>
      <c r="BP916" s="584"/>
      <c r="BQ916" s="585"/>
      <c r="BR916" s="299"/>
      <c r="BS916" s="35"/>
      <c r="BT916" s="35"/>
      <c r="BU916" s="79"/>
      <c r="BV916" s="212"/>
      <c r="BW916" s="304"/>
      <c r="BX916" s="313"/>
      <c r="BY916" s="138"/>
    </row>
    <row r="917" spans="1:77" customFormat="1" ht="15" customHeight="1" x14ac:dyDescent="0.2">
      <c r="A917" s="57" t="s">
        <v>15</v>
      </c>
      <c r="B917" s="583" t="s">
        <v>477</v>
      </c>
      <c r="C917" s="583" t="s">
        <v>843</v>
      </c>
      <c r="D917" s="546">
        <v>503.26299999999998</v>
      </c>
      <c r="E917" s="162" t="s">
        <v>631</v>
      </c>
      <c r="F917" s="358"/>
      <c r="G917" s="777"/>
      <c r="H917" s="65">
        <v>5.2430000000000003</v>
      </c>
      <c r="I917" s="798"/>
      <c r="J917" s="717"/>
      <c r="K917" s="66"/>
      <c r="L917" s="724"/>
      <c r="M917" s="717"/>
      <c r="N917" s="738"/>
      <c r="O917" s="1043"/>
      <c r="P917" s="717"/>
      <c r="Q917" s="738"/>
      <c r="R917" s="1043"/>
      <c r="S917" s="717"/>
      <c r="T917" s="738"/>
      <c r="U917" s="73"/>
      <c r="V917" s="66"/>
      <c r="W917" s="594">
        <f t="shared" si="562"/>
        <v>3.1458000000000002E-3</v>
      </c>
      <c r="X917" s="595">
        <f t="shared" si="563"/>
        <v>3.1458000000000002E-3</v>
      </c>
      <c r="Y917" s="52">
        <v>1990</v>
      </c>
      <c r="Z917" s="52"/>
      <c r="AA917" s="596">
        <f t="shared" ref="AA917" si="567">+H917/1000</f>
        <v>5.2430000000000003E-3</v>
      </c>
      <c r="AB917" s="256">
        <v>-0.4</v>
      </c>
      <c r="AC917" s="688">
        <f t="shared" si="564"/>
        <v>-0.4</v>
      </c>
      <c r="AD917" s="164"/>
      <c r="AE917" s="164"/>
      <c r="AF917" s="25"/>
      <c r="AG917" s="26"/>
      <c r="AH917" s="275"/>
      <c r="AI917" s="52"/>
      <c r="AJ917" s="35"/>
      <c r="AK917" s="289"/>
      <c r="AL917" s="290"/>
      <c r="AM917" s="211"/>
      <c r="AN917" s="164"/>
      <c r="AO917" s="76"/>
      <c r="AP917" s="44"/>
      <c r="AQ917" s="275"/>
      <c r="AR917" s="52"/>
      <c r="AS917" s="35"/>
      <c r="AT917" s="79"/>
      <c r="AU917" s="212"/>
      <c r="AV917" s="164"/>
      <c r="AW917" s="164"/>
      <c r="AX917" s="76"/>
      <c r="AY917" s="44"/>
      <c r="AZ917" s="275"/>
      <c r="BA917" s="52"/>
      <c r="BB917" s="35"/>
      <c r="BC917" s="79"/>
      <c r="BD917" s="230"/>
      <c r="BE917" s="211"/>
      <c r="BF917" s="164"/>
      <c r="BG917" s="76"/>
      <c r="BH917" s="44"/>
      <c r="BI917" s="275"/>
      <c r="BJ917" s="52"/>
      <c r="BK917" s="35"/>
      <c r="BL917" s="79"/>
      <c r="BM917" s="230"/>
      <c r="BN917" s="211"/>
      <c r="BO917" s="164"/>
      <c r="BP917" s="584"/>
      <c r="BQ917" s="585"/>
      <c r="BR917" s="299"/>
      <c r="BS917" s="35"/>
      <c r="BT917" s="35"/>
      <c r="BU917" s="79"/>
      <c r="BV917" s="212"/>
      <c r="BW917" s="304"/>
      <c r="BX917" s="313"/>
      <c r="BY917" s="138"/>
    </row>
    <row r="918" spans="1:77" ht="15" customHeight="1" x14ac:dyDescent="0.2">
      <c r="A918" s="57" t="s">
        <v>15</v>
      </c>
      <c r="B918" s="583" t="s">
        <v>342</v>
      </c>
      <c r="C918" s="583"/>
      <c r="D918" s="546">
        <v>3.6448</v>
      </c>
      <c r="E918" s="162" t="s">
        <v>3165</v>
      </c>
      <c r="F918" s="358"/>
      <c r="G918" s="65"/>
      <c r="H918" s="73">
        <v>29.3</v>
      </c>
      <c r="I918" s="90"/>
      <c r="J918" s="73"/>
      <c r="K918" s="66">
        <v>19.998000000000001</v>
      </c>
      <c r="L918" s="717"/>
      <c r="M918" s="73"/>
      <c r="N918" s="359">
        <v>21.298999999999999</v>
      </c>
      <c r="O918" s="1041">
        <v>2013</v>
      </c>
      <c r="P918" s="73"/>
      <c r="Q918" s="359">
        <v>19.771999999999998</v>
      </c>
      <c r="R918" s="1041"/>
      <c r="S918" s="73"/>
      <c r="T918" s="359"/>
      <c r="U918" s="73"/>
      <c r="V918" s="66"/>
      <c r="W918" s="594">
        <f t="shared" si="562"/>
        <v>1.7579999999999998E-2</v>
      </c>
      <c r="X918" s="595">
        <f t="shared" si="563"/>
        <v>1.7579999999999998E-2</v>
      </c>
      <c r="Y918" s="52">
        <v>1990</v>
      </c>
      <c r="Z918" s="52"/>
      <c r="AA918" s="596">
        <f t="shared" si="552"/>
        <v>2.93E-2</v>
      </c>
      <c r="AB918" s="256">
        <v>-0.4</v>
      </c>
      <c r="AC918" s="688">
        <v>-0.4</v>
      </c>
      <c r="AD918" s="164"/>
      <c r="AE918" s="164"/>
      <c r="AF918" s="25"/>
      <c r="AG918" s="26"/>
      <c r="AH918" s="275"/>
      <c r="AI918" s="52"/>
      <c r="AJ918" s="35"/>
      <c r="AK918" s="289"/>
      <c r="AL918" s="290"/>
      <c r="AM918" s="211"/>
      <c r="AN918" s="164"/>
      <c r="AO918" s="594">
        <f t="shared" ref="AO918" si="568">AS918*(1+AT918)</f>
        <v>1.1720000000000001E-2</v>
      </c>
      <c r="AP918" s="595">
        <f t="shared" ref="AP918" si="569">AS918*(1+AU918)</f>
        <v>1.1720000000000001E-2</v>
      </c>
      <c r="AQ918" s="52">
        <v>1990</v>
      </c>
      <c r="AR918" s="52"/>
      <c r="AS918" s="596">
        <f>+H918/1000</f>
        <v>2.93E-2</v>
      </c>
      <c r="AT918" s="256">
        <v>-0.6</v>
      </c>
      <c r="AU918" s="688">
        <v>-0.6</v>
      </c>
      <c r="AV918" s="164"/>
      <c r="AW918" s="164"/>
      <c r="AX918" s="76"/>
      <c r="AY918" s="44"/>
      <c r="AZ918" s="275"/>
      <c r="BA918" s="52"/>
      <c r="BB918" s="35"/>
      <c r="BC918" s="79"/>
      <c r="BD918" s="230"/>
      <c r="BE918" s="211"/>
      <c r="BF918" s="164"/>
      <c r="BG918" s="76"/>
      <c r="BH918" s="44"/>
      <c r="BI918" s="275"/>
      <c r="BJ918" s="52"/>
      <c r="BK918" s="35"/>
      <c r="BL918" s="79"/>
      <c r="BM918" s="230"/>
      <c r="BN918" s="211"/>
      <c r="BO918" s="164"/>
      <c r="BP918" s="584">
        <f>+BT918*(1+BU918)</f>
        <v>4.3950000000000005E-3</v>
      </c>
      <c r="BQ918" s="585">
        <f>BT918*(1+BV918)</f>
        <v>4.3950000000000005E-3</v>
      </c>
      <c r="BR918" s="299">
        <v>1990</v>
      </c>
      <c r="BS918" s="35"/>
      <c r="BT918" s="35">
        <f>+AA918</f>
        <v>2.93E-2</v>
      </c>
      <c r="BU918" s="977">
        <v>-0.85</v>
      </c>
      <c r="BV918" s="1253">
        <f t="shared" ref="BV918" si="570">BU918</f>
        <v>-0.85</v>
      </c>
      <c r="BW918" s="586"/>
      <c r="BX918" s="313" t="s">
        <v>343</v>
      </c>
      <c r="BY918" s="138"/>
    </row>
    <row r="919" spans="1:77" customFormat="1" ht="15" customHeight="1" x14ac:dyDescent="0.2">
      <c r="A919" s="57" t="s">
        <v>15</v>
      </c>
      <c r="B919" s="57" t="s">
        <v>427</v>
      </c>
      <c r="C919" s="583"/>
      <c r="D919" s="546">
        <v>2503.2730000000001</v>
      </c>
      <c r="E919" s="162"/>
      <c r="F919" s="358"/>
      <c r="G919" s="777"/>
      <c r="H919" s="65">
        <v>81.894000000000005</v>
      </c>
      <c r="I919" s="798"/>
      <c r="J919" s="717"/>
      <c r="K919" s="66">
        <v>59.91</v>
      </c>
      <c r="L919" s="73"/>
      <c r="M919" s="717"/>
      <c r="N919" s="359">
        <v>55.5</v>
      </c>
      <c r="O919" s="1044"/>
      <c r="P919" s="717"/>
      <c r="Q919" s="359"/>
      <c r="R919" s="1044"/>
      <c r="S919" s="717"/>
      <c r="T919" s="359"/>
      <c r="U919" s="73"/>
      <c r="V919" s="66"/>
      <c r="W919" s="594">
        <f t="shared" si="560"/>
        <v>4.9136400000000004E-2</v>
      </c>
      <c r="X919" s="595">
        <f t="shared" si="561"/>
        <v>4.9136400000000004E-2</v>
      </c>
      <c r="Y919" s="52">
        <v>1990</v>
      </c>
      <c r="Z919" s="52"/>
      <c r="AA919" s="596">
        <f t="shared" si="552"/>
        <v>8.1894000000000008E-2</v>
      </c>
      <c r="AB919" s="256">
        <v>-0.4</v>
      </c>
      <c r="AC919" s="688">
        <v>-0.4</v>
      </c>
      <c r="AD919" s="164"/>
      <c r="AE919" s="164"/>
      <c r="AF919" s="25"/>
      <c r="AG919" s="26"/>
      <c r="AH919" s="275"/>
      <c r="AI919" s="52"/>
      <c r="AJ919" s="35"/>
      <c r="AK919" s="289"/>
      <c r="AL919" s="290"/>
      <c r="AM919" s="211"/>
      <c r="AN919" s="164"/>
      <c r="AO919" s="76"/>
      <c r="AP919" s="44"/>
      <c r="AQ919" s="275"/>
      <c r="AR919" s="52"/>
      <c r="AS919" s="35"/>
      <c r="AT919" s="79"/>
      <c r="AU919" s="212"/>
      <c r="AV919" s="164"/>
      <c r="AW919" s="164"/>
      <c r="AX919" s="76"/>
      <c r="AY919" s="44"/>
      <c r="AZ919" s="275"/>
      <c r="BA919" s="52"/>
      <c r="BB919" s="35"/>
      <c r="BC919" s="79"/>
      <c r="BD919" s="230"/>
      <c r="BE919" s="211"/>
      <c r="BF919" s="164"/>
      <c r="BG919" s="76"/>
      <c r="BH919" s="44"/>
      <c r="BI919" s="275"/>
      <c r="BJ919" s="52"/>
      <c r="BK919" s="35"/>
      <c r="BL919" s="79"/>
      <c r="BM919" s="230"/>
      <c r="BN919" s="211"/>
      <c r="BO919" s="164"/>
      <c r="BP919" s="584"/>
      <c r="BQ919" s="585"/>
      <c r="BR919" s="299"/>
      <c r="BS919" s="35"/>
      <c r="BT919" s="35"/>
      <c r="BU919" s="79"/>
      <c r="BV919" s="212"/>
      <c r="BW919" s="586"/>
      <c r="BX919" s="313" t="s">
        <v>441</v>
      </c>
      <c r="BY919" s="138" t="s">
        <v>440</v>
      </c>
    </row>
    <row r="920" spans="1:77" customFormat="1" ht="15" customHeight="1" x14ac:dyDescent="0.2">
      <c r="A920" s="57" t="s">
        <v>15</v>
      </c>
      <c r="B920" s="583" t="s">
        <v>477</v>
      </c>
      <c r="C920" s="583" t="s">
        <v>428</v>
      </c>
      <c r="D920" s="546">
        <v>660.70600000000002</v>
      </c>
      <c r="E920" s="162" t="s">
        <v>439</v>
      </c>
      <c r="F920" s="358"/>
      <c r="G920" s="777"/>
      <c r="H920" s="65">
        <v>13.433</v>
      </c>
      <c r="I920" s="798"/>
      <c r="J920" s="717"/>
      <c r="K920" s="66">
        <v>12.222</v>
      </c>
      <c r="L920" s="73"/>
      <c r="M920" s="717"/>
      <c r="N920" s="359">
        <v>13.779</v>
      </c>
      <c r="O920" s="1044"/>
      <c r="P920" s="717"/>
      <c r="Q920" s="359"/>
      <c r="R920" s="1044"/>
      <c r="S920" s="717"/>
      <c r="T920" s="359"/>
      <c r="U920" s="73"/>
      <c r="V920" s="66"/>
      <c r="W920" s="594">
        <f>AA920*(1+AB920)</f>
        <v>8.0598000000000006E-3</v>
      </c>
      <c r="X920" s="595">
        <f>AA920*(1+AC920)</f>
        <v>8.0598000000000006E-3</v>
      </c>
      <c r="Y920" s="52">
        <v>1990</v>
      </c>
      <c r="Z920" s="52"/>
      <c r="AA920" s="596">
        <f t="shared" si="552"/>
        <v>1.3433E-2</v>
      </c>
      <c r="AB920" s="256">
        <v>-0.4</v>
      </c>
      <c r="AC920" s="688">
        <v>-0.4</v>
      </c>
      <c r="AD920" s="164"/>
      <c r="AE920" s="164"/>
      <c r="AF920" s="25"/>
      <c r="AG920" s="26"/>
      <c r="AH920" s="275"/>
      <c r="AI920" s="52"/>
      <c r="AJ920" s="35"/>
      <c r="AK920" s="289"/>
      <c r="AL920" s="290"/>
      <c r="AM920" s="211"/>
      <c r="AN920" s="164"/>
      <c r="AO920" s="76"/>
      <c r="AP920" s="44"/>
      <c r="AQ920" s="275"/>
      <c r="AR920" s="52"/>
      <c r="AS920" s="35"/>
      <c r="AT920" s="79"/>
      <c r="AU920" s="212"/>
      <c r="AV920" s="164"/>
      <c r="AW920" s="164"/>
      <c r="AX920" s="76"/>
      <c r="AY920" s="44"/>
      <c r="AZ920" s="275"/>
      <c r="BA920" s="52"/>
      <c r="BB920" s="35"/>
      <c r="BC920" s="79"/>
      <c r="BD920" s="230"/>
      <c r="BE920" s="211"/>
      <c r="BF920" s="164"/>
      <c r="BG920" s="76"/>
      <c r="BH920" s="44"/>
      <c r="BI920" s="275"/>
      <c r="BJ920" s="52"/>
      <c r="BK920" s="35"/>
      <c r="BL920" s="79"/>
      <c r="BM920" s="230"/>
      <c r="BN920" s="211"/>
      <c r="BO920" s="164"/>
      <c r="BP920" s="584"/>
      <c r="BQ920" s="585"/>
      <c r="BR920" s="299"/>
      <c r="BS920" s="35"/>
      <c r="BT920" s="35"/>
      <c r="BU920" s="79"/>
      <c r="BV920" s="212"/>
      <c r="BW920" s="304"/>
      <c r="BX920" s="313" t="s">
        <v>441</v>
      </c>
      <c r="BY920" s="138" t="s">
        <v>440</v>
      </c>
    </row>
    <row r="921" spans="1:77" customFormat="1" ht="15" customHeight="1" x14ac:dyDescent="0.2">
      <c r="A921" s="57" t="s">
        <v>15</v>
      </c>
      <c r="B921" s="583" t="s">
        <v>429</v>
      </c>
      <c r="C921" s="583"/>
      <c r="D921" s="546">
        <v>1786.4480000000001</v>
      </c>
      <c r="E921" s="162" t="s">
        <v>387</v>
      </c>
      <c r="F921" s="358"/>
      <c r="G921" s="777"/>
      <c r="H921" s="65">
        <v>20.727</v>
      </c>
      <c r="I921" s="798"/>
      <c r="J921" s="717"/>
      <c r="K921" s="66"/>
      <c r="L921" s="73"/>
      <c r="M921" s="717"/>
      <c r="N921" s="359"/>
      <c r="O921" s="1044"/>
      <c r="P921" s="717"/>
      <c r="Q921" s="359"/>
      <c r="R921" s="1044"/>
      <c r="S921" s="717"/>
      <c r="T921" s="359"/>
      <c r="U921" s="73"/>
      <c r="V921" s="66"/>
      <c r="W921" s="592">
        <f>AA921*(1+AB921)</f>
        <v>1.24362E-2</v>
      </c>
      <c r="X921" s="593">
        <f>AA921*(1+AC921)</f>
        <v>1.24362E-2</v>
      </c>
      <c r="Y921" s="52">
        <v>1990</v>
      </c>
      <c r="Z921" s="52"/>
      <c r="AA921" s="596">
        <f t="shared" si="552"/>
        <v>2.0726999999999999E-2</v>
      </c>
      <c r="AB921" s="256">
        <v>-0.4</v>
      </c>
      <c r="AC921" s="688">
        <v>-0.4</v>
      </c>
      <c r="AD921" s="164"/>
      <c r="AE921" s="164"/>
      <c r="AF921" s="25"/>
      <c r="AG921" s="26"/>
      <c r="AH921" s="275"/>
      <c r="AI921" s="52"/>
      <c r="AJ921" s="35"/>
      <c r="AK921" s="289"/>
      <c r="AL921" s="290"/>
      <c r="AM921" s="211"/>
      <c r="AN921" s="164"/>
      <c r="AO921" s="804">
        <f t="shared" ref="AO921" si="571">AS921*(1+AT921)</f>
        <v>1.0363499999999999E-2</v>
      </c>
      <c r="AP921" s="805">
        <f t="shared" ref="AP921" si="572">AS921*(1+AU921)</f>
        <v>1.0363499999999999E-2</v>
      </c>
      <c r="AQ921" s="275">
        <v>1990</v>
      </c>
      <c r="AR921" s="52"/>
      <c r="AS921" s="35">
        <f>+H921/1000</f>
        <v>2.0726999999999999E-2</v>
      </c>
      <c r="AT921" s="79">
        <v>-0.5</v>
      </c>
      <c r="AU921" s="212">
        <f t="shared" ref="AU921" si="573">AT921</f>
        <v>-0.5</v>
      </c>
      <c r="AV921" s="164"/>
      <c r="AW921" s="164"/>
      <c r="AX921" s="76"/>
      <c r="AY921" s="44"/>
      <c r="AZ921" s="275"/>
      <c r="BA921" s="52"/>
      <c r="BB921" s="35"/>
      <c r="BC921" s="79"/>
      <c r="BD921" s="230"/>
      <c r="BE921" s="211"/>
      <c r="BF921" s="164"/>
      <c r="BG921" s="76"/>
      <c r="BH921" s="44"/>
      <c r="BI921" s="275"/>
      <c r="BJ921" s="52"/>
      <c r="BK921" s="35"/>
      <c r="BL921" s="79"/>
      <c r="BM921" s="230"/>
      <c r="BN921" s="211"/>
      <c r="BO921" s="164"/>
      <c r="BP921" s="25">
        <f>+BT921*(1+BU921)</f>
        <v>4.1453999999999987E-3</v>
      </c>
      <c r="BQ921" s="26">
        <f>BT921*(1+BV921)</f>
        <v>4.1453999999999987E-3</v>
      </c>
      <c r="BR921" s="299">
        <v>1990</v>
      </c>
      <c r="BS921" s="52"/>
      <c r="BT921" s="35">
        <f>+AA921</f>
        <v>2.0726999999999999E-2</v>
      </c>
      <c r="BU921" s="79">
        <v>-0.8</v>
      </c>
      <c r="BV921" s="212">
        <v>-0.8</v>
      </c>
      <c r="BW921" s="304"/>
      <c r="BX921" s="313" t="s">
        <v>441</v>
      </c>
      <c r="BY921" s="138" t="s">
        <v>440</v>
      </c>
    </row>
    <row r="922" spans="1:77" customFormat="1" ht="15" customHeight="1" x14ac:dyDescent="0.2">
      <c r="A922" s="57" t="s">
        <v>15</v>
      </c>
      <c r="B922" s="583" t="s">
        <v>2446</v>
      </c>
      <c r="C922" s="583"/>
      <c r="D922" s="546">
        <v>6093.8879999999999</v>
      </c>
      <c r="E922" s="162" t="s">
        <v>2918</v>
      </c>
      <c r="F922" s="358"/>
      <c r="G922" s="777"/>
      <c r="H922" s="65">
        <v>51.5</v>
      </c>
      <c r="I922" s="798"/>
      <c r="J922" s="717"/>
      <c r="K922" s="66">
        <v>54.441000000000003</v>
      </c>
      <c r="L922" s="73"/>
      <c r="M922" s="717"/>
      <c r="N922" s="359">
        <v>51.484999999999999</v>
      </c>
      <c r="O922" s="1043">
        <v>2012</v>
      </c>
      <c r="P922" s="717"/>
      <c r="Q922" s="359">
        <v>37.351999999999997</v>
      </c>
      <c r="R922" s="1043">
        <v>2016</v>
      </c>
      <c r="S922" s="1305">
        <v>40.4</v>
      </c>
      <c r="T922" s="359"/>
      <c r="U922" s="735"/>
      <c r="V922" s="66"/>
      <c r="W922" s="594">
        <f t="shared" si="560"/>
        <v>3.6049999999999999E-2</v>
      </c>
      <c r="X922" s="595">
        <f t="shared" si="561"/>
        <v>3.6049999999999999E-2</v>
      </c>
      <c r="Y922" s="52">
        <v>1990</v>
      </c>
      <c r="Z922" s="52"/>
      <c r="AA922" s="596">
        <f t="shared" si="552"/>
        <v>5.1499999999999997E-2</v>
      </c>
      <c r="AB922" s="256">
        <v>-0.3</v>
      </c>
      <c r="AC922" s="688">
        <f>AB922</f>
        <v>-0.3</v>
      </c>
      <c r="AD922" s="164"/>
      <c r="AE922" s="164"/>
      <c r="AF922" s="804">
        <f t="shared" ref="AF922" si="574">AJ922*(1+AK922)</f>
        <v>3.0899999999999997E-2</v>
      </c>
      <c r="AG922" s="805">
        <f t="shared" ref="AG922" si="575">AJ922*(1+AL922)</f>
        <v>3.0899999999999997E-2</v>
      </c>
      <c r="AH922" s="275">
        <v>1990</v>
      </c>
      <c r="AI922" s="52"/>
      <c r="AJ922" s="35">
        <f>+H922/1000</f>
        <v>5.1499999999999997E-2</v>
      </c>
      <c r="AK922" s="79">
        <v>-0.4</v>
      </c>
      <c r="AL922" s="212">
        <f t="shared" ref="AL922" si="576">AK922</f>
        <v>-0.4</v>
      </c>
      <c r="AM922" s="211"/>
      <c r="AN922" s="164"/>
      <c r="AO922" s="804">
        <f t="shared" ref="AO922" si="577">AS922*(1+AT922)</f>
        <v>2.3174999999999998E-2</v>
      </c>
      <c r="AP922" s="805">
        <f t="shared" ref="AP922" si="578">AS922*(1+AU922)</f>
        <v>2.3174999999999998E-2</v>
      </c>
      <c r="AQ922" s="275">
        <v>1990</v>
      </c>
      <c r="AR922" s="52"/>
      <c r="AS922" s="35">
        <f>+H922/1000</f>
        <v>5.1499999999999997E-2</v>
      </c>
      <c r="AT922" s="79">
        <v>-0.55000000000000004</v>
      </c>
      <c r="AU922" s="212">
        <f t="shared" ref="AU922" si="579">AT922</f>
        <v>-0.55000000000000004</v>
      </c>
      <c r="AV922" s="164"/>
      <c r="AW922" s="164"/>
      <c r="AX922" s="76"/>
      <c r="AY922" s="44"/>
      <c r="AZ922" s="275"/>
      <c r="BA922" s="52"/>
      <c r="BB922" s="35"/>
      <c r="BC922" s="79"/>
      <c r="BD922" s="230"/>
      <c r="BE922" s="211"/>
      <c r="BF922" s="164"/>
      <c r="BG922" s="76"/>
      <c r="BH922" s="44"/>
      <c r="BI922" s="275"/>
      <c r="BJ922" s="52"/>
      <c r="BK922" s="35"/>
      <c r="BL922" s="79"/>
      <c r="BM922" s="230"/>
      <c r="BN922" s="211"/>
      <c r="BO922" s="164"/>
      <c r="BP922" s="25">
        <f>+BT922*(1+BU922)</f>
        <v>5.1499999999999983E-3</v>
      </c>
      <c r="BQ922" s="26">
        <f>BT922*(1+BV922)</f>
        <v>5.1499999999999983E-3</v>
      </c>
      <c r="BR922" s="299">
        <v>1990</v>
      </c>
      <c r="BS922" s="52"/>
      <c r="BT922" s="35">
        <f>+AA922</f>
        <v>5.1499999999999997E-2</v>
      </c>
      <c r="BU922" s="79">
        <v>-0.9</v>
      </c>
      <c r="BV922" s="212">
        <f>BU922</f>
        <v>-0.9</v>
      </c>
      <c r="BW922" s="586"/>
      <c r="BX922" s="313" t="s">
        <v>441</v>
      </c>
      <c r="BY922" s="138" t="s">
        <v>440</v>
      </c>
    </row>
    <row r="923" spans="1:77" customFormat="1" ht="15" customHeight="1" x14ac:dyDescent="0.2">
      <c r="A923" s="57" t="s">
        <v>15</v>
      </c>
      <c r="B923" s="583" t="s">
        <v>477</v>
      </c>
      <c r="C923" s="583" t="s">
        <v>835</v>
      </c>
      <c r="D923" s="546">
        <v>670</v>
      </c>
      <c r="E923" s="162" t="s">
        <v>631</v>
      </c>
      <c r="F923" s="358"/>
      <c r="G923" s="777"/>
      <c r="H923" s="65"/>
      <c r="I923" s="798"/>
      <c r="J923" s="717"/>
      <c r="K923" s="66">
        <v>12.205</v>
      </c>
      <c r="L923" s="73"/>
      <c r="M923" s="717"/>
      <c r="N923" s="359"/>
      <c r="O923" s="1044"/>
      <c r="P923" s="717"/>
      <c r="Q923" s="359"/>
      <c r="R923" s="1044"/>
      <c r="S923" s="717"/>
      <c r="T923" s="359"/>
      <c r="U923" s="73"/>
      <c r="V923" s="66"/>
      <c r="W923" s="594">
        <f>AA923*(1+AB923)</f>
        <v>8.4214500000000005E-3</v>
      </c>
      <c r="X923" s="595">
        <f>AA923*(1+AC923)</f>
        <v>8.4214500000000005E-3</v>
      </c>
      <c r="Y923" s="52">
        <v>2005</v>
      </c>
      <c r="Z923" s="52"/>
      <c r="AA923" s="596">
        <f>+K923/1000</f>
        <v>1.2205000000000001E-2</v>
      </c>
      <c r="AB923" s="256">
        <v>-0.31</v>
      </c>
      <c r="AC923" s="688">
        <f>AB923</f>
        <v>-0.31</v>
      </c>
      <c r="AD923" s="164"/>
      <c r="AE923" s="164"/>
      <c r="AF923" s="25"/>
      <c r="AG923" s="26"/>
      <c r="AH923" s="275"/>
      <c r="AI923" s="52"/>
      <c r="AJ923" s="35"/>
      <c r="AK923" s="289"/>
      <c r="AL923" s="290"/>
      <c r="AM923" s="211"/>
      <c r="AN923" s="164"/>
      <c r="AO923" s="76"/>
      <c r="AP923" s="44"/>
      <c r="AQ923" s="275"/>
      <c r="AR923" s="52"/>
      <c r="AS923" s="35"/>
      <c r="AT923" s="79"/>
      <c r="AU923" s="212"/>
      <c r="AV923" s="164"/>
      <c r="AW923" s="164"/>
      <c r="AX923" s="76"/>
      <c r="AY923" s="44"/>
      <c r="AZ923" s="275"/>
      <c r="BA923" s="52"/>
      <c r="BB923" s="35"/>
      <c r="BC923" s="79"/>
      <c r="BD923" s="230"/>
      <c r="BE923" s="211"/>
      <c r="BF923" s="164"/>
      <c r="BG923" s="76"/>
      <c r="BH923" s="44"/>
      <c r="BI923" s="275"/>
      <c r="BJ923" s="52"/>
      <c r="BK923" s="35"/>
      <c r="BL923" s="79"/>
      <c r="BM923" s="230"/>
      <c r="BN923" s="211"/>
      <c r="BO923" s="164"/>
      <c r="BP923" s="584"/>
      <c r="BQ923" s="585"/>
      <c r="BR923" s="299"/>
      <c r="BS923" s="35"/>
      <c r="BT923" s="35"/>
      <c r="BU923" s="79"/>
      <c r="BV923" s="212"/>
      <c r="BW923" s="586"/>
      <c r="BX923" s="313"/>
      <c r="BY923" s="138"/>
    </row>
    <row r="924" spans="1:77" customFormat="1" ht="15" customHeight="1" x14ac:dyDescent="0.2">
      <c r="A924" s="57" t="s">
        <v>15</v>
      </c>
      <c r="B924" s="583" t="s">
        <v>477</v>
      </c>
      <c r="C924" s="583" t="s">
        <v>814</v>
      </c>
      <c r="D924" s="546">
        <v>124.82899999999999</v>
      </c>
      <c r="E924" s="162" t="s">
        <v>631</v>
      </c>
      <c r="F924" s="358"/>
      <c r="G924" s="777"/>
      <c r="H924" s="65"/>
      <c r="I924" s="799">
        <v>2006</v>
      </c>
      <c r="J924" s="717"/>
      <c r="K924" s="66">
        <v>1.05</v>
      </c>
      <c r="L924" s="73"/>
      <c r="M924" s="717"/>
      <c r="N924" s="359"/>
      <c r="O924" s="1044"/>
      <c r="P924" s="717"/>
      <c r="Q924" s="359"/>
      <c r="R924" s="1044"/>
      <c r="S924" s="717"/>
      <c r="T924" s="359"/>
      <c r="U924" s="73"/>
      <c r="V924" s="66"/>
      <c r="W924" s="594">
        <f>AA924*(1+AB924)</f>
        <v>7.3500000000000008E-4</v>
      </c>
      <c r="X924" s="595">
        <f>AA924*(1+AC924)</f>
        <v>7.3500000000000008E-4</v>
      </c>
      <c r="Y924" s="52">
        <v>2006</v>
      </c>
      <c r="Z924" s="52"/>
      <c r="AA924" s="596">
        <f>+K924/1000</f>
        <v>1.0500000000000002E-3</v>
      </c>
      <c r="AB924" s="256">
        <v>-0.3</v>
      </c>
      <c r="AC924" s="688">
        <f>AB924</f>
        <v>-0.3</v>
      </c>
      <c r="AD924" s="164"/>
      <c r="AE924" s="164"/>
      <c r="AF924" s="25"/>
      <c r="AG924" s="26"/>
      <c r="AH924" s="275"/>
      <c r="AI924" s="52"/>
      <c r="AJ924" s="35"/>
      <c r="AK924" s="289"/>
      <c r="AL924" s="290"/>
      <c r="AM924" s="211"/>
      <c r="AN924" s="164"/>
      <c r="AO924" s="76"/>
      <c r="AP924" s="44"/>
      <c r="AQ924" s="275"/>
      <c r="AR924" s="52"/>
      <c r="AS924" s="35"/>
      <c r="AT924" s="79"/>
      <c r="AU924" s="212"/>
      <c r="AV924" s="164"/>
      <c r="AW924" s="164"/>
      <c r="AX924" s="76"/>
      <c r="AY924" s="44"/>
      <c r="AZ924" s="275"/>
      <c r="BA924" s="52"/>
      <c r="BB924" s="35"/>
      <c r="BC924" s="79"/>
      <c r="BD924" s="230"/>
      <c r="BE924" s="211"/>
      <c r="BF924" s="164"/>
      <c r="BG924" s="76"/>
      <c r="BH924" s="44"/>
      <c r="BI924" s="275"/>
      <c r="BJ924" s="52"/>
      <c r="BK924" s="35"/>
      <c r="BL924" s="79"/>
      <c r="BM924" s="230"/>
      <c r="BN924" s="211"/>
      <c r="BO924" s="164"/>
      <c r="BP924" s="584"/>
      <c r="BQ924" s="585"/>
      <c r="BR924" s="299"/>
      <c r="BS924" s="35"/>
      <c r="BT924" s="35"/>
      <c r="BU924" s="79"/>
      <c r="BV924" s="212"/>
      <c r="BW924" s="586"/>
      <c r="BX924" s="313"/>
      <c r="BY924" s="138"/>
    </row>
    <row r="925" spans="1:77" customFormat="1" ht="15" customHeight="1" x14ac:dyDescent="0.2">
      <c r="A925" s="57" t="s">
        <v>15</v>
      </c>
      <c r="B925" s="57" t="s">
        <v>430</v>
      </c>
      <c r="C925" s="583"/>
      <c r="D925" s="546">
        <v>1642.327</v>
      </c>
      <c r="E925" s="162"/>
      <c r="F925" s="358"/>
      <c r="G925" s="777"/>
      <c r="H925" s="65">
        <v>15.539</v>
      </c>
      <c r="I925" s="798"/>
      <c r="J925" s="717"/>
      <c r="K925" s="66">
        <v>10.510999999999999</v>
      </c>
      <c r="L925" s="73"/>
      <c r="M925" s="717"/>
      <c r="N925" s="359">
        <v>9.9610000000000003</v>
      </c>
      <c r="O925" s="1044"/>
      <c r="P925" s="717"/>
      <c r="Q925" s="359"/>
      <c r="R925" s="1044"/>
      <c r="S925" s="717"/>
      <c r="T925" s="359"/>
      <c r="U925" s="73"/>
      <c r="V925" s="66"/>
      <c r="W925" s="594">
        <f t="shared" si="560"/>
        <v>9.323399999999999E-3</v>
      </c>
      <c r="X925" s="595">
        <f t="shared" si="561"/>
        <v>9.323399999999999E-3</v>
      </c>
      <c r="Y925" s="52">
        <v>1990</v>
      </c>
      <c r="Z925" s="52"/>
      <c r="AA925" s="596">
        <f t="shared" si="552"/>
        <v>1.5538999999999999E-2</v>
      </c>
      <c r="AB925" s="256">
        <v>-0.4</v>
      </c>
      <c r="AC925" s="688">
        <v>-0.4</v>
      </c>
      <c r="AD925" s="164"/>
      <c r="AE925" s="164"/>
      <c r="AF925" s="25"/>
      <c r="AG925" s="26"/>
      <c r="AH925" s="275"/>
      <c r="AI925" s="52"/>
      <c r="AJ925" s="35"/>
      <c r="AK925" s="289"/>
      <c r="AL925" s="290"/>
      <c r="AM925" s="211"/>
      <c r="AN925" s="164"/>
      <c r="AO925" s="76"/>
      <c r="AP925" s="44"/>
      <c r="AQ925" s="275"/>
      <c r="AR925" s="52"/>
      <c r="AS925" s="35"/>
      <c r="AT925" s="79"/>
      <c r="AU925" s="212"/>
      <c r="AV925" s="164"/>
      <c r="AW925" s="164"/>
      <c r="AX925" s="76"/>
      <c r="AY925" s="44"/>
      <c r="AZ925" s="275"/>
      <c r="BA925" s="52"/>
      <c r="BB925" s="35"/>
      <c r="BC925" s="79"/>
      <c r="BD925" s="230"/>
      <c r="BE925" s="211"/>
      <c r="BF925" s="164"/>
      <c r="BG925" s="76"/>
      <c r="BH925" s="44"/>
      <c r="BI925" s="275"/>
      <c r="BJ925" s="52"/>
      <c r="BK925" s="35"/>
      <c r="BL925" s="79"/>
      <c r="BM925" s="230"/>
      <c r="BN925" s="211"/>
      <c r="BO925" s="164"/>
      <c r="BP925" s="584"/>
      <c r="BQ925" s="585"/>
      <c r="BR925" s="299"/>
      <c r="BS925" s="35"/>
      <c r="BT925" s="35"/>
      <c r="BU925" s="79"/>
      <c r="BV925" s="212"/>
      <c r="BW925" s="304"/>
      <c r="BX925" s="313" t="s">
        <v>441</v>
      </c>
      <c r="BY925" s="138" t="s">
        <v>440</v>
      </c>
    </row>
    <row r="926" spans="1:77" customFormat="1" ht="15" customHeight="1" x14ac:dyDescent="0.2">
      <c r="A926" s="57" t="s">
        <v>15</v>
      </c>
      <c r="B926" s="57" t="s">
        <v>431</v>
      </c>
      <c r="C926" s="57"/>
      <c r="D926" s="546">
        <v>7918.2929999999997</v>
      </c>
      <c r="E926" s="162" t="s">
        <v>2942</v>
      </c>
      <c r="F926" s="358"/>
      <c r="G926" s="777"/>
      <c r="H926" s="65">
        <v>77.138000000000005</v>
      </c>
      <c r="I926" s="798"/>
      <c r="J926" s="717"/>
      <c r="K926" s="66">
        <v>70.158000000000001</v>
      </c>
      <c r="L926" s="73"/>
      <c r="M926" s="717"/>
      <c r="N926" s="359">
        <v>68.968000000000004</v>
      </c>
      <c r="O926" s="1043"/>
      <c r="P926" s="1305"/>
      <c r="Q926" s="359">
        <f>H926*0.86</f>
        <v>66.338679999999997</v>
      </c>
      <c r="R926" s="1043"/>
      <c r="S926" s="717"/>
      <c r="T926" s="359"/>
      <c r="U926" s="73"/>
      <c r="V926" s="66"/>
      <c r="W926" s="1132">
        <f t="shared" si="560"/>
        <v>7.7138000000000012E-2</v>
      </c>
      <c r="X926" s="1133">
        <f t="shared" si="561"/>
        <v>7.7138000000000012E-2</v>
      </c>
      <c r="Y926" s="52">
        <v>1990</v>
      </c>
      <c r="Z926" s="52"/>
      <c r="AA926" s="596">
        <f t="shared" si="552"/>
        <v>7.7138000000000012E-2</v>
      </c>
      <c r="AB926" s="256">
        <v>0</v>
      </c>
      <c r="AC926" s="688">
        <v>0</v>
      </c>
      <c r="AD926" s="164"/>
      <c r="AE926" s="164"/>
      <c r="AF926" s="25"/>
      <c r="AG926" s="26"/>
      <c r="AH926" s="275"/>
      <c r="AI926" s="52"/>
      <c r="AJ926" s="35"/>
      <c r="AK926" s="289"/>
      <c r="AL926" s="290"/>
      <c r="AM926" s="211"/>
      <c r="AN926" s="164"/>
      <c r="AO926" s="76"/>
      <c r="AP926" s="44"/>
      <c r="AQ926" s="275"/>
      <c r="AR926" s="52"/>
      <c r="AS926" s="35"/>
      <c r="AT926" s="79"/>
      <c r="AU926" s="212"/>
      <c r="AV926" s="164"/>
      <c r="AW926" s="164"/>
      <c r="AX926" s="76"/>
      <c r="AY926" s="44"/>
      <c r="AZ926" s="275"/>
      <c r="BA926" s="52"/>
      <c r="BB926" s="35"/>
      <c r="BC926" s="79"/>
      <c r="BD926" s="230"/>
      <c r="BE926" s="211"/>
      <c r="BF926" s="164"/>
      <c r="BG926" s="76"/>
      <c r="BH926" s="44"/>
      <c r="BI926" s="275"/>
      <c r="BJ926" s="52"/>
      <c r="BK926" s="35"/>
      <c r="BL926" s="79"/>
      <c r="BM926" s="230"/>
      <c r="BN926" s="211"/>
      <c r="BO926" s="164"/>
      <c r="BP926" s="25">
        <f>+BT926*(1+BU926)</f>
        <v>1.54276E-2</v>
      </c>
      <c r="BQ926" s="26">
        <f>BT926*(1+BV926)</f>
        <v>3.8569000000000038E-3</v>
      </c>
      <c r="BR926" s="299">
        <v>1990</v>
      </c>
      <c r="BS926" s="52"/>
      <c r="BT926" s="35">
        <f>+AA926</f>
        <v>7.7138000000000012E-2</v>
      </c>
      <c r="BU926" s="79">
        <v>-0.8</v>
      </c>
      <c r="BV926" s="212">
        <v>-0.95</v>
      </c>
      <c r="BW926" s="304"/>
      <c r="BX926" s="313" t="s">
        <v>441</v>
      </c>
      <c r="BY926" s="138" t="s">
        <v>440</v>
      </c>
    </row>
    <row r="927" spans="1:77" customFormat="1" ht="15" customHeight="1" x14ac:dyDescent="0.2">
      <c r="A927" s="57" t="s">
        <v>15</v>
      </c>
      <c r="B927" s="583" t="s">
        <v>477</v>
      </c>
      <c r="C927" s="583" t="s">
        <v>842</v>
      </c>
      <c r="D927" s="546">
        <v>520</v>
      </c>
      <c r="E927" s="162"/>
      <c r="F927" s="358"/>
      <c r="G927" s="777"/>
      <c r="H927" s="65">
        <v>6.1660000000000004</v>
      </c>
      <c r="I927" s="798"/>
      <c r="J927" s="717"/>
      <c r="K927" s="66"/>
      <c r="L927" s="73"/>
      <c r="M927" s="717"/>
      <c r="N927" s="359"/>
      <c r="O927" s="1044"/>
      <c r="P927" s="717"/>
      <c r="Q927" s="359"/>
      <c r="R927" s="1044"/>
      <c r="S927" s="717"/>
      <c r="T927" s="359"/>
      <c r="U927" s="73"/>
      <c r="V927" s="66"/>
      <c r="W927" s="592">
        <f t="shared" ref="W927" si="580">AA927*(1+AB927)</f>
        <v>3.6995999999999999E-3</v>
      </c>
      <c r="X927" s="593">
        <f t="shared" ref="X927" si="581">AA927*(1+AC927)</f>
        <v>3.6995999999999999E-3</v>
      </c>
      <c r="Y927" s="52">
        <v>1990</v>
      </c>
      <c r="Z927" s="52"/>
      <c r="AA927" s="596">
        <f t="shared" ref="AA927" si="582">+H927/1000</f>
        <v>6.1660000000000005E-3</v>
      </c>
      <c r="AB927" s="256">
        <v>-0.4</v>
      </c>
      <c r="AC927" s="688">
        <f>AB927</f>
        <v>-0.4</v>
      </c>
      <c r="AD927" s="164"/>
      <c r="AE927" s="164"/>
      <c r="AF927" s="25"/>
      <c r="AG927" s="26"/>
      <c r="AH927" s="275"/>
      <c r="AI927" s="52"/>
      <c r="AJ927" s="35"/>
      <c r="AK927" s="289"/>
      <c r="AL927" s="290"/>
      <c r="AM927" s="211"/>
      <c r="AN927" s="164"/>
      <c r="AO927" s="76"/>
      <c r="AP927" s="44"/>
      <c r="AQ927" s="275"/>
      <c r="AR927" s="52"/>
      <c r="AS927" s="35"/>
      <c r="AT927" s="79"/>
      <c r="AU927" s="212"/>
      <c r="AV927" s="164"/>
      <c r="AW927" s="164"/>
      <c r="AX927" s="76"/>
      <c r="AY927" s="44"/>
      <c r="AZ927" s="275"/>
      <c r="BA927" s="52"/>
      <c r="BB927" s="35"/>
      <c r="BC927" s="79"/>
      <c r="BD927" s="230"/>
      <c r="BE927" s="211"/>
      <c r="BF927" s="164"/>
      <c r="BG927" s="76"/>
      <c r="BH927" s="44"/>
      <c r="BI927" s="275"/>
      <c r="BJ927" s="52"/>
      <c r="BK927" s="35"/>
      <c r="BL927" s="79"/>
      <c r="BM927" s="230"/>
      <c r="BN927" s="211"/>
      <c r="BO927" s="164"/>
      <c r="BP927" s="76"/>
      <c r="BQ927" s="44"/>
      <c r="BR927" s="299"/>
      <c r="BS927" s="52"/>
      <c r="BT927" s="35"/>
      <c r="BU927" s="79"/>
      <c r="BV927" s="212"/>
      <c r="BW927" s="304"/>
      <c r="BX927" s="313"/>
      <c r="BY927" s="138"/>
    </row>
    <row r="928" spans="1:77" customFormat="1" ht="15" customHeight="1" x14ac:dyDescent="0.2">
      <c r="A928" s="57" t="s">
        <v>15</v>
      </c>
      <c r="B928" s="57" t="s">
        <v>432</v>
      </c>
      <c r="C928" s="583"/>
      <c r="D928" s="546">
        <v>17845.145</v>
      </c>
      <c r="E928" s="971" t="s">
        <v>2559</v>
      </c>
      <c r="F928" s="358"/>
      <c r="G928" s="777"/>
      <c r="H928" s="65">
        <v>299.02800000000002</v>
      </c>
      <c r="I928" s="798"/>
      <c r="J928" s="717"/>
      <c r="K928" s="66">
        <v>282.53300000000002</v>
      </c>
      <c r="L928" s="724">
        <v>2013</v>
      </c>
      <c r="M928" s="717"/>
      <c r="N928" s="359">
        <v>308.2</v>
      </c>
      <c r="O928" s="1043">
        <v>2014</v>
      </c>
      <c r="P928" s="717"/>
      <c r="Q928" s="359">
        <f>H928*0.87</f>
        <v>260.15436</v>
      </c>
      <c r="R928" s="1043"/>
      <c r="S928" s="717"/>
      <c r="T928" s="359"/>
      <c r="U928" s="73"/>
      <c r="V928" s="66"/>
      <c r="W928" s="804">
        <f t="shared" si="560"/>
        <v>0.224271</v>
      </c>
      <c r="X928" s="805">
        <f t="shared" si="561"/>
        <v>0.224271</v>
      </c>
      <c r="Y928" s="52">
        <v>1990</v>
      </c>
      <c r="Z928" s="52"/>
      <c r="AA928" s="35">
        <f t="shared" si="552"/>
        <v>0.29902800000000002</v>
      </c>
      <c r="AB928" s="256">
        <v>-0.25</v>
      </c>
      <c r="AC928" s="688">
        <v>-0.25</v>
      </c>
      <c r="AD928" s="164"/>
      <c r="AE928" s="164"/>
      <c r="AF928" s="25"/>
      <c r="AG928" s="26"/>
      <c r="AH928" s="275"/>
      <c r="AI928" s="52"/>
      <c r="AJ928" s="35"/>
      <c r="AK928" s="289"/>
      <c r="AL928" s="290"/>
      <c r="AM928" s="211"/>
      <c r="AN928" s="164"/>
      <c r="AO928" s="76"/>
      <c r="AP928" s="44"/>
      <c r="AQ928" s="275"/>
      <c r="AR928" s="52"/>
      <c r="AS928" s="35"/>
      <c r="AT928" s="79"/>
      <c r="AU928" s="212"/>
      <c r="AV928" s="164"/>
      <c r="AW928" s="164"/>
      <c r="AX928" s="76"/>
      <c r="AY928" s="44"/>
      <c r="AZ928" s="275"/>
      <c r="BA928" s="52"/>
      <c r="BB928" s="35"/>
      <c r="BC928" s="79"/>
      <c r="BD928" s="230"/>
      <c r="BE928" s="211"/>
      <c r="BF928" s="164"/>
      <c r="BG928" s="76"/>
      <c r="BH928" s="44"/>
      <c r="BI928" s="275"/>
      <c r="BJ928" s="52"/>
      <c r="BK928" s="35"/>
      <c r="BL928" s="79"/>
      <c r="BM928" s="230"/>
      <c r="BN928" s="211"/>
      <c r="BO928" s="164"/>
      <c r="BP928" s="969">
        <f>+BT928*(1+BU928)</f>
        <v>5.9805599999999987E-2</v>
      </c>
      <c r="BQ928" s="970">
        <f>BT928*(1+BV928)</f>
        <v>5.9805599999999987E-2</v>
      </c>
      <c r="BR928" s="299">
        <v>1990</v>
      </c>
      <c r="BS928" s="35"/>
      <c r="BT928" s="35">
        <f>+AA928</f>
        <v>0.29902800000000002</v>
      </c>
      <c r="BU928" s="79">
        <v>-0.8</v>
      </c>
      <c r="BV928" s="212">
        <v>-0.8</v>
      </c>
      <c r="BW928" s="586"/>
      <c r="BX928" s="313" t="s">
        <v>441</v>
      </c>
      <c r="BY928" s="138"/>
    </row>
    <row r="929" spans="1:77" customFormat="1" ht="15" customHeight="1" x14ac:dyDescent="0.2">
      <c r="A929" s="57" t="s">
        <v>15</v>
      </c>
      <c r="B929" s="583" t="s">
        <v>477</v>
      </c>
      <c r="C929" s="583" t="s">
        <v>830</v>
      </c>
      <c r="D929" s="546">
        <v>224.50899999999999</v>
      </c>
      <c r="E929" s="162" t="s">
        <v>631</v>
      </c>
      <c r="F929" s="358"/>
      <c r="G929" s="777"/>
      <c r="H929" s="65">
        <v>1.337</v>
      </c>
      <c r="I929" s="798"/>
      <c r="J929" s="717"/>
      <c r="K929" s="66"/>
      <c r="L929" s="724"/>
      <c r="M929" s="717"/>
      <c r="N929" s="359"/>
      <c r="O929" s="1043"/>
      <c r="P929" s="717"/>
      <c r="Q929" s="359"/>
      <c r="R929" s="1043"/>
      <c r="S929" s="717"/>
      <c r="T929" s="359"/>
      <c r="U929" s="73"/>
      <c r="V929" s="66"/>
      <c r="W929" s="594">
        <f t="shared" ref="W929" si="583">AA929*(1+AB929)</f>
        <v>8.0219999999999987E-4</v>
      </c>
      <c r="X929" s="595">
        <f t="shared" ref="X929" si="584">AA929*(1+AC929)</f>
        <v>8.0219999999999987E-4</v>
      </c>
      <c r="Y929" s="52">
        <v>1990</v>
      </c>
      <c r="Z929" s="52"/>
      <c r="AA929" s="596">
        <f t="shared" ref="AA929" si="585">+H929/1000</f>
        <v>1.3369999999999999E-3</v>
      </c>
      <c r="AB929" s="256">
        <v>-0.4</v>
      </c>
      <c r="AC929" s="688">
        <f>AB929</f>
        <v>-0.4</v>
      </c>
      <c r="AD929" s="164"/>
      <c r="AE929" s="164"/>
      <c r="AF929" s="25"/>
      <c r="AG929" s="26"/>
      <c r="AH929" s="275"/>
      <c r="AI929" s="52"/>
      <c r="AJ929" s="35"/>
      <c r="AK929" s="289"/>
      <c r="AL929" s="290"/>
      <c r="AM929" s="211"/>
      <c r="AN929" s="164"/>
      <c r="AO929" s="76"/>
      <c r="AP929" s="44"/>
      <c r="AQ929" s="275"/>
      <c r="AR929" s="52"/>
      <c r="AS929" s="35"/>
      <c r="AT929" s="79"/>
      <c r="AU929" s="212"/>
      <c r="AV929" s="164"/>
      <c r="AW929" s="164"/>
      <c r="AX929" s="76"/>
      <c r="AY929" s="44"/>
      <c r="AZ929" s="275"/>
      <c r="BA929" s="52"/>
      <c r="BB929" s="35"/>
      <c r="BC929" s="79"/>
      <c r="BD929" s="230"/>
      <c r="BE929" s="211"/>
      <c r="BF929" s="164"/>
      <c r="BG929" s="76"/>
      <c r="BH929" s="44"/>
      <c r="BI929" s="275"/>
      <c r="BJ929" s="52"/>
      <c r="BK929" s="35"/>
      <c r="BL929" s="79"/>
      <c r="BM929" s="230"/>
      <c r="BN929" s="211"/>
      <c r="BO929" s="164"/>
      <c r="BP929" s="584"/>
      <c r="BQ929" s="585"/>
      <c r="BR929" s="299"/>
      <c r="BS929" s="35"/>
      <c r="BT929" s="35"/>
      <c r="BU929" s="79"/>
      <c r="BV929" s="212"/>
      <c r="BW929" s="586"/>
      <c r="BX929" s="313"/>
      <c r="BY929" s="138"/>
    </row>
    <row r="930" spans="1:77" customFormat="1" ht="15" customHeight="1" x14ac:dyDescent="0.2">
      <c r="A930" s="57" t="s">
        <v>15</v>
      </c>
      <c r="B930" s="583" t="s">
        <v>477</v>
      </c>
      <c r="C930" s="583" t="s">
        <v>820</v>
      </c>
      <c r="D930" s="546">
        <v>325</v>
      </c>
      <c r="E930" s="162" t="s">
        <v>631</v>
      </c>
      <c r="F930" s="358"/>
      <c r="G930" s="777"/>
      <c r="H930" s="65">
        <v>1.9850000000000001</v>
      </c>
      <c r="I930" s="798"/>
      <c r="J930" s="717"/>
      <c r="K930" s="66"/>
      <c r="L930" s="724"/>
      <c r="M930" s="717"/>
      <c r="N930" s="359"/>
      <c r="O930" s="1043"/>
      <c r="P930" s="717"/>
      <c r="Q930" s="359"/>
      <c r="R930" s="1043"/>
      <c r="S930" s="717"/>
      <c r="T930" s="359"/>
      <c r="U930" s="73"/>
      <c r="V930" s="66"/>
      <c r="W930" s="594">
        <f t="shared" ref="W930" si="586">AA930*(1+AB930)</f>
        <v>1.191E-3</v>
      </c>
      <c r="X930" s="595">
        <f t="shared" ref="X930" si="587">AA930*(1+AC930)</f>
        <v>1.191E-3</v>
      </c>
      <c r="Y930" s="52">
        <v>1990</v>
      </c>
      <c r="Z930" s="52"/>
      <c r="AA930" s="596">
        <f t="shared" ref="AA930" si="588">+H930/1000</f>
        <v>1.9850000000000002E-3</v>
      </c>
      <c r="AB930" s="256">
        <v>-0.4</v>
      </c>
      <c r="AC930" s="688">
        <f>+AB930</f>
        <v>-0.4</v>
      </c>
      <c r="AD930" s="164"/>
      <c r="AE930" s="164"/>
      <c r="AF930" s="25"/>
      <c r="AG930" s="26"/>
      <c r="AH930" s="275"/>
      <c r="AI930" s="52"/>
      <c r="AJ930" s="35"/>
      <c r="AK930" s="289"/>
      <c r="AL930" s="290"/>
      <c r="AM930" s="211"/>
      <c r="AN930" s="164"/>
      <c r="AO930" s="76"/>
      <c r="AP930" s="44"/>
      <c r="AQ930" s="275"/>
      <c r="AR930" s="52"/>
      <c r="AS930" s="35"/>
      <c r="AT930" s="79"/>
      <c r="AU930" s="212"/>
      <c r="AV930" s="164"/>
      <c r="AW930" s="164"/>
      <c r="AX930" s="76"/>
      <c r="AY930" s="44"/>
      <c r="AZ930" s="275"/>
      <c r="BA930" s="52"/>
      <c r="BB930" s="35"/>
      <c r="BC930" s="79"/>
      <c r="BD930" s="230"/>
      <c r="BE930" s="211"/>
      <c r="BF930" s="164"/>
      <c r="BG930" s="76"/>
      <c r="BH930" s="44"/>
      <c r="BI930" s="275"/>
      <c r="BJ930" s="52"/>
      <c r="BK930" s="35"/>
      <c r="BL930" s="79"/>
      <c r="BM930" s="230"/>
      <c r="BN930" s="211"/>
      <c r="BO930" s="164"/>
      <c r="BP930" s="584"/>
      <c r="BQ930" s="585"/>
      <c r="BR930" s="299"/>
      <c r="BS930" s="35"/>
      <c r="BT930" s="35"/>
      <c r="BU930" s="79"/>
      <c r="BV930" s="212"/>
      <c r="BW930" s="586"/>
      <c r="BX930" s="313"/>
      <c r="BY930" s="138"/>
    </row>
    <row r="931" spans="1:77" customFormat="1" ht="15" customHeight="1" x14ac:dyDescent="0.2">
      <c r="A931" s="57" t="s">
        <v>15</v>
      </c>
      <c r="B931" s="583" t="s">
        <v>477</v>
      </c>
      <c r="C931" s="583" t="s">
        <v>829</v>
      </c>
      <c r="D931" s="546">
        <v>116.771</v>
      </c>
      <c r="E931" s="162" t="s">
        <v>631</v>
      </c>
      <c r="F931" s="358"/>
      <c r="G931" s="777"/>
      <c r="H931" s="65"/>
      <c r="I931" s="798"/>
      <c r="J931" s="717"/>
      <c r="K931" s="66"/>
      <c r="L931" s="724">
        <v>2009</v>
      </c>
      <c r="M931" s="717"/>
      <c r="N931" s="359">
        <v>0.90500999999999998</v>
      </c>
      <c r="O931" s="1043"/>
      <c r="P931" s="717"/>
      <c r="Q931" s="359"/>
      <c r="R931" s="1043"/>
      <c r="S931" s="717"/>
      <c r="T931" s="359"/>
      <c r="U931" s="73"/>
      <c r="V931" s="66"/>
      <c r="W931" s="594">
        <f>AA931*(1+AB931)</f>
        <v>5.8825649999999995E-4</v>
      </c>
      <c r="X931" s="595">
        <f>AA931*(1+AC931)</f>
        <v>5.8825649999999995E-4</v>
      </c>
      <c r="Y931" s="52">
        <v>2009</v>
      </c>
      <c r="Z931" s="52"/>
      <c r="AA931" s="596">
        <f>+N931/1000</f>
        <v>9.0500999999999993E-4</v>
      </c>
      <c r="AB931" s="256">
        <v>-0.35</v>
      </c>
      <c r="AC931" s="688">
        <f>AB931</f>
        <v>-0.35</v>
      </c>
      <c r="AD931" s="164"/>
      <c r="AE931" s="164"/>
      <c r="AF931" s="25"/>
      <c r="AG931" s="26"/>
      <c r="AH931" s="275"/>
      <c r="AI931" s="52"/>
      <c r="AJ931" s="35"/>
      <c r="AK931" s="289"/>
      <c r="AL931" s="290"/>
      <c r="AM931" s="211"/>
      <c r="AN931" s="164"/>
      <c r="AO931" s="76"/>
      <c r="AP931" s="44"/>
      <c r="AQ931" s="275"/>
      <c r="AR931" s="52"/>
      <c r="AS931" s="35"/>
      <c r="AT931" s="79"/>
      <c r="AU931" s="212"/>
      <c r="AV931" s="164"/>
      <c r="AW931" s="164"/>
      <c r="AX931" s="76"/>
      <c r="AY931" s="44"/>
      <c r="AZ931" s="275"/>
      <c r="BA931" s="52"/>
      <c r="BB931" s="35"/>
      <c r="BC931" s="79"/>
      <c r="BD931" s="230"/>
      <c r="BE931" s="211"/>
      <c r="BF931" s="164"/>
      <c r="BG931" s="76"/>
      <c r="BH931" s="44"/>
      <c r="BI931" s="275"/>
      <c r="BJ931" s="52"/>
      <c r="BK931" s="35"/>
      <c r="BL931" s="79"/>
      <c r="BM931" s="230"/>
      <c r="BN931" s="211"/>
      <c r="BO931" s="164"/>
      <c r="BP931" s="584"/>
      <c r="BQ931" s="585"/>
      <c r="BR931" s="299"/>
      <c r="BS931" s="35"/>
      <c r="BT931" s="35"/>
      <c r="BU931" s="79"/>
      <c r="BV931" s="212"/>
      <c r="BW931" s="586"/>
      <c r="BX931" s="313"/>
      <c r="BY931" s="138"/>
    </row>
    <row r="932" spans="1:77" customFormat="1" ht="15" customHeight="1" x14ac:dyDescent="0.2">
      <c r="A932" s="57" t="s">
        <v>15</v>
      </c>
      <c r="B932" s="583" t="s">
        <v>477</v>
      </c>
      <c r="C932" s="583" t="s">
        <v>840</v>
      </c>
      <c r="D932" s="546">
        <v>580.95600000000002</v>
      </c>
      <c r="E932" s="162" t="s">
        <v>631</v>
      </c>
      <c r="F932" s="358"/>
      <c r="G932" s="777"/>
      <c r="H932" s="65">
        <v>5.0570000000000004</v>
      </c>
      <c r="I932" s="798"/>
      <c r="J932" s="717"/>
      <c r="K932" s="66"/>
      <c r="L932" s="724"/>
      <c r="M932" s="717"/>
      <c r="N932" s="359"/>
      <c r="O932" s="1043"/>
      <c r="P932" s="717"/>
      <c r="Q932" s="359"/>
      <c r="R932" s="1043"/>
      <c r="S932" s="717"/>
      <c r="T932" s="359"/>
      <c r="U932" s="73"/>
      <c r="V932" s="66"/>
      <c r="W932" s="594">
        <f>AA932*(1+AB932)</f>
        <v>3.0342000000000004E-3</v>
      </c>
      <c r="X932" s="595">
        <f>AA932*(1+AC932)</f>
        <v>3.0342000000000004E-3</v>
      </c>
      <c r="Y932" s="52">
        <v>1990</v>
      </c>
      <c r="Z932" s="52"/>
      <c r="AA932" s="596">
        <f>+H932/1000</f>
        <v>5.0570000000000007E-3</v>
      </c>
      <c r="AB932" s="256">
        <v>-0.4</v>
      </c>
      <c r="AC932" s="688">
        <f>AB932</f>
        <v>-0.4</v>
      </c>
      <c r="AD932" s="164"/>
      <c r="AE932" s="164"/>
      <c r="AF932" s="25"/>
      <c r="AG932" s="26"/>
      <c r="AH932" s="275"/>
      <c r="AI932" s="52"/>
      <c r="AJ932" s="35"/>
      <c r="AK932" s="289"/>
      <c r="AL932" s="290"/>
      <c r="AM932" s="211"/>
      <c r="AN932" s="164"/>
      <c r="AO932" s="76"/>
      <c r="AP932" s="44"/>
      <c r="AQ932" s="275"/>
      <c r="AR932" s="52"/>
      <c r="AS932" s="35"/>
      <c r="AT932" s="79"/>
      <c r="AU932" s="212"/>
      <c r="AV932" s="164"/>
      <c r="AW932" s="164"/>
      <c r="AX932" s="76"/>
      <c r="AY932" s="44"/>
      <c r="AZ932" s="275"/>
      <c r="BA932" s="52"/>
      <c r="BB932" s="35"/>
      <c r="BC932" s="79"/>
      <c r="BD932" s="230"/>
      <c r="BE932" s="211"/>
      <c r="BF932" s="164"/>
      <c r="BG932" s="76"/>
      <c r="BH932" s="44"/>
      <c r="BI932" s="275"/>
      <c r="BJ932" s="52"/>
      <c r="BK932" s="35"/>
      <c r="BL932" s="79"/>
      <c r="BM932" s="230"/>
      <c r="BN932" s="211"/>
      <c r="BO932" s="164"/>
      <c r="BP932" s="584"/>
      <c r="BQ932" s="585"/>
      <c r="BR932" s="299"/>
      <c r="BS932" s="35"/>
      <c r="BT932" s="35"/>
      <c r="BU932" s="79"/>
      <c r="BV932" s="212"/>
      <c r="BW932" s="586"/>
      <c r="BX932" s="313"/>
      <c r="BY932" s="138"/>
    </row>
    <row r="933" spans="1:77" customFormat="1" ht="15" customHeight="1" x14ac:dyDescent="0.2">
      <c r="A933" s="57" t="s">
        <v>15</v>
      </c>
      <c r="B933" s="583" t="s">
        <v>477</v>
      </c>
      <c r="C933" s="583" t="s">
        <v>841</v>
      </c>
      <c r="D933" s="546">
        <v>492.87</v>
      </c>
      <c r="E933" s="162" t="s">
        <v>631</v>
      </c>
      <c r="F933" s="358"/>
      <c r="G933" s="777"/>
      <c r="H933" s="65">
        <v>5.57</v>
      </c>
      <c r="I933" s="798"/>
      <c r="J933" s="717"/>
      <c r="K933" s="66"/>
      <c r="L933" s="724"/>
      <c r="M933" s="717"/>
      <c r="N933" s="359"/>
      <c r="O933" s="1043"/>
      <c r="P933" s="717"/>
      <c r="Q933" s="359"/>
      <c r="R933" s="1043"/>
      <c r="S933" s="717"/>
      <c r="T933" s="359"/>
      <c r="U933" s="73"/>
      <c r="V933" s="66"/>
      <c r="W933" s="594">
        <f>AA933*(1+AB933)</f>
        <v>3.3419999999999999E-3</v>
      </c>
      <c r="X933" s="595">
        <f>AA933*(1+AC933)</f>
        <v>3.3419999999999999E-3</v>
      </c>
      <c r="Y933" s="52">
        <v>1990</v>
      </c>
      <c r="Z933" s="52"/>
      <c r="AA933" s="596">
        <f>+H933/1000</f>
        <v>5.5700000000000003E-3</v>
      </c>
      <c r="AB933" s="256">
        <v>-0.4</v>
      </c>
      <c r="AC933" s="688">
        <f>AB933</f>
        <v>-0.4</v>
      </c>
      <c r="AD933" s="164"/>
      <c r="AE933" s="164"/>
      <c r="AF933" s="25"/>
      <c r="AG933" s="26"/>
      <c r="AH933" s="275"/>
      <c r="AI933" s="52"/>
      <c r="AJ933" s="35"/>
      <c r="AK933" s="289"/>
      <c r="AL933" s="290"/>
      <c r="AM933" s="211"/>
      <c r="AN933" s="164"/>
      <c r="AO933" s="76"/>
      <c r="AP933" s="44"/>
      <c r="AQ933" s="275"/>
      <c r="AR933" s="52"/>
      <c r="AS933" s="35"/>
      <c r="AT933" s="79"/>
      <c r="AU933" s="212"/>
      <c r="AV933" s="164"/>
      <c r="AW933" s="164"/>
      <c r="AX933" s="76"/>
      <c r="AY933" s="44"/>
      <c r="AZ933" s="275"/>
      <c r="BA933" s="52"/>
      <c r="BB933" s="35"/>
      <c r="BC933" s="79"/>
      <c r="BD933" s="230"/>
      <c r="BE933" s="211"/>
      <c r="BF933" s="164"/>
      <c r="BG933" s="76"/>
      <c r="BH933" s="44"/>
      <c r="BI933" s="275"/>
      <c r="BJ933" s="52"/>
      <c r="BK933" s="35"/>
      <c r="BL933" s="79"/>
      <c r="BM933" s="230"/>
      <c r="BN933" s="211"/>
      <c r="BO933" s="164"/>
      <c r="BP933" s="584"/>
      <c r="BQ933" s="585"/>
      <c r="BR933" s="299"/>
      <c r="BS933" s="35"/>
      <c r="BT933" s="35"/>
      <c r="BU933" s="79"/>
      <c r="BV933" s="212"/>
      <c r="BW933" s="586"/>
      <c r="BX933" s="313"/>
      <c r="BY933" s="138"/>
    </row>
    <row r="934" spans="1:77" customFormat="1" ht="15" customHeight="1" x14ac:dyDescent="0.2">
      <c r="A934" s="57" t="s">
        <v>15</v>
      </c>
      <c r="B934" s="583" t="s">
        <v>477</v>
      </c>
      <c r="C934" s="583" t="s">
        <v>845</v>
      </c>
      <c r="D934" s="546">
        <v>597.10199999999998</v>
      </c>
      <c r="E934" s="162" t="s">
        <v>631</v>
      </c>
      <c r="F934" s="358"/>
      <c r="G934" s="777"/>
      <c r="H934" s="730">
        <v>8.0969999999999995</v>
      </c>
      <c r="I934" s="798"/>
      <c r="J934" s="717"/>
      <c r="K934" s="66"/>
      <c r="L934" s="724"/>
      <c r="M934" s="717"/>
      <c r="N934" s="359"/>
      <c r="O934" s="1043"/>
      <c r="P934" s="717"/>
      <c r="Q934" s="359"/>
      <c r="R934" s="1043"/>
      <c r="S934" s="717"/>
      <c r="T934" s="359"/>
      <c r="U934" s="73"/>
      <c r="V934" s="66"/>
      <c r="W934" s="594">
        <f>AA934*(1+AB934)</f>
        <v>4.8582E-3</v>
      </c>
      <c r="X934" s="595">
        <f>AA934*(1+AC934)</f>
        <v>4.8582E-3</v>
      </c>
      <c r="Y934" s="52">
        <v>1990</v>
      </c>
      <c r="Z934" s="52"/>
      <c r="AA934" s="596">
        <f>+H934/1000</f>
        <v>8.097E-3</v>
      </c>
      <c r="AB934" s="256">
        <v>-0.4</v>
      </c>
      <c r="AC934" s="688">
        <f>AB934</f>
        <v>-0.4</v>
      </c>
      <c r="AD934" s="164"/>
      <c r="AE934" s="164"/>
      <c r="AF934" s="25"/>
      <c r="AG934" s="26"/>
      <c r="AH934" s="275"/>
      <c r="AI934" s="52"/>
      <c r="AJ934" s="35"/>
      <c r="AK934" s="289"/>
      <c r="AL934" s="290"/>
      <c r="AM934" s="211"/>
      <c r="AN934" s="164"/>
      <c r="AO934" s="76"/>
      <c r="AP934" s="44"/>
      <c r="AQ934" s="275"/>
      <c r="AR934" s="52"/>
      <c r="AS934" s="35"/>
      <c r="AT934" s="79"/>
      <c r="AU934" s="212"/>
      <c r="AV934" s="164"/>
      <c r="AW934" s="164"/>
      <c r="AX934" s="76"/>
      <c r="AY934" s="44"/>
      <c r="AZ934" s="275"/>
      <c r="BA934" s="52"/>
      <c r="BB934" s="35"/>
      <c r="BC934" s="79"/>
      <c r="BD934" s="230"/>
      <c r="BE934" s="211"/>
      <c r="BF934" s="164"/>
      <c r="BG934" s="76"/>
      <c r="BH934" s="44"/>
      <c r="BI934" s="275"/>
      <c r="BJ934" s="52"/>
      <c r="BK934" s="35"/>
      <c r="BL934" s="79"/>
      <c r="BM934" s="230"/>
      <c r="BN934" s="211"/>
      <c r="BO934" s="164"/>
      <c r="BP934" s="584"/>
      <c r="BQ934" s="585"/>
      <c r="BR934" s="299"/>
      <c r="BS934" s="35"/>
      <c r="BT934" s="35"/>
      <c r="BU934" s="79"/>
      <c r="BV934" s="212"/>
      <c r="BW934" s="586"/>
      <c r="BX934" s="313"/>
      <c r="BY934" s="138"/>
    </row>
    <row r="935" spans="1:77" customFormat="1" ht="15" customHeight="1" x14ac:dyDescent="0.2">
      <c r="A935" s="57" t="s">
        <v>15</v>
      </c>
      <c r="B935" s="583" t="s">
        <v>477</v>
      </c>
      <c r="C935" s="583" t="s">
        <v>822</v>
      </c>
      <c r="D935" s="546">
        <v>573.11500000000001</v>
      </c>
      <c r="E935" s="162" t="s">
        <v>631</v>
      </c>
      <c r="F935" s="358"/>
      <c r="G935" s="777"/>
      <c r="H935" s="65">
        <v>6.1829999999999998</v>
      </c>
      <c r="I935" s="798"/>
      <c r="J935" s="717"/>
      <c r="K935" s="66"/>
      <c r="L935" s="724"/>
      <c r="M935" s="717"/>
      <c r="N935" s="359"/>
      <c r="O935" s="1043"/>
      <c r="P935" s="717"/>
      <c r="Q935" s="359"/>
      <c r="R935" s="1043"/>
      <c r="S935" s="717"/>
      <c r="T935" s="359"/>
      <c r="U935" s="73"/>
      <c r="V935" s="66"/>
      <c r="W935" s="594">
        <f t="shared" ref="W935" si="589">AA935*(1+AB935)</f>
        <v>3.7098000000000001E-3</v>
      </c>
      <c r="X935" s="595">
        <f t="shared" ref="X935" si="590">AA935*(1+AC935)</f>
        <v>3.7098000000000001E-3</v>
      </c>
      <c r="Y935" s="52">
        <v>1990</v>
      </c>
      <c r="Z935" s="52"/>
      <c r="AA935" s="596">
        <f t="shared" ref="AA935" si="591">+H935/1000</f>
        <v>6.1830000000000001E-3</v>
      </c>
      <c r="AB935" s="256">
        <v>-0.4</v>
      </c>
      <c r="AC935" s="688">
        <f>+AB935</f>
        <v>-0.4</v>
      </c>
      <c r="AD935" s="164"/>
      <c r="AE935" s="164"/>
      <c r="AF935" s="25"/>
      <c r="AG935" s="26"/>
      <c r="AH935" s="275"/>
      <c r="AI935" s="52"/>
      <c r="AJ935" s="35"/>
      <c r="AK935" s="289"/>
      <c r="AL935" s="290"/>
      <c r="AM935" s="211"/>
      <c r="AN935" s="164"/>
      <c r="AO935" s="76"/>
      <c r="AP935" s="44"/>
      <c r="AQ935" s="275"/>
      <c r="AR935" s="52"/>
      <c r="AS935" s="35"/>
      <c r="AT935" s="79"/>
      <c r="AU935" s="212"/>
      <c r="AV935" s="164"/>
      <c r="AW935" s="164"/>
      <c r="AX935" s="76"/>
      <c r="AY935" s="44"/>
      <c r="AZ935" s="275"/>
      <c r="BA935" s="52"/>
      <c r="BB935" s="35"/>
      <c r="BC935" s="79"/>
      <c r="BD935" s="230"/>
      <c r="BE935" s="211"/>
      <c r="BF935" s="164"/>
      <c r="BG935" s="76"/>
      <c r="BH935" s="44"/>
      <c r="BI935" s="275"/>
      <c r="BJ935" s="52"/>
      <c r="BK935" s="35"/>
      <c r="BL935" s="79"/>
      <c r="BM935" s="230"/>
      <c r="BN935" s="211"/>
      <c r="BO935" s="164"/>
      <c r="BP935" s="584"/>
      <c r="BQ935" s="585"/>
      <c r="BR935" s="299"/>
      <c r="BS935" s="35"/>
      <c r="BT935" s="35"/>
      <c r="BU935" s="79"/>
      <c r="BV935" s="212"/>
      <c r="BW935" s="586"/>
      <c r="BX935" s="313"/>
      <c r="BY935" s="138"/>
    </row>
    <row r="936" spans="1:77" customFormat="1" ht="15" customHeight="1" x14ac:dyDescent="0.2">
      <c r="A936" s="57" t="s">
        <v>15</v>
      </c>
      <c r="B936" s="583" t="s">
        <v>477</v>
      </c>
      <c r="C936" s="583" t="s">
        <v>813</v>
      </c>
      <c r="D936" s="546">
        <v>186</v>
      </c>
      <c r="E936" s="162" t="s">
        <v>631</v>
      </c>
      <c r="F936" s="358"/>
      <c r="G936" s="777"/>
      <c r="H936" s="65"/>
      <c r="I936" s="798"/>
      <c r="J936" s="717"/>
      <c r="K936" s="66"/>
      <c r="L936" s="724"/>
      <c r="M936" s="717"/>
      <c r="N936" s="359">
        <v>1.865</v>
      </c>
      <c r="O936" s="1043"/>
      <c r="P936" s="717"/>
      <c r="Q936" s="359"/>
      <c r="R936" s="1043"/>
      <c r="S936" s="717"/>
      <c r="T936" s="359"/>
      <c r="U936" s="73"/>
      <c r="V936" s="66"/>
      <c r="W936" s="594">
        <f>AA936*(1+AB936)</f>
        <v>1.3987499999999998E-3</v>
      </c>
      <c r="X936" s="595">
        <f>AA936*(1+AC936)</f>
        <v>1.3987499999999998E-3</v>
      </c>
      <c r="Y936" s="52">
        <v>2010</v>
      </c>
      <c r="Z936" s="52"/>
      <c r="AA936" s="596">
        <f>+N936/1000</f>
        <v>1.8649999999999999E-3</v>
      </c>
      <c r="AB936" s="256">
        <v>-0.25</v>
      </c>
      <c r="AC936" s="688">
        <f>AB936</f>
        <v>-0.25</v>
      </c>
      <c r="AD936" s="164"/>
      <c r="AE936" s="164"/>
      <c r="AF936" s="25"/>
      <c r="AG936" s="26"/>
      <c r="AH936" s="275"/>
      <c r="AI936" s="52"/>
      <c r="AJ936" s="35"/>
      <c r="AK936" s="289"/>
      <c r="AL936" s="290"/>
      <c r="AM936" s="211"/>
      <c r="AN936" s="164"/>
      <c r="AO936" s="76"/>
      <c r="AP936" s="44"/>
      <c r="AQ936" s="275"/>
      <c r="AR936" s="52"/>
      <c r="AS936" s="35"/>
      <c r="AT936" s="79"/>
      <c r="AU936" s="212"/>
      <c r="AV936" s="164"/>
      <c r="AW936" s="164"/>
      <c r="AX936" s="76"/>
      <c r="AY936" s="44"/>
      <c r="AZ936" s="275"/>
      <c r="BA936" s="52"/>
      <c r="BB936" s="35"/>
      <c r="BC936" s="79"/>
      <c r="BD936" s="230"/>
      <c r="BE936" s="211"/>
      <c r="BF936" s="164"/>
      <c r="BG936" s="76"/>
      <c r="BH936" s="44"/>
      <c r="BI936" s="275"/>
      <c r="BJ936" s="52"/>
      <c r="BK936" s="35"/>
      <c r="BL936" s="79"/>
      <c r="BM936" s="230"/>
      <c r="BN936" s="211"/>
      <c r="BO936" s="164"/>
      <c r="BP936" s="584"/>
      <c r="BQ936" s="585"/>
      <c r="BR936" s="299"/>
      <c r="BS936" s="35"/>
      <c r="BT936" s="35"/>
      <c r="BU936" s="79"/>
      <c r="BV936" s="212"/>
      <c r="BW936" s="586"/>
      <c r="BX936" s="313"/>
      <c r="BY936" s="138"/>
    </row>
    <row r="937" spans="1:77" customFormat="1" ht="15" customHeight="1" x14ac:dyDescent="0.2">
      <c r="A937" s="57" t="s">
        <v>15</v>
      </c>
      <c r="B937" s="583" t="s">
        <v>477</v>
      </c>
      <c r="C937" s="583" t="s">
        <v>834</v>
      </c>
      <c r="D937" s="546">
        <v>63</v>
      </c>
      <c r="E937" s="162" t="s">
        <v>631</v>
      </c>
      <c r="F937" s="358"/>
      <c r="G937" s="777"/>
      <c r="H937" s="65">
        <v>0.58735400000000004</v>
      </c>
      <c r="I937" s="798"/>
      <c r="J937" s="717"/>
      <c r="K937" s="66"/>
      <c r="L937" s="724"/>
      <c r="M937" s="717"/>
      <c r="N937" s="359"/>
      <c r="O937" s="1043"/>
      <c r="P937" s="717"/>
      <c r="Q937" s="359"/>
      <c r="R937" s="1043"/>
      <c r="S937" s="717"/>
      <c r="T937" s="359"/>
      <c r="U937" s="73"/>
      <c r="V937" s="66"/>
      <c r="W937" s="594">
        <f t="shared" ref="W937" si="592">AA937*(1+AB937)</f>
        <v>4.2876842E-4</v>
      </c>
      <c r="X937" s="595">
        <f t="shared" ref="X937" si="593">AA937*(1+AC937)</f>
        <v>4.2876842E-4</v>
      </c>
      <c r="Y937" s="52">
        <v>1990</v>
      </c>
      <c r="Z937" s="52"/>
      <c r="AA937" s="596">
        <f t="shared" ref="AA937" si="594">+H937/1000</f>
        <v>5.87354E-4</v>
      </c>
      <c r="AB937" s="256">
        <v>-0.27</v>
      </c>
      <c r="AC937" s="688">
        <f>+AB937</f>
        <v>-0.27</v>
      </c>
      <c r="AD937" s="164"/>
      <c r="AE937" s="164"/>
      <c r="AF937" s="25"/>
      <c r="AG937" s="26"/>
      <c r="AH937" s="275"/>
      <c r="AI937" s="52"/>
      <c r="AJ937" s="35"/>
      <c r="AK937" s="289"/>
      <c r="AL937" s="290"/>
      <c r="AM937" s="211"/>
      <c r="AN937" s="164"/>
      <c r="AO937" s="76"/>
      <c r="AP937" s="44"/>
      <c r="AQ937" s="275"/>
      <c r="AR937" s="52"/>
      <c r="AS937" s="35"/>
      <c r="AT937" s="79"/>
      <c r="AU937" s="212"/>
      <c r="AV937" s="164"/>
      <c r="AW937" s="164"/>
      <c r="AX937" s="76"/>
      <c r="AY937" s="44"/>
      <c r="AZ937" s="275"/>
      <c r="BA937" s="52"/>
      <c r="BB937" s="35"/>
      <c r="BC937" s="79"/>
      <c r="BD937" s="230"/>
      <c r="BE937" s="211"/>
      <c r="BF937" s="164"/>
      <c r="BG937" s="76"/>
      <c r="BH937" s="44"/>
      <c r="BI937" s="275"/>
      <c r="BJ937" s="52"/>
      <c r="BK937" s="35"/>
      <c r="BL937" s="79"/>
      <c r="BM937" s="230"/>
      <c r="BN937" s="211"/>
      <c r="BO937" s="164"/>
      <c r="BP937" s="584"/>
      <c r="BQ937" s="585"/>
      <c r="BR937" s="299"/>
      <c r="BS937" s="35"/>
      <c r="BT937" s="35"/>
      <c r="BU937" s="79"/>
      <c r="BV937" s="212"/>
      <c r="BW937" s="586"/>
      <c r="BX937" s="313"/>
      <c r="BY937" s="138"/>
    </row>
    <row r="938" spans="1:77" customFormat="1" ht="15" customHeight="1" x14ac:dyDescent="0.2">
      <c r="A938" s="57" t="s">
        <v>15</v>
      </c>
      <c r="B938" s="583" t="s">
        <v>477</v>
      </c>
      <c r="C938" s="583" t="s">
        <v>833</v>
      </c>
      <c r="D938" s="546">
        <v>298.51799999999997</v>
      </c>
      <c r="E938" s="162" t="s">
        <v>631</v>
      </c>
      <c r="F938" s="358"/>
      <c r="G938" s="777"/>
      <c r="H938" s="65"/>
      <c r="I938" s="798"/>
      <c r="J938" s="717"/>
      <c r="K938" s="66"/>
      <c r="L938" s="724"/>
      <c r="M938" s="717"/>
      <c r="N938" s="359">
        <v>2.089</v>
      </c>
      <c r="O938" s="1043"/>
      <c r="P938" s="717"/>
      <c r="Q938" s="359"/>
      <c r="R938" s="1043"/>
      <c r="S938" s="717"/>
      <c r="T938" s="359"/>
      <c r="U938" s="73"/>
      <c r="V938" s="66"/>
      <c r="W938" s="594">
        <f>AA938*(1+AB938)</f>
        <v>1.2534E-3</v>
      </c>
      <c r="X938" s="595">
        <f>AA938*(1+AC938)</f>
        <v>1.2534E-3</v>
      </c>
      <c r="Y938" s="52">
        <v>2010</v>
      </c>
      <c r="Z938" s="52"/>
      <c r="AA938" s="596">
        <f>+N938/1000</f>
        <v>2.0890000000000001E-3</v>
      </c>
      <c r="AB938" s="256">
        <v>-0.4</v>
      </c>
      <c r="AC938" s="688">
        <f t="shared" ref="AC938:AC944" si="595">AB938</f>
        <v>-0.4</v>
      </c>
      <c r="AD938" s="164"/>
      <c r="AE938" s="164"/>
      <c r="AF938" s="25"/>
      <c r="AG938" s="26"/>
      <c r="AH938" s="275"/>
      <c r="AI938" s="52"/>
      <c r="AJ938" s="35"/>
      <c r="AK938" s="289"/>
      <c r="AL938" s="290"/>
      <c r="AM938" s="211"/>
      <c r="AN938" s="164"/>
      <c r="AO938" s="76"/>
      <c r="AP938" s="44"/>
      <c r="AQ938" s="275"/>
      <c r="AR938" s="52"/>
      <c r="AS938" s="35"/>
      <c r="AT938" s="79"/>
      <c r="AU938" s="212"/>
      <c r="AV938" s="164"/>
      <c r="AW938" s="164"/>
      <c r="AX938" s="76"/>
      <c r="AY938" s="44"/>
      <c r="AZ938" s="275"/>
      <c r="BA938" s="52"/>
      <c r="BB938" s="35"/>
      <c r="BC938" s="79"/>
      <c r="BD938" s="230"/>
      <c r="BE938" s="211"/>
      <c r="BF938" s="164"/>
      <c r="BG938" s="76"/>
      <c r="BH938" s="44"/>
      <c r="BI938" s="275"/>
      <c r="BJ938" s="52"/>
      <c r="BK938" s="35"/>
      <c r="BL938" s="79"/>
      <c r="BM938" s="230"/>
      <c r="BN938" s="211"/>
      <c r="BO938" s="164"/>
      <c r="BP938" s="584"/>
      <c r="BQ938" s="585"/>
      <c r="BR938" s="299"/>
      <c r="BS938" s="35"/>
      <c r="BT938" s="35"/>
      <c r="BU938" s="79"/>
      <c r="BV938" s="212"/>
      <c r="BW938" s="586"/>
      <c r="BX938" s="313"/>
      <c r="BY938" s="138"/>
    </row>
    <row r="939" spans="1:77" customFormat="1" ht="15" customHeight="1" x14ac:dyDescent="0.2">
      <c r="A939" s="57" t="s">
        <v>15</v>
      </c>
      <c r="B939" s="583" t="s">
        <v>477</v>
      </c>
      <c r="C939" s="583" t="s">
        <v>827</v>
      </c>
      <c r="D939" s="546">
        <v>32.145000000000003</v>
      </c>
      <c r="E939" s="162" t="s">
        <v>631</v>
      </c>
      <c r="F939" s="358"/>
      <c r="G939" s="777"/>
      <c r="H939" s="65"/>
      <c r="I939" s="799">
        <v>2007</v>
      </c>
      <c r="J939" s="717"/>
      <c r="K939" s="66">
        <v>0.30886999999999998</v>
      </c>
      <c r="L939" s="724"/>
      <c r="M939" s="717"/>
      <c r="N939" s="359"/>
      <c r="O939" s="1043"/>
      <c r="P939" s="717"/>
      <c r="Q939" s="359"/>
      <c r="R939" s="1043"/>
      <c r="S939" s="717"/>
      <c r="T939" s="359"/>
      <c r="U939" s="73"/>
      <c r="V939" s="66"/>
      <c r="W939" s="594">
        <f>AA939*(1+AB939)</f>
        <v>1.85322E-4</v>
      </c>
      <c r="X939" s="595">
        <f>AA939*(1+AC939)</f>
        <v>1.85322E-4</v>
      </c>
      <c r="Y939" s="52">
        <v>2007</v>
      </c>
      <c r="Z939" s="52"/>
      <c r="AA939" s="596">
        <f>+K939/1000</f>
        <v>3.0886999999999999E-4</v>
      </c>
      <c r="AB939" s="256">
        <v>-0.4</v>
      </c>
      <c r="AC939" s="688">
        <f t="shared" si="595"/>
        <v>-0.4</v>
      </c>
      <c r="AD939" s="164"/>
      <c r="AE939" s="164"/>
      <c r="AF939" s="25"/>
      <c r="AG939" s="26"/>
      <c r="AH939" s="275"/>
      <c r="AI939" s="52"/>
      <c r="AJ939" s="35"/>
      <c r="AK939" s="289"/>
      <c r="AL939" s="290"/>
      <c r="AM939" s="211"/>
      <c r="AN939" s="164"/>
      <c r="AO939" s="76"/>
      <c r="AP939" s="44"/>
      <c r="AQ939" s="275"/>
      <c r="AR939" s="52"/>
      <c r="AS939" s="35"/>
      <c r="AT939" s="79"/>
      <c r="AU939" s="212"/>
      <c r="AV939" s="164"/>
      <c r="AW939" s="164"/>
      <c r="AX939" s="76"/>
      <c r="AY939" s="44"/>
      <c r="AZ939" s="275"/>
      <c r="BA939" s="52"/>
      <c r="BB939" s="35"/>
      <c r="BC939" s="79"/>
      <c r="BD939" s="230"/>
      <c r="BE939" s="211"/>
      <c r="BF939" s="164"/>
      <c r="BG939" s="76"/>
      <c r="BH939" s="44"/>
      <c r="BI939" s="275"/>
      <c r="BJ939" s="52"/>
      <c r="BK939" s="35"/>
      <c r="BL939" s="79"/>
      <c r="BM939" s="230"/>
      <c r="BN939" s="211"/>
      <c r="BO939" s="164"/>
      <c r="BP939" s="584"/>
      <c r="BQ939" s="585"/>
      <c r="BR939" s="299"/>
      <c r="BS939" s="35"/>
      <c r="BT939" s="35"/>
      <c r="BU939" s="79"/>
      <c r="BV939" s="212"/>
      <c r="BW939" s="586"/>
      <c r="BX939" s="313"/>
      <c r="BY939" s="138"/>
    </row>
    <row r="940" spans="1:77" customFormat="1" ht="15" customHeight="1" x14ac:dyDescent="0.2">
      <c r="A940" s="57" t="s">
        <v>15</v>
      </c>
      <c r="B940" s="57" t="s">
        <v>433</v>
      </c>
      <c r="C940" s="583"/>
      <c r="D940" s="546">
        <v>4003.7449999999999</v>
      </c>
      <c r="E940" s="162" t="s">
        <v>2929</v>
      </c>
      <c r="F940" s="358"/>
      <c r="G940" s="777"/>
      <c r="H940" s="65">
        <v>50.771000000000001</v>
      </c>
      <c r="I940" s="798"/>
      <c r="J940" s="717"/>
      <c r="K940" s="66"/>
      <c r="L940" s="73"/>
      <c r="M940" s="717"/>
      <c r="N940" s="359"/>
      <c r="O940" s="1044"/>
      <c r="P940" s="717"/>
      <c r="Q940" s="359">
        <v>31.780999999999999</v>
      </c>
      <c r="R940" s="1044"/>
      <c r="S940" s="717"/>
      <c r="T940" s="359"/>
      <c r="U940" s="73"/>
      <c r="V940" s="66"/>
      <c r="W940" s="594">
        <f t="shared" si="560"/>
        <v>3.0462599999999999E-2</v>
      </c>
      <c r="X940" s="595">
        <f t="shared" si="561"/>
        <v>3.0462599999999999E-2</v>
      </c>
      <c r="Y940" s="52">
        <v>1990</v>
      </c>
      <c r="Z940" s="52"/>
      <c r="AA940" s="596">
        <f t="shared" si="552"/>
        <v>5.0771000000000004E-2</v>
      </c>
      <c r="AB940" s="256">
        <v>-0.4</v>
      </c>
      <c r="AC940" s="688">
        <f t="shared" si="595"/>
        <v>-0.4</v>
      </c>
      <c r="AD940" s="164"/>
      <c r="AE940" s="164"/>
      <c r="AF940" s="25"/>
      <c r="AG940" s="26"/>
      <c r="AH940" s="275"/>
      <c r="AI940" s="52"/>
      <c r="AJ940" s="35"/>
      <c r="AK940" s="289"/>
      <c r="AL940" s="290"/>
      <c r="AM940" s="211"/>
      <c r="AN940" s="164"/>
      <c r="AO940" s="76"/>
      <c r="AP940" s="44"/>
      <c r="AQ940" s="275"/>
      <c r="AR940" s="52"/>
      <c r="AS940" s="35"/>
      <c r="AT940" s="79"/>
      <c r="AU940" s="212"/>
      <c r="AV940" s="164"/>
      <c r="AW940" s="164"/>
      <c r="AX940" s="76"/>
      <c r="AY940" s="44"/>
      <c r="AZ940" s="275"/>
      <c r="BA940" s="52"/>
      <c r="BB940" s="35"/>
      <c r="BC940" s="79"/>
      <c r="BD940" s="230"/>
      <c r="BE940" s="211"/>
      <c r="BF940" s="164"/>
      <c r="BG940" s="76"/>
      <c r="BH940" s="44"/>
      <c r="BI940" s="275"/>
      <c r="BJ940" s="52"/>
      <c r="BK940" s="35"/>
      <c r="BL940" s="79"/>
      <c r="BM940" s="230"/>
      <c r="BN940" s="211"/>
      <c r="BO940" s="164"/>
      <c r="BP940" s="1061">
        <f>+BT940*(1+BU940)</f>
        <v>5.0770999999999993E-3</v>
      </c>
      <c r="BQ940" s="1062">
        <f>BT940*(1+BV940)</f>
        <v>5.0770999999999993E-3</v>
      </c>
      <c r="BR940" s="299">
        <v>1990</v>
      </c>
      <c r="BS940" s="35"/>
      <c r="BT940" s="1060">
        <f>+H940/1000</f>
        <v>5.0771000000000004E-2</v>
      </c>
      <c r="BU940" s="79">
        <v>-0.9</v>
      </c>
      <c r="BV940" s="212">
        <v>-0.9</v>
      </c>
      <c r="BW940" s="304"/>
      <c r="BX940" s="313" t="s">
        <v>441</v>
      </c>
      <c r="BY940" s="138" t="s">
        <v>440</v>
      </c>
    </row>
    <row r="941" spans="1:77" customFormat="1" ht="15" customHeight="1" x14ac:dyDescent="0.2">
      <c r="A941" s="57" t="s">
        <v>15</v>
      </c>
      <c r="B941" s="583" t="s">
        <v>477</v>
      </c>
      <c r="C941" s="583" t="s">
        <v>828</v>
      </c>
      <c r="D941" s="546">
        <v>11</v>
      </c>
      <c r="E941" s="162" t="s">
        <v>631</v>
      </c>
      <c r="F941" s="358"/>
      <c r="G941" s="777"/>
      <c r="H941" s="65"/>
      <c r="I941" s="798"/>
      <c r="J941" s="717"/>
      <c r="K941" s="66"/>
      <c r="L941" s="73"/>
      <c r="M941" s="717"/>
      <c r="N941" s="738">
        <v>5.7043000000000003E-2</v>
      </c>
      <c r="O941" s="1044"/>
      <c r="P941" s="717"/>
      <c r="Q941" s="738"/>
      <c r="R941" s="1044"/>
      <c r="S941" s="717"/>
      <c r="T941" s="738"/>
      <c r="U941" s="73"/>
      <c r="V941" s="66"/>
      <c r="W941" s="740">
        <f>AA941*(1+AB941)</f>
        <v>4.2782250000000002E-5</v>
      </c>
      <c r="X941" s="741">
        <f>AA941*(1+AC941)</f>
        <v>4.2782250000000002E-5</v>
      </c>
      <c r="Y941" s="52">
        <v>2010</v>
      </c>
      <c r="Z941" s="52"/>
      <c r="AA941" s="596">
        <f>+N941/1000</f>
        <v>5.7043000000000003E-5</v>
      </c>
      <c r="AB941" s="256">
        <v>-0.25</v>
      </c>
      <c r="AC941" s="688">
        <f t="shared" si="595"/>
        <v>-0.25</v>
      </c>
      <c r="AD941" s="164"/>
      <c r="AE941" s="164"/>
      <c r="AF941" s="25"/>
      <c r="AG941" s="26"/>
      <c r="AH941" s="275"/>
      <c r="AI941" s="52"/>
      <c r="AJ941" s="35"/>
      <c r="AK941" s="289"/>
      <c r="AL941" s="290"/>
      <c r="AM941" s="211"/>
      <c r="AN941" s="164"/>
      <c r="AO941" s="76"/>
      <c r="AP941" s="44"/>
      <c r="AQ941" s="275"/>
      <c r="AR941" s="52"/>
      <c r="AS941" s="35"/>
      <c r="AT941" s="79"/>
      <c r="AU941" s="212"/>
      <c r="AV941" s="164"/>
      <c r="AW941" s="164"/>
      <c r="AX941" s="76"/>
      <c r="AY941" s="44"/>
      <c r="AZ941" s="275"/>
      <c r="BA941" s="52"/>
      <c r="BB941" s="35"/>
      <c r="BC941" s="79"/>
      <c r="BD941" s="230"/>
      <c r="BE941" s="211"/>
      <c r="BF941" s="164"/>
      <c r="BG941" s="76"/>
      <c r="BH941" s="44"/>
      <c r="BI941" s="275"/>
      <c r="BJ941" s="52"/>
      <c r="BK941" s="35"/>
      <c r="BL941" s="79"/>
      <c r="BM941" s="230"/>
      <c r="BN941" s="211"/>
      <c r="BO941" s="164"/>
      <c r="BP941" s="584"/>
      <c r="BQ941" s="585"/>
      <c r="BR941" s="299"/>
      <c r="BS941" s="35"/>
      <c r="BT941" s="35"/>
      <c r="BU941" s="79"/>
      <c r="BV941" s="212"/>
      <c r="BW941" s="304"/>
      <c r="BX941" s="313"/>
      <c r="BY941" s="138"/>
    </row>
    <row r="942" spans="1:77" customFormat="1" ht="15" customHeight="1" x14ac:dyDescent="0.2">
      <c r="A942" s="57" t="s">
        <v>15</v>
      </c>
      <c r="B942" s="583" t="s">
        <v>477</v>
      </c>
      <c r="C942" s="583" t="s">
        <v>818</v>
      </c>
      <c r="D942" s="546">
        <v>98.79</v>
      </c>
      <c r="E942" s="162" t="s">
        <v>631</v>
      </c>
      <c r="F942" s="358"/>
      <c r="G942" s="777"/>
      <c r="H942" s="65"/>
      <c r="I942" s="799">
        <v>1998</v>
      </c>
      <c r="J942" s="717"/>
      <c r="K942" s="66">
        <v>1.145</v>
      </c>
      <c r="L942" s="73"/>
      <c r="M942" s="717"/>
      <c r="N942" s="359"/>
      <c r="O942" s="1044"/>
      <c r="P942" s="717"/>
      <c r="Q942" s="359"/>
      <c r="R942" s="1044"/>
      <c r="S942" s="717"/>
      <c r="T942" s="359"/>
      <c r="U942" s="73"/>
      <c r="V942" s="66"/>
      <c r="W942" s="594">
        <f>AA942*(1+AB942)</f>
        <v>6.87E-4</v>
      </c>
      <c r="X942" s="595">
        <f>AA942*(1+AC942)</f>
        <v>6.87E-4</v>
      </c>
      <c r="Y942" s="52">
        <v>1998</v>
      </c>
      <c r="Z942" s="52"/>
      <c r="AA942" s="596">
        <f>+K942/1000</f>
        <v>1.145E-3</v>
      </c>
      <c r="AB942" s="256">
        <v>-0.4</v>
      </c>
      <c r="AC942" s="688">
        <f t="shared" si="595"/>
        <v>-0.4</v>
      </c>
      <c r="AD942" s="164"/>
      <c r="AE942" s="164"/>
      <c r="AF942" s="25"/>
      <c r="AG942" s="26"/>
      <c r="AH942" s="275"/>
      <c r="AI942" s="52"/>
      <c r="AJ942" s="35"/>
      <c r="AK942" s="289"/>
      <c r="AL942" s="290"/>
      <c r="AM942" s="211"/>
      <c r="AN942" s="164"/>
      <c r="AO942" s="76"/>
      <c r="AP942" s="44"/>
      <c r="AQ942" s="275"/>
      <c r="AR942" s="52"/>
      <c r="AS942" s="35"/>
      <c r="AT942" s="79"/>
      <c r="AU942" s="212"/>
      <c r="AV942" s="164"/>
      <c r="AW942" s="164"/>
      <c r="AX942" s="76"/>
      <c r="AY942" s="44"/>
      <c r="AZ942" s="275"/>
      <c r="BA942" s="52"/>
      <c r="BB942" s="35"/>
      <c r="BC942" s="79"/>
      <c r="BD942" s="230"/>
      <c r="BE942" s="211"/>
      <c r="BF942" s="164"/>
      <c r="BG942" s="76"/>
      <c r="BH942" s="44"/>
      <c r="BI942" s="275"/>
      <c r="BJ942" s="52"/>
      <c r="BK942" s="35"/>
      <c r="BL942" s="79"/>
      <c r="BM942" s="230"/>
      <c r="BN942" s="211"/>
      <c r="BO942" s="164"/>
      <c r="BP942" s="584"/>
      <c r="BQ942" s="585"/>
      <c r="BR942" s="299"/>
      <c r="BS942" s="35"/>
      <c r="BT942" s="35"/>
      <c r="BU942" s="79"/>
      <c r="BV942" s="212"/>
      <c r="BW942" s="304"/>
      <c r="BX942" s="313"/>
      <c r="BY942" s="138"/>
    </row>
    <row r="943" spans="1:77" customFormat="1" ht="15" customHeight="1" x14ac:dyDescent="0.2">
      <c r="A943" s="57" t="s">
        <v>15</v>
      </c>
      <c r="B943" s="583" t="s">
        <v>477</v>
      </c>
      <c r="C943" s="583" t="s">
        <v>825</v>
      </c>
      <c r="D943" s="546">
        <v>44.606999999999999</v>
      </c>
      <c r="E943" s="162" t="s">
        <v>631</v>
      </c>
      <c r="F943" s="358"/>
      <c r="G943" s="777"/>
      <c r="H943" s="65">
        <v>0.34412599999999999</v>
      </c>
      <c r="I943" s="798"/>
      <c r="J943" s="717"/>
      <c r="K943" s="66"/>
      <c r="L943" s="73"/>
      <c r="M943" s="717"/>
      <c r="N943" s="359"/>
      <c r="O943" s="1044"/>
      <c r="P943" s="717"/>
      <c r="Q943" s="359"/>
      <c r="R943" s="1044"/>
      <c r="S943" s="717"/>
      <c r="T943" s="359"/>
      <c r="U943" s="73"/>
      <c r="V943" s="66"/>
      <c r="W943" s="592">
        <f t="shared" ref="W943" si="596">AA943*(1+AB943)</f>
        <v>2.5809450000000001E-4</v>
      </c>
      <c r="X943" s="593">
        <f t="shared" ref="X943" si="597">AA943*(1+AC943)</f>
        <v>2.5809450000000001E-4</v>
      </c>
      <c r="Y943" s="52">
        <v>1990</v>
      </c>
      <c r="Z943" s="52"/>
      <c r="AA943" s="596">
        <f t="shared" ref="AA943" si="598">+H943/1000</f>
        <v>3.4412599999999999E-4</v>
      </c>
      <c r="AB943" s="256">
        <v>-0.25</v>
      </c>
      <c r="AC943" s="688">
        <f t="shared" si="595"/>
        <v>-0.25</v>
      </c>
      <c r="AD943" s="164"/>
      <c r="AE943" s="164"/>
      <c r="AF943" s="25"/>
      <c r="AG943" s="26"/>
      <c r="AH943" s="275"/>
      <c r="AI943" s="52"/>
      <c r="AJ943" s="35"/>
      <c r="AK943" s="289"/>
      <c r="AL943" s="290"/>
      <c r="AM943" s="211"/>
      <c r="AN943" s="164"/>
      <c r="AO943" s="76"/>
      <c r="AP943" s="44"/>
      <c r="AQ943" s="275"/>
      <c r="AR943" s="52"/>
      <c r="AS943" s="35"/>
      <c r="AT943" s="79"/>
      <c r="AU943" s="212"/>
      <c r="AV943" s="164"/>
      <c r="AW943" s="164"/>
      <c r="AX943" s="76"/>
      <c r="AY943" s="44"/>
      <c r="AZ943" s="275"/>
      <c r="BA943" s="52"/>
      <c r="BB943" s="35"/>
      <c r="BC943" s="79"/>
      <c r="BD943" s="230"/>
      <c r="BE943" s="211"/>
      <c r="BF943" s="164"/>
      <c r="BG943" s="76"/>
      <c r="BH943" s="44"/>
      <c r="BI943" s="275"/>
      <c r="BJ943" s="52"/>
      <c r="BK943" s="35"/>
      <c r="BL943" s="79"/>
      <c r="BM943" s="230"/>
      <c r="BN943" s="211"/>
      <c r="BO943" s="164"/>
      <c r="BP943" s="584"/>
      <c r="BQ943" s="585"/>
      <c r="BR943" s="299"/>
      <c r="BS943" s="35"/>
      <c r="BT943" s="35"/>
      <c r="BU943" s="79"/>
      <c r="BV943" s="212"/>
      <c r="BW943" s="304"/>
      <c r="BX943" s="313"/>
      <c r="BY943" s="138"/>
    </row>
    <row r="944" spans="1:77" customFormat="1" ht="15" customHeight="1" x14ac:dyDescent="0.2">
      <c r="A944" s="57" t="s">
        <v>15</v>
      </c>
      <c r="B944" s="583" t="s">
        <v>477</v>
      </c>
      <c r="C944" s="583" t="s">
        <v>839</v>
      </c>
      <c r="D944" s="546">
        <v>210</v>
      </c>
      <c r="E944" s="162" t="s">
        <v>631</v>
      </c>
      <c r="F944" s="358"/>
      <c r="G944" s="777"/>
      <c r="H944" s="65">
        <v>3.1629999999999998</v>
      </c>
      <c r="I944" s="798"/>
      <c r="J944" s="717"/>
      <c r="K944" s="66"/>
      <c r="L944" s="73"/>
      <c r="M944" s="717"/>
      <c r="N944" s="359"/>
      <c r="O944" s="1044"/>
      <c r="P944" s="717"/>
      <c r="Q944" s="359"/>
      <c r="R944" s="1044"/>
      <c r="S944" s="717"/>
      <c r="T944" s="359"/>
      <c r="U944" s="73"/>
      <c r="V944" s="66"/>
      <c r="W944" s="592">
        <f t="shared" ref="W944" si="599">AA944*(1+AB944)</f>
        <v>1.5815E-3</v>
      </c>
      <c r="X944" s="593">
        <f t="shared" ref="X944" si="600">AA944*(1+AC944)</f>
        <v>1.5815E-3</v>
      </c>
      <c r="Y944" s="52">
        <v>1990</v>
      </c>
      <c r="Z944" s="52"/>
      <c r="AA944" s="596">
        <f t="shared" ref="AA944" si="601">+H944/1000</f>
        <v>3.163E-3</v>
      </c>
      <c r="AB944" s="256">
        <v>-0.5</v>
      </c>
      <c r="AC944" s="688">
        <f t="shared" si="595"/>
        <v>-0.5</v>
      </c>
      <c r="AD944" s="164"/>
      <c r="AE944" s="164"/>
      <c r="AF944" s="25"/>
      <c r="AG944" s="26"/>
      <c r="AH944" s="275"/>
      <c r="AI944" s="52"/>
      <c r="AJ944" s="35"/>
      <c r="AK944" s="289"/>
      <c r="AL944" s="290"/>
      <c r="AM944" s="211"/>
      <c r="AN944" s="164"/>
      <c r="AO944" s="76"/>
      <c r="AP944" s="44"/>
      <c r="AQ944" s="275"/>
      <c r="AR944" s="52"/>
      <c r="AS944" s="35"/>
      <c r="AT944" s="79"/>
      <c r="AU944" s="212"/>
      <c r="AV944" s="164"/>
      <c r="AW944" s="164"/>
      <c r="AX944" s="76"/>
      <c r="AY944" s="44"/>
      <c r="AZ944" s="275"/>
      <c r="BA944" s="52"/>
      <c r="BB944" s="35"/>
      <c r="BC944" s="79"/>
      <c r="BD944" s="230"/>
      <c r="BE944" s="211"/>
      <c r="BF944" s="164"/>
      <c r="BG944" s="76"/>
      <c r="BH944" s="44"/>
      <c r="BI944" s="275"/>
      <c r="BJ944" s="52"/>
      <c r="BK944" s="35"/>
      <c r="BL944" s="79"/>
      <c r="BM944" s="230"/>
      <c r="BN944" s="211"/>
      <c r="BO944" s="164"/>
      <c r="BP944" s="584"/>
      <c r="BQ944" s="585"/>
      <c r="BR944" s="299"/>
      <c r="BS944" s="35"/>
      <c r="BT944" s="35"/>
      <c r="BU944" s="79"/>
      <c r="BV944" s="212"/>
      <c r="BW944" s="304"/>
      <c r="BX944" s="313"/>
      <c r="BY944" s="138"/>
    </row>
    <row r="945" spans="1:77" customFormat="1" ht="15" customHeight="1" x14ac:dyDescent="0.2">
      <c r="A945" s="57" t="s">
        <v>15</v>
      </c>
      <c r="B945" s="57" t="s">
        <v>434</v>
      </c>
      <c r="C945" s="57"/>
      <c r="D945" s="546">
        <v>1017.625</v>
      </c>
      <c r="E945" s="162"/>
      <c r="F945" s="358"/>
      <c r="G945" s="777"/>
      <c r="H945" s="65">
        <v>23.707999999999998</v>
      </c>
      <c r="I945" s="798"/>
      <c r="J945" s="717"/>
      <c r="K945" s="66">
        <v>24.798999999999999</v>
      </c>
      <c r="L945" s="73"/>
      <c r="M945" s="717"/>
      <c r="N945" s="359">
        <v>19.117000000000001</v>
      </c>
      <c r="O945" s="1044"/>
      <c r="P945" s="717"/>
      <c r="Q945" s="359"/>
      <c r="R945" s="1044"/>
      <c r="S945" s="717"/>
      <c r="T945" s="359"/>
      <c r="U945" s="73"/>
      <c r="V945" s="66"/>
      <c r="W945" s="592">
        <f t="shared" si="560"/>
        <v>2.3708E-2</v>
      </c>
      <c r="X945" s="593">
        <f t="shared" si="561"/>
        <v>2.3708E-2</v>
      </c>
      <c r="Y945" s="52">
        <v>1990</v>
      </c>
      <c r="Z945" s="52"/>
      <c r="AA945" s="596">
        <f t="shared" si="552"/>
        <v>2.3708E-2</v>
      </c>
      <c r="AB945" s="256">
        <v>0</v>
      </c>
      <c r="AC945" s="688">
        <v>0</v>
      </c>
      <c r="AD945" s="164"/>
      <c r="AE945" s="164"/>
      <c r="AF945" s="25"/>
      <c r="AG945" s="26"/>
      <c r="AH945" s="275"/>
      <c r="AI945" s="52"/>
      <c r="AJ945" s="35"/>
      <c r="AK945" s="289"/>
      <c r="AL945" s="290"/>
      <c r="AM945" s="211"/>
      <c r="AN945" s="164"/>
      <c r="AO945" s="76"/>
      <c r="AP945" s="44"/>
      <c r="AQ945" s="275"/>
      <c r="AR945" s="52"/>
      <c r="AS945" s="35"/>
      <c r="AT945" s="79"/>
      <c r="AU945" s="212"/>
      <c r="AV945" s="164"/>
      <c r="AW945" s="164"/>
      <c r="AX945" s="76"/>
      <c r="AY945" s="44"/>
      <c r="AZ945" s="275"/>
      <c r="BA945" s="52"/>
      <c r="BB945" s="35"/>
      <c r="BC945" s="79"/>
      <c r="BD945" s="230"/>
      <c r="BE945" s="211"/>
      <c r="BF945" s="164"/>
      <c r="BG945" s="76"/>
      <c r="BH945" s="44"/>
      <c r="BI945" s="275"/>
      <c r="BJ945" s="52"/>
      <c r="BK945" s="35"/>
      <c r="BL945" s="79"/>
      <c r="BM945" s="230"/>
      <c r="BN945" s="211"/>
      <c r="BO945" s="164"/>
      <c r="BP945" s="76"/>
      <c r="BQ945" s="44"/>
      <c r="BR945" s="299"/>
      <c r="BS945" s="52"/>
      <c r="BT945" s="35"/>
      <c r="BU945" s="79"/>
      <c r="BV945" s="212"/>
      <c r="BW945" s="304"/>
      <c r="BX945" s="313" t="s">
        <v>441</v>
      </c>
      <c r="BY945" s="138" t="s">
        <v>440</v>
      </c>
    </row>
    <row r="946" spans="1:77" customFormat="1" ht="15" customHeight="1" x14ac:dyDescent="0.2">
      <c r="A946" s="57" t="s">
        <v>15</v>
      </c>
      <c r="B946" s="57" t="s">
        <v>435</v>
      </c>
      <c r="C946" s="583"/>
      <c r="D946" s="546">
        <v>4149.4769999999999</v>
      </c>
      <c r="E946" s="162"/>
      <c r="F946" s="358"/>
      <c r="G946" s="777"/>
      <c r="H946" s="65">
        <v>91.465000000000003</v>
      </c>
      <c r="I946" s="722"/>
      <c r="J946" s="717"/>
      <c r="K946" s="66">
        <v>47.018999999999998</v>
      </c>
      <c r="L946" s="73"/>
      <c r="M946" s="717"/>
      <c r="N946" s="359">
        <v>48.737000000000002</v>
      </c>
      <c r="O946" s="1044"/>
      <c r="P946" s="717"/>
      <c r="Q946" s="359"/>
      <c r="R946" s="1044"/>
      <c r="S946" s="717"/>
      <c r="T946" s="359"/>
      <c r="U946" s="73"/>
      <c r="V946" s="66"/>
      <c r="W946" s="594">
        <f t="shared" si="560"/>
        <v>4.3811734999999997E-2</v>
      </c>
      <c r="X946" s="595">
        <f t="shared" si="561"/>
        <v>4.3811734999999997E-2</v>
      </c>
      <c r="Y946" s="52">
        <v>1990</v>
      </c>
      <c r="Z946" s="52"/>
      <c r="AA946" s="596">
        <f t="shared" si="552"/>
        <v>9.1465000000000005E-2</v>
      </c>
      <c r="AB946" s="256">
        <v>-0.52100000000000002</v>
      </c>
      <c r="AC946" s="688">
        <v>-0.52100000000000002</v>
      </c>
      <c r="AD946" s="164"/>
      <c r="AE946" s="164"/>
      <c r="AF946" s="25"/>
      <c r="AG946" s="26"/>
      <c r="AH946" s="275"/>
      <c r="AI946" s="52"/>
      <c r="AJ946" s="35"/>
      <c r="AK946" s="289"/>
      <c r="AL946" s="290"/>
      <c r="AM946" s="211"/>
      <c r="AN946" s="164"/>
      <c r="AO946" s="76"/>
      <c r="AP946" s="44"/>
      <c r="AQ946" s="275"/>
      <c r="AR946" s="52"/>
      <c r="AS946" s="35"/>
      <c r="AT946" s="79"/>
      <c r="AU946" s="212"/>
      <c r="AV946" s="164"/>
      <c r="AW946" s="164"/>
      <c r="AX946" s="76"/>
      <c r="AY946" s="44"/>
      <c r="AZ946" s="275"/>
      <c r="BA946" s="52"/>
      <c r="BB946" s="35"/>
      <c r="BC946" s="79"/>
      <c r="BD946" s="230"/>
      <c r="BE946" s="211"/>
      <c r="BF946" s="164"/>
      <c r="BG946" s="76"/>
      <c r="BH946" s="44"/>
      <c r="BI946" s="275"/>
      <c r="BJ946" s="52"/>
      <c r="BK946" s="35"/>
      <c r="BL946" s="79"/>
      <c r="BM946" s="230"/>
      <c r="BN946" s="211"/>
      <c r="BO946" s="164"/>
      <c r="BP946" s="584"/>
      <c r="BQ946" s="585"/>
      <c r="BR946" s="299"/>
      <c r="BS946" s="35"/>
      <c r="BT946" s="35"/>
      <c r="BU946" s="79"/>
      <c r="BV946" s="212"/>
      <c r="BW946" s="586"/>
      <c r="BX946" s="313" t="s">
        <v>441</v>
      </c>
      <c r="BY946" s="138" t="s">
        <v>440</v>
      </c>
    </row>
    <row r="947" spans="1:77" customFormat="1" ht="15" customHeight="1" x14ac:dyDescent="0.2">
      <c r="A947" s="57" t="s">
        <v>15</v>
      </c>
      <c r="B947" s="583" t="s">
        <v>477</v>
      </c>
      <c r="C947" s="583" t="s">
        <v>2469</v>
      </c>
      <c r="D947" s="546">
        <v>560.64099999999996</v>
      </c>
      <c r="E947" s="162" t="s">
        <v>631</v>
      </c>
      <c r="F947" s="358"/>
      <c r="G947" s="777"/>
      <c r="H947" s="65"/>
      <c r="I947" s="722"/>
      <c r="J947" s="717"/>
      <c r="K947" s="66">
        <v>3.4590000000000001</v>
      </c>
      <c r="L947" s="73"/>
      <c r="M947" s="717"/>
      <c r="N947" s="359"/>
      <c r="O947" s="1044"/>
      <c r="P947" s="717"/>
      <c r="Q947" s="359"/>
      <c r="R947" s="1044"/>
      <c r="S947" s="717"/>
      <c r="T947" s="359"/>
      <c r="U947" s="73"/>
      <c r="V947" s="66"/>
      <c r="W947" s="594"/>
      <c r="X947" s="595"/>
      <c r="Y947" s="52"/>
      <c r="Z947" s="52"/>
      <c r="AA947" s="596"/>
      <c r="AB947" s="256"/>
      <c r="AC947" s="688"/>
      <c r="AD947" s="164"/>
      <c r="AE947" s="164"/>
      <c r="AF947" s="25"/>
      <c r="AG947" s="26"/>
      <c r="AH947" s="275"/>
      <c r="AI947" s="52"/>
      <c r="AJ947" s="35"/>
      <c r="AK947" s="289"/>
      <c r="AL947" s="290"/>
      <c r="AM947" s="211"/>
      <c r="AN947" s="164"/>
      <c r="AO947" s="76"/>
      <c r="AP947" s="44"/>
      <c r="AQ947" s="275"/>
      <c r="AR947" s="52"/>
      <c r="AS947" s="35"/>
      <c r="AT947" s="79"/>
      <c r="AU947" s="212"/>
      <c r="AV947" s="164"/>
      <c r="AW947" s="164"/>
      <c r="AX947" s="76"/>
      <c r="AY947" s="44"/>
      <c r="AZ947" s="275"/>
      <c r="BA947" s="52"/>
      <c r="BB947" s="35"/>
      <c r="BC947" s="79"/>
      <c r="BD947" s="230"/>
      <c r="BE947" s="211"/>
      <c r="BF947" s="164"/>
      <c r="BG947" s="76"/>
      <c r="BH947" s="44"/>
      <c r="BI947" s="275"/>
      <c r="BJ947" s="52"/>
      <c r="BK947" s="35"/>
      <c r="BL947" s="79"/>
      <c r="BM947" s="230"/>
      <c r="BN947" s="211"/>
      <c r="BO947" s="164"/>
      <c r="BP947" s="76">
        <f>+BT947*(1+BU947)</f>
        <v>2.0408100000000005E-3</v>
      </c>
      <c r="BQ947" s="44">
        <f>BT947*(1+BV947)</f>
        <v>2.0408100000000005E-3</v>
      </c>
      <c r="BR947" s="299">
        <v>2005</v>
      </c>
      <c r="BS947" s="35"/>
      <c r="BT947" s="35">
        <f>+K947/1000</f>
        <v>3.4590000000000003E-3</v>
      </c>
      <c r="BU947" s="79">
        <v>-0.41</v>
      </c>
      <c r="BV947" s="212">
        <f>+BU947</f>
        <v>-0.41</v>
      </c>
      <c r="BW947" s="586"/>
      <c r="BX947" s="313"/>
      <c r="BY947" s="138"/>
    </row>
    <row r="948" spans="1:77" customFormat="1" ht="15" customHeight="1" x14ac:dyDescent="0.2">
      <c r="A948" s="57" t="s">
        <v>15</v>
      </c>
      <c r="B948" s="57" t="s">
        <v>436</v>
      </c>
      <c r="C948" s="583"/>
      <c r="D948" s="546">
        <v>2335.0059999999999</v>
      </c>
      <c r="E948" s="162"/>
      <c r="F948" s="358"/>
      <c r="G948" s="777"/>
      <c r="H948" s="65">
        <v>50.863</v>
      </c>
      <c r="I948" s="722"/>
      <c r="J948" s="717"/>
      <c r="K948" s="66">
        <v>27.846</v>
      </c>
      <c r="L948" s="73"/>
      <c r="M948" s="717"/>
      <c r="N948" s="359">
        <v>27.375</v>
      </c>
      <c r="O948" s="1044"/>
      <c r="P948" s="717"/>
      <c r="Q948" s="359"/>
      <c r="R948" s="1044"/>
      <c r="S948" s="717"/>
      <c r="T948" s="359"/>
      <c r="U948" s="73"/>
      <c r="V948" s="66"/>
      <c r="W948" s="594">
        <f t="shared" si="560"/>
        <v>2.6652212000000002E-2</v>
      </c>
      <c r="X948" s="595">
        <f t="shared" si="561"/>
        <v>2.6652212000000002E-2</v>
      </c>
      <c r="Y948" s="52">
        <v>1990</v>
      </c>
      <c r="Z948" s="52"/>
      <c r="AA948" s="596">
        <f t="shared" si="552"/>
        <v>5.0862999999999998E-2</v>
      </c>
      <c r="AB948" s="256">
        <v>-0.47600000000000003</v>
      </c>
      <c r="AC948" s="688">
        <v>-0.47600000000000003</v>
      </c>
      <c r="AD948" s="164"/>
      <c r="AE948" s="164"/>
      <c r="AF948" s="25"/>
      <c r="AG948" s="26"/>
      <c r="AH948" s="275"/>
      <c r="AI948" s="52"/>
      <c r="AJ948" s="35"/>
      <c r="AK948" s="289"/>
      <c r="AL948" s="290"/>
      <c r="AM948" s="211"/>
      <c r="AN948" s="164"/>
      <c r="AO948" s="76"/>
      <c r="AP948" s="44"/>
      <c r="AQ948" s="275"/>
      <c r="AR948" s="52"/>
      <c r="AS948" s="35"/>
      <c r="AT948" s="79"/>
      <c r="AU948" s="212"/>
      <c r="AV948" s="164"/>
      <c r="AW948" s="164"/>
      <c r="AX948" s="76"/>
      <c r="AY948" s="44"/>
      <c r="AZ948" s="275"/>
      <c r="BA948" s="52"/>
      <c r="BB948" s="35"/>
      <c r="BC948" s="79"/>
      <c r="BD948" s="230"/>
      <c r="BE948" s="211"/>
      <c r="BF948" s="164"/>
      <c r="BG948" s="76"/>
      <c r="BH948" s="44"/>
      <c r="BI948" s="275"/>
      <c r="BJ948" s="52"/>
      <c r="BK948" s="35"/>
      <c r="BL948" s="79"/>
      <c r="BM948" s="230"/>
      <c r="BN948" s="211"/>
      <c r="BO948" s="164"/>
      <c r="BP948" s="584"/>
      <c r="BQ948" s="585"/>
      <c r="BR948" s="299"/>
      <c r="BS948" s="35"/>
      <c r="BT948" s="35"/>
      <c r="BU948" s="79"/>
      <c r="BV948" s="212"/>
      <c r="BW948" s="304"/>
      <c r="BX948" s="313" t="s">
        <v>441</v>
      </c>
      <c r="BY948" s="138" t="s">
        <v>440</v>
      </c>
    </row>
    <row r="949" spans="1:77" customFormat="1" ht="15" customHeight="1" x14ac:dyDescent="0.2">
      <c r="A949" s="57" t="s">
        <v>15</v>
      </c>
      <c r="B949" s="583" t="s">
        <v>477</v>
      </c>
      <c r="C949" s="583" t="s">
        <v>2244</v>
      </c>
      <c r="D949" s="546">
        <v>235</v>
      </c>
      <c r="E949" s="162" t="s">
        <v>387</v>
      </c>
      <c r="F949" s="358"/>
      <c r="G949" s="777"/>
      <c r="H949" s="65">
        <v>3.9550000000000001</v>
      </c>
      <c r="I949" s="722"/>
      <c r="J949" s="717"/>
      <c r="K949" s="66"/>
      <c r="L949" s="724">
        <v>2012</v>
      </c>
      <c r="M949" s="717"/>
      <c r="N949" s="359">
        <v>1.4</v>
      </c>
      <c r="O949" s="1044"/>
      <c r="P949" s="717"/>
      <c r="Q949" s="359"/>
      <c r="R949" s="1044"/>
      <c r="S949" s="717"/>
      <c r="T949" s="359"/>
      <c r="U949" s="73"/>
      <c r="V949" s="66"/>
      <c r="W949" s="594">
        <f t="shared" ref="W949" si="602">AA949*(1+AB949)</f>
        <v>2.3730000000000001E-3</v>
      </c>
      <c r="X949" s="595">
        <f t="shared" ref="X949" si="603">AA949*(1+AC949)</f>
        <v>2.3730000000000001E-3</v>
      </c>
      <c r="Y949" s="52">
        <v>1990</v>
      </c>
      <c r="Z949" s="52"/>
      <c r="AA949" s="596">
        <f t="shared" ref="AA949" si="604">+H949/1000</f>
        <v>3.9550000000000002E-3</v>
      </c>
      <c r="AB949" s="256">
        <v>-0.4</v>
      </c>
      <c r="AC949" s="688">
        <f>AB949</f>
        <v>-0.4</v>
      </c>
      <c r="AD949" s="164"/>
      <c r="AE949" s="164"/>
      <c r="AF949" s="25"/>
      <c r="AG949" s="26"/>
      <c r="AH949" s="275"/>
      <c r="AI949" s="52"/>
      <c r="AJ949" s="35"/>
      <c r="AK949" s="289"/>
      <c r="AL949" s="290"/>
      <c r="AM949" s="211"/>
      <c r="AN949" s="164"/>
      <c r="AO949" s="76"/>
      <c r="AP949" s="44"/>
      <c r="AQ949" s="275"/>
      <c r="AR949" s="52"/>
      <c r="AS949" s="35"/>
      <c r="AT949" s="79"/>
      <c r="AU949" s="212"/>
      <c r="AV949" s="164"/>
      <c r="AW949" s="164"/>
      <c r="AX949" s="76"/>
      <c r="AY949" s="44"/>
      <c r="AZ949" s="275"/>
      <c r="BA949" s="52"/>
      <c r="BB949" s="35"/>
      <c r="BC949" s="79"/>
      <c r="BD949" s="230"/>
      <c r="BE949" s="211"/>
      <c r="BF949" s="164"/>
      <c r="BG949" s="76"/>
      <c r="BH949" s="44"/>
      <c r="BI949" s="275"/>
      <c r="BJ949" s="52"/>
      <c r="BK949" s="35"/>
      <c r="BL949" s="79"/>
      <c r="BM949" s="230"/>
      <c r="BN949" s="211"/>
      <c r="BO949" s="164"/>
      <c r="BP949" s="592">
        <f>+BT949*(1+BU949)</f>
        <v>1.9775000000000017E-4</v>
      </c>
      <c r="BQ949" s="593">
        <f>BT949*(1+BV949)</f>
        <v>1.9775000000000017E-4</v>
      </c>
      <c r="BR949" s="299">
        <v>1990</v>
      </c>
      <c r="BS949" s="52"/>
      <c r="BT949" s="35">
        <f>+H949/1000</f>
        <v>3.9550000000000002E-3</v>
      </c>
      <c r="BU949" s="79">
        <v>-0.95</v>
      </c>
      <c r="BV949" s="212">
        <v>-0.95</v>
      </c>
      <c r="BW949" s="304"/>
      <c r="BX949" s="313"/>
      <c r="BY949" s="138"/>
    </row>
    <row r="950" spans="1:77" customFormat="1" ht="15" customHeight="1" x14ac:dyDescent="0.2">
      <c r="A950" s="57" t="s">
        <v>15</v>
      </c>
      <c r="B950" s="57" t="s">
        <v>437</v>
      </c>
      <c r="C950" s="57"/>
      <c r="D950" s="546">
        <v>2834.259</v>
      </c>
      <c r="E950" s="162" t="s">
        <v>2930</v>
      </c>
      <c r="F950" s="358"/>
      <c r="G950" s="777"/>
      <c r="H950" s="65">
        <v>33.987000000000002</v>
      </c>
      <c r="I950" s="722"/>
      <c r="J950" s="717"/>
      <c r="K950" s="66"/>
      <c r="L950" s="73"/>
      <c r="M950" s="717"/>
      <c r="N950" s="359"/>
      <c r="O950" s="1044"/>
      <c r="P950" s="717"/>
      <c r="Q950" s="359"/>
      <c r="R950" s="1043">
        <v>2017</v>
      </c>
      <c r="S950" s="717"/>
      <c r="T950" s="359">
        <v>25.38</v>
      </c>
      <c r="U950" s="73"/>
      <c r="V950" s="66"/>
      <c r="W950" s="592">
        <f t="shared" si="560"/>
        <v>2.0392200000000003E-2</v>
      </c>
      <c r="X950" s="593">
        <f t="shared" si="561"/>
        <v>2.0392200000000003E-2</v>
      </c>
      <c r="Y950" s="52">
        <v>1990</v>
      </c>
      <c r="Z950" s="52"/>
      <c r="AA950" s="596">
        <f t="shared" si="552"/>
        <v>3.3987000000000003E-2</v>
      </c>
      <c r="AB950" s="256">
        <v>-0.4</v>
      </c>
      <c r="AC950" s="688">
        <v>-0.4</v>
      </c>
      <c r="AD950" s="164"/>
      <c r="AE950" s="164"/>
      <c r="AF950" s="25"/>
      <c r="AG950" s="26"/>
      <c r="AH950" s="275"/>
      <c r="AI950" s="52"/>
      <c r="AJ950" s="35"/>
      <c r="AK950" s="289"/>
      <c r="AL950" s="290"/>
      <c r="AM950" s="211"/>
      <c r="AN950" s="164"/>
      <c r="AO950" s="76"/>
      <c r="AP950" s="44"/>
      <c r="AQ950" s="275"/>
      <c r="AR950" s="52"/>
      <c r="AS950" s="35"/>
      <c r="AT950" s="79"/>
      <c r="AU950" s="212"/>
      <c r="AV950" s="164"/>
      <c r="AW950" s="164"/>
      <c r="AX950" s="76"/>
      <c r="AY950" s="44"/>
      <c r="AZ950" s="275"/>
      <c r="BA950" s="52"/>
      <c r="BB950" s="35"/>
      <c r="BC950" s="79"/>
      <c r="BD950" s="230"/>
      <c r="BE950" s="211"/>
      <c r="BF950" s="164"/>
      <c r="BG950" s="76"/>
      <c r="BH950" s="44"/>
      <c r="BI950" s="275"/>
      <c r="BJ950" s="52"/>
      <c r="BK950" s="35"/>
      <c r="BL950" s="79"/>
      <c r="BM950" s="230"/>
      <c r="BN950" s="211"/>
      <c r="BO950" s="164"/>
      <c r="BP950" s="25">
        <f>+BT950*(1+BU950)</f>
        <v>6.7973999999999994E-3</v>
      </c>
      <c r="BQ950" s="26">
        <f>BT950*(1+BV950)</f>
        <v>1.6993500000000016E-3</v>
      </c>
      <c r="BR950" s="299">
        <v>1990</v>
      </c>
      <c r="BS950" s="52"/>
      <c r="BT950" s="35">
        <f>+AA950</f>
        <v>3.3987000000000003E-2</v>
      </c>
      <c r="BU950" s="79">
        <v>-0.8</v>
      </c>
      <c r="BV950" s="212">
        <v>-0.95</v>
      </c>
      <c r="BW950" s="304"/>
      <c r="BX950" s="313" t="s">
        <v>441</v>
      </c>
      <c r="BY950" s="138" t="s">
        <v>440</v>
      </c>
    </row>
    <row r="951" spans="1:77" customFormat="1" ht="15" customHeight="1" x14ac:dyDescent="0.2">
      <c r="A951" s="57" t="s">
        <v>15</v>
      </c>
      <c r="B951" s="57" t="s">
        <v>438</v>
      </c>
      <c r="C951" s="583"/>
      <c r="D951" s="546">
        <v>2235.0250000000001</v>
      </c>
      <c r="E951" s="162" t="s">
        <v>2932</v>
      </c>
      <c r="F951" s="358"/>
      <c r="G951" s="777"/>
      <c r="H951" s="65">
        <v>33.799999999999997</v>
      </c>
      <c r="I951" s="722"/>
      <c r="J951" s="717"/>
      <c r="K951" s="66">
        <v>11.45</v>
      </c>
      <c r="L951" s="73"/>
      <c r="M951" s="717"/>
      <c r="N951" s="359">
        <v>10.771000000000001</v>
      </c>
      <c r="O951" s="1043">
        <v>2013</v>
      </c>
      <c r="P951" s="717"/>
      <c r="Q951" s="359">
        <f>H951*0.39</f>
        <v>13.181999999999999</v>
      </c>
      <c r="R951" s="1043">
        <v>2016</v>
      </c>
      <c r="S951" s="717"/>
      <c r="T951" s="359">
        <v>12.641</v>
      </c>
      <c r="U951" s="73"/>
      <c r="V951" s="66"/>
      <c r="W951" s="1132">
        <f t="shared" si="560"/>
        <v>3.3799999999999997E-2</v>
      </c>
      <c r="X951" s="1133">
        <f t="shared" si="561"/>
        <v>3.3799999999999997E-2</v>
      </c>
      <c r="Y951" s="52">
        <v>1990</v>
      </c>
      <c r="Z951" s="52"/>
      <c r="AA951" s="596">
        <f t="shared" si="552"/>
        <v>3.3799999999999997E-2</v>
      </c>
      <c r="AB951" s="1109">
        <v>0</v>
      </c>
      <c r="AC951" s="1110">
        <v>0</v>
      </c>
      <c r="AD951" s="164"/>
      <c r="AE951" s="164"/>
      <c r="AF951" s="25"/>
      <c r="AG951" s="26"/>
      <c r="AH951" s="275"/>
      <c r="AI951" s="52"/>
      <c r="AJ951" s="35"/>
      <c r="AK951" s="289"/>
      <c r="AL951" s="290"/>
      <c r="AM951" s="211"/>
      <c r="AN951" s="164"/>
      <c r="AO951" s="1131">
        <f>+AS951*(1+AT951)</f>
        <v>1.3519999999999999E-2</v>
      </c>
      <c r="AP951" s="585">
        <f>AS951*(1+AU951)</f>
        <v>1.014E-2</v>
      </c>
      <c r="AQ951" s="299">
        <v>1990</v>
      </c>
      <c r="AR951" s="35"/>
      <c r="AS951" s="35">
        <f>AA951</f>
        <v>3.3799999999999997E-2</v>
      </c>
      <c r="AT951" s="79">
        <v>-0.6</v>
      </c>
      <c r="AU951" s="212">
        <v>-0.7</v>
      </c>
      <c r="AV951" s="164"/>
      <c r="AW951" s="164"/>
      <c r="AX951" s="76"/>
      <c r="AY951" s="44"/>
      <c r="AZ951" s="275"/>
      <c r="BA951" s="52"/>
      <c r="BB951" s="35"/>
      <c r="BC951" s="79"/>
      <c r="BD951" s="230"/>
      <c r="BE951" s="211"/>
      <c r="BF951" s="164"/>
      <c r="BG951" s="584">
        <f>+BK951*(1+BL951)</f>
        <v>1.014E-2</v>
      </c>
      <c r="BH951" s="585">
        <f>BK951*(1+BM951)</f>
        <v>6.7599999999999978E-3</v>
      </c>
      <c r="BI951" s="299">
        <v>1990</v>
      </c>
      <c r="BJ951" s="35"/>
      <c r="BK951" s="35">
        <f>+AA951</f>
        <v>3.3799999999999997E-2</v>
      </c>
      <c r="BL951" s="79">
        <v>-0.7</v>
      </c>
      <c r="BM951" s="212">
        <v>-0.8</v>
      </c>
      <c r="BN951" s="211"/>
      <c r="BO951" s="164"/>
      <c r="BP951" s="584">
        <f>+BT951*(1+BU951)</f>
        <v>6.7599999999999978E-3</v>
      </c>
      <c r="BQ951" s="585">
        <f>BT951*(1+BV951)</f>
        <v>1.6900000000000014E-3</v>
      </c>
      <c r="BR951" s="299">
        <v>1990</v>
      </c>
      <c r="BS951" s="35"/>
      <c r="BT951" s="35">
        <f>+AA951</f>
        <v>3.3799999999999997E-2</v>
      </c>
      <c r="BU951" s="79">
        <v>-0.8</v>
      </c>
      <c r="BV951" s="212">
        <v>-0.95</v>
      </c>
      <c r="BW951" s="586"/>
      <c r="BX951" s="313" t="s">
        <v>441</v>
      </c>
      <c r="BY951" s="138"/>
    </row>
    <row r="952" spans="1:77" ht="15" customHeight="1" x14ac:dyDescent="0.2">
      <c r="A952" s="57" t="s">
        <v>19</v>
      </c>
      <c r="B952" s="583" t="s">
        <v>1606</v>
      </c>
      <c r="C952" s="583"/>
      <c r="D952" s="546">
        <v>11109.999</v>
      </c>
      <c r="E952" s="1101" t="s">
        <v>2896</v>
      </c>
      <c r="F952" s="729"/>
      <c r="G952" s="730">
        <v>100.90300000000001</v>
      </c>
      <c r="H952" s="723">
        <v>103.081</v>
      </c>
      <c r="I952" s="1282"/>
      <c r="J952" s="1283">
        <v>132.88934</v>
      </c>
      <c r="K952" s="1283">
        <v>136.28125</v>
      </c>
      <c r="L952" s="1282"/>
      <c r="M952" s="1283">
        <v>132.99834000000001</v>
      </c>
      <c r="N952" s="1283">
        <v>136.28125</v>
      </c>
      <c r="O952" s="1284"/>
      <c r="P952" s="1288">
        <v>91.611180000000004</v>
      </c>
      <c r="Q952" s="1291">
        <v>95.330370000000002</v>
      </c>
      <c r="R952" s="1284">
        <v>2017</v>
      </c>
      <c r="S952" s="1288">
        <v>92.211690000000004</v>
      </c>
      <c r="T952" s="1291">
        <v>95.420779999999993</v>
      </c>
      <c r="U952" s="73"/>
      <c r="V952" s="66"/>
      <c r="W952" s="592"/>
      <c r="X952" s="593"/>
      <c r="Y952" s="52">
        <v>1990</v>
      </c>
      <c r="Z952" s="52"/>
      <c r="AA952" s="596"/>
      <c r="AB952" s="824">
        <v>-0.2</v>
      </c>
      <c r="AC952" s="825">
        <v>-0.3</v>
      </c>
      <c r="AD952" s="164"/>
      <c r="AE952" s="164"/>
      <c r="AF952" s="25"/>
      <c r="AG952" s="26"/>
      <c r="AH952" s="275"/>
      <c r="AI952" s="52"/>
      <c r="AJ952" s="35"/>
      <c r="AK952" s="289"/>
      <c r="AL952" s="290"/>
      <c r="AM952" s="211"/>
      <c r="AN952" s="164"/>
      <c r="AO952" s="76"/>
      <c r="AP952" s="44"/>
      <c r="AQ952" s="275"/>
      <c r="AR952" s="52"/>
      <c r="AS952" s="35"/>
      <c r="AT952" s="840">
        <v>0.55000000000000004</v>
      </c>
      <c r="AU952" s="688">
        <v>0.55000000000000004</v>
      </c>
      <c r="AV952" s="164"/>
      <c r="AW952" s="164"/>
      <c r="AX952" s="76"/>
      <c r="AY952" s="44"/>
      <c r="AZ952" s="275"/>
      <c r="BA952" s="52"/>
      <c r="BB952" s="35"/>
      <c r="BC952" s="79"/>
      <c r="BD952" s="230"/>
      <c r="BE952" s="211"/>
      <c r="BF952" s="164"/>
      <c r="BG952" s="76"/>
      <c r="BH952" s="44"/>
      <c r="BI952" s="275"/>
      <c r="BJ952" s="52"/>
      <c r="BK952" s="35"/>
      <c r="BL952" s="79"/>
      <c r="BM952" s="230"/>
      <c r="BN952" s="211"/>
      <c r="BO952" s="164"/>
      <c r="BP952" s="76"/>
      <c r="BQ952" s="44"/>
      <c r="BR952" s="299"/>
      <c r="BS952" s="52"/>
      <c r="BT952" s="35"/>
      <c r="BU952" s="79">
        <v>-0.8</v>
      </c>
      <c r="BV952" s="212">
        <v>-0.95</v>
      </c>
      <c r="BW952" s="304"/>
      <c r="BX952" s="313"/>
      <c r="BY952" s="138"/>
    </row>
    <row r="953" spans="1:77" ht="15" customHeight="1" x14ac:dyDescent="0.2">
      <c r="A953" s="57" t="s">
        <v>19</v>
      </c>
      <c r="B953" s="583" t="s">
        <v>2903</v>
      </c>
      <c r="C953" s="583"/>
      <c r="D953" s="546">
        <v>3742</v>
      </c>
      <c r="E953" s="162" t="s">
        <v>2904</v>
      </c>
      <c r="F953" s="729"/>
      <c r="G953" s="730"/>
      <c r="H953" s="1283"/>
      <c r="I953" s="1282"/>
      <c r="J953" s="1283"/>
      <c r="K953" s="1283"/>
      <c r="L953" s="1282">
        <v>2008</v>
      </c>
      <c r="M953" s="1283"/>
      <c r="N953" s="1283">
        <v>33.058526999999998</v>
      </c>
      <c r="O953" s="1284"/>
      <c r="P953" s="1288"/>
      <c r="Q953" s="1291"/>
      <c r="R953" s="1284">
        <v>2016</v>
      </c>
      <c r="S953" s="1288">
        <v>22.832355</v>
      </c>
      <c r="T953" s="1291">
        <v>23.761683999999999</v>
      </c>
      <c r="U953" s="792"/>
      <c r="V953" s="66"/>
      <c r="W953" s="1132">
        <f t="shared" ref="W953" si="605">AA953*(1+AB953)</f>
        <v>2.64468216E-2</v>
      </c>
      <c r="X953" s="1133">
        <f t="shared" ref="X953" si="606">AA953*(1+AC953)</f>
        <v>2.64468216E-2</v>
      </c>
      <c r="Y953" s="52">
        <v>2008</v>
      </c>
      <c r="Z953" s="52"/>
      <c r="AA953" s="35">
        <f>+N953/1000</f>
        <v>3.3058526999999997E-2</v>
      </c>
      <c r="AB953" s="1166">
        <v>-0.2</v>
      </c>
      <c r="AC953" s="1167">
        <v>-0.2</v>
      </c>
      <c r="AD953" s="164"/>
      <c r="AE953" s="164"/>
      <c r="AF953" s="25"/>
      <c r="AG953" s="26"/>
      <c r="AH953" s="275"/>
      <c r="AI953" s="52"/>
      <c r="AJ953" s="35"/>
      <c r="AK953" s="289"/>
      <c r="AL953" s="290"/>
      <c r="AM953" s="211"/>
      <c r="AN953" s="164"/>
      <c r="AO953" s="76"/>
      <c r="AP953" s="44"/>
      <c r="AQ953" s="275"/>
      <c r="AR953" s="52"/>
      <c r="AS953" s="35"/>
      <c r="AT953" s="840"/>
      <c r="AU953" s="212"/>
      <c r="AV953" s="164"/>
      <c r="AW953" s="164"/>
      <c r="AX953" s="76"/>
      <c r="AY953" s="44"/>
      <c r="AZ953" s="275"/>
      <c r="BA953" s="52"/>
      <c r="BB953" s="35"/>
      <c r="BC953" s="79"/>
      <c r="BD953" s="230"/>
      <c r="BE953" s="211"/>
      <c r="BF953" s="164"/>
      <c r="BG953" s="76"/>
      <c r="BH953" s="44"/>
      <c r="BI953" s="275"/>
      <c r="BJ953" s="52"/>
      <c r="BK953" s="35"/>
      <c r="BL953" s="79"/>
      <c r="BM953" s="230"/>
      <c r="BN953" s="211"/>
      <c r="BO953" s="164"/>
      <c r="BP953" s="76"/>
      <c r="BQ953" s="44"/>
      <c r="BR953" s="299"/>
      <c r="BS953" s="52"/>
      <c r="BT953" s="35"/>
      <c r="BU953" s="79"/>
      <c r="BV953" s="212"/>
      <c r="BW953" s="304"/>
      <c r="BX953" s="313"/>
      <c r="BY953" s="138"/>
    </row>
    <row r="954" spans="1:77" ht="15" customHeight="1" x14ac:dyDescent="0.2">
      <c r="A954" s="57" t="s">
        <v>19</v>
      </c>
      <c r="B954" s="583"/>
      <c r="C954" s="583" t="s">
        <v>2368</v>
      </c>
      <c r="D954" s="546">
        <v>49.872</v>
      </c>
      <c r="E954" s="162"/>
      <c r="F954" s="358"/>
      <c r="G954" s="730"/>
      <c r="H954" s="73"/>
      <c r="I954" s="90"/>
      <c r="J954" s="73"/>
      <c r="K954" s="73"/>
      <c r="L954" s="90"/>
      <c r="M954" s="73"/>
      <c r="N954" s="359"/>
      <c r="O954" s="1041">
        <v>2013</v>
      </c>
      <c r="P954" s="192"/>
      <c r="Q954" s="361">
        <v>0.164241</v>
      </c>
      <c r="R954" s="1041"/>
      <c r="S954" s="192"/>
      <c r="T954" s="361"/>
      <c r="U954" s="73"/>
      <c r="V954" s="66"/>
      <c r="W954" s="594">
        <f t="shared" ref="W954:W955" si="607">AA954*(1+AB954)</f>
        <v>1.1825352E-4</v>
      </c>
      <c r="X954" s="595">
        <f t="shared" ref="X954:X955" si="608">AA954*(1+AC954)</f>
        <v>1.1825352E-4</v>
      </c>
      <c r="Y954" s="52">
        <v>2013</v>
      </c>
      <c r="Z954" s="52"/>
      <c r="AA954" s="596">
        <f>+Q954/1000</f>
        <v>1.64241E-4</v>
      </c>
      <c r="AB954" s="256">
        <v>-0.28000000000000003</v>
      </c>
      <c r="AC954" s="688">
        <f t="shared" ref="AC954:AC955" si="609">AB954</f>
        <v>-0.28000000000000003</v>
      </c>
      <c r="AD954" s="164"/>
      <c r="AE954" s="164"/>
      <c r="AF954" s="25"/>
      <c r="AG954" s="26"/>
      <c r="AH954" s="275"/>
      <c r="AI954" s="52"/>
      <c r="AJ954" s="35"/>
      <c r="AK954" s="289"/>
      <c r="AL954" s="290"/>
      <c r="AM954" s="211"/>
      <c r="AN954" s="164"/>
      <c r="AO954" s="76"/>
      <c r="AP954" s="44"/>
      <c r="AQ954" s="275"/>
      <c r="AR954" s="52"/>
      <c r="AS954" s="35"/>
      <c r="AT954" s="840"/>
      <c r="AU954" s="212"/>
      <c r="AV954" s="164"/>
      <c r="AW954" s="164"/>
      <c r="AX954" s="76"/>
      <c r="AY954" s="44"/>
      <c r="AZ954" s="275"/>
      <c r="BA954" s="52"/>
      <c r="BB954" s="35"/>
      <c r="BC954" s="79"/>
      <c r="BD954" s="230"/>
      <c r="BE954" s="211"/>
      <c r="BF954" s="164"/>
      <c r="BG954" s="76"/>
      <c r="BH954" s="44"/>
      <c r="BI954" s="275"/>
      <c r="BJ954" s="52"/>
      <c r="BK954" s="35"/>
      <c r="BL954" s="79"/>
      <c r="BM954" s="230"/>
      <c r="BN954" s="211"/>
      <c r="BO954" s="164"/>
      <c r="BP954" s="76"/>
      <c r="BQ954" s="44"/>
      <c r="BR954" s="299"/>
      <c r="BS954" s="52"/>
      <c r="BT954" s="35"/>
      <c r="BU954" s="79"/>
      <c r="BV954" s="212"/>
      <c r="BW954" s="304"/>
      <c r="BX954" s="313"/>
      <c r="BY954" s="138"/>
    </row>
    <row r="955" spans="1:77" ht="15" customHeight="1" x14ac:dyDescent="0.2">
      <c r="A955" s="57" t="s">
        <v>19</v>
      </c>
      <c r="B955" s="583"/>
      <c r="C955" s="583" t="s">
        <v>2369</v>
      </c>
      <c r="D955" s="546">
        <v>27.074000000000002</v>
      </c>
      <c r="E955" s="162"/>
      <c r="F955" s="358"/>
      <c r="G955" s="730"/>
      <c r="H955" s="73"/>
      <c r="I955" s="90"/>
      <c r="J955" s="73"/>
      <c r="K955" s="73"/>
      <c r="L955" s="90">
        <v>2011</v>
      </c>
      <c r="M955" s="73"/>
      <c r="N955" s="359">
        <v>0.17824200000000001</v>
      </c>
      <c r="O955" s="1041"/>
      <c r="P955" s="192"/>
      <c r="Q955" s="361"/>
      <c r="R955" s="1041"/>
      <c r="S955" s="192"/>
      <c r="T955" s="361"/>
      <c r="U955" s="73"/>
      <c r="V955" s="66"/>
      <c r="W955" s="594">
        <f t="shared" si="607"/>
        <v>1.3189908E-4</v>
      </c>
      <c r="X955" s="595">
        <f t="shared" si="608"/>
        <v>1.3189908E-4</v>
      </c>
      <c r="Y955" s="52">
        <v>2011</v>
      </c>
      <c r="Z955" s="52"/>
      <c r="AA955" s="596">
        <f t="shared" ref="AA955" si="610">+N955/1000</f>
        <v>1.7824200000000001E-4</v>
      </c>
      <c r="AB955" s="256">
        <v>-0.26</v>
      </c>
      <c r="AC955" s="688">
        <f t="shared" si="609"/>
        <v>-0.26</v>
      </c>
      <c r="AD955" s="164"/>
      <c r="AE955" s="164"/>
      <c r="AF955" s="25"/>
      <c r="AG955" s="26"/>
      <c r="AH955" s="275"/>
      <c r="AI955" s="52"/>
      <c r="AJ955" s="35"/>
      <c r="AK955" s="289"/>
      <c r="AL955" s="290"/>
      <c r="AM955" s="211"/>
      <c r="AN955" s="164"/>
      <c r="AO955" s="76"/>
      <c r="AP955" s="44"/>
      <c r="AQ955" s="275"/>
      <c r="AR955" s="52"/>
      <c r="AS955" s="35"/>
      <c r="AT955" s="840"/>
      <c r="AU955" s="212"/>
      <c r="AV955" s="164"/>
      <c r="AW955" s="164"/>
      <c r="AX955" s="76"/>
      <c r="AY955" s="44"/>
      <c r="AZ955" s="275"/>
      <c r="BA955" s="52"/>
      <c r="BB955" s="35"/>
      <c r="BC955" s="79"/>
      <c r="BD955" s="230"/>
      <c r="BE955" s="211"/>
      <c r="BF955" s="164"/>
      <c r="BG955" s="76"/>
      <c r="BH955" s="44"/>
      <c r="BI955" s="275"/>
      <c r="BJ955" s="52"/>
      <c r="BK955" s="35"/>
      <c r="BL955" s="79"/>
      <c r="BM955" s="230"/>
      <c r="BN955" s="211"/>
      <c r="BO955" s="164"/>
      <c r="BP955" s="76"/>
      <c r="BQ955" s="44"/>
      <c r="BR955" s="299"/>
      <c r="BS955" s="52"/>
      <c r="BT955" s="35"/>
      <c r="BU955" s="79"/>
      <c r="BV955" s="212"/>
      <c r="BW955" s="304"/>
      <c r="BX955" s="313"/>
      <c r="BY955" s="138"/>
    </row>
    <row r="956" spans="1:77" ht="15" customHeight="1" x14ac:dyDescent="0.2">
      <c r="A956" s="57" t="s">
        <v>19</v>
      </c>
      <c r="B956" s="57"/>
      <c r="C956" s="583" t="s">
        <v>846</v>
      </c>
      <c r="D956" s="546">
        <v>42.021999999999998</v>
      </c>
      <c r="E956" s="162" t="s">
        <v>631</v>
      </c>
      <c r="F956" s="358"/>
      <c r="G956" s="65"/>
      <c r="H956" s="73"/>
      <c r="I956" s="90"/>
      <c r="J956" s="73"/>
      <c r="K956" s="66"/>
      <c r="L956" s="717">
        <v>2013</v>
      </c>
      <c r="M956" s="73"/>
      <c r="N956" s="359">
        <v>0.26012200000000002</v>
      </c>
      <c r="O956" s="1041">
        <v>2013</v>
      </c>
      <c r="P956" s="73"/>
      <c r="Q956" s="359">
        <v>0.26012200000000002</v>
      </c>
      <c r="R956" s="1041"/>
      <c r="S956" s="73"/>
      <c r="T956" s="359"/>
      <c r="U956" s="73"/>
      <c r="V956" s="66"/>
      <c r="W956" s="594">
        <f t="shared" ref="W956:W983" si="611">AA956*(1+AB956)</f>
        <v>1.950915E-4</v>
      </c>
      <c r="X956" s="595">
        <f t="shared" ref="X956:X983" si="612">AA956*(1+AC956)</f>
        <v>1.950915E-4</v>
      </c>
      <c r="Y956" s="52">
        <v>2013</v>
      </c>
      <c r="Z956" s="52"/>
      <c r="AA956" s="596">
        <f t="shared" ref="AA956:AA983" si="613">+N956/1000</f>
        <v>2.60122E-4</v>
      </c>
      <c r="AB956" s="256">
        <v>-0.25</v>
      </c>
      <c r="AC956" s="688">
        <f t="shared" ref="AC956:AC983" si="614">AB956</f>
        <v>-0.25</v>
      </c>
      <c r="AD956" s="164"/>
      <c r="AE956" s="164"/>
      <c r="AF956" s="25"/>
      <c r="AG956" s="26"/>
      <c r="AH956" s="275"/>
      <c r="AI956" s="52"/>
      <c r="AJ956" s="35"/>
      <c r="AK956" s="289"/>
      <c r="AL956" s="290"/>
      <c r="AM956" s="211"/>
      <c r="AN956" s="164"/>
      <c r="AO956" s="76"/>
      <c r="AP956" s="44"/>
      <c r="AQ956" s="275"/>
      <c r="AR956" s="52"/>
      <c r="AS956" s="35"/>
      <c r="AT956" s="79"/>
      <c r="AU956" s="212"/>
      <c r="AV956" s="164"/>
      <c r="AW956" s="164"/>
      <c r="AX956" s="76"/>
      <c r="AY956" s="44"/>
      <c r="AZ956" s="275"/>
      <c r="BA956" s="52"/>
      <c r="BB956" s="35"/>
      <c r="BC956" s="79"/>
      <c r="BD956" s="230"/>
      <c r="BE956" s="211"/>
      <c r="BF956" s="164"/>
      <c r="BG956" s="76"/>
      <c r="BH956" s="44"/>
      <c r="BI956" s="275"/>
      <c r="BJ956" s="52"/>
      <c r="BK956" s="35"/>
      <c r="BL956" s="79"/>
      <c r="BM956" s="230"/>
      <c r="BN956" s="211"/>
      <c r="BO956" s="164"/>
      <c r="BP956" s="76"/>
      <c r="BQ956" s="44"/>
      <c r="BR956" s="299"/>
      <c r="BS956" s="52"/>
      <c r="BT956" s="35"/>
      <c r="BU956" s="79"/>
      <c r="BV956" s="212"/>
      <c r="BW956" s="304"/>
      <c r="BX956" s="313"/>
      <c r="BY956" s="138"/>
    </row>
    <row r="957" spans="1:77" ht="15" customHeight="1" x14ac:dyDescent="0.2">
      <c r="A957" s="57" t="s">
        <v>19</v>
      </c>
      <c r="B957" s="57"/>
      <c r="C957" s="583" t="s">
        <v>2521</v>
      </c>
      <c r="D957" s="546">
        <v>664.04600000000005</v>
      </c>
      <c r="E957" s="162" t="s">
        <v>387</v>
      </c>
      <c r="F957" s="358"/>
      <c r="G957" s="65"/>
      <c r="H957" s="73"/>
      <c r="I957" s="90"/>
      <c r="J957" s="73"/>
      <c r="K957" s="66"/>
      <c r="L957" s="717">
        <v>2014</v>
      </c>
      <c r="M957" s="73"/>
      <c r="N957" s="359">
        <v>4.5374067800000004</v>
      </c>
      <c r="O957" s="1041"/>
      <c r="P957" s="73"/>
      <c r="Q957" s="359">
        <v>5.0534220000000003</v>
      </c>
      <c r="R957" s="1041"/>
      <c r="S957" s="73"/>
      <c r="T957" s="359"/>
      <c r="U957" s="73"/>
      <c r="V957" s="66"/>
      <c r="W957" s="594"/>
      <c r="X957" s="595"/>
      <c r="Y957" s="52"/>
      <c r="Z957" s="52"/>
      <c r="AA957" s="596"/>
      <c r="AB957" s="256"/>
      <c r="AC957" s="688"/>
      <c r="AD957" s="164"/>
      <c r="AE957" s="164"/>
      <c r="AF957" s="25"/>
      <c r="AG957" s="26"/>
      <c r="AH957" s="275"/>
      <c r="AI957" s="52"/>
      <c r="AJ957" s="35"/>
      <c r="AK957" s="289"/>
      <c r="AL957" s="290"/>
      <c r="AM957" s="211"/>
      <c r="AN957" s="164"/>
      <c r="AO957" s="594">
        <f t="shared" ref="AO957" si="615">AS957*(1+AT957)</f>
        <v>2.7224440680000002E-3</v>
      </c>
      <c r="AP957" s="595">
        <f t="shared" ref="AP957" si="616">AS957*(1+AU957)</f>
        <v>2.7224440680000002E-3</v>
      </c>
      <c r="AQ957" s="275">
        <v>2014</v>
      </c>
      <c r="AR957" s="52"/>
      <c r="AS957" s="596">
        <f>+N957/1000</f>
        <v>4.5374067800000003E-3</v>
      </c>
      <c r="AT957" s="79">
        <v>-0.4</v>
      </c>
      <c r="AU957" s="212">
        <f t="shared" ref="AU957" si="617">AT957</f>
        <v>-0.4</v>
      </c>
      <c r="AV957" s="164"/>
      <c r="AW957" s="164"/>
      <c r="AX957" s="76"/>
      <c r="AY957" s="44"/>
      <c r="AZ957" s="275"/>
      <c r="BA957" s="52"/>
      <c r="BB957" s="35"/>
      <c r="BC957" s="79"/>
      <c r="BD957" s="230"/>
      <c r="BE957" s="211"/>
      <c r="BF957" s="164"/>
      <c r="BG957" s="76"/>
      <c r="BH957" s="44"/>
      <c r="BI957" s="275"/>
      <c r="BJ957" s="52"/>
      <c r="BK957" s="35"/>
      <c r="BL957" s="79"/>
      <c r="BM957" s="230"/>
      <c r="BN957" s="211"/>
      <c r="BO957" s="164"/>
      <c r="BP957" s="76"/>
      <c r="BQ957" s="44"/>
      <c r="BR957" s="299"/>
      <c r="BS957" s="52"/>
      <c r="BT957" s="35"/>
      <c r="BU957" s="79"/>
      <c r="BV957" s="212"/>
      <c r="BW957" s="304"/>
      <c r="BX957" s="313"/>
      <c r="BY957" s="138"/>
    </row>
    <row r="958" spans="1:77" ht="15" customHeight="1" x14ac:dyDescent="0.2">
      <c r="A958" s="57" t="s">
        <v>19</v>
      </c>
      <c r="B958" s="57"/>
      <c r="C958" s="583" t="s">
        <v>847</v>
      </c>
      <c r="D958" s="546">
        <v>33.56</v>
      </c>
      <c r="E958" s="162" t="s">
        <v>631</v>
      </c>
      <c r="F958" s="358"/>
      <c r="G958" s="65"/>
      <c r="H958" s="73"/>
      <c r="I958" s="90"/>
      <c r="J958" s="73"/>
      <c r="K958" s="66"/>
      <c r="L958" s="717">
        <v>2011</v>
      </c>
      <c r="M958" s="73"/>
      <c r="N958" s="738">
        <v>0.13320199999999999</v>
      </c>
      <c r="O958" s="1041"/>
      <c r="P958" s="73"/>
      <c r="Q958" s="738"/>
      <c r="R958" s="1041"/>
      <c r="S958" s="73"/>
      <c r="T958" s="738"/>
      <c r="U958" s="73"/>
      <c r="V958" s="66"/>
      <c r="W958" s="594">
        <f t="shared" si="611"/>
        <v>8.2585239999999999E-5</v>
      </c>
      <c r="X958" s="595">
        <f t="shared" si="612"/>
        <v>8.2585239999999999E-5</v>
      </c>
      <c r="Y958" s="52">
        <v>2011</v>
      </c>
      <c r="Z958" s="52"/>
      <c r="AA958" s="596">
        <f t="shared" si="613"/>
        <v>1.3320199999999999E-4</v>
      </c>
      <c r="AB958" s="256">
        <v>-0.38</v>
      </c>
      <c r="AC958" s="688">
        <f t="shared" si="614"/>
        <v>-0.38</v>
      </c>
      <c r="AD958" s="164"/>
      <c r="AE958" s="164"/>
      <c r="AF958" s="25"/>
      <c r="AG958" s="26"/>
      <c r="AH958" s="275"/>
      <c r="AI958" s="52"/>
      <c r="AJ958" s="35"/>
      <c r="AK958" s="289"/>
      <c r="AL958" s="290"/>
      <c r="AM958" s="211"/>
      <c r="AN958" s="164"/>
      <c r="AO958" s="76"/>
      <c r="AP958" s="44"/>
      <c r="AQ958" s="275"/>
      <c r="AR958" s="52"/>
      <c r="AS958" s="35"/>
      <c r="AT958" s="79"/>
      <c r="AU958" s="212"/>
      <c r="AV958" s="164"/>
      <c r="AW958" s="164"/>
      <c r="AX958" s="76"/>
      <c r="AY958" s="44"/>
      <c r="AZ958" s="275"/>
      <c r="BA958" s="52"/>
      <c r="BB958" s="35"/>
      <c r="BC958" s="79"/>
      <c r="BD958" s="230"/>
      <c r="BE958" s="211"/>
      <c r="BF958" s="164"/>
      <c r="BG958" s="76"/>
      <c r="BH958" s="44"/>
      <c r="BI958" s="275"/>
      <c r="BJ958" s="52"/>
      <c r="BK958" s="35"/>
      <c r="BL958" s="79"/>
      <c r="BM958" s="230"/>
      <c r="BN958" s="211"/>
      <c r="BO958" s="164"/>
      <c r="BP958" s="76"/>
      <c r="BQ958" s="44"/>
      <c r="BR958" s="299"/>
      <c r="BS958" s="52"/>
      <c r="BT958" s="35"/>
      <c r="BU958" s="79"/>
      <c r="BV958" s="212"/>
      <c r="BW958" s="304"/>
      <c r="BX958" s="313"/>
      <c r="BY958" s="138"/>
    </row>
    <row r="959" spans="1:77" ht="15" customHeight="1" x14ac:dyDescent="0.2">
      <c r="A959" s="57" t="s">
        <v>19</v>
      </c>
      <c r="B959" s="57"/>
      <c r="C959" s="583" t="s">
        <v>865</v>
      </c>
      <c r="D959" s="546">
        <v>23.478000000000002</v>
      </c>
      <c r="E959" s="162" t="s">
        <v>631</v>
      </c>
      <c r="F959" s="358"/>
      <c r="G959" s="65"/>
      <c r="H959" s="73"/>
      <c r="I959" s="90"/>
      <c r="J959" s="73"/>
      <c r="K959" s="66"/>
      <c r="L959" s="717"/>
      <c r="M959" s="73"/>
      <c r="N959" s="359"/>
      <c r="O959" s="1041">
        <v>2014</v>
      </c>
      <c r="P959" s="73"/>
      <c r="Q959" s="359">
        <v>0.115053</v>
      </c>
      <c r="R959" s="1041"/>
      <c r="S959" s="73"/>
      <c r="T959" s="359"/>
      <c r="U959" s="73"/>
      <c r="V959" s="66"/>
      <c r="W959" s="594">
        <f t="shared" si="611"/>
        <v>8.2838159999999993E-5</v>
      </c>
      <c r="X959" s="595">
        <f t="shared" si="612"/>
        <v>8.2838159999999993E-5</v>
      </c>
      <c r="Y959" s="52">
        <v>2014</v>
      </c>
      <c r="Z959" s="52"/>
      <c r="AA959" s="739">
        <f>+Q959/1000</f>
        <v>1.15053E-4</v>
      </c>
      <c r="AB959" s="256">
        <v>-0.28000000000000003</v>
      </c>
      <c r="AC959" s="688">
        <f t="shared" si="614"/>
        <v>-0.28000000000000003</v>
      </c>
      <c r="AD959" s="164"/>
      <c r="AE959" s="164"/>
      <c r="AF959" s="25"/>
      <c r="AG959" s="26"/>
      <c r="AH959" s="275"/>
      <c r="AI959" s="52"/>
      <c r="AJ959" s="35"/>
      <c r="AK959" s="289"/>
      <c r="AL959" s="290"/>
      <c r="AM959" s="211"/>
      <c r="AN959" s="164"/>
      <c r="AO959" s="76"/>
      <c r="AP959" s="44"/>
      <c r="AQ959" s="275"/>
      <c r="AR959" s="52"/>
      <c r="AS959" s="35"/>
      <c r="AT959" s="79"/>
      <c r="AU959" s="212"/>
      <c r="AV959" s="164"/>
      <c r="AW959" s="164"/>
      <c r="AX959" s="76"/>
      <c r="AY959" s="44"/>
      <c r="AZ959" s="275"/>
      <c r="BA959" s="52"/>
      <c r="BB959" s="35"/>
      <c r="BC959" s="79"/>
      <c r="BD959" s="230"/>
      <c r="BE959" s="211"/>
      <c r="BF959" s="164"/>
      <c r="BG959" s="76"/>
      <c r="BH959" s="44"/>
      <c r="BI959" s="275"/>
      <c r="BJ959" s="52"/>
      <c r="BK959" s="35"/>
      <c r="BL959" s="79"/>
      <c r="BM959" s="230"/>
      <c r="BN959" s="211"/>
      <c r="BO959" s="164"/>
      <c r="BP959" s="76"/>
      <c r="BQ959" s="44"/>
      <c r="BR959" s="299"/>
      <c r="BS959" s="52"/>
      <c r="BT959" s="35"/>
      <c r="BU959" s="79"/>
      <c r="BV959" s="212"/>
      <c r="BW959" s="304"/>
      <c r="BX959" s="313"/>
      <c r="BY959" s="138"/>
    </row>
    <row r="960" spans="1:77" ht="15" customHeight="1" x14ac:dyDescent="0.2">
      <c r="A960" s="57" t="s">
        <v>19</v>
      </c>
      <c r="B960" s="57"/>
      <c r="C960" s="583" t="s">
        <v>860</v>
      </c>
      <c r="D960" s="546">
        <v>18.38</v>
      </c>
      <c r="E960" s="162" t="s">
        <v>631</v>
      </c>
      <c r="F960" s="358"/>
      <c r="G960" s="65"/>
      <c r="H960" s="73"/>
      <c r="I960" s="90"/>
      <c r="J960" s="73"/>
      <c r="K960" s="66"/>
      <c r="L960" s="717">
        <v>2010</v>
      </c>
      <c r="M960" s="73"/>
      <c r="N960" s="359">
        <v>5.67E-2</v>
      </c>
      <c r="O960" s="1041"/>
      <c r="P960" s="73"/>
      <c r="Q960" s="359"/>
      <c r="R960" s="1041"/>
      <c r="S960" s="73"/>
      <c r="T960" s="359"/>
      <c r="U960" s="73"/>
      <c r="V960" s="66"/>
      <c r="W960" s="740">
        <f t="shared" si="611"/>
        <v>3.5154000000000003E-5</v>
      </c>
      <c r="X960" s="741">
        <f t="shared" si="612"/>
        <v>3.5154000000000003E-5</v>
      </c>
      <c r="Y960" s="52">
        <v>2010</v>
      </c>
      <c r="Z960" s="52"/>
      <c r="AA960" s="739">
        <f t="shared" si="613"/>
        <v>5.6700000000000003E-5</v>
      </c>
      <c r="AB960" s="256">
        <v>-0.38</v>
      </c>
      <c r="AC960" s="688">
        <f t="shared" si="614"/>
        <v>-0.38</v>
      </c>
      <c r="AD960" s="164"/>
      <c r="AE960" s="164"/>
      <c r="AF960" s="25"/>
      <c r="AG960" s="26"/>
      <c r="AH960" s="275"/>
      <c r="AI960" s="52"/>
      <c r="AJ960" s="35"/>
      <c r="AK960" s="289"/>
      <c r="AL960" s="290"/>
      <c r="AM960" s="211"/>
      <c r="AN960" s="164"/>
      <c r="AO960" s="76"/>
      <c r="AP960" s="44"/>
      <c r="AQ960" s="275"/>
      <c r="AR960" s="52"/>
      <c r="AS960" s="35"/>
      <c r="AT960" s="79"/>
      <c r="AU960" s="212"/>
      <c r="AV960" s="164"/>
      <c r="AW960" s="164"/>
      <c r="AX960" s="76"/>
      <c r="AY960" s="44"/>
      <c r="AZ960" s="275"/>
      <c r="BA960" s="52"/>
      <c r="BB960" s="35"/>
      <c r="BC960" s="79"/>
      <c r="BD960" s="230"/>
      <c r="BE960" s="211"/>
      <c r="BF960" s="164"/>
      <c r="BG960" s="76"/>
      <c r="BH960" s="44"/>
      <c r="BI960" s="275"/>
      <c r="BJ960" s="52"/>
      <c r="BK960" s="35"/>
      <c r="BL960" s="79"/>
      <c r="BM960" s="230"/>
      <c r="BN960" s="211"/>
      <c r="BO960" s="164"/>
      <c r="BP960" s="76"/>
      <c r="BQ960" s="44"/>
      <c r="BR960" s="299"/>
      <c r="BS960" s="52"/>
      <c r="BT960" s="35"/>
      <c r="BU960" s="79"/>
      <c r="BV960" s="212"/>
      <c r="BW960" s="304"/>
      <c r="BX960" s="313"/>
      <c r="BY960" s="138"/>
    </row>
    <row r="961" spans="1:77" ht="15" customHeight="1" x14ac:dyDescent="0.2">
      <c r="A961" s="57" t="s">
        <v>19</v>
      </c>
      <c r="B961" s="57"/>
      <c r="C961" s="583" t="s">
        <v>2345</v>
      </c>
      <c r="D961" s="546">
        <v>13.005000000000001</v>
      </c>
      <c r="E961" s="162" t="s">
        <v>631</v>
      </c>
      <c r="F961" s="358"/>
      <c r="G961" s="65"/>
      <c r="H961" s="73"/>
      <c r="I961" s="90"/>
      <c r="J961" s="73"/>
      <c r="K961" s="66"/>
      <c r="L961" s="717">
        <v>2011</v>
      </c>
      <c r="M961" s="73"/>
      <c r="N961" s="359">
        <v>7.8848000000000001E-2</v>
      </c>
      <c r="O961" s="1041"/>
      <c r="P961" s="73"/>
      <c r="Q961" s="359"/>
      <c r="R961" s="1041"/>
      <c r="S961" s="73"/>
      <c r="T961" s="359"/>
      <c r="U961" s="73"/>
      <c r="V961" s="66"/>
      <c r="W961" s="740">
        <f t="shared" ref="W961" si="618">AA961*(1+AB961)</f>
        <v>4.9674240000000002E-5</v>
      </c>
      <c r="X961" s="741">
        <f t="shared" ref="X961" si="619">AA961*(1+AC961)</f>
        <v>4.9674240000000002E-5</v>
      </c>
      <c r="Y961" s="52">
        <v>2011</v>
      </c>
      <c r="Z961" s="52"/>
      <c r="AA961" s="739">
        <f t="shared" ref="AA961" si="620">+N961/1000</f>
        <v>7.8848000000000001E-5</v>
      </c>
      <c r="AB961" s="79">
        <v>-0.37</v>
      </c>
      <c r="AC961" s="212">
        <f>AB961</f>
        <v>-0.37</v>
      </c>
      <c r="AD961" s="164"/>
      <c r="AE961" s="164"/>
      <c r="AF961" s="25"/>
      <c r="AG961" s="26"/>
      <c r="AH961" s="275"/>
      <c r="AI961" s="52"/>
      <c r="AJ961" s="35"/>
      <c r="AK961" s="289"/>
      <c r="AL961" s="290"/>
      <c r="AM961" s="211"/>
      <c r="AN961" s="164"/>
      <c r="AO961" s="740"/>
      <c r="AP961" s="741"/>
      <c r="AQ961" s="275"/>
      <c r="AR961" s="52"/>
      <c r="AS961" s="739"/>
      <c r="AT961" s="79"/>
      <c r="AU961" s="212"/>
      <c r="AV961" s="164"/>
      <c r="AW961" s="164"/>
      <c r="AX961" s="76"/>
      <c r="AY961" s="44"/>
      <c r="AZ961" s="275"/>
      <c r="BA961" s="52"/>
      <c r="BB961" s="35"/>
      <c r="BC961" s="79"/>
      <c r="BD961" s="230"/>
      <c r="BE961" s="211"/>
      <c r="BF961" s="164"/>
      <c r="BG961" s="76"/>
      <c r="BH961" s="44"/>
      <c r="BI961" s="275"/>
      <c r="BJ961" s="52"/>
      <c r="BK961" s="35"/>
      <c r="BL961" s="79"/>
      <c r="BM961" s="230"/>
      <c r="BN961" s="211"/>
      <c r="BO961" s="164"/>
      <c r="BP961" s="76"/>
      <c r="BQ961" s="44"/>
      <c r="BR961" s="299"/>
      <c r="BS961" s="52"/>
      <c r="BT961" s="35"/>
      <c r="BU961" s="79"/>
      <c r="BV961" s="212"/>
      <c r="BW961" s="304"/>
      <c r="BX961" s="313"/>
      <c r="BY961" s="138"/>
    </row>
    <row r="962" spans="1:77" ht="15" customHeight="1" x14ac:dyDescent="0.2">
      <c r="A962" s="57" t="s">
        <v>19</v>
      </c>
      <c r="B962" s="57"/>
      <c r="C962" s="583" t="s">
        <v>2652</v>
      </c>
      <c r="D962" s="546">
        <v>13.73</v>
      </c>
      <c r="E962" s="162" t="s">
        <v>631</v>
      </c>
      <c r="F962" s="358"/>
      <c r="G962" s="65"/>
      <c r="H962" s="73"/>
      <c r="I962" s="90"/>
      <c r="J962" s="73"/>
      <c r="K962" s="66"/>
      <c r="L962" s="717"/>
      <c r="M962" s="73"/>
      <c r="N962" s="359"/>
      <c r="O962" s="1041"/>
      <c r="P962" s="73"/>
      <c r="Q962" s="359">
        <v>5.4982000000000003E-2</v>
      </c>
      <c r="R962" s="1041"/>
      <c r="S962" s="73"/>
      <c r="T962" s="359"/>
      <c r="U962" s="73"/>
      <c r="V962" s="66"/>
      <c r="W962" s="740">
        <f t="shared" ref="W962" si="621">AA962*(1+AB962)</f>
        <v>4.0686680000000003E-5</v>
      </c>
      <c r="X962" s="741">
        <f t="shared" ref="X962" si="622">AA962*(1+AC962)</f>
        <v>4.0686680000000003E-5</v>
      </c>
      <c r="Y962" s="52">
        <v>2015</v>
      </c>
      <c r="Z962" s="52"/>
      <c r="AA962" s="739">
        <f>+Q962/1000</f>
        <v>5.4982000000000003E-5</v>
      </c>
      <c r="AB962" s="79">
        <v>-0.26</v>
      </c>
      <c r="AC962" s="212">
        <f>AB962</f>
        <v>-0.26</v>
      </c>
      <c r="AD962" s="164"/>
      <c r="AE962" s="164"/>
      <c r="AF962" s="25"/>
      <c r="AG962" s="26"/>
      <c r="AH962" s="275"/>
      <c r="AI962" s="52"/>
      <c r="AJ962" s="35"/>
      <c r="AK962" s="289"/>
      <c r="AL962" s="290"/>
      <c r="AM962" s="211"/>
      <c r="AN962" s="164"/>
      <c r="AO962" s="740"/>
      <c r="AP962" s="741"/>
      <c r="AQ962" s="275"/>
      <c r="AR962" s="52"/>
      <c r="AS962" s="739"/>
      <c r="AT962" s="79"/>
      <c r="AU962" s="212"/>
      <c r="AV962" s="164"/>
      <c r="AW962" s="164"/>
      <c r="AX962" s="76"/>
      <c r="AY962" s="44"/>
      <c r="AZ962" s="275"/>
      <c r="BA962" s="52"/>
      <c r="BB962" s="35"/>
      <c r="BC962" s="79"/>
      <c r="BD962" s="230"/>
      <c r="BE962" s="211"/>
      <c r="BF962" s="164"/>
      <c r="BG962" s="76"/>
      <c r="BH962" s="44"/>
      <c r="BI962" s="275"/>
      <c r="BJ962" s="52"/>
      <c r="BK962" s="35"/>
      <c r="BL962" s="79"/>
      <c r="BM962" s="230"/>
      <c r="BN962" s="211"/>
      <c r="BO962" s="164"/>
      <c r="BP962" s="76"/>
      <c r="BQ962" s="44"/>
      <c r="BR962" s="299"/>
      <c r="BS962" s="52"/>
      <c r="BT962" s="35"/>
      <c r="BU962" s="79"/>
      <c r="BV962" s="212"/>
      <c r="BW962" s="304"/>
      <c r="BX962" s="313"/>
      <c r="BY962" s="138"/>
    </row>
    <row r="963" spans="1:77" ht="15" customHeight="1" x14ac:dyDescent="0.2">
      <c r="A963" s="57" t="s">
        <v>19</v>
      </c>
      <c r="B963" s="57"/>
      <c r="C963" s="583" t="s">
        <v>863</v>
      </c>
      <c r="D963" s="546">
        <v>142.11199999999999</v>
      </c>
      <c r="E963" s="162" t="s">
        <v>631</v>
      </c>
      <c r="F963" s="358"/>
      <c r="G963" s="65"/>
      <c r="H963" s="73"/>
      <c r="I963" s="90"/>
      <c r="J963" s="73"/>
      <c r="K963" s="66"/>
      <c r="L963" s="717">
        <v>2008</v>
      </c>
      <c r="M963" s="73"/>
      <c r="N963" s="359">
        <v>0.68900499999999998</v>
      </c>
      <c r="O963" s="1041"/>
      <c r="P963" s="73"/>
      <c r="Q963" s="359"/>
      <c r="R963" s="1041"/>
      <c r="S963" s="73"/>
      <c r="T963" s="359"/>
      <c r="U963" s="73"/>
      <c r="V963" s="66"/>
      <c r="W963" s="594">
        <f t="shared" si="611"/>
        <v>4.6852339999999996E-4</v>
      </c>
      <c r="X963" s="595">
        <f t="shared" si="612"/>
        <v>4.6852339999999996E-4</v>
      </c>
      <c r="Y963" s="52">
        <v>2008</v>
      </c>
      <c r="Z963" s="52"/>
      <c r="AA963" s="739">
        <f t="shared" si="613"/>
        <v>6.8900500000000002E-4</v>
      </c>
      <c r="AB963" s="256">
        <v>-0.32</v>
      </c>
      <c r="AC963" s="688">
        <f t="shared" si="614"/>
        <v>-0.32</v>
      </c>
      <c r="AD963" s="164"/>
      <c r="AE963" s="164"/>
      <c r="AF963" s="25"/>
      <c r="AG963" s="26"/>
      <c r="AH963" s="275"/>
      <c r="AI963" s="52"/>
      <c r="AJ963" s="35"/>
      <c r="AK963" s="289"/>
      <c r="AL963" s="290"/>
      <c r="AM963" s="211"/>
      <c r="AN963" s="164"/>
      <c r="AO963" s="76"/>
      <c r="AP963" s="44"/>
      <c r="AQ963" s="275"/>
      <c r="AR963" s="52"/>
      <c r="AS963" s="35"/>
      <c r="AT963" s="79"/>
      <c r="AU963" s="212"/>
      <c r="AV963" s="164"/>
      <c r="AW963" s="164"/>
      <c r="AX963" s="76"/>
      <c r="AY963" s="44"/>
      <c r="AZ963" s="275"/>
      <c r="BA963" s="52"/>
      <c r="BB963" s="35"/>
      <c r="BC963" s="79"/>
      <c r="BD963" s="230"/>
      <c r="BE963" s="211"/>
      <c r="BF963" s="164"/>
      <c r="BG963" s="76"/>
      <c r="BH963" s="44"/>
      <c r="BI963" s="275"/>
      <c r="BJ963" s="52"/>
      <c r="BK963" s="35"/>
      <c r="BL963" s="79"/>
      <c r="BM963" s="230"/>
      <c r="BN963" s="211"/>
      <c r="BO963" s="164"/>
      <c r="BP963" s="76"/>
      <c r="BQ963" s="44"/>
      <c r="BR963" s="299"/>
      <c r="BS963" s="52"/>
      <c r="BT963" s="35"/>
      <c r="BU963" s="79"/>
      <c r="BV963" s="212"/>
      <c r="BW963" s="304"/>
      <c r="BX963" s="313"/>
      <c r="BY963" s="138"/>
    </row>
    <row r="964" spans="1:77" ht="15" customHeight="1" x14ac:dyDescent="0.2">
      <c r="A964" s="57" t="s">
        <v>19</v>
      </c>
      <c r="B964" s="57"/>
      <c r="C964" s="583" t="s">
        <v>864</v>
      </c>
      <c r="D964" s="546">
        <v>25.003</v>
      </c>
      <c r="E964" s="162" t="s">
        <v>631</v>
      </c>
      <c r="F964" s="358"/>
      <c r="G964" s="65"/>
      <c r="H964" s="73"/>
      <c r="I964" s="90"/>
      <c r="J964" s="73"/>
      <c r="K964" s="66"/>
      <c r="L964" s="717">
        <v>2010</v>
      </c>
      <c r="M964" s="73"/>
      <c r="N964" s="359">
        <v>0.32767800000000002</v>
      </c>
      <c r="O964" s="1041"/>
      <c r="P964" s="73"/>
      <c r="Q964" s="359"/>
      <c r="R964" s="1041"/>
      <c r="S964" s="73"/>
      <c r="T964" s="359"/>
      <c r="U964" s="73"/>
      <c r="V964" s="66"/>
      <c r="W964" s="594">
        <f t="shared" si="611"/>
        <v>2.4575850000000001E-4</v>
      </c>
      <c r="X964" s="595">
        <f t="shared" si="612"/>
        <v>2.4575850000000001E-4</v>
      </c>
      <c r="Y964" s="52">
        <v>2010</v>
      </c>
      <c r="Z964" s="52"/>
      <c r="AA964" s="739">
        <f t="shared" si="613"/>
        <v>3.2767800000000003E-4</v>
      </c>
      <c r="AB964" s="256">
        <v>-0.25</v>
      </c>
      <c r="AC964" s="688">
        <f t="shared" si="614"/>
        <v>-0.25</v>
      </c>
      <c r="AD964" s="164"/>
      <c r="AE964" s="164"/>
      <c r="AF964" s="25"/>
      <c r="AG964" s="26"/>
      <c r="AH964" s="275"/>
      <c r="AI964" s="52"/>
      <c r="AJ964" s="35"/>
      <c r="AK964" s="289"/>
      <c r="AL964" s="290"/>
      <c r="AM964" s="211"/>
      <c r="AN964" s="164"/>
      <c r="AO964" s="76"/>
      <c r="AP964" s="44"/>
      <c r="AQ964" s="275"/>
      <c r="AR964" s="52"/>
      <c r="AS964" s="35"/>
      <c r="AT964" s="79"/>
      <c r="AU964" s="212"/>
      <c r="AV964" s="164"/>
      <c r="AW964" s="164"/>
      <c r="AX964" s="76"/>
      <c r="AY964" s="44"/>
      <c r="AZ964" s="275"/>
      <c r="BA964" s="52"/>
      <c r="BB964" s="35"/>
      <c r="BC964" s="79"/>
      <c r="BD964" s="230"/>
      <c r="BE964" s="211"/>
      <c r="BF964" s="164"/>
      <c r="BG964" s="76"/>
      <c r="BH964" s="44"/>
      <c r="BI964" s="275"/>
      <c r="BJ964" s="52"/>
      <c r="BK964" s="35"/>
      <c r="BL964" s="79"/>
      <c r="BM964" s="230"/>
      <c r="BN964" s="211"/>
      <c r="BO964" s="164"/>
      <c r="BP964" s="76"/>
      <c r="BQ964" s="44"/>
      <c r="BR964" s="299"/>
      <c r="BS964" s="52"/>
      <c r="BT964" s="35"/>
      <c r="BU964" s="79"/>
      <c r="BV964" s="212"/>
      <c r="BW964" s="304"/>
      <c r="BX964" s="313"/>
      <c r="BY964" s="138"/>
    </row>
    <row r="965" spans="1:77" ht="15" customHeight="1" x14ac:dyDescent="0.2">
      <c r="A965" s="57" t="s">
        <v>19</v>
      </c>
      <c r="B965" s="57"/>
      <c r="C965" s="583" t="s">
        <v>854</v>
      </c>
      <c r="D965" s="546">
        <v>1.8380000000000001</v>
      </c>
      <c r="E965" s="162" t="s">
        <v>631</v>
      </c>
      <c r="F965" s="358"/>
      <c r="G965" s="65"/>
      <c r="H965" s="73"/>
      <c r="I965" s="90"/>
      <c r="J965" s="73"/>
      <c r="K965" s="66"/>
      <c r="L965" s="717">
        <v>2008</v>
      </c>
      <c r="M965" s="73"/>
      <c r="N965" s="738">
        <v>1.4694E-2</v>
      </c>
      <c r="O965" s="1041"/>
      <c r="P965" s="73"/>
      <c r="Q965" s="738"/>
      <c r="R965" s="1041"/>
      <c r="S965" s="73"/>
      <c r="T965" s="738"/>
      <c r="U965" s="73"/>
      <c r="V965" s="66"/>
      <c r="W965" s="594">
        <f t="shared" si="611"/>
        <v>0</v>
      </c>
      <c r="X965" s="595">
        <f t="shared" si="612"/>
        <v>0</v>
      </c>
      <c r="Y965" s="52">
        <v>2008</v>
      </c>
      <c r="Z965" s="52"/>
      <c r="AA965" s="739">
        <f t="shared" si="613"/>
        <v>1.4694E-5</v>
      </c>
      <c r="AB965" s="256">
        <v>-1</v>
      </c>
      <c r="AC965" s="688">
        <f t="shared" si="614"/>
        <v>-1</v>
      </c>
      <c r="AD965" s="164"/>
      <c r="AE965" s="164"/>
      <c r="AF965" s="25"/>
      <c r="AG965" s="26"/>
      <c r="AH965" s="275"/>
      <c r="AI965" s="52"/>
      <c r="AJ965" s="35"/>
      <c r="AK965" s="289"/>
      <c r="AL965" s="290"/>
      <c r="AM965" s="211"/>
      <c r="AN965" s="164"/>
      <c r="AO965" s="76"/>
      <c r="AP965" s="44"/>
      <c r="AQ965" s="275"/>
      <c r="AR965" s="52"/>
      <c r="AS965" s="35"/>
      <c r="AT965" s="79"/>
      <c r="AU965" s="212"/>
      <c r="AV965" s="164"/>
      <c r="AW965" s="164"/>
      <c r="AX965" s="76"/>
      <c r="AY965" s="44"/>
      <c r="AZ965" s="275"/>
      <c r="BA965" s="52"/>
      <c r="BB965" s="35"/>
      <c r="BC965" s="79"/>
      <c r="BD965" s="230"/>
      <c r="BE965" s="211"/>
      <c r="BF965" s="164"/>
      <c r="BG965" s="76"/>
      <c r="BH965" s="44"/>
      <c r="BI965" s="275"/>
      <c r="BJ965" s="52"/>
      <c r="BK965" s="35"/>
      <c r="BL965" s="79"/>
      <c r="BM965" s="230"/>
      <c r="BN965" s="211"/>
      <c r="BO965" s="164"/>
      <c r="BP965" s="76"/>
      <c r="BQ965" s="44"/>
      <c r="BR965" s="299"/>
      <c r="BS965" s="52"/>
      <c r="BT965" s="35"/>
      <c r="BU965" s="79"/>
      <c r="BV965" s="212"/>
      <c r="BW965" s="304"/>
      <c r="BX965" s="313"/>
      <c r="BY965" s="138"/>
    </row>
    <row r="966" spans="1:77" ht="15" customHeight="1" x14ac:dyDescent="0.2">
      <c r="A966" s="57" t="s">
        <v>19</v>
      </c>
      <c r="B966" s="57"/>
      <c r="C966" s="583" t="s">
        <v>852</v>
      </c>
      <c r="D966" s="546">
        <v>2.4169999999999998</v>
      </c>
      <c r="E966" s="162" t="s">
        <v>631</v>
      </c>
      <c r="F966" s="358"/>
      <c r="G966" s="65"/>
      <c r="H966" s="73"/>
      <c r="I966" s="90"/>
      <c r="J966" s="73"/>
      <c r="K966" s="66"/>
      <c r="L966" s="717">
        <v>2008</v>
      </c>
      <c r="M966" s="73"/>
      <c r="N966" s="738">
        <v>1.6251999999999999E-2</v>
      </c>
      <c r="O966" s="1041"/>
      <c r="P966" s="73"/>
      <c r="Q966" s="738"/>
      <c r="R966" s="1041"/>
      <c r="S966" s="73"/>
      <c r="T966" s="738"/>
      <c r="U966" s="73"/>
      <c r="V966" s="66"/>
      <c r="W966" s="594">
        <f t="shared" si="611"/>
        <v>0</v>
      </c>
      <c r="X966" s="595">
        <f t="shared" si="612"/>
        <v>0</v>
      </c>
      <c r="Y966" s="52">
        <v>2008</v>
      </c>
      <c r="Z966" s="52"/>
      <c r="AA966" s="739">
        <f t="shared" si="613"/>
        <v>1.6252E-5</v>
      </c>
      <c r="AB966" s="256">
        <v>-1</v>
      </c>
      <c r="AC966" s="688">
        <f t="shared" si="614"/>
        <v>-1</v>
      </c>
      <c r="AD966" s="164"/>
      <c r="AE966" s="164"/>
      <c r="AF966" s="25"/>
      <c r="AG966" s="26"/>
      <c r="AH966" s="275"/>
      <c r="AI966" s="52"/>
      <c r="AJ966" s="35"/>
      <c r="AK966" s="289"/>
      <c r="AL966" s="290"/>
      <c r="AM966" s="211"/>
      <c r="AN966" s="164"/>
      <c r="AO966" s="76"/>
      <c r="AP966" s="44"/>
      <c r="AQ966" s="275"/>
      <c r="AR966" s="52"/>
      <c r="AS966" s="35"/>
      <c r="AT966" s="79"/>
      <c r="AU966" s="212"/>
      <c r="AV966" s="164"/>
      <c r="AW966" s="164"/>
      <c r="AX966" s="76"/>
      <c r="AY966" s="44"/>
      <c r="AZ966" s="275"/>
      <c r="BA966" s="52"/>
      <c r="BB966" s="35"/>
      <c r="BC966" s="79"/>
      <c r="BD966" s="230"/>
      <c r="BE966" s="211"/>
      <c r="BF966" s="164"/>
      <c r="BG966" s="76"/>
      <c r="BH966" s="44"/>
      <c r="BI966" s="275"/>
      <c r="BJ966" s="52"/>
      <c r="BK966" s="35"/>
      <c r="BL966" s="79"/>
      <c r="BM966" s="230"/>
      <c r="BN966" s="211"/>
      <c r="BO966" s="164"/>
      <c r="BP966" s="76"/>
      <c r="BQ966" s="44"/>
      <c r="BR966" s="299"/>
      <c r="BS966" s="52"/>
      <c r="BT966" s="35"/>
      <c r="BU966" s="79"/>
      <c r="BV966" s="212"/>
      <c r="BW966" s="304"/>
      <c r="BX966" s="313"/>
      <c r="BY966" s="138"/>
    </row>
    <row r="967" spans="1:77" ht="15" customHeight="1" x14ac:dyDescent="0.2">
      <c r="A967" s="57" t="s">
        <v>19</v>
      </c>
      <c r="B967" s="57"/>
      <c r="C967" s="583" t="s">
        <v>858</v>
      </c>
      <c r="D967" s="546">
        <v>60.2</v>
      </c>
      <c r="E967" s="162" t="s">
        <v>631</v>
      </c>
      <c r="F967" s="358"/>
      <c r="G967" s="65"/>
      <c r="H967" s="73"/>
      <c r="I967" s="90"/>
      <c r="J967" s="73"/>
      <c r="K967" s="66"/>
      <c r="L967" s="717">
        <v>2011</v>
      </c>
      <c r="M967" s="73"/>
      <c r="N967" s="359">
        <v>0.388845</v>
      </c>
      <c r="O967" s="1041"/>
      <c r="P967" s="73"/>
      <c r="Q967" s="359"/>
      <c r="R967" s="1041"/>
      <c r="S967" s="73"/>
      <c r="T967" s="359"/>
      <c r="U967" s="73"/>
      <c r="V967" s="66"/>
      <c r="W967" s="594">
        <f t="shared" si="611"/>
        <v>2.7607994999999998E-4</v>
      </c>
      <c r="X967" s="595">
        <f t="shared" si="612"/>
        <v>2.7607994999999998E-4</v>
      </c>
      <c r="Y967" s="52">
        <v>2011</v>
      </c>
      <c r="Z967" s="52"/>
      <c r="AA967" s="739">
        <f t="shared" si="613"/>
        <v>3.8884500000000002E-4</v>
      </c>
      <c r="AB967" s="256">
        <v>-0.28999999999999998</v>
      </c>
      <c r="AC967" s="688">
        <f t="shared" si="614"/>
        <v>-0.28999999999999998</v>
      </c>
      <c r="AD967" s="164"/>
      <c r="AE967" s="164"/>
      <c r="AF967" s="25"/>
      <c r="AG967" s="26"/>
      <c r="AH967" s="275"/>
      <c r="AI967" s="52"/>
      <c r="AJ967" s="35"/>
      <c r="AK967" s="289"/>
      <c r="AL967" s="290"/>
      <c r="AM967" s="211"/>
      <c r="AN967" s="164"/>
      <c r="AO967" s="76"/>
      <c r="AP967" s="44"/>
      <c r="AQ967" s="275"/>
      <c r="AR967" s="52"/>
      <c r="AS967" s="35"/>
      <c r="AT967" s="79"/>
      <c r="AU967" s="212"/>
      <c r="AV967" s="164"/>
      <c r="AW967" s="164"/>
      <c r="AX967" s="76"/>
      <c r="AY967" s="44"/>
      <c r="AZ967" s="275"/>
      <c r="BA967" s="52"/>
      <c r="BB967" s="35"/>
      <c r="BC967" s="79"/>
      <c r="BD967" s="230"/>
      <c r="BE967" s="211"/>
      <c r="BF967" s="164"/>
      <c r="BG967" s="76"/>
      <c r="BH967" s="44"/>
      <c r="BI967" s="275"/>
      <c r="BJ967" s="52"/>
      <c r="BK967" s="35"/>
      <c r="BL967" s="79"/>
      <c r="BM967" s="230"/>
      <c r="BN967" s="211"/>
      <c r="BO967" s="164"/>
      <c r="BP967" s="76"/>
      <c r="BQ967" s="44"/>
      <c r="BR967" s="299"/>
      <c r="BS967" s="52"/>
      <c r="BT967" s="35"/>
      <c r="BU967" s="79"/>
      <c r="BV967" s="212"/>
      <c r="BW967" s="304"/>
      <c r="BX967" s="313"/>
      <c r="BY967" s="138"/>
    </row>
    <row r="968" spans="1:77" ht="15" customHeight="1" x14ac:dyDescent="0.2">
      <c r="A968" s="57" t="s">
        <v>19</v>
      </c>
      <c r="B968" s="57"/>
      <c r="C968" s="583" t="s">
        <v>853</v>
      </c>
      <c r="D968" s="546">
        <v>2.5</v>
      </c>
      <c r="E968" s="162" t="s">
        <v>631</v>
      </c>
      <c r="F968" s="358"/>
      <c r="G968" s="65"/>
      <c r="H968" s="73"/>
      <c r="I968" s="90"/>
      <c r="J968" s="73"/>
      <c r="K968" s="66"/>
      <c r="L968" s="717">
        <v>2008</v>
      </c>
      <c r="M968" s="73"/>
      <c r="N968" s="738">
        <v>1.4756999999999999E-2</v>
      </c>
      <c r="O968" s="1041"/>
      <c r="P968" s="73"/>
      <c r="Q968" s="738"/>
      <c r="R968" s="1041"/>
      <c r="S968" s="73"/>
      <c r="T968" s="738"/>
      <c r="U968" s="73"/>
      <c r="V968" s="66"/>
      <c r="W968" s="594">
        <f t="shared" si="611"/>
        <v>0</v>
      </c>
      <c r="X968" s="595">
        <f t="shared" si="612"/>
        <v>0</v>
      </c>
      <c r="Y968" s="52">
        <v>2008</v>
      </c>
      <c r="Z968" s="52"/>
      <c r="AA968" s="739">
        <f t="shared" si="613"/>
        <v>1.4756999999999999E-5</v>
      </c>
      <c r="AB968" s="256">
        <v>-1</v>
      </c>
      <c r="AC968" s="688">
        <f t="shared" si="614"/>
        <v>-1</v>
      </c>
      <c r="AD968" s="164"/>
      <c r="AE968" s="164"/>
      <c r="AF968" s="25"/>
      <c r="AG968" s="26"/>
      <c r="AH968" s="275"/>
      <c r="AI968" s="52"/>
      <c r="AJ968" s="35"/>
      <c r="AK968" s="289"/>
      <c r="AL968" s="290"/>
      <c r="AM968" s="211"/>
      <c r="AN968" s="164"/>
      <c r="AO968" s="76"/>
      <c r="AP968" s="44"/>
      <c r="AQ968" s="275"/>
      <c r="AR968" s="52"/>
      <c r="AS968" s="35"/>
      <c r="AT968" s="79"/>
      <c r="AU968" s="212"/>
      <c r="AV968" s="164"/>
      <c r="AW968" s="164"/>
      <c r="AX968" s="76"/>
      <c r="AY968" s="44"/>
      <c r="AZ968" s="275"/>
      <c r="BA968" s="52"/>
      <c r="BB968" s="35"/>
      <c r="BC968" s="79"/>
      <c r="BD968" s="230"/>
      <c r="BE968" s="211"/>
      <c r="BF968" s="164"/>
      <c r="BG968" s="76"/>
      <c r="BH968" s="44"/>
      <c r="BI968" s="275"/>
      <c r="BJ968" s="52"/>
      <c r="BK968" s="35"/>
      <c r="BL968" s="79"/>
      <c r="BM968" s="230"/>
      <c r="BN968" s="211"/>
      <c r="BO968" s="164"/>
      <c r="BP968" s="76"/>
      <c r="BQ968" s="44"/>
      <c r="BR968" s="299"/>
      <c r="BS968" s="52"/>
      <c r="BT968" s="35"/>
      <c r="BU968" s="79"/>
      <c r="BV968" s="212"/>
      <c r="BW968" s="304"/>
      <c r="BX968" s="313"/>
      <c r="BY968" s="138"/>
    </row>
    <row r="969" spans="1:77" ht="15" customHeight="1" x14ac:dyDescent="0.2">
      <c r="A969" s="57" t="s">
        <v>19</v>
      </c>
      <c r="B969" s="57"/>
      <c r="C969" s="583" t="s">
        <v>2653</v>
      </c>
      <c r="D969" s="546">
        <v>75.314999999999998</v>
      </c>
      <c r="E969" s="162" t="s">
        <v>631</v>
      </c>
      <c r="F969" s="358"/>
      <c r="G969" s="65"/>
      <c r="H969" s="73"/>
      <c r="I969" s="90"/>
      <c r="J969" s="73"/>
      <c r="K969" s="66"/>
      <c r="L969" s="717">
        <v>2012</v>
      </c>
      <c r="M969" s="73"/>
      <c r="N969" s="738">
        <v>3.0719E-2</v>
      </c>
      <c r="O969" s="1041"/>
      <c r="P969" s="73"/>
      <c r="Q969" s="738"/>
      <c r="R969" s="1041"/>
      <c r="S969" s="73"/>
      <c r="T969" s="738"/>
      <c r="U969" s="73"/>
      <c r="V969" s="66"/>
      <c r="W969" s="788">
        <f t="shared" ref="W969" si="623">AA969*(1+AB969)</f>
        <v>1.8431400000000001E-5</v>
      </c>
      <c r="X969" s="789">
        <f t="shared" ref="X969" si="624">AA969*(1+AC969)</f>
        <v>1.8431400000000001E-5</v>
      </c>
      <c r="Y969" s="52">
        <v>2012</v>
      </c>
      <c r="Z969" s="52"/>
      <c r="AA969" s="787">
        <f t="shared" ref="AA969" si="625">+N969/1000</f>
        <v>3.0719000000000002E-5</v>
      </c>
      <c r="AB969" s="256">
        <v>-0.4</v>
      </c>
      <c r="AC969" s="688">
        <f t="shared" ref="AC969" si="626">AB969</f>
        <v>-0.4</v>
      </c>
      <c r="AD969" s="164"/>
      <c r="AE969" s="164"/>
      <c r="AF969" s="25"/>
      <c r="AG969" s="26"/>
      <c r="AH969" s="275"/>
      <c r="AI969" s="52"/>
      <c r="AJ969" s="35"/>
      <c r="AK969" s="289"/>
      <c r="AL969" s="290"/>
      <c r="AM969" s="211"/>
      <c r="AN969" s="164"/>
      <c r="AO969" s="76"/>
      <c r="AP969" s="44"/>
      <c r="AQ969" s="275"/>
      <c r="AR969" s="52"/>
      <c r="AS969" s="35"/>
      <c r="AT969" s="79"/>
      <c r="AU969" s="212"/>
      <c r="AV969" s="164"/>
      <c r="AW969" s="164"/>
      <c r="AX969" s="76"/>
      <c r="AY969" s="44"/>
      <c r="AZ969" s="275"/>
      <c r="BA969" s="52"/>
      <c r="BB969" s="35"/>
      <c r="BC969" s="79"/>
      <c r="BD969" s="230"/>
      <c r="BE969" s="211"/>
      <c r="BF969" s="164"/>
      <c r="BG969" s="76"/>
      <c r="BH969" s="44"/>
      <c r="BI969" s="275"/>
      <c r="BJ969" s="52"/>
      <c r="BK969" s="35"/>
      <c r="BL969" s="79"/>
      <c r="BM969" s="230"/>
      <c r="BN969" s="211"/>
      <c r="BO969" s="164"/>
      <c r="BP969" s="76"/>
      <c r="BQ969" s="44"/>
      <c r="BR969" s="299"/>
      <c r="BS969" s="52"/>
      <c r="BT969" s="35"/>
      <c r="BU969" s="79"/>
      <c r="BV969" s="212"/>
      <c r="BW969" s="304"/>
      <c r="BX969" s="313"/>
      <c r="BY969" s="138"/>
    </row>
    <row r="970" spans="1:77" ht="15" customHeight="1" x14ac:dyDescent="0.2">
      <c r="A970" s="57" t="s">
        <v>19</v>
      </c>
      <c r="B970" s="57"/>
      <c r="C970" s="583" t="s">
        <v>850</v>
      </c>
      <c r="D970" s="546">
        <v>0.69799999999999995</v>
      </c>
      <c r="E970" s="162" t="s">
        <v>631</v>
      </c>
      <c r="F970" s="358"/>
      <c r="G970" s="65"/>
      <c r="H970" s="73"/>
      <c r="I970" s="90"/>
      <c r="J970" s="73"/>
      <c r="K970" s="66"/>
      <c r="L970" s="717">
        <v>2008</v>
      </c>
      <c r="M970" s="73"/>
      <c r="N970" s="786">
        <v>3.2699999999999999E-3</v>
      </c>
      <c r="O970" s="1041"/>
      <c r="P970" s="73"/>
      <c r="Q970" s="786"/>
      <c r="R970" s="1041"/>
      <c r="S970" s="73"/>
      <c r="T970" s="786"/>
      <c r="U970" s="73"/>
      <c r="V970" s="66"/>
      <c r="W970" s="594">
        <f t="shared" si="611"/>
        <v>0</v>
      </c>
      <c r="X970" s="595">
        <f t="shared" si="612"/>
        <v>0</v>
      </c>
      <c r="Y970" s="52">
        <v>2008</v>
      </c>
      <c r="Z970" s="52"/>
      <c r="AA970" s="787">
        <f t="shared" si="613"/>
        <v>3.27E-6</v>
      </c>
      <c r="AB970" s="256">
        <v>-1</v>
      </c>
      <c r="AC970" s="688">
        <f t="shared" si="614"/>
        <v>-1</v>
      </c>
      <c r="AD970" s="164"/>
      <c r="AE970" s="164"/>
      <c r="AF970" s="25"/>
      <c r="AG970" s="26"/>
      <c r="AH970" s="275"/>
      <c r="AI970" s="52"/>
      <c r="AJ970" s="35"/>
      <c r="AK970" s="289"/>
      <c r="AL970" s="290"/>
      <c r="AM970" s="211"/>
      <c r="AN970" s="164"/>
      <c r="AO970" s="76"/>
      <c r="AP970" s="44"/>
      <c r="AQ970" s="275"/>
      <c r="AR970" s="52"/>
      <c r="AS970" s="35"/>
      <c r="AT970" s="79"/>
      <c r="AU970" s="212"/>
      <c r="AV970" s="164"/>
      <c r="AW970" s="164"/>
      <c r="AX970" s="76"/>
      <c r="AY970" s="44"/>
      <c r="AZ970" s="275"/>
      <c r="BA970" s="52"/>
      <c r="BB970" s="35"/>
      <c r="BC970" s="79"/>
      <c r="BD970" s="230"/>
      <c r="BE970" s="211"/>
      <c r="BF970" s="164"/>
      <c r="BG970" s="76"/>
      <c r="BH970" s="44"/>
      <c r="BI970" s="275"/>
      <c r="BJ970" s="52"/>
      <c r="BK970" s="35"/>
      <c r="BL970" s="79"/>
      <c r="BM970" s="230"/>
      <c r="BN970" s="211"/>
      <c r="BO970" s="164"/>
      <c r="BP970" s="76"/>
      <c r="BQ970" s="44"/>
      <c r="BR970" s="299"/>
      <c r="BS970" s="52"/>
      <c r="BT970" s="35"/>
      <c r="BU970" s="79"/>
      <c r="BV970" s="212"/>
      <c r="BW970" s="304"/>
      <c r="BX970" s="313"/>
      <c r="BY970" s="138"/>
    </row>
    <row r="971" spans="1:77" ht="15" customHeight="1" x14ac:dyDescent="0.2">
      <c r="A971" s="57" t="s">
        <v>19</v>
      </c>
      <c r="B971" s="57"/>
      <c r="C971" s="583" t="s">
        <v>862</v>
      </c>
      <c r="D971" s="546">
        <v>35</v>
      </c>
      <c r="E971" s="162" t="s">
        <v>631</v>
      </c>
      <c r="F971" s="358"/>
      <c r="G971" s="65"/>
      <c r="H971" s="73"/>
      <c r="I971" s="90"/>
      <c r="J971" s="73"/>
      <c r="K971" s="66"/>
      <c r="L971" s="717">
        <v>2009</v>
      </c>
      <c r="M971" s="73"/>
      <c r="N971" s="359">
        <v>0.25900400000000001</v>
      </c>
      <c r="O971" s="1041"/>
      <c r="P971" s="73"/>
      <c r="Q971" s="359"/>
      <c r="R971" s="1041"/>
      <c r="S971" s="73"/>
      <c r="T971" s="359"/>
      <c r="U971" s="73"/>
      <c r="V971" s="66"/>
      <c r="W971" s="594">
        <f t="shared" si="611"/>
        <v>1.6576256E-4</v>
      </c>
      <c r="X971" s="595">
        <f t="shared" si="612"/>
        <v>1.6576256E-4</v>
      </c>
      <c r="Y971" s="52">
        <v>2009</v>
      </c>
      <c r="Z971" s="52"/>
      <c r="AA971" s="739">
        <f t="shared" si="613"/>
        <v>2.5900400000000002E-4</v>
      </c>
      <c r="AB971" s="256">
        <v>-0.36</v>
      </c>
      <c r="AC971" s="688">
        <f t="shared" si="614"/>
        <v>-0.36</v>
      </c>
      <c r="AD971" s="164"/>
      <c r="AE971" s="164"/>
      <c r="AF971" s="25"/>
      <c r="AG971" s="26"/>
      <c r="AH971" s="275"/>
      <c r="AI971" s="52"/>
      <c r="AJ971" s="35"/>
      <c r="AK971" s="289"/>
      <c r="AL971" s="290"/>
      <c r="AM971" s="211"/>
      <c r="AN971" s="164"/>
      <c r="AO971" s="76"/>
      <c r="AP971" s="44"/>
      <c r="AQ971" s="275"/>
      <c r="AR971" s="52"/>
      <c r="AS971" s="35"/>
      <c r="AT971" s="79"/>
      <c r="AU971" s="212"/>
      <c r="AV971" s="164"/>
      <c r="AW971" s="164"/>
      <c r="AX971" s="76"/>
      <c r="AY971" s="44"/>
      <c r="AZ971" s="275"/>
      <c r="BA971" s="52"/>
      <c r="BB971" s="35"/>
      <c r="BC971" s="79"/>
      <c r="BD971" s="230"/>
      <c r="BE971" s="211"/>
      <c r="BF971" s="164"/>
      <c r="BG971" s="76"/>
      <c r="BH971" s="44"/>
      <c r="BI971" s="275"/>
      <c r="BJ971" s="52"/>
      <c r="BK971" s="35"/>
      <c r="BL971" s="79"/>
      <c r="BM971" s="230"/>
      <c r="BN971" s="211"/>
      <c r="BO971" s="164"/>
      <c r="BP971" s="76"/>
      <c r="BQ971" s="44"/>
      <c r="BR971" s="299"/>
      <c r="BS971" s="52"/>
      <c r="BT971" s="35"/>
      <c r="BU971" s="79"/>
      <c r="BV971" s="212"/>
      <c r="BW971" s="304"/>
      <c r="BX971" s="313"/>
      <c r="BY971" s="138"/>
    </row>
    <row r="972" spans="1:77" ht="15" customHeight="1" x14ac:dyDescent="0.2">
      <c r="A972" s="57" t="s">
        <v>19</v>
      </c>
      <c r="B972" s="57"/>
      <c r="C972" s="583" t="s">
        <v>855</v>
      </c>
      <c r="D972" s="546">
        <v>4.7709999999999999</v>
      </c>
      <c r="E972" s="162" t="s">
        <v>631</v>
      </c>
      <c r="F972" s="358"/>
      <c r="G972" s="65"/>
      <c r="H972" s="73"/>
      <c r="I972" s="90"/>
      <c r="J972" s="73"/>
      <c r="K972" s="66"/>
      <c r="L972" s="717">
        <v>2008</v>
      </c>
      <c r="M972" s="73"/>
      <c r="N972" s="738">
        <v>3.2038999999999998E-2</v>
      </c>
      <c r="O972" s="1041"/>
      <c r="P972" s="73"/>
      <c r="Q972" s="738"/>
      <c r="R972" s="1041"/>
      <c r="S972" s="73"/>
      <c r="T972" s="738"/>
      <c r="U972" s="73"/>
      <c r="V972" s="66"/>
      <c r="W972" s="594">
        <f t="shared" si="611"/>
        <v>0</v>
      </c>
      <c r="X972" s="595">
        <f t="shared" si="612"/>
        <v>0</v>
      </c>
      <c r="Y972" s="52">
        <v>2008</v>
      </c>
      <c r="Z972" s="52"/>
      <c r="AA972" s="739">
        <f t="shared" si="613"/>
        <v>3.2038999999999996E-5</v>
      </c>
      <c r="AB972" s="256">
        <v>-1</v>
      </c>
      <c r="AC972" s="688">
        <f t="shared" si="614"/>
        <v>-1</v>
      </c>
      <c r="AD972" s="164"/>
      <c r="AE972" s="164"/>
      <c r="AF972" s="25"/>
      <c r="AG972" s="26"/>
      <c r="AH972" s="275"/>
      <c r="AI972" s="52"/>
      <c r="AJ972" s="35"/>
      <c r="AK972" s="289"/>
      <c r="AL972" s="290"/>
      <c r="AM972" s="211"/>
      <c r="AN972" s="164"/>
      <c r="AO972" s="76"/>
      <c r="AP972" s="44"/>
      <c r="AQ972" s="275"/>
      <c r="AR972" s="52"/>
      <c r="AS972" s="35"/>
      <c r="AT972" s="79"/>
      <c r="AU972" s="212"/>
      <c r="AV972" s="164"/>
      <c r="AW972" s="164"/>
      <c r="AX972" s="76"/>
      <c r="AY972" s="44"/>
      <c r="AZ972" s="275"/>
      <c r="BA972" s="52"/>
      <c r="BB972" s="35"/>
      <c r="BC972" s="79"/>
      <c r="BD972" s="230"/>
      <c r="BE972" s="211"/>
      <c r="BF972" s="164"/>
      <c r="BG972" s="76"/>
      <c r="BH972" s="44"/>
      <c r="BI972" s="275"/>
      <c r="BJ972" s="52"/>
      <c r="BK972" s="35"/>
      <c r="BL972" s="79"/>
      <c r="BM972" s="230"/>
      <c r="BN972" s="211"/>
      <c r="BO972" s="164"/>
      <c r="BP972" s="76"/>
      <c r="BQ972" s="44"/>
      <c r="BR972" s="299"/>
      <c r="BS972" s="52"/>
      <c r="BT972" s="35"/>
      <c r="BU972" s="79"/>
      <c r="BV972" s="212"/>
      <c r="BW972" s="304"/>
      <c r="BX972" s="313"/>
      <c r="BY972" s="138"/>
    </row>
    <row r="973" spans="1:77" ht="15" customHeight="1" x14ac:dyDescent="0.2">
      <c r="A973" s="57" t="s">
        <v>19</v>
      </c>
      <c r="B973" s="57"/>
      <c r="C973" s="583" t="s">
        <v>859</v>
      </c>
      <c r="D973" s="546">
        <v>21</v>
      </c>
      <c r="E973" s="162" t="s">
        <v>631</v>
      </c>
      <c r="F973" s="358"/>
      <c r="G973" s="65"/>
      <c r="H973" s="73"/>
      <c r="I973" s="90"/>
      <c r="J973" s="73"/>
      <c r="K973" s="66"/>
      <c r="L973" s="717">
        <v>2011</v>
      </c>
      <c r="M973" s="73"/>
      <c r="N973" s="359">
        <v>0.139209</v>
      </c>
      <c r="O973" s="1041"/>
      <c r="P973" s="73"/>
      <c r="Q973" s="359"/>
      <c r="R973" s="1041"/>
      <c r="S973" s="73"/>
      <c r="T973" s="359"/>
      <c r="U973" s="73"/>
      <c r="V973" s="66"/>
      <c r="W973" s="594">
        <f t="shared" si="611"/>
        <v>9.3270029999999995E-5</v>
      </c>
      <c r="X973" s="595">
        <f t="shared" si="612"/>
        <v>9.3270029999999995E-5</v>
      </c>
      <c r="Y973" s="52">
        <v>2011</v>
      </c>
      <c r="Z973" s="52"/>
      <c r="AA973" s="739">
        <f t="shared" si="613"/>
        <v>1.39209E-4</v>
      </c>
      <c r="AB973" s="256">
        <v>-0.33</v>
      </c>
      <c r="AC973" s="688">
        <f t="shared" si="614"/>
        <v>-0.33</v>
      </c>
      <c r="AD973" s="164"/>
      <c r="AE973" s="164"/>
      <c r="AF973" s="25"/>
      <c r="AG973" s="26"/>
      <c r="AH973" s="275"/>
      <c r="AI973" s="52"/>
      <c r="AJ973" s="35"/>
      <c r="AK973" s="289"/>
      <c r="AL973" s="290"/>
      <c r="AM973" s="211"/>
      <c r="AN973" s="164"/>
      <c r="AO973" s="76"/>
      <c r="AP973" s="44"/>
      <c r="AQ973" s="275"/>
      <c r="AR973" s="52"/>
      <c r="AS973" s="35"/>
      <c r="AT973" s="79"/>
      <c r="AU973" s="212"/>
      <c r="AV973" s="164"/>
      <c r="AW973" s="164"/>
      <c r="AX973" s="76"/>
      <c r="AY973" s="44"/>
      <c r="AZ973" s="275"/>
      <c r="BA973" s="52"/>
      <c r="BB973" s="35"/>
      <c r="BC973" s="79"/>
      <c r="BD973" s="230"/>
      <c r="BE973" s="211"/>
      <c r="BF973" s="164"/>
      <c r="BG973" s="76"/>
      <c r="BH973" s="44"/>
      <c r="BI973" s="275"/>
      <c r="BJ973" s="52"/>
      <c r="BK973" s="35"/>
      <c r="BL973" s="79"/>
      <c r="BM973" s="230"/>
      <c r="BN973" s="211"/>
      <c r="BO973" s="164"/>
      <c r="BP973" s="76"/>
      <c r="BQ973" s="44"/>
      <c r="BR973" s="299"/>
      <c r="BS973" s="52"/>
      <c r="BT973" s="35"/>
      <c r="BU973" s="79"/>
      <c r="BV973" s="212"/>
      <c r="BW973" s="304"/>
      <c r="BX973" s="313"/>
      <c r="BY973" s="138"/>
    </row>
    <row r="974" spans="1:77" ht="15" customHeight="1" x14ac:dyDescent="0.2">
      <c r="A974" s="57" t="s">
        <v>19</v>
      </c>
      <c r="B974" s="57"/>
      <c r="C974" s="583" t="s">
        <v>866</v>
      </c>
      <c r="D974" s="546">
        <v>22.238</v>
      </c>
      <c r="E974" s="162" t="s">
        <v>631</v>
      </c>
      <c r="F974" s="358"/>
      <c r="G974" s="65"/>
      <c r="H974" s="73"/>
      <c r="I974" s="90"/>
      <c r="J974" s="73"/>
      <c r="K974" s="66"/>
      <c r="L974" s="717">
        <v>2011</v>
      </c>
      <c r="M974" s="73"/>
      <c r="N974" s="359">
        <v>0.11258600000000001</v>
      </c>
      <c r="O974" s="1041"/>
      <c r="P974" s="73"/>
      <c r="Q974" s="359"/>
      <c r="R974" s="1041"/>
      <c r="S974" s="73"/>
      <c r="T974" s="359"/>
      <c r="U974" s="73"/>
      <c r="V974" s="66"/>
      <c r="W974" s="594">
        <f t="shared" si="611"/>
        <v>3.827924E-5</v>
      </c>
      <c r="X974" s="595">
        <f t="shared" si="612"/>
        <v>3.827924E-5</v>
      </c>
      <c r="Y974" s="52">
        <v>2011</v>
      </c>
      <c r="Z974" s="52"/>
      <c r="AA974" s="739">
        <f t="shared" si="613"/>
        <v>1.1258600000000001E-4</v>
      </c>
      <c r="AB974" s="256">
        <v>-0.66</v>
      </c>
      <c r="AC974" s="688">
        <f t="shared" si="614"/>
        <v>-0.66</v>
      </c>
      <c r="AD974" s="164"/>
      <c r="AE974" s="164"/>
      <c r="AF974" s="25"/>
      <c r="AG974" s="26"/>
      <c r="AH974" s="275"/>
      <c r="AI974" s="52"/>
      <c r="AJ974" s="35"/>
      <c r="AK974" s="289"/>
      <c r="AL974" s="290"/>
      <c r="AM974" s="211"/>
      <c r="AN974" s="164"/>
      <c r="AO974" s="76"/>
      <c r="AP974" s="44"/>
      <c r="AQ974" s="275"/>
      <c r="AR974" s="52"/>
      <c r="AS974" s="35"/>
      <c r="AT974" s="79"/>
      <c r="AU974" s="212"/>
      <c r="AV974" s="164"/>
      <c r="AW974" s="164"/>
      <c r="AX974" s="76"/>
      <c r="AY974" s="44"/>
      <c r="AZ974" s="275"/>
      <c r="BA974" s="52"/>
      <c r="BB974" s="35"/>
      <c r="BC974" s="79"/>
      <c r="BD974" s="230"/>
      <c r="BE974" s="211"/>
      <c r="BF974" s="164"/>
      <c r="BG974" s="76"/>
      <c r="BH974" s="44"/>
      <c r="BI974" s="275"/>
      <c r="BJ974" s="52"/>
      <c r="BK974" s="35"/>
      <c r="BL974" s="79"/>
      <c r="BM974" s="230"/>
      <c r="BN974" s="211"/>
      <c r="BO974" s="164"/>
      <c r="BP974" s="76"/>
      <c r="BQ974" s="44"/>
      <c r="BR974" s="299"/>
      <c r="BS974" s="52"/>
      <c r="BT974" s="35"/>
      <c r="BU974" s="79"/>
      <c r="BV974" s="212"/>
      <c r="BW974" s="304"/>
      <c r="BX974" s="313"/>
      <c r="BY974" s="138"/>
    </row>
    <row r="975" spans="1:77" ht="15" customHeight="1" x14ac:dyDescent="0.2">
      <c r="A975" s="57" t="s">
        <v>19</v>
      </c>
      <c r="B975" s="57"/>
      <c r="C975" s="583" t="s">
        <v>851</v>
      </c>
      <c r="D975" s="546">
        <v>4.8419999999999996</v>
      </c>
      <c r="E975" s="162" t="s">
        <v>631</v>
      </c>
      <c r="F975" s="358"/>
      <c r="G975" s="65"/>
      <c r="H975" s="73"/>
      <c r="I975" s="90"/>
      <c r="J975" s="73"/>
      <c r="K975" s="66"/>
      <c r="L975" s="717">
        <v>2008</v>
      </c>
      <c r="M975" s="73"/>
      <c r="N975" s="738">
        <v>2.8525999999999999E-2</v>
      </c>
      <c r="O975" s="1041"/>
      <c r="P975" s="73"/>
      <c r="Q975" s="738"/>
      <c r="R975" s="1041"/>
      <c r="S975" s="73"/>
      <c r="T975" s="738"/>
      <c r="U975" s="73"/>
      <c r="V975" s="66"/>
      <c r="W975" s="594">
        <f t="shared" si="611"/>
        <v>0</v>
      </c>
      <c r="X975" s="595">
        <f t="shared" si="612"/>
        <v>0</v>
      </c>
      <c r="Y975" s="52">
        <v>2008</v>
      </c>
      <c r="Z975" s="52"/>
      <c r="AA975" s="739">
        <f t="shared" si="613"/>
        <v>2.8525999999999998E-5</v>
      </c>
      <c r="AB975" s="256">
        <v>-1</v>
      </c>
      <c r="AC975" s="688">
        <f t="shared" si="614"/>
        <v>-1</v>
      </c>
      <c r="AD975" s="164"/>
      <c r="AE975" s="164"/>
      <c r="AF975" s="25"/>
      <c r="AG975" s="26"/>
      <c r="AH975" s="275"/>
      <c r="AI975" s="52"/>
      <c r="AJ975" s="35"/>
      <c r="AK975" s="289"/>
      <c r="AL975" s="290"/>
      <c r="AM975" s="211"/>
      <c r="AN975" s="164"/>
      <c r="AO975" s="76"/>
      <c r="AP975" s="44"/>
      <c r="AQ975" s="275"/>
      <c r="AR975" s="52"/>
      <c r="AS975" s="35"/>
      <c r="AT975" s="79"/>
      <c r="AU975" s="212"/>
      <c r="AV975" s="164"/>
      <c r="AW975" s="164"/>
      <c r="AX975" s="76"/>
      <c r="AY975" s="44"/>
      <c r="AZ975" s="275"/>
      <c r="BA975" s="52"/>
      <c r="BB975" s="35"/>
      <c r="BC975" s="79"/>
      <c r="BD975" s="230"/>
      <c r="BE975" s="211"/>
      <c r="BF975" s="164"/>
      <c r="BG975" s="76"/>
      <c r="BH975" s="44"/>
      <c r="BI975" s="275"/>
      <c r="BJ975" s="52"/>
      <c r="BK975" s="35"/>
      <c r="BL975" s="79"/>
      <c r="BM975" s="230"/>
      <c r="BN975" s="211"/>
      <c r="BO975" s="164"/>
      <c r="BP975" s="76"/>
      <c r="BQ975" s="44"/>
      <c r="BR975" s="299"/>
      <c r="BS975" s="52"/>
      <c r="BT975" s="35"/>
      <c r="BU975" s="79"/>
      <c r="BV975" s="212"/>
      <c r="BW975" s="304"/>
      <c r="BX975" s="313"/>
      <c r="BY975" s="138"/>
    </row>
    <row r="976" spans="1:77" ht="15" customHeight="1" x14ac:dyDescent="0.2">
      <c r="A976" s="57" t="s">
        <v>19</v>
      </c>
      <c r="B976" s="57"/>
      <c r="C976" s="583" t="s">
        <v>848</v>
      </c>
      <c r="D976" s="546">
        <v>0.94799999999999995</v>
      </c>
      <c r="E976" s="162" t="s">
        <v>631</v>
      </c>
      <c r="F976" s="358"/>
      <c r="G976" s="65"/>
      <c r="H976" s="73"/>
      <c r="I976" s="90"/>
      <c r="J976" s="73"/>
      <c r="K976" s="66"/>
      <c r="L976" s="717">
        <v>2008</v>
      </c>
      <c r="M976" s="73"/>
      <c r="N976" s="786">
        <v>3.6280000000000001E-3</v>
      </c>
      <c r="O976" s="1041"/>
      <c r="P976" s="73"/>
      <c r="Q976" s="786"/>
      <c r="R976" s="1041"/>
      <c r="S976" s="73"/>
      <c r="T976" s="786"/>
      <c r="U976" s="73"/>
      <c r="V976" s="66"/>
      <c r="W976" s="594">
        <f t="shared" si="611"/>
        <v>0</v>
      </c>
      <c r="X976" s="595">
        <f t="shared" si="612"/>
        <v>0</v>
      </c>
      <c r="Y976" s="52">
        <v>2008</v>
      </c>
      <c r="Z976" s="52"/>
      <c r="AA976" s="787">
        <f t="shared" si="613"/>
        <v>3.6280000000000002E-6</v>
      </c>
      <c r="AB976" s="256">
        <v>-1</v>
      </c>
      <c r="AC976" s="688">
        <f t="shared" si="614"/>
        <v>-1</v>
      </c>
      <c r="AD976" s="164"/>
      <c r="AE976" s="164"/>
      <c r="AF976" s="25"/>
      <c r="AG976" s="26"/>
      <c r="AH976" s="275"/>
      <c r="AI976" s="52"/>
      <c r="AJ976" s="35"/>
      <c r="AK976" s="289"/>
      <c r="AL976" s="290"/>
      <c r="AM976" s="211"/>
      <c r="AN976" s="164"/>
      <c r="AO976" s="76"/>
      <c r="AP976" s="44"/>
      <c r="AQ976" s="275"/>
      <c r="AR976" s="52"/>
      <c r="AS976" s="35"/>
      <c r="AT976" s="79"/>
      <c r="AU976" s="212"/>
      <c r="AV976" s="164"/>
      <c r="AW976" s="164"/>
      <c r="AX976" s="76"/>
      <c r="AY976" s="44"/>
      <c r="AZ976" s="275"/>
      <c r="BA976" s="52"/>
      <c r="BB976" s="35"/>
      <c r="BC976" s="79"/>
      <c r="BD976" s="230"/>
      <c r="BE976" s="211"/>
      <c r="BF976" s="164"/>
      <c r="BG976" s="76"/>
      <c r="BH976" s="44"/>
      <c r="BI976" s="275"/>
      <c r="BJ976" s="52"/>
      <c r="BK976" s="35"/>
      <c r="BL976" s="79"/>
      <c r="BM976" s="230"/>
      <c r="BN976" s="211"/>
      <c r="BO976" s="164"/>
      <c r="BP976" s="76"/>
      <c r="BQ976" s="44"/>
      <c r="BR976" s="299"/>
      <c r="BS976" s="52"/>
      <c r="BT976" s="35"/>
      <c r="BU976" s="79"/>
      <c r="BV976" s="212"/>
      <c r="BW976" s="304"/>
      <c r="BX976" s="313"/>
      <c r="BY976" s="138"/>
    </row>
    <row r="977" spans="1:77" ht="15" customHeight="1" x14ac:dyDescent="0.2">
      <c r="A977" s="57" t="s">
        <v>19</v>
      </c>
      <c r="B977" s="57"/>
      <c r="C977" s="583" t="s">
        <v>867</v>
      </c>
      <c r="D977" s="546">
        <v>9.6859999999999999</v>
      </c>
      <c r="E977" s="162" t="s">
        <v>631</v>
      </c>
      <c r="F977" s="358"/>
      <c r="G977" s="65"/>
      <c r="H977" s="73"/>
      <c r="I977" s="90"/>
      <c r="J977" s="73"/>
      <c r="K977" s="66"/>
      <c r="L977" s="717">
        <v>2011</v>
      </c>
      <c r="M977" s="73"/>
      <c r="N977" s="738">
        <v>3.3223000000000003E-2</v>
      </c>
      <c r="O977" s="1041"/>
      <c r="P977" s="73"/>
      <c r="Q977" s="738"/>
      <c r="R977" s="1041"/>
      <c r="S977" s="73"/>
      <c r="T977" s="738"/>
      <c r="U977" s="73"/>
      <c r="V977" s="66"/>
      <c r="W977" s="594">
        <f t="shared" si="611"/>
        <v>2.3920560000000003E-5</v>
      </c>
      <c r="X977" s="595">
        <f t="shared" si="612"/>
        <v>2.3920560000000003E-5</v>
      </c>
      <c r="Y977" s="52">
        <v>2011</v>
      </c>
      <c r="Z977" s="52"/>
      <c r="AA977" s="739">
        <f t="shared" si="613"/>
        <v>3.3223000000000004E-5</v>
      </c>
      <c r="AB977" s="256">
        <v>-0.28000000000000003</v>
      </c>
      <c r="AC977" s="688">
        <f t="shared" si="614"/>
        <v>-0.28000000000000003</v>
      </c>
      <c r="AD977" s="164"/>
      <c r="AE977" s="164"/>
      <c r="AF977" s="25"/>
      <c r="AG977" s="26"/>
      <c r="AH977" s="275"/>
      <c r="AI977" s="52"/>
      <c r="AJ977" s="35"/>
      <c r="AK977" s="289"/>
      <c r="AL977" s="290"/>
      <c r="AM977" s="211"/>
      <c r="AN977" s="164"/>
      <c r="AO977" s="76"/>
      <c r="AP977" s="44"/>
      <c r="AQ977" s="275"/>
      <c r="AR977" s="52"/>
      <c r="AS977" s="35"/>
      <c r="AT977" s="79"/>
      <c r="AU977" s="212"/>
      <c r="AV977" s="164"/>
      <c r="AW977" s="164"/>
      <c r="AX977" s="76"/>
      <c r="AY977" s="44"/>
      <c r="AZ977" s="275"/>
      <c r="BA977" s="52"/>
      <c r="BB977" s="35"/>
      <c r="BC977" s="79"/>
      <c r="BD977" s="230"/>
      <c r="BE977" s="211"/>
      <c r="BF977" s="164"/>
      <c r="BG977" s="76"/>
      <c r="BH977" s="44"/>
      <c r="BI977" s="275"/>
      <c r="BJ977" s="52"/>
      <c r="BK977" s="35"/>
      <c r="BL977" s="79"/>
      <c r="BM977" s="230"/>
      <c r="BN977" s="211"/>
      <c r="BO977" s="164"/>
      <c r="BP977" s="76"/>
      <c r="BQ977" s="44"/>
      <c r="BR977" s="299"/>
      <c r="BS977" s="52"/>
      <c r="BT977" s="35"/>
      <c r="BU977" s="79"/>
      <c r="BV977" s="212"/>
      <c r="BW977" s="304"/>
      <c r="BX977" s="313"/>
      <c r="BY977" s="138"/>
    </row>
    <row r="978" spans="1:77" ht="15" customHeight="1" x14ac:dyDescent="0.2">
      <c r="A978" s="57" t="s">
        <v>19</v>
      </c>
      <c r="B978" s="57"/>
      <c r="C978" s="583" t="s">
        <v>2431</v>
      </c>
      <c r="D978" s="546">
        <v>37.695</v>
      </c>
      <c r="E978" s="162" t="s">
        <v>631</v>
      </c>
      <c r="F978" s="358"/>
      <c r="G978" s="65"/>
      <c r="H978" s="73"/>
      <c r="I978" s="90"/>
      <c r="J978" s="73"/>
      <c r="K978" s="66"/>
      <c r="L978" s="717">
        <v>2012</v>
      </c>
      <c r="M978" s="73"/>
      <c r="N978" s="738">
        <v>0.22784399999999999</v>
      </c>
      <c r="O978" s="1041"/>
      <c r="P978" s="73"/>
      <c r="Q978" s="738"/>
      <c r="R978" s="1041"/>
      <c r="S978" s="73"/>
      <c r="T978" s="738"/>
      <c r="U978" s="73"/>
      <c r="V978" s="66"/>
      <c r="W978" s="594"/>
      <c r="X978" s="595"/>
      <c r="Y978" s="52"/>
      <c r="Z978" s="52"/>
      <c r="AA978" s="739"/>
      <c r="AB978" s="256"/>
      <c r="AC978" s="688"/>
      <c r="AD978" s="164"/>
      <c r="AE978" s="164"/>
      <c r="AF978" s="25"/>
      <c r="AG978" s="26"/>
      <c r="AH978" s="275"/>
      <c r="AI978" s="52"/>
      <c r="AJ978" s="35"/>
      <c r="AK978" s="289"/>
      <c r="AL978" s="290"/>
      <c r="AM978" s="211"/>
      <c r="AN978" s="164"/>
      <c r="AO978" s="594">
        <f t="shared" ref="AO978" si="627">AS978*(1+AT978)</f>
        <v>1.367064E-4</v>
      </c>
      <c r="AP978" s="595">
        <f t="shared" ref="AP978" si="628">AS978*(1+AU978)</f>
        <v>1.367064E-4</v>
      </c>
      <c r="AQ978" s="275">
        <v>2008</v>
      </c>
      <c r="AR978" s="52"/>
      <c r="AS978" s="596">
        <f>+N978/1000</f>
        <v>2.27844E-4</v>
      </c>
      <c r="AT978" s="79">
        <v>-0.4</v>
      </c>
      <c r="AU978" s="212">
        <f t="shared" ref="AU978" si="629">AT978</f>
        <v>-0.4</v>
      </c>
      <c r="AV978" s="164"/>
      <c r="AW978" s="164"/>
      <c r="AX978" s="76"/>
      <c r="AY978" s="44"/>
      <c r="AZ978" s="275"/>
      <c r="BA978" s="52"/>
      <c r="BB978" s="35"/>
      <c r="BC978" s="79"/>
      <c r="BD978" s="230"/>
      <c r="BE978" s="211"/>
      <c r="BF978" s="164"/>
      <c r="BG978" s="76"/>
      <c r="BH978" s="44"/>
      <c r="BI978" s="275"/>
      <c r="BJ978" s="52"/>
      <c r="BK978" s="35"/>
      <c r="BL978" s="79"/>
      <c r="BM978" s="230"/>
      <c r="BN978" s="211"/>
      <c r="BO978" s="164"/>
      <c r="BP978" s="76"/>
      <c r="BQ978" s="44"/>
      <c r="BR978" s="299"/>
      <c r="BS978" s="52"/>
      <c r="BT978" s="35"/>
      <c r="BU978" s="79"/>
      <c r="BV978" s="212"/>
      <c r="BW978" s="304"/>
      <c r="BX978" s="313"/>
      <c r="BY978" s="138"/>
    </row>
    <row r="979" spans="1:77" ht="15" customHeight="1" x14ac:dyDescent="0.2">
      <c r="A979" s="57" t="s">
        <v>19</v>
      </c>
      <c r="B979" s="57"/>
      <c r="C979" s="583" t="s">
        <v>856</v>
      </c>
      <c r="D979" s="546">
        <v>20.972000000000001</v>
      </c>
      <c r="E979" s="162" t="s">
        <v>631</v>
      </c>
      <c r="F979" s="358"/>
      <c r="G979" s="65"/>
      <c r="H979" s="73"/>
      <c r="I979" s="90"/>
      <c r="J979" s="73"/>
      <c r="K979" s="66"/>
      <c r="L979" s="717">
        <v>2012</v>
      </c>
      <c r="M979" s="73"/>
      <c r="N979" s="738">
        <v>0.10012600000000001</v>
      </c>
      <c r="O979" s="1041"/>
      <c r="P979" s="73"/>
      <c r="Q979" s="359"/>
      <c r="R979" s="1041"/>
      <c r="S979" s="73"/>
      <c r="T979" s="359"/>
      <c r="U979" s="73"/>
      <c r="V979" s="66"/>
      <c r="W979" s="594">
        <f t="shared" si="611"/>
        <v>6.6083159999999995E-5</v>
      </c>
      <c r="X979" s="595">
        <f t="shared" si="612"/>
        <v>6.6083159999999995E-5</v>
      </c>
      <c r="Y979" s="52">
        <v>2012</v>
      </c>
      <c r="Z979" s="52"/>
      <c r="AA979" s="739">
        <f t="shared" si="613"/>
        <v>1.0012600000000001E-4</v>
      </c>
      <c r="AB979" s="256">
        <v>-0.34</v>
      </c>
      <c r="AC979" s="688">
        <f t="shared" si="614"/>
        <v>-0.34</v>
      </c>
      <c r="AD979" s="164"/>
      <c r="AE979" s="164"/>
      <c r="AF979" s="25"/>
      <c r="AG979" s="26"/>
      <c r="AH979" s="275"/>
      <c r="AI979" s="52"/>
      <c r="AJ979" s="35"/>
      <c r="AK979" s="289"/>
      <c r="AL979" s="290"/>
      <c r="AM979" s="211"/>
      <c r="AN979" s="164"/>
      <c r="AO979" s="76"/>
      <c r="AP979" s="44"/>
      <c r="AQ979" s="275"/>
      <c r="AR979" s="52"/>
      <c r="AS979" s="35"/>
      <c r="AT979" s="79"/>
      <c r="AU979" s="212"/>
      <c r="AV979" s="164"/>
      <c r="AW979" s="164"/>
      <c r="AX979" s="76"/>
      <c r="AY979" s="44"/>
      <c r="AZ979" s="275"/>
      <c r="BA979" s="52"/>
      <c r="BB979" s="35"/>
      <c r="BC979" s="79"/>
      <c r="BD979" s="230"/>
      <c r="BE979" s="211"/>
      <c r="BF979" s="164"/>
      <c r="BG979" s="76"/>
      <c r="BH979" s="44"/>
      <c r="BI979" s="275"/>
      <c r="BJ979" s="52"/>
      <c r="BK979" s="35"/>
      <c r="BL979" s="79"/>
      <c r="BM979" s="230"/>
      <c r="BN979" s="211"/>
      <c r="BO979" s="164"/>
      <c r="BP979" s="76"/>
      <c r="BQ979" s="44"/>
      <c r="BR979" s="299"/>
      <c r="BS979" s="52"/>
      <c r="BT979" s="35"/>
      <c r="BU979" s="79"/>
      <c r="BV979" s="212"/>
      <c r="BW979" s="304"/>
      <c r="BX979" s="313"/>
      <c r="BY979" s="138"/>
    </row>
    <row r="980" spans="1:77" ht="15" customHeight="1" x14ac:dyDescent="0.2">
      <c r="A980" s="57" t="s">
        <v>19</v>
      </c>
      <c r="B980" s="57"/>
      <c r="C980" s="583" t="s">
        <v>2876</v>
      </c>
      <c r="D980" s="546">
        <v>21.077000000000002</v>
      </c>
      <c r="E980" s="162" t="s">
        <v>631</v>
      </c>
      <c r="F980" s="358"/>
      <c r="G980" s="65"/>
      <c r="H980" s="73"/>
      <c r="I980" s="90"/>
      <c r="J980" s="73"/>
      <c r="K980" s="66"/>
      <c r="L980" s="717">
        <v>2012</v>
      </c>
      <c r="M980" s="73"/>
      <c r="N980" s="738">
        <v>0.16970399999999999</v>
      </c>
      <c r="O980" s="1041"/>
      <c r="P980" s="73"/>
      <c r="Q980" s="359"/>
      <c r="R980" s="1041"/>
      <c r="S980" s="73"/>
      <c r="T980" s="359"/>
      <c r="U980" s="73"/>
      <c r="V980" s="66"/>
      <c r="W980" s="594"/>
      <c r="X980" s="595"/>
      <c r="Y980" s="52"/>
      <c r="Z980" s="52"/>
      <c r="AA980" s="739"/>
      <c r="AB980" s="256"/>
      <c r="AC980" s="688"/>
      <c r="AD980" s="164"/>
      <c r="AE980" s="164"/>
      <c r="AF980" s="25"/>
      <c r="AG980" s="26"/>
      <c r="AH980" s="275"/>
      <c r="AI980" s="52"/>
      <c r="AJ980" s="35"/>
      <c r="AK980" s="289"/>
      <c r="AL980" s="290"/>
      <c r="AM980" s="211"/>
      <c r="AN980" s="164"/>
      <c r="AO980" s="740">
        <f t="shared" ref="AO980" si="630">AS980*(1+AT980)</f>
        <v>9.6731279999999999E-5</v>
      </c>
      <c r="AP980" s="741">
        <f t="shared" ref="AP980" si="631">AS980*(1+AU980)</f>
        <v>9.6731279999999999E-5</v>
      </c>
      <c r="AQ980" s="275">
        <v>2008</v>
      </c>
      <c r="AR980" s="52"/>
      <c r="AS980" s="739">
        <f>+N980/1000</f>
        <v>1.6970399999999999E-4</v>
      </c>
      <c r="AT980" s="79">
        <v>-0.43</v>
      </c>
      <c r="AU980" s="212">
        <f t="shared" ref="AU980" si="632">AT980</f>
        <v>-0.43</v>
      </c>
      <c r="AV980" s="164"/>
      <c r="AW980" s="164"/>
      <c r="AX980" s="76"/>
      <c r="AY980" s="44"/>
      <c r="AZ980" s="275"/>
      <c r="BA980" s="52"/>
      <c r="BB980" s="35"/>
      <c r="BC980" s="79"/>
      <c r="BD980" s="230"/>
      <c r="BE980" s="211"/>
      <c r="BF980" s="164"/>
      <c r="BG980" s="76"/>
      <c r="BH980" s="44"/>
      <c r="BI980" s="275"/>
      <c r="BJ980" s="52"/>
      <c r="BK980" s="35"/>
      <c r="BL980" s="79"/>
      <c r="BM980" s="230"/>
      <c r="BN980" s="211"/>
      <c r="BO980" s="164"/>
      <c r="BP980" s="76"/>
      <c r="BQ980" s="44"/>
      <c r="BR980" s="299"/>
      <c r="BS980" s="52"/>
      <c r="BT980" s="35"/>
      <c r="BU980" s="79"/>
      <c r="BV980" s="212"/>
      <c r="BW980" s="304"/>
      <c r="BX980" s="313"/>
      <c r="BY980" s="138"/>
    </row>
    <row r="981" spans="1:77" ht="15" customHeight="1" x14ac:dyDescent="0.2">
      <c r="A981" s="57" t="s">
        <v>19</v>
      </c>
      <c r="B981" s="57"/>
      <c r="C981" s="583" t="s">
        <v>861</v>
      </c>
      <c r="D981" s="546">
        <v>62.886000000000003</v>
      </c>
      <c r="E981" s="162" t="s">
        <v>631</v>
      </c>
      <c r="F981" s="358"/>
      <c r="G981" s="65"/>
      <c r="H981" s="73"/>
      <c r="I981" s="90"/>
      <c r="J981" s="73"/>
      <c r="K981" s="66"/>
      <c r="L981" s="717">
        <v>2011</v>
      </c>
      <c r="M981" s="73"/>
      <c r="N981" s="738">
        <v>0.16172300000000001</v>
      </c>
      <c r="O981" s="1041"/>
      <c r="P981" s="73"/>
      <c r="Q981" s="359"/>
      <c r="R981" s="1041"/>
      <c r="S981" s="73"/>
      <c r="T981" s="359"/>
      <c r="U981" s="73"/>
      <c r="V981" s="66"/>
      <c r="W981" s="594">
        <f t="shared" si="611"/>
        <v>1.2129225000000001E-4</v>
      </c>
      <c r="X981" s="595">
        <f t="shared" si="612"/>
        <v>1.2129225000000001E-4</v>
      </c>
      <c r="Y981" s="52">
        <v>2011</v>
      </c>
      <c r="Z981" s="52"/>
      <c r="AA981" s="739">
        <f t="shared" si="613"/>
        <v>1.6172300000000001E-4</v>
      </c>
      <c r="AB981" s="256">
        <v>-0.25</v>
      </c>
      <c r="AC981" s="688">
        <f t="shared" si="614"/>
        <v>-0.25</v>
      </c>
      <c r="AD981" s="164"/>
      <c r="AE981" s="164"/>
      <c r="AF981" s="25"/>
      <c r="AG981" s="26"/>
      <c r="AH981" s="275"/>
      <c r="AI981" s="52"/>
      <c r="AJ981" s="35"/>
      <c r="AK981" s="289"/>
      <c r="AL981" s="290"/>
      <c r="AM981" s="211"/>
      <c r="AN981" s="164"/>
      <c r="AO981" s="76"/>
      <c r="AP981" s="44"/>
      <c r="AQ981" s="275"/>
      <c r="AR981" s="52"/>
      <c r="AS981" s="35"/>
      <c r="AT981" s="79"/>
      <c r="AU981" s="212"/>
      <c r="AV981" s="164"/>
      <c r="AW981" s="164"/>
      <c r="AX981" s="76"/>
      <c r="AY981" s="44"/>
      <c r="AZ981" s="275"/>
      <c r="BA981" s="52"/>
      <c r="BB981" s="35"/>
      <c r="BC981" s="79"/>
      <c r="BD981" s="230"/>
      <c r="BE981" s="211"/>
      <c r="BF981" s="164"/>
      <c r="BG981" s="76"/>
      <c r="BH981" s="44"/>
      <c r="BI981" s="275"/>
      <c r="BJ981" s="52"/>
      <c r="BK981" s="35"/>
      <c r="BL981" s="79"/>
      <c r="BM981" s="230"/>
      <c r="BN981" s="211"/>
      <c r="BO981" s="164"/>
      <c r="BP981" s="76"/>
      <c r="BQ981" s="44"/>
      <c r="BR981" s="299"/>
      <c r="BS981" s="52"/>
      <c r="BT981" s="35"/>
      <c r="BU981" s="79"/>
      <c r="BV981" s="212"/>
      <c r="BW981" s="304"/>
      <c r="BX981" s="313"/>
      <c r="BY981" s="138"/>
    </row>
    <row r="982" spans="1:77" ht="15" customHeight="1" x14ac:dyDescent="0.2">
      <c r="A982" s="57" t="s">
        <v>19</v>
      </c>
      <c r="B982" s="57"/>
      <c r="C982" s="583" t="s">
        <v>849</v>
      </c>
      <c r="D982" s="546">
        <v>2.6019999999999999</v>
      </c>
      <c r="E982" s="162" t="s">
        <v>631</v>
      </c>
      <c r="F982" s="358"/>
      <c r="G982" s="65"/>
      <c r="H982" s="73"/>
      <c r="I982" s="90"/>
      <c r="J982" s="73"/>
      <c r="K982" s="66"/>
      <c r="L982" s="717">
        <v>2008</v>
      </c>
      <c r="M982" s="73"/>
      <c r="N982" s="738">
        <v>1.8173000000000002E-2</v>
      </c>
      <c r="O982" s="1041"/>
      <c r="P982" s="73"/>
      <c r="Q982" s="738"/>
      <c r="R982" s="1041"/>
      <c r="S982" s="73"/>
      <c r="T982" s="738"/>
      <c r="U982" s="73"/>
      <c r="V982" s="66"/>
      <c r="W982" s="594">
        <f t="shared" si="611"/>
        <v>0</v>
      </c>
      <c r="X982" s="595">
        <f t="shared" si="612"/>
        <v>0</v>
      </c>
      <c r="Y982" s="52">
        <v>2008</v>
      </c>
      <c r="Z982" s="52"/>
      <c r="AA982" s="739">
        <f t="shared" si="613"/>
        <v>1.8173E-5</v>
      </c>
      <c r="AB982" s="256">
        <v>-1</v>
      </c>
      <c r="AC982" s="688">
        <f t="shared" si="614"/>
        <v>-1</v>
      </c>
      <c r="AD982" s="164"/>
      <c r="AE982" s="164"/>
      <c r="AF982" s="25"/>
      <c r="AG982" s="26"/>
      <c r="AH982" s="275"/>
      <c r="AI982" s="52"/>
      <c r="AJ982" s="35"/>
      <c r="AK982" s="289"/>
      <c r="AL982" s="290"/>
      <c r="AM982" s="211"/>
      <c r="AN982" s="164"/>
      <c r="AO982" s="76"/>
      <c r="AP982" s="44"/>
      <c r="AQ982" s="275"/>
      <c r="AR982" s="52"/>
      <c r="AS982" s="35"/>
      <c r="AT982" s="79"/>
      <c r="AU982" s="212"/>
      <c r="AV982" s="164"/>
      <c r="AW982" s="164"/>
      <c r="AX982" s="76"/>
      <c r="AY982" s="44"/>
      <c r="AZ982" s="275"/>
      <c r="BA982" s="52"/>
      <c r="BB982" s="35"/>
      <c r="BC982" s="79"/>
      <c r="BD982" s="230"/>
      <c r="BE982" s="211"/>
      <c r="BF982" s="164"/>
      <c r="BG982" s="76"/>
      <c r="BH982" s="44"/>
      <c r="BI982" s="275"/>
      <c r="BJ982" s="52"/>
      <c r="BK982" s="35"/>
      <c r="BL982" s="79"/>
      <c r="BM982" s="230"/>
      <c r="BN982" s="211"/>
      <c r="BO982" s="164"/>
      <c r="BP982" s="76"/>
      <c r="BQ982" s="44"/>
      <c r="BR982" s="299"/>
      <c r="BS982" s="52"/>
      <c r="BT982" s="35"/>
      <c r="BU982" s="79"/>
      <c r="BV982" s="212"/>
      <c r="BW982" s="304"/>
      <c r="BX982" s="313"/>
      <c r="BY982" s="138"/>
    </row>
    <row r="983" spans="1:77" ht="15" customHeight="1" x14ac:dyDescent="0.2">
      <c r="A983" s="57" t="s">
        <v>19</v>
      </c>
      <c r="B983" s="57"/>
      <c r="C983" s="583" t="s">
        <v>857</v>
      </c>
      <c r="D983" s="546">
        <v>48.267000000000003</v>
      </c>
      <c r="E983" s="162" t="s">
        <v>631</v>
      </c>
      <c r="F983" s="358"/>
      <c r="G983" s="65"/>
      <c r="H983" s="73"/>
      <c r="I983" s="90"/>
      <c r="J983" s="73"/>
      <c r="K983" s="66"/>
      <c r="L983" s="717"/>
      <c r="M983" s="73"/>
      <c r="N983" s="359">
        <v>0.18105299999999999</v>
      </c>
      <c r="O983" s="1041"/>
      <c r="P983" s="73"/>
      <c r="Q983" s="359"/>
      <c r="R983" s="1041"/>
      <c r="S983" s="73"/>
      <c r="T983" s="359"/>
      <c r="U983" s="73"/>
      <c r="V983" s="66"/>
      <c r="W983" s="594">
        <f t="shared" si="611"/>
        <v>1.3216869000000001E-4</v>
      </c>
      <c r="X983" s="595">
        <f t="shared" si="612"/>
        <v>1.3216869000000001E-4</v>
      </c>
      <c r="Y983" s="52">
        <v>2010</v>
      </c>
      <c r="Z983" s="52"/>
      <c r="AA983" s="739">
        <f t="shared" si="613"/>
        <v>1.81053E-4</v>
      </c>
      <c r="AB983" s="256">
        <v>-0.27</v>
      </c>
      <c r="AC983" s="688">
        <f t="shared" si="614"/>
        <v>-0.27</v>
      </c>
      <c r="AD983" s="164"/>
      <c r="AE983" s="164"/>
      <c r="AF983" s="25"/>
      <c r="AG983" s="26"/>
      <c r="AH983" s="275"/>
      <c r="AI983" s="52"/>
      <c r="AJ983" s="35"/>
      <c r="AK983" s="289"/>
      <c r="AL983" s="290"/>
      <c r="AM983" s="211"/>
      <c r="AN983" s="164"/>
      <c r="AO983" s="76"/>
      <c r="AP983" s="44"/>
      <c r="AQ983" s="275"/>
      <c r="AR983" s="52"/>
      <c r="AS983" s="35"/>
      <c r="AT983" s="79"/>
      <c r="AU983" s="212"/>
      <c r="AV983" s="164"/>
      <c r="AW983" s="164"/>
      <c r="AX983" s="76"/>
      <c r="AY983" s="44"/>
      <c r="AZ983" s="275"/>
      <c r="BA983" s="52"/>
      <c r="BB983" s="35"/>
      <c r="BC983" s="79"/>
      <c r="BD983" s="230"/>
      <c r="BE983" s="211"/>
      <c r="BF983" s="164"/>
      <c r="BG983" s="76"/>
      <c r="BH983" s="44"/>
      <c r="BI983" s="275"/>
      <c r="BJ983" s="52"/>
      <c r="BK983" s="35"/>
      <c r="BL983" s="79"/>
      <c r="BM983" s="230"/>
      <c r="BN983" s="211"/>
      <c r="BO983" s="164"/>
      <c r="BP983" s="76"/>
      <c r="BQ983" s="44"/>
      <c r="BR983" s="299"/>
      <c r="BS983" s="52"/>
      <c r="BT983" s="35"/>
      <c r="BU983" s="79"/>
      <c r="BV983" s="212"/>
      <c r="BW983" s="304"/>
      <c r="BX983" s="313"/>
      <c r="BY983" s="138"/>
    </row>
    <row r="984" spans="1:77" ht="15" customHeight="1" x14ac:dyDescent="0.2">
      <c r="A984" s="57" t="s">
        <v>21</v>
      </c>
      <c r="B984" s="583" t="s">
        <v>1606</v>
      </c>
      <c r="C984" s="57"/>
      <c r="D984" s="546">
        <v>10014.633</v>
      </c>
      <c r="E984" s="1101" t="s">
        <v>2896</v>
      </c>
      <c r="F984" s="729"/>
      <c r="G984" s="730">
        <v>91.137</v>
      </c>
      <c r="H984" s="723">
        <v>93.656000000000006</v>
      </c>
      <c r="I984" s="1282"/>
      <c r="J984" s="1283">
        <v>70.007999999999996</v>
      </c>
      <c r="K984" s="1283">
        <v>75.36</v>
      </c>
      <c r="L984" s="1282"/>
      <c r="M984" s="1283">
        <v>60.936999999999998</v>
      </c>
      <c r="N984" s="1283">
        <v>64.948999999999998</v>
      </c>
      <c r="O984" s="1284"/>
      <c r="P984" s="1283">
        <v>55.409309999999998</v>
      </c>
      <c r="Q984" s="796">
        <v>60.767139999999998</v>
      </c>
      <c r="R984" s="1284">
        <v>2017</v>
      </c>
      <c r="S984" s="1283">
        <v>54.658839999999998</v>
      </c>
      <c r="T984" s="796">
        <v>61.170949999999998</v>
      </c>
      <c r="U984" s="73"/>
      <c r="V984" s="66"/>
      <c r="W984" s="592"/>
      <c r="X984" s="593"/>
      <c r="Y984" s="52">
        <v>1990</v>
      </c>
      <c r="Z984" s="52"/>
      <c r="AA984" s="596"/>
      <c r="AB984" s="824">
        <v>-0.2</v>
      </c>
      <c r="AC984" s="825">
        <v>-0.3</v>
      </c>
      <c r="AD984" s="164"/>
      <c r="AE984" s="164"/>
      <c r="AF984" s="25"/>
      <c r="AG984" s="26"/>
      <c r="AH984" s="275"/>
      <c r="AI984" s="52"/>
      <c r="AJ984" s="35"/>
      <c r="AK984" s="289"/>
      <c r="AL984" s="290"/>
      <c r="AM984" s="211"/>
      <c r="AN984" s="164"/>
      <c r="AO984" s="76"/>
      <c r="AP984" s="44"/>
      <c r="AQ984" s="275"/>
      <c r="AR984" s="52"/>
      <c r="AS984" s="35"/>
      <c r="AT984" s="840">
        <v>0.55000000000000004</v>
      </c>
      <c r="AU984" s="688">
        <v>0.55000000000000004</v>
      </c>
      <c r="AV984" s="164"/>
      <c r="AW984" s="164"/>
      <c r="AX984" s="76"/>
      <c r="AY984" s="44"/>
      <c r="AZ984" s="275"/>
      <c r="BA984" s="52"/>
      <c r="BB984" s="35"/>
      <c r="BC984" s="79"/>
      <c r="BD984" s="230"/>
      <c r="BE984" s="211"/>
      <c r="BF984" s="164"/>
      <c r="BG984" s="76"/>
      <c r="BH984" s="44"/>
      <c r="BI984" s="275"/>
      <c r="BJ984" s="52"/>
      <c r="BK984" s="35"/>
      <c r="BL984" s="79"/>
      <c r="BM984" s="230"/>
      <c r="BN984" s="211"/>
      <c r="BO984" s="164"/>
      <c r="BP984" s="76"/>
      <c r="BQ984" s="44"/>
      <c r="BR984" s="299"/>
      <c r="BS984" s="52"/>
      <c r="BT984" s="35"/>
      <c r="BU984" s="79"/>
      <c r="BV984" s="212"/>
      <c r="BW984" s="304"/>
      <c r="BX984" s="313"/>
      <c r="BY984" s="138"/>
    </row>
    <row r="985" spans="1:77" s="135" customFormat="1" ht="27.75" customHeight="1" x14ac:dyDescent="0.2">
      <c r="A985" s="1020" t="s">
        <v>21</v>
      </c>
      <c r="B985" s="984"/>
      <c r="C985" s="984" t="s">
        <v>2848</v>
      </c>
      <c r="D985" s="985">
        <v>61.351999999999997</v>
      </c>
      <c r="E985" s="971" t="s">
        <v>631</v>
      </c>
      <c r="F985" s="1255"/>
      <c r="G985" s="1256"/>
      <c r="H985" s="988"/>
      <c r="I985" s="989"/>
      <c r="J985" s="988"/>
      <c r="K985" s="988"/>
      <c r="L985" s="989"/>
      <c r="M985" s="988"/>
      <c r="N985" s="992">
        <f>0.164486</f>
        <v>0.16448599999999999</v>
      </c>
      <c r="O985" s="1046"/>
      <c r="P985" s="988"/>
      <c r="Q985" s="1136"/>
      <c r="R985" s="1046"/>
      <c r="S985" s="988"/>
      <c r="T985" s="1136"/>
      <c r="U985" s="988"/>
      <c r="V985" s="993"/>
      <c r="W985" s="1257"/>
      <c r="X985" s="1258"/>
      <c r="Y985" s="996"/>
      <c r="Z985" s="996"/>
      <c r="AA985" s="1008"/>
      <c r="AB985" s="1259"/>
      <c r="AC985" s="1260"/>
      <c r="AD985" s="1000"/>
      <c r="AE985" s="1000"/>
      <c r="AF985" s="1001"/>
      <c r="AG985" s="1002"/>
      <c r="AH985" s="1003"/>
      <c r="AI985" s="996"/>
      <c r="AJ985" s="1004"/>
      <c r="AK985" s="1005"/>
      <c r="AL985" s="1006"/>
      <c r="AM985" s="1007"/>
      <c r="AN985" s="1000"/>
      <c r="AO985" s="1001">
        <f>AS985*(1+AT985)</f>
        <v>8.5532719999999993E-2</v>
      </c>
      <c r="AP985" s="1002">
        <f>AO985</f>
        <v>8.5532719999999993E-2</v>
      </c>
      <c r="AQ985" s="1003">
        <v>2010</v>
      </c>
      <c r="AR985" s="996"/>
      <c r="AS985" s="1004">
        <f>+N985</f>
        <v>0.16448599999999999</v>
      </c>
      <c r="AT985" s="1261">
        <v>-0.48</v>
      </c>
      <c r="AU985" s="1010">
        <f>+AT985</f>
        <v>-0.48</v>
      </c>
      <c r="AV985" s="1000"/>
      <c r="AW985" s="1000"/>
      <c r="AX985" s="1011"/>
      <c r="AY985" s="1012"/>
      <c r="AZ985" s="1003"/>
      <c r="BA985" s="996"/>
      <c r="BB985" s="1004"/>
      <c r="BC985" s="1009"/>
      <c r="BD985" s="1013"/>
      <c r="BE985" s="1007"/>
      <c r="BF985" s="1000"/>
      <c r="BG985" s="1011"/>
      <c r="BH985" s="1012"/>
      <c r="BI985" s="1003"/>
      <c r="BJ985" s="996"/>
      <c r="BK985" s="1004"/>
      <c r="BL985" s="1009"/>
      <c r="BM985" s="1013"/>
      <c r="BN985" s="1007"/>
      <c r="BO985" s="1000"/>
      <c r="BP985" s="1011"/>
      <c r="BQ985" s="1012"/>
      <c r="BR985" s="1016"/>
      <c r="BS985" s="996"/>
      <c r="BT985" s="1004"/>
      <c r="BU985" s="1009"/>
      <c r="BV985" s="1010"/>
      <c r="BW985" s="304"/>
      <c r="BX985" s="313"/>
      <c r="BY985" s="1017"/>
    </row>
    <row r="986" spans="1:77" ht="15" customHeight="1" x14ac:dyDescent="0.2">
      <c r="A986" s="57" t="s">
        <v>21</v>
      </c>
      <c r="B986" s="583"/>
      <c r="C986" s="583" t="s">
        <v>2342</v>
      </c>
      <c r="D986" s="546">
        <v>1700</v>
      </c>
      <c r="E986" s="162" t="s">
        <v>2343</v>
      </c>
      <c r="F986" s="358"/>
      <c r="G986" s="65"/>
      <c r="H986" s="73"/>
      <c r="I986" s="90"/>
      <c r="J986" s="73"/>
      <c r="K986" s="66">
        <v>10.194000000000001</v>
      </c>
      <c r="L986" s="717"/>
      <c r="M986" s="73"/>
      <c r="N986" s="359"/>
      <c r="O986" s="1041"/>
      <c r="P986" s="73"/>
      <c r="Q986" s="359"/>
      <c r="R986" s="1041"/>
      <c r="S986" s="73"/>
      <c r="T986" s="359"/>
      <c r="U986" s="73"/>
      <c r="V986" s="66"/>
      <c r="W986" s="594">
        <f t="shared" ref="W986" si="633">AA986*(1+AB986)</f>
        <v>8.0532600000000013E-3</v>
      </c>
      <c r="X986" s="595">
        <f t="shared" ref="X986" si="634">AA986*(1+AC986)</f>
        <v>8.0532600000000013E-3</v>
      </c>
      <c r="Y986" s="52">
        <v>2005</v>
      </c>
      <c r="Z986" s="52"/>
      <c r="AA986" s="596">
        <f>+K986/1000</f>
        <v>1.0194000000000002E-2</v>
      </c>
      <c r="AB986" s="256">
        <v>-0.21</v>
      </c>
      <c r="AC986" s="688">
        <f t="shared" ref="AC986" si="635">AB986</f>
        <v>-0.21</v>
      </c>
      <c r="AD986" s="164"/>
      <c r="AE986" s="164"/>
      <c r="AF986" s="25"/>
      <c r="AG986" s="26"/>
      <c r="AH986" s="275"/>
      <c r="AI986" s="52"/>
      <c r="AJ986" s="35"/>
      <c r="AK986" s="289"/>
      <c r="AL986" s="290"/>
      <c r="AM986" s="211"/>
      <c r="AN986" s="164"/>
      <c r="AO986" s="76"/>
      <c r="AP986" s="44"/>
      <c r="AQ986" s="275"/>
      <c r="AR986" s="52"/>
      <c r="AS986" s="35"/>
      <c r="AT986" s="79"/>
      <c r="AU986" s="212"/>
      <c r="AV986" s="164"/>
      <c r="AW986" s="164"/>
      <c r="AX986" s="76"/>
      <c r="AY986" s="44"/>
      <c r="AZ986" s="275"/>
      <c r="BA986" s="52"/>
      <c r="BB986" s="35"/>
      <c r="BC986" s="79"/>
      <c r="BD986" s="230"/>
      <c r="BE986" s="211"/>
      <c r="BF986" s="164"/>
      <c r="BG986" s="76"/>
      <c r="BH986" s="44"/>
      <c r="BI986" s="275"/>
      <c r="BJ986" s="52"/>
      <c r="BK986" s="35"/>
      <c r="BL986" s="79"/>
      <c r="BM986" s="230"/>
      <c r="BN986" s="211"/>
      <c r="BO986" s="164"/>
      <c r="BP986" s="76"/>
      <c r="BQ986" s="44"/>
      <c r="BR986" s="299"/>
      <c r="BS986" s="52"/>
      <c r="BT986" s="35"/>
      <c r="BU986" s="79"/>
      <c r="BV986" s="212"/>
      <c r="BW986" s="304"/>
      <c r="BX986" s="313"/>
      <c r="BY986" s="138"/>
    </row>
    <row r="987" spans="1:77" ht="15" customHeight="1" x14ac:dyDescent="0.2">
      <c r="A987" s="57" t="s">
        <v>21</v>
      </c>
      <c r="B987" s="57"/>
      <c r="C987" s="583" t="s">
        <v>872</v>
      </c>
      <c r="D987" s="546">
        <v>98.8</v>
      </c>
      <c r="E987" s="162" t="s">
        <v>631</v>
      </c>
      <c r="F987" s="358"/>
      <c r="G987" s="65"/>
      <c r="H987" s="73"/>
      <c r="I987" s="90"/>
      <c r="J987" s="73"/>
      <c r="K987" s="66"/>
      <c r="L987" s="717"/>
      <c r="M987" s="73"/>
      <c r="N987" s="359">
        <v>0.41245500000000002</v>
      </c>
      <c r="O987" s="1041"/>
      <c r="P987" s="73"/>
      <c r="Q987" s="359"/>
      <c r="R987" s="1041"/>
      <c r="S987" s="73"/>
      <c r="T987" s="359"/>
      <c r="U987" s="73"/>
      <c r="V987" s="66"/>
      <c r="W987" s="740">
        <f t="shared" ref="W987:W1000" si="636">AA987*(1+AB987)</f>
        <v>2.8871849999999999E-4</v>
      </c>
      <c r="X987" s="741">
        <f t="shared" ref="X987:X1000" si="637">AA987*(1+AC987)</f>
        <v>2.8871849999999999E-4</v>
      </c>
      <c r="Y987" s="52">
        <v>2010</v>
      </c>
      <c r="Z987" s="52"/>
      <c r="AA987" s="739">
        <f>+N987/1000</f>
        <v>4.1245499999999999E-4</v>
      </c>
      <c r="AB987" s="256">
        <v>-0.3</v>
      </c>
      <c r="AC987" s="688">
        <f t="shared" ref="AC987:AC1000" si="638">AB987</f>
        <v>-0.3</v>
      </c>
      <c r="AD987" s="164"/>
      <c r="AE987" s="164"/>
      <c r="AF987" s="25"/>
      <c r="AG987" s="26"/>
      <c r="AH987" s="275"/>
      <c r="AI987" s="52"/>
      <c r="AJ987" s="35"/>
      <c r="AK987" s="289"/>
      <c r="AL987" s="290"/>
      <c r="AM987" s="211"/>
      <c r="AN987" s="164"/>
      <c r="AO987" s="76"/>
      <c r="AP987" s="44"/>
      <c r="AQ987" s="275"/>
      <c r="AR987" s="52"/>
      <c r="AS987" s="35"/>
      <c r="AT987" s="79"/>
      <c r="AU987" s="212"/>
      <c r="AV987" s="164"/>
      <c r="AW987" s="164"/>
      <c r="AX987" s="76"/>
      <c r="AY987" s="44"/>
      <c r="AZ987" s="275"/>
      <c r="BA987" s="52"/>
      <c r="BB987" s="35"/>
      <c r="BC987" s="79"/>
      <c r="BD987" s="230"/>
      <c r="BE987" s="211"/>
      <c r="BF987" s="164"/>
      <c r="BG987" s="76"/>
      <c r="BH987" s="44"/>
      <c r="BI987" s="275"/>
      <c r="BJ987" s="52"/>
      <c r="BK987" s="35"/>
      <c r="BL987" s="79"/>
      <c r="BM987" s="230"/>
      <c r="BN987" s="211"/>
      <c r="BO987" s="164"/>
      <c r="BP987" s="76"/>
      <c r="BQ987" s="44"/>
      <c r="BR987" s="299"/>
      <c r="BS987" s="52"/>
      <c r="BT987" s="35"/>
      <c r="BU987" s="79"/>
      <c r="BV987" s="212"/>
      <c r="BW987" s="304"/>
      <c r="BX987" s="313"/>
      <c r="BY987" s="138"/>
    </row>
    <row r="988" spans="1:77" ht="15" customHeight="1" x14ac:dyDescent="0.2">
      <c r="A988" s="57" t="s">
        <v>21</v>
      </c>
      <c r="B988" s="57"/>
      <c r="C988" s="583" t="s">
        <v>873</v>
      </c>
      <c r="D988" s="546">
        <v>1.1850000000000001</v>
      </c>
      <c r="E988" s="162" t="s">
        <v>631</v>
      </c>
      <c r="F988" s="358"/>
      <c r="G988" s="65"/>
      <c r="H988" s="73"/>
      <c r="I988" s="90"/>
      <c r="J988" s="73"/>
      <c r="K988" s="66"/>
      <c r="L988" s="717"/>
      <c r="M988" s="73"/>
      <c r="N988" s="786">
        <v>3.055E-3</v>
      </c>
      <c r="O988" s="1041"/>
      <c r="P988" s="73"/>
      <c r="Q988" s="786"/>
      <c r="R988" s="1041"/>
      <c r="S988" s="73"/>
      <c r="T988" s="786"/>
      <c r="U988" s="73"/>
      <c r="V988" s="66"/>
      <c r="W988" s="788">
        <f t="shared" si="636"/>
        <v>2.1384999999999999E-6</v>
      </c>
      <c r="X988" s="789">
        <f t="shared" si="637"/>
        <v>2.1384999999999999E-6</v>
      </c>
      <c r="Y988" s="52">
        <v>2010</v>
      </c>
      <c r="Z988" s="52"/>
      <c r="AA988" s="787">
        <f>+N988/1000</f>
        <v>3.055E-6</v>
      </c>
      <c r="AB988" s="256">
        <v>-0.3</v>
      </c>
      <c r="AC988" s="688">
        <f t="shared" si="638"/>
        <v>-0.3</v>
      </c>
      <c r="AD988" s="164"/>
      <c r="AE988" s="164"/>
      <c r="AF988" s="25"/>
      <c r="AG988" s="26"/>
      <c r="AH988" s="275"/>
      <c r="AI988" s="52"/>
      <c r="AJ988" s="35"/>
      <c r="AK988" s="289"/>
      <c r="AL988" s="290"/>
      <c r="AM988" s="211"/>
      <c r="AN988" s="164"/>
      <c r="AO988" s="76"/>
      <c r="AP988" s="44"/>
      <c r="AQ988" s="275"/>
      <c r="AR988" s="52"/>
      <c r="AS988" s="35"/>
      <c r="AT988" s="79"/>
      <c r="AU988" s="212"/>
      <c r="AV988" s="164"/>
      <c r="AW988" s="164"/>
      <c r="AX988" s="76"/>
      <c r="AY988" s="44"/>
      <c r="AZ988" s="275"/>
      <c r="BA988" s="52"/>
      <c r="BB988" s="35"/>
      <c r="BC988" s="79"/>
      <c r="BD988" s="230"/>
      <c r="BE988" s="211"/>
      <c r="BF988" s="164"/>
      <c r="BG988" s="76"/>
      <c r="BH988" s="44"/>
      <c r="BI988" s="275"/>
      <c r="BJ988" s="52"/>
      <c r="BK988" s="35"/>
      <c r="BL988" s="79"/>
      <c r="BM988" s="230"/>
      <c r="BN988" s="211"/>
      <c r="BO988" s="164"/>
      <c r="BP988" s="76"/>
      <c r="BQ988" s="44"/>
      <c r="BR988" s="299"/>
      <c r="BS988" s="52"/>
      <c r="BT988" s="35"/>
      <c r="BU988" s="79"/>
      <c r="BV988" s="212"/>
      <c r="BW988" s="304"/>
      <c r="BX988" s="313"/>
      <c r="BY988" s="138"/>
    </row>
    <row r="989" spans="1:77" ht="15" customHeight="1" x14ac:dyDescent="0.2">
      <c r="A989" s="57" t="s">
        <v>21</v>
      </c>
      <c r="B989" s="57"/>
      <c r="C989" s="583" t="s">
        <v>2852</v>
      </c>
      <c r="D989" s="546">
        <v>45.703000000000003</v>
      </c>
      <c r="E989" s="162" t="s">
        <v>631</v>
      </c>
      <c r="F989" s="358"/>
      <c r="G989" s="65"/>
      <c r="H989" s="73"/>
      <c r="I989" s="90"/>
      <c r="J989" s="73"/>
      <c r="K989" s="66"/>
      <c r="L989" s="717"/>
      <c r="M989" s="73"/>
      <c r="N989" s="786">
        <v>0.14363200000000001</v>
      </c>
      <c r="O989" s="1041"/>
      <c r="P989" s="73"/>
      <c r="Q989" s="786"/>
      <c r="R989" s="1041"/>
      <c r="S989" s="73"/>
      <c r="T989" s="786"/>
      <c r="U989" s="73"/>
      <c r="V989" s="66"/>
      <c r="W989" s="788"/>
      <c r="X989" s="789"/>
      <c r="Y989" s="52"/>
      <c r="Z989" s="52"/>
      <c r="AA989" s="787"/>
      <c r="AB989" s="256"/>
      <c r="AC989" s="688"/>
      <c r="AD989" s="164"/>
      <c r="AE989" s="164"/>
      <c r="AF989" s="25"/>
      <c r="AG989" s="26"/>
      <c r="AH989" s="275"/>
      <c r="AI989" s="52"/>
      <c r="AJ989" s="35"/>
      <c r="AK989" s="289"/>
      <c r="AL989" s="290"/>
      <c r="AM989" s="211"/>
      <c r="AN989" s="164"/>
      <c r="AO989" s="1001">
        <f>AS989*(1+AT989)</f>
        <v>8.1870240000000011E-2</v>
      </c>
      <c r="AP989" s="1002">
        <f>AO989</f>
        <v>8.1870240000000011E-2</v>
      </c>
      <c r="AQ989" s="1003">
        <v>2010</v>
      </c>
      <c r="AR989" s="996"/>
      <c r="AS989" s="1004">
        <f>+N989</f>
        <v>0.14363200000000001</v>
      </c>
      <c r="AT989" s="1261">
        <v>-0.43</v>
      </c>
      <c r="AU989" s="1010">
        <f>+AT989</f>
        <v>-0.43</v>
      </c>
      <c r="AV989" s="164"/>
      <c r="AW989" s="164"/>
      <c r="AX989" s="76"/>
      <c r="AY989" s="44"/>
      <c r="AZ989" s="275"/>
      <c r="BA989" s="52"/>
      <c r="BB989" s="35"/>
      <c r="BC989" s="79"/>
      <c r="BD989" s="230"/>
      <c r="BE989" s="211"/>
      <c r="BF989" s="164"/>
      <c r="BG989" s="76"/>
      <c r="BH989" s="44"/>
      <c r="BI989" s="275"/>
      <c r="BJ989" s="52"/>
      <c r="BK989" s="35"/>
      <c r="BL989" s="79"/>
      <c r="BM989" s="230"/>
      <c r="BN989" s="211"/>
      <c r="BO989" s="164"/>
      <c r="BP989" s="76"/>
      <c r="BQ989" s="44"/>
      <c r="BR989" s="299"/>
      <c r="BS989" s="52"/>
      <c r="BT989" s="35"/>
      <c r="BU989" s="79"/>
      <c r="BV989" s="212"/>
      <c r="BW989" s="304"/>
      <c r="BX989" s="313"/>
      <c r="BY989" s="138"/>
    </row>
    <row r="990" spans="1:77" ht="15" customHeight="1" x14ac:dyDescent="0.2">
      <c r="A990" s="57" t="s">
        <v>21</v>
      </c>
      <c r="B990" s="57"/>
      <c r="C990" s="583" t="s">
        <v>874</v>
      </c>
      <c r="D990" s="546">
        <v>3.581</v>
      </c>
      <c r="E990" s="162" t="s">
        <v>631</v>
      </c>
      <c r="F990" s="358"/>
      <c r="G990" s="65"/>
      <c r="H990" s="73"/>
      <c r="I990" s="90"/>
      <c r="J990" s="73"/>
      <c r="K990" s="66"/>
      <c r="L990" s="717">
        <v>2008</v>
      </c>
      <c r="M990" s="73"/>
      <c r="N990" s="786">
        <v>6.7149999999999996E-3</v>
      </c>
      <c r="O990" s="1041"/>
      <c r="P990" s="73"/>
      <c r="Q990" s="786"/>
      <c r="R990" s="1041"/>
      <c r="S990" s="73"/>
      <c r="T990" s="786"/>
      <c r="U990" s="73"/>
      <c r="V990" s="66"/>
      <c r="W990" s="788">
        <f t="shared" si="636"/>
        <v>0</v>
      </c>
      <c r="X990" s="789">
        <f t="shared" si="637"/>
        <v>0</v>
      </c>
      <c r="Y990" s="52">
        <v>2008</v>
      </c>
      <c r="Z990" s="52"/>
      <c r="AA990" s="787">
        <f>+N990/1000</f>
        <v>6.7149999999999992E-6</v>
      </c>
      <c r="AB990" s="256">
        <v>-1</v>
      </c>
      <c r="AC990" s="688">
        <f t="shared" si="638"/>
        <v>-1</v>
      </c>
      <c r="AD990" s="164"/>
      <c r="AE990" s="164"/>
      <c r="AF990" s="25"/>
      <c r="AG990" s="26"/>
      <c r="AH990" s="275"/>
      <c r="AI990" s="52"/>
      <c r="AJ990" s="35"/>
      <c r="AK990" s="289"/>
      <c r="AL990" s="290"/>
      <c r="AM990" s="211"/>
      <c r="AN990" s="164"/>
      <c r="AO990" s="76"/>
      <c r="AP990" s="44"/>
      <c r="AQ990" s="275"/>
      <c r="AR990" s="52"/>
      <c r="AS990" s="35"/>
      <c r="AT990" s="79"/>
      <c r="AU990" s="212"/>
      <c r="AV990" s="164"/>
      <c r="AW990" s="164"/>
      <c r="AX990" s="76"/>
      <c r="AY990" s="44"/>
      <c r="AZ990" s="275"/>
      <c r="BA990" s="52"/>
      <c r="BB990" s="35"/>
      <c r="BC990" s="79"/>
      <c r="BD990" s="230"/>
      <c r="BE990" s="211"/>
      <c r="BF990" s="164"/>
      <c r="BG990" s="76"/>
      <c r="BH990" s="44"/>
      <c r="BI990" s="275"/>
      <c r="BJ990" s="52"/>
      <c r="BK990" s="35"/>
      <c r="BL990" s="79"/>
      <c r="BM990" s="230"/>
      <c r="BN990" s="211"/>
      <c r="BO990" s="164"/>
      <c r="BP990" s="76"/>
      <c r="BQ990" s="44"/>
      <c r="BR990" s="299"/>
      <c r="BS990" s="52"/>
      <c r="BT990" s="35"/>
      <c r="BU990" s="79"/>
      <c r="BV990" s="212"/>
      <c r="BW990" s="304"/>
      <c r="BX990" s="313"/>
      <c r="BY990" s="138"/>
    </row>
    <row r="991" spans="1:77" ht="15" customHeight="1" x14ac:dyDescent="0.2">
      <c r="A991" s="57" t="s">
        <v>21</v>
      </c>
      <c r="B991" s="57"/>
      <c r="C991" s="583" t="s">
        <v>870</v>
      </c>
      <c r="D991" s="546">
        <v>23.763999999999999</v>
      </c>
      <c r="E991" s="162" t="s">
        <v>631</v>
      </c>
      <c r="F991" s="358"/>
      <c r="G991" s="65"/>
      <c r="H991" s="73"/>
      <c r="I991" s="90">
        <v>2004</v>
      </c>
      <c r="J991" s="73"/>
      <c r="K991" s="734">
        <v>0.12177499999999999</v>
      </c>
      <c r="L991" s="717"/>
      <c r="M991" s="73"/>
      <c r="N991" s="359"/>
      <c r="O991" s="1041"/>
      <c r="P991" s="73"/>
      <c r="Q991" s="359"/>
      <c r="R991" s="1041"/>
      <c r="S991" s="73"/>
      <c r="T991" s="359"/>
      <c r="U991" s="73"/>
      <c r="V991" s="66"/>
      <c r="W991" s="740">
        <f t="shared" si="636"/>
        <v>8.7677999999999996E-5</v>
      </c>
      <c r="X991" s="741">
        <f t="shared" si="637"/>
        <v>8.7677999999999996E-5</v>
      </c>
      <c r="Y991" s="52">
        <v>2004</v>
      </c>
      <c r="Z991" s="52"/>
      <c r="AA991" s="739">
        <f>+K991/1000</f>
        <v>1.2177499999999999E-4</v>
      </c>
      <c r="AB991" s="256">
        <v>-0.28000000000000003</v>
      </c>
      <c r="AC991" s="688">
        <f t="shared" si="638"/>
        <v>-0.28000000000000003</v>
      </c>
      <c r="AD991" s="164"/>
      <c r="AE991" s="164"/>
      <c r="AF991" s="25"/>
      <c r="AG991" s="26"/>
      <c r="AH991" s="275"/>
      <c r="AI991" s="52"/>
      <c r="AJ991" s="35"/>
      <c r="AK991" s="289"/>
      <c r="AL991" s="290"/>
      <c r="AM991" s="211"/>
      <c r="AN991" s="164"/>
      <c r="AO991" s="76"/>
      <c r="AP991" s="44"/>
      <c r="AQ991" s="275"/>
      <c r="AR991" s="52"/>
      <c r="AS991" s="35"/>
      <c r="AT991" s="79"/>
      <c r="AU991" s="212"/>
      <c r="AV991" s="164"/>
      <c r="AW991" s="164"/>
      <c r="AX991" s="76"/>
      <c r="AY991" s="44"/>
      <c r="AZ991" s="275"/>
      <c r="BA991" s="52"/>
      <c r="BB991" s="35"/>
      <c r="BC991" s="79"/>
      <c r="BD991" s="230"/>
      <c r="BE991" s="211"/>
      <c r="BF991" s="164"/>
      <c r="BG991" s="76"/>
      <c r="BH991" s="44"/>
      <c r="BI991" s="275"/>
      <c r="BJ991" s="52"/>
      <c r="BK991" s="35"/>
      <c r="BL991" s="79"/>
      <c r="BM991" s="230"/>
      <c r="BN991" s="211"/>
      <c r="BO991" s="164"/>
      <c r="BP991" s="76"/>
      <c r="BQ991" s="44"/>
      <c r="BR991" s="299"/>
      <c r="BS991" s="52"/>
      <c r="BT991" s="35"/>
      <c r="BU991" s="79"/>
      <c r="BV991" s="212"/>
      <c r="BW991" s="304"/>
      <c r="BX991" s="313"/>
      <c r="BY991" s="138"/>
    </row>
    <row r="992" spans="1:77" s="135" customFormat="1" ht="15" customHeight="1" x14ac:dyDescent="0.2">
      <c r="A992" s="57" t="s">
        <v>21</v>
      </c>
      <c r="B992" s="1020"/>
      <c r="C992" s="984" t="s">
        <v>2654</v>
      </c>
      <c r="D992" s="985">
        <v>26.622</v>
      </c>
      <c r="E992" s="162" t="s">
        <v>631</v>
      </c>
      <c r="F992" s="986"/>
      <c r="G992" s="987"/>
      <c r="H992" s="988"/>
      <c r="I992" s="989"/>
      <c r="J992" s="988"/>
      <c r="K992" s="990"/>
      <c r="L992" s="991"/>
      <c r="M992" s="988"/>
      <c r="N992" s="1136"/>
      <c r="O992" s="1046">
        <v>2013</v>
      </c>
      <c r="P992" s="988"/>
      <c r="Q992" s="1136"/>
      <c r="R992" s="1046"/>
      <c r="S992" s="988"/>
      <c r="T992" s="1136"/>
      <c r="U992" s="988"/>
      <c r="V992" s="993"/>
      <c r="W992" s="788">
        <f t="shared" ref="W992" si="639">AA992*(1+AB992)</f>
        <v>0</v>
      </c>
      <c r="X992" s="789">
        <f t="shared" ref="X992" si="640">AA992*(1+AC992)</f>
        <v>0</v>
      </c>
      <c r="Y992" s="52">
        <v>2008</v>
      </c>
      <c r="Z992" s="52"/>
      <c r="AA992" s="787">
        <f>+N992/1000</f>
        <v>0</v>
      </c>
      <c r="AB992" s="256">
        <v>-1</v>
      </c>
      <c r="AC992" s="688">
        <f t="shared" ref="AC992" si="641">AB992</f>
        <v>-1</v>
      </c>
      <c r="AD992" s="1000"/>
      <c r="AE992" s="1000"/>
      <c r="AF992" s="1001"/>
      <c r="AG992" s="1002"/>
      <c r="AH992" s="1003"/>
      <c r="AI992" s="996"/>
      <c r="AJ992" s="1004"/>
      <c r="AK992" s="1005"/>
      <c r="AL992" s="1006"/>
      <c r="AM992" s="1007"/>
      <c r="AN992" s="1000"/>
      <c r="AO992" s="1011"/>
      <c r="AP992" s="1012"/>
      <c r="AQ992" s="1003"/>
      <c r="AR992" s="996"/>
      <c r="AS992" s="1004"/>
      <c r="AT992" s="1009"/>
      <c r="AU992" s="1010"/>
      <c r="AV992" s="1000"/>
      <c r="AW992" s="1000"/>
      <c r="AX992" s="1011"/>
      <c r="AY992" s="1012"/>
      <c r="AZ992" s="1003"/>
      <c r="BA992" s="996"/>
      <c r="BB992" s="1004"/>
      <c r="BC992" s="1009"/>
      <c r="BD992" s="1013"/>
      <c r="BE992" s="1007"/>
      <c r="BF992" s="1000"/>
      <c r="BG992" s="1011"/>
      <c r="BH992" s="1012"/>
      <c r="BI992" s="1003"/>
      <c r="BJ992" s="996"/>
      <c r="BK992" s="1004"/>
      <c r="BL992" s="1009"/>
      <c r="BM992" s="1013"/>
      <c r="BN992" s="1007"/>
      <c r="BO992" s="1000"/>
      <c r="BP992" s="1011"/>
      <c r="BQ992" s="1012"/>
      <c r="BR992" s="1016"/>
      <c r="BS992" s="996"/>
      <c r="BT992" s="1004"/>
      <c r="BU992" s="1009"/>
      <c r="BV992" s="1010"/>
      <c r="BW992" s="304"/>
      <c r="BX992" s="313"/>
      <c r="BY992" s="1017"/>
    </row>
    <row r="993" spans="1:77" ht="15" customHeight="1" x14ac:dyDescent="0.2">
      <c r="A993" s="57" t="s">
        <v>21</v>
      </c>
      <c r="B993" s="57"/>
      <c r="C993" s="583" t="s">
        <v>869</v>
      </c>
      <c r="D993" s="546">
        <v>6.8979999999999997</v>
      </c>
      <c r="E993" s="162" t="s">
        <v>631</v>
      </c>
      <c r="F993" s="358"/>
      <c r="G993" s="65"/>
      <c r="H993" s="73"/>
      <c r="I993" s="90">
        <v>2004</v>
      </c>
      <c r="J993" s="73"/>
      <c r="K993" s="734">
        <v>5.4871000000000003E-2</v>
      </c>
      <c r="L993" s="717"/>
      <c r="M993" s="73"/>
      <c r="N993" s="359"/>
      <c r="O993" s="1041"/>
      <c r="P993" s="73"/>
      <c r="Q993" s="359"/>
      <c r="R993" s="1041"/>
      <c r="S993" s="73"/>
      <c r="T993" s="359"/>
      <c r="U993" s="73"/>
      <c r="V993" s="66"/>
      <c r="W993" s="740">
        <f t="shared" si="636"/>
        <v>1.4815170000000001E-5</v>
      </c>
      <c r="X993" s="741">
        <f t="shared" si="637"/>
        <v>1.4815170000000001E-5</v>
      </c>
      <c r="Y993" s="52">
        <v>2004</v>
      </c>
      <c r="Z993" s="52"/>
      <c r="AA993" s="739">
        <f>+K993/1000</f>
        <v>5.4871000000000004E-5</v>
      </c>
      <c r="AB993" s="256">
        <v>-0.73</v>
      </c>
      <c r="AC993" s="688">
        <f t="shared" si="638"/>
        <v>-0.73</v>
      </c>
      <c r="AD993" s="164"/>
      <c r="AE993" s="164"/>
      <c r="AF993" s="25"/>
      <c r="AG993" s="26"/>
      <c r="AH993" s="275"/>
      <c r="AI993" s="52"/>
      <c r="AJ993" s="35"/>
      <c r="AK993" s="289"/>
      <c r="AL993" s="290"/>
      <c r="AM993" s="211"/>
      <c r="AN993" s="164"/>
      <c r="AO993" s="76"/>
      <c r="AP993" s="44"/>
      <c r="AQ993" s="275"/>
      <c r="AR993" s="52"/>
      <c r="AS993" s="35"/>
      <c r="AT993" s="79"/>
      <c r="AU993" s="212"/>
      <c r="AV993" s="164"/>
      <c r="AW993" s="164"/>
      <c r="AX993" s="76"/>
      <c r="AY993" s="44"/>
      <c r="AZ993" s="275"/>
      <c r="BA993" s="52"/>
      <c r="BB993" s="35"/>
      <c r="BC993" s="79"/>
      <c r="BD993" s="230"/>
      <c r="BE993" s="211"/>
      <c r="BF993" s="164"/>
      <c r="BG993" s="76"/>
      <c r="BH993" s="44"/>
      <c r="BI993" s="275"/>
      <c r="BJ993" s="52"/>
      <c r="BK993" s="35"/>
      <c r="BL993" s="79"/>
      <c r="BM993" s="230"/>
      <c r="BN993" s="211"/>
      <c r="BO993" s="164"/>
      <c r="BP993" s="76"/>
      <c r="BQ993" s="44"/>
      <c r="BR993" s="299"/>
      <c r="BS993" s="52"/>
      <c r="BT993" s="35"/>
      <c r="BU993" s="79"/>
      <c r="BV993" s="212"/>
      <c r="BW993" s="304"/>
      <c r="BX993" s="313"/>
      <c r="BY993" s="138"/>
    </row>
    <row r="994" spans="1:77" ht="15" customHeight="1" x14ac:dyDescent="0.2">
      <c r="A994" s="57" t="s">
        <v>21</v>
      </c>
      <c r="B994" s="57"/>
      <c r="C994" s="583" t="s">
        <v>877</v>
      </c>
      <c r="D994" s="546">
        <v>49.652000000000001</v>
      </c>
      <c r="E994" s="162" t="s">
        <v>631</v>
      </c>
      <c r="F994" s="358"/>
      <c r="G994" s="65"/>
      <c r="H994" s="73"/>
      <c r="I994" s="90">
        <v>2007</v>
      </c>
      <c r="J994" s="73"/>
      <c r="K994" s="734">
        <v>0.237515</v>
      </c>
      <c r="L994" s="717"/>
      <c r="M994" s="73"/>
      <c r="N994" s="359"/>
      <c r="O994" s="1041"/>
      <c r="P994" s="73"/>
      <c r="Q994" s="359"/>
      <c r="R994" s="1041"/>
      <c r="S994" s="73"/>
      <c r="T994" s="359"/>
      <c r="U994" s="73"/>
      <c r="V994" s="66"/>
      <c r="W994" s="740">
        <f t="shared" si="636"/>
        <v>1.7813624999999999E-4</v>
      </c>
      <c r="X994" s="741">
        <f t="shared" si="637"/>
        <v>1.7813624999999999E-4</v>
      </c>
      <c r="Y994" s="52">
        <v>2007</v>
      </c>
      <c r="Z994" s="52"/>
      <c r="AA994" s="739">
        <f>+K994/1000</f>
        <v>2.3751499999999999E-4</v>
      </c>
      <c r="AB994" s="256">
        <v>-0.25</v>
      </c>
      <c r="AC994" s="688">
        <f t="shared" si="638"/>
        <v>-0.25</v>
      </c>
      <c r="AD994" s="164"/>
      <c r="AE994" s="164"/>
      <c r="AF994" s="25"/>
      <c r="AG994" s="26"/>
      <c r="AH994" s="275"/>
      <c r="AI994" s="52"/>
      <c r="AJ994" s="35"/>
      <c r="AK994" s="289"/>
      <c r="AL994" s="290"/>
      <c r="AM994" s="211"/>
      <c r="AN994" s="164"/>
      <c r="AO994" s="76"/>
      <c r="AP994" s="44"/>
      <c r="AQ994" s="275"/>
      <c r="AR994" s="52"/>
      <c r="AS994" s="35"/>
      <c r="AT994" s="79"/>
      <c r="AU994" s="212"/>
      <c r="AV994" s="164"/>
      <c r="AW994" s="164"/>
      <c r="AX994" s="76"/>
      <c r="AY994" s="44"/>
      <c r="AZ994" s="275"/>
      <c r="BA994" s="52"/>
      <c r="BB994" s="35"/>
      <c r="BC994" s="79"/>
      <c r="BD994" s="230"/>
      <c r="BE994" s="211"/>
      <c r="BF994" s="164"/>
      <c r="BG994" s="76"/>
      <c r="BH994" s="44"/>
      <c r="BI994" s="275"/>
      <c r="BJ994" s="52"/>
      <c r="BK994" s="35"/>
      <c r="BL994" s="79"/>
      <c r="BM994" s="230"/>
      <c r="BN994" s="211"/>
      <c r="BO994" s="164"/>
      <c r="BP994" s="76"/>
      <c r="BQ994" s="44"/>
      <c r="BR994" s="299"/>
      <c r="BS994" s="52"/>
      <c r="BT994" s="35"/>
      <c r="BU994" s="79"/>
      <c r="BV994" s="212"/>
      <c r="BW994" s="304"/>
      <c r="BX994" s="313"/>
      <c r="BY994" s="138"/>
    </row>
    <row r="995" spans="1:77" ht="15" customHeight="1" x14ac:dyDescent="0.2">
      <c r="A995" s="57" t="s">
        <v>21</v>
      </c>
      <c r="B995" s="57"/>
      <c r="C995" s="583" t="s">
        <v>875</v>
      </c>
      <c r="D995" s="546">
        <v>34.395000000000003</v>
      </c>
      <c r="E995" s="162" t="s">
        <v>631</v>
      </c>
      <c r="F995" s="358"/>
      <c r="G995" s="65"/>
      <c r="H995" s="73"/>
      <c r="I995" s="90"/>
      <c r="J995" s="73"/>
      <c r="K995" s="66"/>
      <c r="L995" s="717">
        <v>2008</v>
      </c>
      <c r="M995" s="73"/>
      <c r="N995" s="738">
        <v>7.0201E-2</v>
      </c>
      <c r="O995" s="1041"/>
      <c r="P995" s="73"/>
      <c r="Q995" s="738"/>
      <c r="R995" s="1041"/>
      <c r="S995" s="73"/>
      <c r="T995" s="738"/>
      <c r="U995" s="73"/>
      <c r="V995" s="66"/>
      <c r="W995" s="740">
        <f t="shared" si="636"/>
        <v>4.6332659999999995E-5</v>
      </c>
      <c r="X995" s="741">
        <f t="shared" si="637"/>
        <v>4.6332659999999995E-5</v>
      </c>
      <c r="Y995" s="52">
        <v>2008</v>
      </c>
      <c r="Z995" s="52"/>
      <c r="AA995" s="739">
        <f t="shared" ref="AA995:AA1000" si="642">+N995/1000</f>
        <v>7.0201000000000001E-5</v>
      </c>
      <c r="AB995" s="256">
        <v>-0.34</v>
      </c>
      <c r="AC995" s="688">
        <f t="shared" si="638"/>
        <v>-0.34</v>
      </c>
      <c r="AD995" s="164"/>
      <c r="AE995" s="164"/>
      <c r="AF995" s="25"/>
      <c r="AG995" s="26"/>
      <c r="AH995" s="275"/>
      <c r="AI995" s="52"/>
      <c r="AJ995" s="35"/>
      <c r="AK995" s="289"/>
      <c r="AL995" s="290"/>
      <c r="AM995" s="211"/>
      <c r="AN995" s="164"/>
      <c r="AO995" s="76"/>
      <c r="AP995" s="44"/>
      <c r="AQ995" s="275"/>
      <c r="AR995" s="52"/>
      <c r="AS995" s="35"/>
      <c r="AT995" s="79"/>
      <c r="AU995" s="212"/>
      <c r="AV995" s="164"/>
      <c r="AW995" s="164"/>
      <c r="AX995" s="76"/>
      <c r="AY995" s="44"/>
      <c r="AZ995" s="275"/>
      <c r="BA995" s="52"/>
      <c r="BB995" s="35"/>
      <c r="BC995" s="79"/>
      <c r="BD995" s="230"/>
      <c r="BE995" s="211"/>
      <c r="BF995" s="164"/>
      <c r="BG995" s="76"/>
      <c r="BH995" s="44"/>
      <c r="BI995" s="275"/>
      <c r="BJ995" s="52"/>
      <c r="BK995" s="35"/>
      <c r="BL995" s="79"/>
      <c r="BM995" s="230"/>
      <c r="BN995" s="211"/>
      <c r="BO995" s="164"/>
      <c r="BP995" s="76"/>
      <c r="BQ995" s="44"/>
      <c r="BR995" s="299"/>
      <c r="BS995" s="52"/>
      <c r="BT995" s="35"/>
      <c r="BU995" s="79"/>
      <c r="BV995" s="212"/>
      <c r="BW995" s="304"/>
      <c r="BX995" s="313"/>
      <c r="BY995" s="138"/>
    </row>
    <row r="996" spans="1:77" ht="15" customHeight="1" x14ac:dyDescent="0.2">
      <c r="A996" s="57" t="s">
        <v>21</v>
      </c>
      <c r="B996" s="57"/>
      <c r="C996" s="583" t="s">
        <v>878</v>
      </c>
      <c r="D996" s="546">
        <v>156.80099999999999</v>
      </c>
      <c r="E996" s="162" t="s">
        <v>631</v>
      </c>
      <c r="F996" s="358"/>
      <c r="G996" s="65"/>
      <c r="H996" s="73"/>
      <c r="I996" s="90"/>
      <c r="J996" s="73"/>
      <c r="K996" s="66"/>
      <c r="L996" s="717">
        <v>2011</v>
      </c>
      <c r="M996" s="73"/>
      <c r="N996" s="359">
        <v>0.465943</v>
      </c>
      <c r="O996" s="1041"/>
      <c r="P996" s="73"/>
      <c r="Q996" s="359"/>
      <c r="R996" s="1041"/>
      <c r="S996" s="73"/>
      <c r="T996" s="359"/>
      <c r="U996" s="73"/>
      <c r="V996" s="66"/>
      <c r="W996" s="740">
        <f t="shared" si="636"/>
        <v>3.0752237999999996E-4</v>
      </c>
      <c r="X996" s="741">
        <f t="shared" si="637"/>
        <v>3.0752237999999996E-4</v>
      </c>
      <c r="Y996" s="52">
        <v>2011</v>
      </c>
      <c r="Z996" s="52"/>
      <c r="AA996" s="739">
        <f t="shared" si="642"/>
        <v>4.6594300000000002E-4</v>
      </c>
      <c r="AB996" s="256">
        <v>-0.34</v>
      </c>
      <c r="AC996" s="688">
        <f t="shared" si="638"/>
        <v>-0.34</v>
      </c>
      <c r="AD996" s="164"/>
      <c r="AE996" s="164"/>
      <c r="AF996" s="25"/>
      <c r="AG996" s="26"/>
      <c r="AH996" s="275"/>
      <c r="AI996" s="52"/>
      <c r="AJ996" s="35"/>
      <c r="AK996" s="289"/>
      <c r="AL996" s="290"/>
      <c r="AM996" s="211"/>
      <c r="AN996" s="164"/>
      <c r="AO996" s="76"/>
      <c r="AP996" s="44"/>
      <c r="AQ996" s="275"/>
      <c r="AR996" s="52"/>
      <c r="AS996" s="35"/>
      <c r="AT996" s="79"/>
      <c r="AU996" s="212"/>
      <c r="AV996" s="164"/>
      <c r="AW996" s="164"/>
      <c r="AX996" s="76"/>
      <c r="AY996" s="44"/>
      <c r="AZ996" s="275"/>
      <c r="BA996" s="52"/>
      <c r="BB996" s="35"/>
      <c r="BC996" s="79"/>
      <c r="BD996" s="230"/>
      <c r="BE996" s="211"/>
      <c r="BF996" s="164"/>
      <c r="BG996" s="76"/>
      <c r="BH996" s="44"/>
      <c r="BI996" s="275"/>
      <c r="BJ996" s="52"/>
      <c r="BK996" s="35"/>
      <c r="BL996" s="79"/>
      <c r="BM996" s="230"/>
      <c r="BN996" s="211"/>
      <c r="BO996" s="164"/>
      <c r="BP996" s="76"/>
      <c r="BQ996" s="44"/>
      <c r="BR996" s="299"/>
      <c r="BS996" s="52"/>
      <c r="BT996" s="35"/>
      <c r="BU996" s="79"/>
      <c r="BV996" s="212"/>
      <c r="BW996" s="304"/>
      <c r="BX996" s="313"/>
      <c r="BY996" s="138"/>
    </row>
    <row r="997" spans="1:77" ht="15" customHeight="1" x14ac:dyDescent="0.2">
      <c r="A997" s="57" t="s">
        <v>21</v>
      </c>
      <c r="B997" s="57"/>
      <c r="C997" s="583" t="s">
        <v>876</v>
      </c>
      <c r="D997" s="546">
        <v>13.06</v>
      </c>
      <c r="E997" s="162" t="s">
        <v>631</v>
      </c>
      <c r="F997" s="358"/>
      <c r="G997" s="65"/>
      <c r="H997" s="73"/>
      <c r="I997" s="90"/>
      <c r="J997" s="73"/>
      <c r="K997" s="66"/>
      <c r="L997" s="717">
        <v>2008</v>
      </c>
      <c r="M997" s="73"/>
      <c r="N997" s="738">
        <v>3.5403999999999998E-2</v>
      </c>
      <c r="O997" s="1041"/>
      <c r="P997" s="73"/>
      <c r="Q997" s="738"/>
      <c r="R997" s="1041"/>
      <c r="S997" s="73"/>
      <c r="T997" s="738"/>
      <c r="U997" s="73"/>
      <c r="V997" s="66"/>
      <c r="W997" s="740">
        <f t="shared" si="636"/>
        <v>2.6198959999999995E-5</v>
      </c>
      <c r="X997" s="741">
        <f t="shared" si="637"/>
        <v>2.6198959999999995E-5</v>
      </c>
      <c r="Y997" s="52">
        <v>2008</v>
      </c>
      <c r="Z997" s="52"/>
      <c r="AA997" s="739">
        <f t="shared" si="642"/>
        <v>3.5403999999999995E-5</v>
      </c>
      <c r="AB997" s="256">
        <v>-0.26</v>
      </c>
      <c r="AC997" s="688">
        <f t="shared" si="638"/>
        <v>-0.26</v>
      </c>
      <c r="AD997" s="164"/>
      <c r="AE997" s="164"/>
      <c r="AF997" s="25"/>
      <c r="AG997" s="26"/>
      <c r="AH997" s="275"/>
      <c r="AI997" s="52"/>
      <c r="AJ997" s="35"/>
      <c r="AK997" s="289"/>
      <c r="AL997" s="290"/>
      <c r="AM997" s="211"/>
      <c r="AN997" s="164"/>
      <c r="AO997" s="76"/>
      <c r="AP997" s="44"/>
      <c r="AQ997" s="275"/>
      <c r="AR997" s="52"/>
      <c r="AS997" s="35"/>
      <c r="AT997" s="79"/>
      <c r="AU997" s="212"/>
      <c r="AV997" s="164"/>
      <c r="AW997" s="164"/>
      <c r="AX997" s="76"/>
      <c r="AY997" s="44"/>
      <c r="AZ997" s="275"/>
      <c r="BA997" s="52"/>
      <c r="BB997" s="35"/>
      <c r="BC997" s="79"/>
      <c r="BD997" s="230"/>
      <c r="BE997" s="211"/>
      <c r="BF997" s="164"/>
      <c r="BG997" s="76"/>
      <c r="BH997" s="44"/>
      <c r="BI997" s="275"/>
      <c r="BJ997" s="52"/>
      <c r="BK997" s="35"/>
      <c r="BL997" s="79"/>
      <c r="BM997" s="230"/>
      <c r="BN997" s="211"/>
      <c r="BO997" s="164"/>
      <c r="BP997" s="76"/>
      <c r="BQ997" s="44"/>
      <c r="BR997" s="299"/>
      <c r="BS997" s="52"/>
      <c r="BT997" s="35"/>
      <c r="BU997" s="79"/>
      <c r="BV997" s="212"/>
      <c r="BW997" s="304"/>
      <c r="BX997" s="313"/>
      <c r="BY997" s="138"/>
    </row>
    <row r="998" spans="1:77" ht="15" customHeight="1" x14ac:dyDescent="0.2">
      <c r="A998" s="57" t="s">
        <v>21</v>
      </c>
      <c r="B998" s="57"/>
      <c r="C998" s="583" t="s">
        <v>868</v>
      </c>
      <c r="D998" s="546">
        <v>16.954000000000001</v>
      </c>
      <c r="E998" s="162" t="s">
        <v>631</v>
      </c>
      <c r="F998" s="358"/>
      <c r="G998" s="65"/>
      <c r="H998" s="73"/>
      <c r="I998" s="90"/>
      <c r="J998" s="73"/>
      <c r="K998" s="66"/>
      <c r="L998" s="717">
        <v>2011</v>
      </c>
      <c r="M998" s="73"/>
      <c r="N998" s="359">
        <v>6.5675999999999998E-2</v>
      </c>
      <c r="O998" s="1041"/>
      <c r="P998" s="73"/>
      <c r="Q998" s="359"/>
      <c r="R998" s="1041"/>
      <c r="S998" s="73"/>
      <c r="T998" s="359"/>
      <c r="U998" s="73"/>
      <c r="V998" s="66"/>
      <c r="W998" s="740">
        <f t="shared" si="636"/>
        <v>3.9405600000000001E-5</v>
      </c>
      <c r="X998" s="741">
        <f t="shared" si="637"/>
        <v>3.9405600000000001E-5</v>
      </c>
      <c r="Y998" s="52">
        <v>2011</v>
      </c>
      <c r="Z998" s="52"/>
      <c r="AA998" s="739">
        <f t="shared" si="642"/>
        <v>6.5675999999999999E-5</v>
      </c>
      <c r="AB998" s="256">
        <v>-0.4</v>
      </c>
      <c r="AC998" s="688">
        <f t="shared" si="638"/>
        <v>-0.4</v>
      </c>
      <c r="AD998" s="164"/>
      <c r="AE998" s="164"/>
      <c r="AF998" s="25"/>
      <c r="AG998" s="26"/>
      <c r="AH998" s="275"/>
      <c r="AI998" s="52"/>
      <c r="AJ998" s="35"/>
      <c r="AK998" s="289"/>
      <c r="AL998" s="290"/>
      <c r="AM998" s="211"/>
      <c r="AN998" s="164"/>
      <c r="AO998" s="76"/>
      <c r="AP998" s="44"/>
      <c r="AQ998" s="275"/>
      <c r="AR998" s="52"/>
      <c r="AS998" s="35"/>
      <c r="AT998" s="79"/>
      <c r="AU998" s="212"/>
      <c r="AV998" s="164"/>
      <c r="AW998" s="164"/>
      <c r="AX998" s="76"/>
      <c r="AY998" s="44"/>
      <c r="AZ998" s="275"/>
      <c r="BA998" s="52"/>
      <c r="BB998" s="35"/>
      <c r="BC998" s="79"/>
      <c r="BD998" s="230"/>
      <c r="BE998" s="211"/>
      <c r="BF998" s="164"/>
      <c r="BG998" s="76"/>
      <c r="BH998" s="44"/>
      <c r="BI998" s="275"/>
      <c r="BJ998" s="52"/>
      <c r="BK998" s="35"/>
      <c r="BL998" s="79"/>
      <c r="BM998" s="230"/>
      <c r="BN998" s="211"/>
      <c r="BO998" s="164"/>
      <c r="BP998" s="76"/>
      <c r="BQ998" s="44"/>
      <c r="BR998" s="299"/>
      <c r="BS998" s="52"/>
      <c r="BT998" s="35"/>
      <c r="BU998" s="79"/>
      <c r="BV998" s="212"/>
      <c r="BW998" s="304"/>
      <c r="BX998" s="313"/>
      <c r="BY998" s="138"/>
    </row>
    <row r="999" spans="1:77" ht="15" customHeight="1" x14ac:dyDescent="0.2">
      <c r="A999" s="57" t="s">
        <v>21</v>
      </c>
      <c r="B999" s="57"/>
      <c r="C999" s="583" t="s">
        <v>871</v>
      </c>
      <c r="D999" s="546">
        <v>4.242</v>
      </c>
      <c r="E999" s="162" t="s">
        <v>631</v>
      </c>
      <c r="F999" s="358"/>
      <c r="G999" s="65"/>
      <c r="H999" s="73"/>
      <c r="I999" s="90"/>
      <c r="J999" s="73"/>
      <c r="K999" s="66"/>
      <c r="L999" s="717">
        <v>2011</v>
      </c>
      <c r="M999" s="73"/>
      <c r="N999" s="738">
        <v>1.7051E-2</v>
      </c>
      <c r="O999" s="1041"/>
      <c r="P999" s="73"/>
      <c r="Q999" s="738"/>
      <c r="R999" s="1041"/>
      <c r="S999" s="73"/>
      <c r="T999" s="738"/>
      <c r="U999" s="73"/>
      <c r="V999" s="66"/>
      <c r="W999" s="740">
        <f t="shared" si="636"/>
        <v>1.0912640000000001E-5</v>
      </c>
      <c r="X999" s="741">
        <f t="shared" si="637"/>
        <v>1.0912640000000001E-5</v>
      </c>
      <c r="Y999" s="52">
        <v>2011</v>
      </c>
      <c r="Z999" s="52"/>
      <c r="AA999" s="739">
        <f t="shared" si="642"/>
        <v>1.7051E-5</v>
      </c>
      <c r="AB999" s="256">
        <v>-0.36</v>
      </c>
      <c r="AC999" s="688">
        <f t="shared" si="638"/>
        <v>-0.36</v>
      </c>
      <c r="AD999" s="164"/>
      <c r="AE999" s="164"/>
      <c r="AF999" s="25"/>
      <c r="AG999" s="26"/>
      <c r="AH999" s="275"/>
      <c r="AI999" s="52"/>
      <c r="AJ999" s="35"/>
      <c r="AK999" s="289"/>
      <c r="AL999" s="290"/>
      <c r="AM999" s="211"/>
      <c r="AN999" s="164"/>
      <c r="AO999" s="76"/>
      <c r="AP999" s="44"/>
      <c r="AQ999" s="275"/>
      <c r="AR999" s="52"/>
      <c r="AS999" s="35"/>
      <c r="AT999" s="79"/>
      <c r="AU999" s="212"/>
      <c r="AV999" s="164"/>
      <c r="AW999" s="164"/>
      <c r="AX999" s="76"/>
      <c r="AY999" s="44"/>
      <c r="AZ999" s="275"/>
      <c r="BA999" s="52"/>
      <c r="BB999" s="35"/>
      <c r="BC999" s="79"/>
      <c r="BD999" s="230"/>
      <c r="BE999" s="211"/>
      <c r="BF999" s="164"/>
      <c r="BG999" s="76"/>
      <c r="BH999" s="44"/>
      <c r="BI999" s="275"/>
      <c r="BJ999" s="52"/>
      <c r="BK999" s="35"/>
      <c r="BL999" s="79"/>
      <c r="BM999" s="230"/>
      <c r="BN999" s="211"/>
      <c r="BO999" s="164"/>
      <c r="BP999" s="76"/>
      <c r="BQ999" s="44"/>
      <c r="BR999" s="299"/>
      <c r="BS999" s="52"/>
      <c r="BT999" s="35"/>
      <c r="BU999" s="79"/>
      <c r="BV999" s="212"/>
      <c r="BW999" s="304"/>
      <c r="BX999" s="313"/>
      <c r="BY999" s="138"/>
    </row>
    <row r="1000" spans="1:77" ht="15" customHeight="1" x14ac:dyDescent="0.2">
      <c r="A1000" s="57" t="s">
        <v>21</v>
      </c>
      <c r="B1000" s="57"/>
      <c r="C1000" s="583" t="s">
        <v>879</v>
      </c>
      <c r="D1000" s="546">
        <v>4.8239999999999998</v>
      </c>
      <c r="E1000" s="162" t="s">
        <v>631</v>
      </c>
      <c r="F1000" s="358"/>
      <c r="G1000" s="65"/>
      <c r="H1000" s="73"/>
      <c r="I1000" s="90"/>
      <c r="J1000" s="73"/>
      <c r="K1000" s="66"/>
      <c r="L1000" s="717">
        <v>2008</v>
      </c>
      <c r="M1000" s="73"/>
      <c r="N1000" s="738">
        <v>0.12444</v>
      </c>
      <c r="O1000" s="1041"/>
      <c r="P1000" s="73"/>
      <c r="Q1000" s="738"/>
      <c r="R1000" s="1041"/>
      <c r="S1000" s="73"/>
      <c r="T1000" s="738"/>
      <c r="U1000" s="73"/>
      <c r="V1000" s="66"/>
      <c r="W1000" s="740">
        <f t="shared" si="636"/>
        <v>8.9596799999999989E-5</v>
      </c>
      <c r="X1000" s="741">
        <f t="shared" si="637"/>
        <v>8.9596799999999989E-5</v>
      </c>
      <c r="Y1000" s="52">
        <v>2008</v>
      </c>
      <c r="Z1000" s="52"/>
      <c r="AA1000" s="739">
        <f t="shared" si="642"/>
        <v>1.2443999999999999E-4</v>
      </c>
      <c r="AB1000" s="256">
        <v>-0.28000000000000003</v>
      </c>
      <c r="AC1000" s="688">
        <f t="shared" si="638"/>
        <v>-0.28000000000000003</v>
      </c>
      <c r="AD1000" s="164"/>
      <c r="AE1000" s="164"/>
      <c r="AF1000" s="25"/>
      <c r="AG1000" s="26"/>
      <c r="AH1000" s="275"/>
      <c r="AI1000" s="52"/>
      <c r="AJ1000" s="35"/>
      <c r="AK1000" s="289"/>
      <c r="AL1000" s="290"/>
      <c r="AM1000" s="211"/>
      <c r="AN1000" s="164"/>
      <c r="AO1000" s="76"/>
      <c r="AP1000" s="44"/>
      <c r="AQ1000" s="275"/>
      <c r="AR1000" s="52"/>
      <c r="AS1000" s="35"/>
      <c r="AT1000" s="79"/>
      <c r="AU1000" s="212"/>
      <c r="AV1000" s="164"/>
      <c r="AW1000" s="164"/>
      <c r="AX1000" s="76"/>
      <c r="AY1000" s="44"/>
      <c r="AZ1000" s="275"/>
      <c r="BA1000" s="52"/>
      <c r="BB1000" s="35"/>
      <c r="BC1000" s="79"/>
      <c r="BD1000" s="230"/>
      <c r="BE1000" s="211"/>
      <c r="BF1000" s="164"/>
      <c r="BG1000" s="76"/>
      <c r="BH1000" s="44"/>
      <c r="BI1000" s="275"/>
      <c r="BJ1000" s="52"/>
      <c r="BK1000" s="35"/>
      <c r="BL1000" s="79"/>
      <c r="BM1000" s="230"/>
      <c r="BN1000" s="211"/>
      <c r="BO1000" s="164"/>
      <c r="BP1000" s="76"/>
      <c r="BQ1000" s="44"/>
      <c r="BR1000" s="299"/>
      <c r="BS1000" s="52"/>
      <c r="BT1000" s="35"/>
      <c r="BU1000" s="79"/>
      <c r="BV1000" s="212"/>
      <c r="BW1000" s="304"/>
      <c r="BX1000" s="313"/>
      <c r="BY1000" s="138"/>
    </row>
    <row r="1001" spans="1:77" ht="15" customHeight="1" x14ac:dyDescent="0.2">
      <c r="A1001" s="57" t="s">
        <v>23</v>
      </c>
      <c r="B1001" s="583" t="s">
        <v>1606</v>
      </c>
      <c r="C1001" s="57"/>
      <c r="D1001" s="546">
        <v>4467.5609999999997</v>
      </c>
      <c r="E1001" s="1101" t="s">
        <v>2896</v>
      </c>
      <c r="F1001" s="729"/>
      <c r="G1001" s="730">
        <v>60.185040000000001</v>
      </c>
      <c r="H1001" s="723">
        <v>55.147060000000003</v>
      </c>
      <c r="I1001" s="1282"/>
      <c r="J1001" s="1283">
        <v>75.156580000000005</v>
      </c>
      <c r="K1001" s="1283">
        <v>69.49503</v>
      </c>
      <c r="L1001" s="1282"/>
      <c r="M1001" s="1283">
        <v>66.426559999999995</v>
      </c>
      <c r="N1001" s="1283">
        <v>61.104840000000003</v>
      </c>
      <c r="O1001" s="1284"/>
      <c r="P1001" s="1283">
        <v>63.945189999999997</v>
      </c>
      <c r="Q1001" s="796">
        <v>59.21181</v>
      </c>
      <c r="R1001" s="1284">
        <v>2017</v>
      </c>
      <c r="S1001" s="1283">
        <v>66.740989999999996</v>
      </c>
      <c r="T1001" s="796">
        <v>60.743729999999999</v>
      </c>
      <c r="U1001" s="73"/>
      <c r="V1001" s="66"/>
      <c r="W1001" s="592"/>
      <c r="X1001" s="593"/>
      <c r="Y1001" s="52">
        <v>1990</v>
      </c>
      <c r="Z1001" s="52"/>
      <c r="AA1001" s="596"/>
      <c r="AB1001" s="824">
        <v>-0.2</v>
      </c>
      <c r="AC1001" s="825">
        <v>-0.3</v>
      </c>
      <c r="AD1001" s="164"/>
      <c r="AE1001" s="164"/>
      <c r="AF1001" s="25"/>
      <c r="AG1001" s="26"/>
      <c r="AH1001" s="275"/>
      <c r="AI1001" s="52"/>
      <c r="AJ1001" s="35"/>
      <c r="AK1001" s="289"/>
      <c r="AL1001" s="290"/>
      <c r="AM1001" s="211"/>
      <c r="AN1001" s="164"/>
      <c r="AO1001" s="76"/>
      <c r="AP1001" s="44"/>
      <c r="AQ1001" s="275"/>
      <c r="AR1001" s="52"/>
      <c r="AS1001" s="35"/>
      <c r="AT1001" s="840">
        <v>0.55000000000000004</v>
      </c>
      <c r="AU1001" s="688">
        <v>0.55000000000000004</v>
      </c>
      <c r="AV1001" s="164"/>
      <c r="AW1001" s="164"/>
      <c r="AX1001" s="76"/>
      <c r="AY1001" s="44"/>
      <c r="AZ1001" s="275"/>
      <c r="BA1001" s="52"/>
      <c r="BB1001" s="35"/>
      <c r="BC1001" s="79"/>
      <c r="BD1001" s="230"/>
      <c r="BE1001" s="211"/>
      <c r="BF1001" s="164"/>
      <c r="BG1001" s="76"/>
      <c r="BH1001" s="44"/>
      <c r="BI1001" s="275"/>
      <c r="BJ1001" s="52"/>
      <c r="BK1001" s="35"/>
      <c r="BL1001" s="79"/>
      <c r="BM1001" s="230"/>
      <c r="BN1001" s="211"/>
      <c r="BO1001" s="164"/>
      <c r="BP1001" s="76"/>
      <c r="BQ1001" s="44"/>
      <c r="BR1001" s="299"/>
      <c r="BS1001" s="52"/>
      <c r="BT1001" s="35"/>
      <c r="BU1001" s="79"/>
      <c r="BV1001" s="212"/>
      <c r="BW1001" s="304"/>
      <c r="BX1001" s="313"/>
      <c r="BY1001" s="138"/>
    </row>
    <row r="1002" spans="1:77" ht="15" customHeight="1" x14ac:dyDescent="0.2">
      <c r="A1002" s="57" t="s">
        <v>23</v>
      </c>
      <c r="B1002" s="583"/>
      <c r="C1002" s="583" t="s">
        <v>2836</v>
      </c>
      <c r="D1002" s="546">
        <v>125</v>
      </c>
      <c r="E1002" s="162" t="s">
        <v>2837</v>
      </c>
      <c r="F1002" s="729"/>
      <c r="G1002" s="730"/>
      <c r="H1002" s="73"/>
      <c r="I1002" s="90"/>
      <c r="J1002" s="73"/>
      <c r="K1002" s="73"/>
      <c r="L1002" s="90">
        <v>2011</v>
      </c>
      <c r="M1002" s="73"/>
      <c r="N1002" s="73">
        <v>1.4850000000000001</v>
      </c>
      <c r="O1002" s="1041"/>
      <c r="P1002" s="73"/>
      <c r="Q1002" s="359"/>
      <c r="R1002" s="1041"/>
      <c r="S1002" s="73"/>
      <c r="T1002" s="359"/>
      <c r="U1002" s="73"/>
      <c r="V1002" s="66"/>
      <c r="W1002" s="592"/>
      <c r="X1002" s="593"/>
      <c r="Y1002" s="52"/>
      <c r="Z1002" s="52"/>
      <c r="AA1002" s="596"/>
      <c r="AB1002" s="824"/>
      <c r="AC1002" s="825"/>
      <c r="AD1002" s="164"/>
      <c r="AE1002" s="164"/>
      <c r="AF1002" s="25"/>
      <c r="AG1002" s="26"/>
      <c r="AH1002" s="275"/>
      <c r="AI1002" s="52"/>
      <c r="AJ1002" s="35"/>
      <c r="AK1002" s="289"/>
      <c r="AL1002" s="290"/>
      <c r="AM1002" s="211"/>
      <c r="AN1002" s="164"/>
      <c r="AO1002" s="76">
        <f>AS1002*(1+AT1002)</f>
        <v>0.84645000000000015</v>
      </c>
      <c r="AP1002" s="44">
        <f>AO1002</f>
        <v>0.84645000000000015</v>
      </c>
      <c r="AQ1002" s="275">
        <v>2011</v>
      </c>
      <c r="AR1002" s="52"/>
      <c r="AS1002" s="35">
        <f>+N1002</f>
        <v>1.4850000000000001</v>
      </c>
      <c r="AT1002" s="840">
        <v>-0.43</v>
      </c>
      <c r="AU1002" s="212">
        <f>+AT1002</f>
        <v>-0.43</v>
      </c>
      <c r="AV1002" s="164"/>
      <c r="AW1002" s="164"/>
      <c r="AX1002" s="76"/>
      <c r="AY1002" s="44"/>
      <c r="AZ1002" s="275"/>
      <c r="BA1002" s="52"/>
      <c r="BB1002" s="35"/>
      <c r="BC1002" s="79"/>
      <c r="BD1002" s="230"/>
      <c r="BE1002" s="211"/>
      <c r="BF1002" s="164"/>
      <c r="BG1002" s="76"/>
      <c r="BH1002" s="44"/>
      <c r="BI1002" s="275"/>
      <c r="BJ1002" s="52"/>
      <c r="BK1002" s="35"/>
      <c r="BL1002" s="79"/>
      <c r="BM1002" s="230"/>
      <c r="BN1002" s="211"/>
      <c r="BO1002" s="164"/>
      <c r="BP1002" s="76"/>
      <c r="BQ1002" s="44"/>
      <c r="BR1002" s="299"/>
      <c r="BS1002" s="52"/>
      <c r="BT1002" s="35"/>
      <c r="BU1002" s="79"/>
      <c r="BV1002" s="212"/>
      <c r="BW1002" s="304"/>
      <c r="BX1002" s="313"/>
      <c r="BY1002" s="138"/>
    </row>
    <row r="1003" spans="1:77" ht="15" customHeight="1" x14ac:dyDescent="0.2">
      <c r="A1003" s="57" t="s">
        <v>23</v>
      </c>
      <c r="B1003" s="583"/>
      <c r="C1003" s="583" t="s">
        <v>482</v>
      </c>
      <c r="D1003" s="546">
        <v>1110</v>
      </c>
      <c r="E1003" s="162" t="s">
        <v>387</v>
      </c>
      <c r="F1003" s="358"/>
      <c r="G1003" s="65"/>
      <c r="H1003" s="73"/>
      <c r="I1003" s="90">
        <v>2006</v>
      </c>
      <c r="J1003" s="73"/>
      <c r="K1003" s="66">
        <v>5.0540000000000003</v>
      </c>
      <c r="L1003" s="717"/>
      <c r="M1003" s="73"/>
      <c r="N1003" s="359"/>
      <c r="O1003" s="1041">
        <v>2016</v>
      </c>
      <c r="P1003" s="73"/>
      <c r="Q1003" s="359">
        <v>2.9423490000000001</v>
      </c>
      <c r="R1003" s="1041">
        <v>2016</v>
      </c>
      <c r="S1003" s="73"/>
      <c r="T1003" s="359">
        <v>2.9423490000000001</v>
      </c>
      <c r="U1003" s="73"/>
      <c r="V1003" s="66"/>
      <c r="W1003" s="594">
        <f>AA1003*(1+AB1003)</f>
        <v>4.0432000000000003E-3</v>
      </c>
      <c r="X1003" s="595">
        <f>AA1003*(1+AC1003)</f>
        <v>4.0432000000000003E-3</v>
      </c>
      <c r="Y1003" s="52">
        <v>2006</v>
      </c>
      <c r="Z1003" s="52"/>
      <c r="AA1003" s="596">
        <f>+K1003/1000</f>
        <v>5.0540000000000003E-3</v>
      </c>
      <c r="AB1003" s="256">
        <v>-0.2</v>
      </c>
      <c r="AC1003" s="688">
        <v>-0.2</v>
      </c>
      <c r="AD1003" s="164"/>
      <c r="AE1003" s="164"/>
      <c r="AF1003" s="25"/>
      <c r="AG1003" s="26"/>
      <c r="AH1003" s="275"/>
      <c r="AI1003" s="52"/>
      <c r="AJ1003" s="35"/>
      <c r="AK1003" s="289"/>
      <c r="AL1003" s="290"/>
      <c r="AM1003" s="211"/>
      <c r="AN1003" s="164"/>
      <c r="AO1003" s="76"/>
      <c r="AP1003" s="44"/>
      <c r="AQ1003" s="275"/>
      <c r="AR1003" s="52"/>
      <c r="AS1003" s="35"/>
      <c r="AT1003" s="79"/>
      <c r="AU1003" s="212"/>
      <c r="AV1003" s="164"/>
      <c r="AW1003" s="164"/>
      <c r="AX1003" s="76"/>
      <c r="AY1003" s="44"/>
      <c r="AZ1003" s="275"/>
      <c r="BA1003" s="52"/>
      <c r="BB1003" s="35"/>
      <c r="BC1003" s="79"/>
      <c r="BD1003" s="230"/>
      <c r="BE1003" s="211"/>
      <c r="BF1003" s="164"/>
      <c r="BG1003" s="76"/>
      <c r="BH1003" s="44"/>
      <c r="BI1003" s="275"/>
      <c r="BJ1003" s="52"/>
      <c r="BK1003" s="35"/>
      <c r="BL1003" s="79"/>
      <c r="BM1003" s="230"/>
      <c r="BN1003" s="211"/>
      <c r="BO1003" s="164"/>
      <c r="BP1003" s="76"/>
      <c r="BQ1003" s="44"/>
      <c r="BR1003" s="299"/>
      <c r="BS1003" s="52"/>
      <c r="BT1003" s="35"/>
      <c r="BU1003" s="79"/>
      <c r="BV1003" s="212"/>
      <c r="BW1003" s="304"/>
      <c r="BX1003" s="313"/>
      <c r="BY1003" s="138"/>
    </row>
    <row r="1004" spans="1:77" ht="15" customHeight="1" x14ac:dyDescent="0.2">
      <c r="A1004" s="57" t="s">
        <v>23</v>
      </c>
      <c r="B1004" s="583"/>
      <c r="C1004" s="583" t="s">
        <v>2655</v>
      </c>
      <c r="D1004" s="546">
        <v>159.858</v>
      </c>
      <c r="E1004" s="162" t="s">
        <v>631</v>
      </c>
      <c r="F1004" s="358"/>
      <c r="G1004" s="65"/>
      <c r="H1004" s="73"/>
      <c r="I1004" s="90"/>
      <c r="J1004" s="73"/>
      <c r="K1004" s="73">
        <v>1.6544490000000001</v>
      </c>
      <c r="L1004" s="90"/>
      <c r="M1004" s="73"/>
      <c r="N1004" s="359"/>
      <c r="O1004" s="1041"/>
      <c r="P1004" s="73"/>
      <c r="Q1004" s="359"/>
      <c r="R1004" s="1041"/>
      <c r="S1004" s="73"/>
      <c r="T1004" s="359"/>
      <c r="U1004" s="73"/>
      <c r="V1004" s="66"/>
      <c r="W1004" s="594">
        <f>AA1004*(1+AB1004)</f>
        <v>1.1581142999999999E-3</v>
      </c>
      <c r="X1004" s="595">
        <f>AA1004*(1+AC1004)</f>
        <v>1.1581142999999999E-3</v>
      </c>
      <c r="Y1004" s="52">
        <v>2006</v>
      </c>
      <c r="Z1004" s="52"/>
      <c r="AA1004" s="596">
        <f>+K1004/1000</f>
        <v>1.6544490000000001E-3</v>
      </c>
      <c r="AB1004" s="256">
        <v>-0.3</v>
      </c>
      <c r="AC1004" s="688">
        <f>AB1004</f>
        <v>-0.3</v>
      </c>
      <c r="AD1004" s="164"/>
      <c r="AE1004" s="164"/>
      <c r="AF1004" s="25"/>
      <c r="AG1004" s="26"/>
      <c r="AH1004" s="275"/>
      <c r="AI1004" s="52"/>
      <c r="AJ1004" s="35"/>
      <c r="AK1004" s="289"/>
      <c r="AL1004" s="290"/>
      <c r="AM1004" s="211"/>
      <c r="AN1004" s="164"/>
      <c r="AO1004" s="76"/>
      <c r="AP1004" s="44"/>
      <c r="AQ1004" s="275"/>
      <c r="AR1004" s="52"/>
      <c r="AS1004" s="35"/>
      <c r="AT1004" s="79"/>
      <c r="AU1004" s="212"/>
      <c r="AV1004" s="164"/>
      <c r="AW1004" s="164"/>
      <c r="AX1004" s="76"/>
      <c r="AY1004" s="44"/>
      <c r="AZ1004" s="275"/>
      <c r="BA1004" s="52"/>
      <c r="BB1004" s="35"/>
      <c r="BC1004" s="79"/>
      <c r="BD1004" s="230"/>
      <c r="BE1004" s="211"/>
      <c r="BF1004" s="164"/>
      <c r="BG1004" s="76"/>
      <c r="BH1004" s="44"/>
      <c r="BI1004" s="275"/>
      <c r="BJ1004" s="52"/>
      <c r="BK1004" s="35"/>
      <c r="BL1004" s="79"/>
      <c r="BM1004" s="230"/>
      <c r="BN1004" s="211"/>
      <c r="BO1004" s="164"/>
      <c r="BP1004" s="76"/>
      <c r="BQ1004" s="44"/>
      <c r="BR1004" s="299"/>
      <c r="BS1004" s="52"/>
      <c r="BT1004" s="35"/>
      <c r="BU1004" s="79"/>
      <c r="BV1004" s="212"/>
      <c r="BW1004" s="304"/>
      <c r="BX1004" s="313"/>
      <c r="BY1004" s="138"/>
    </row>
    <row r="1005" spans="1:77" ht="15" customHeight="1" x14ac:dyDescent="0.2">
      <c r="A1005" s="57" t="s">
        <v>24</v>
      </c>
      <c r="B1005" s="583" t="s">
        <v>1606</v>
      </c>
      <c r="C1005" s="57"/>
      <c r="D1005" s="546">
        <v>60508.978000000003</v>
      </c>
      <c r="E1005" s="1101" t="s">
        <v>2896</v>
      </c>
      <c r="F1005" s="729"/>
      <c r="G1005" s="730">
        <v>514.46199999999999</v>
      </c>
      <c r="H1005" s="723">
        <v>517.74599999999998</v>
      </c>
      <c r="I1005" s="1282"/>
      <c r="J1005" s="1283">
        <v>552.23299999999995</v>
      </c>
      <c r="K1005" s="1283">
        <v>580.6</v>
      </c>
      <c r="L1005" s="1282"/>
      <c r="M1005" s="1283">
        <v>471.09899999999999</v>
      </c>
      <c r="N1005" s="1283">
        <v>505.77300000000002</v>
      </c>
      <c r="O1005" s="1284"/>
      <c r="P1005" s="1283">
        <v>394.43576999999999</v>
      </c>
      <c r="Q1005" s="796">
        <v>434.04379</v>
      </c>
      <c r="R1005" s="1284">
        <v>2017</v>
      </c>
      <c r="S1005" s="1283">
        <v>409.32900000000001</v>
      </c>
      <c r="T1005" s="796">
        <v>427.70800000000003</v>
      </c>
      <c r="U1005" s="73"/>
      <c r="V1005" s="66"/>
      <c r="W1005" s="592"/>
      <c r="X1005" s="593"/>
      <c r="Y1005" s="52">
        <v>1990</v>
      </c>
      <c r="Z1005" s="52"/>
      <c r="AA1005" s="596"/>
      <c r="AB1005" s="824">
        <v>-0.2</v>
      </c>
      <c r="AC1005" s="825">
        <v>-0.3</v>
      </c>
      <c r="AD1005" s="164"/>
      <c r="AE1005" s="164"/>
      <c r="AF1005" s="25"/>
      <c r="AG1005" s="26"/>
      <c r="AH1005" s="275"/>
      <c r="AI1005" s="52"/>
      <c r="AJ1005" s="35"/>
      <c r="AK1005" s="289"/>
      <c r="AL1005" s="290"/>
      <c r="AM1005" s="211"/>
      <c r="AN1005" s="164"/>
      <c r="AO1005" s="76"/>
      <c r="AP1005" s="44"/>
      <c r="AQ1005" s="275"/>
      <c r="AR1005" s="52"/>
      <c r="AS1005" s="35"/>
      <c r="AT1005" s="840">
        <v>0.55000000000000004</v>
      </c>
      <c r="AU1005" s="688">
        <v>0.55000000000000004</v>
      </c>
      <c r="AV1005" s="164"/>
      <c r="AW1005" s="164"/>
      <c r="AX1005" s="76"/>
      <c r="AY1005" s="44"/>
      <c r="AZ1005" s="275"/>
      <c r="BA1005" s="52"/>
      <c r="BB1005" s="35"/>
      <c r="BC1005" s="79"/>
      <c r="BD1005" s="230"/>
      <c r="BE1005" s="211"/>
      <c r="BF1005" s="164"/>
      <c r="BG1005" s="76"/>
      <c r="BH1005" s="44"/>
      <c r="BI1005" s="275"/>
      <c r="BJ1005" s="52"/>
      <c r="BK1005" s="35"/>
      <c r="BL1005" s="79"/>
      <c r="BM1005" s="230"/>
      <c r="BN1005" s="211"/>
      <c r="BO1005" s="164"/>
      <c r="BP1005" s="76"/>
      <c r="BQ1005" s="44"/>
      <c r="BR1005" s="299"/>
      <c r="BS1005" s="52"/>
      <c r="BT1005" s="35"/>
      <c r="BU1005" s="79"/>
      <c r="BV1005" s="212"/>
      <c r="BW1005" s="304"/>
      <c r="BX1005" s="313"/>
      <c r="BY1005" s="138"/>
    </row>
    <row r="1006" spans="1:77" ht="15" customHeight="1" x14ac:dyDescent="0.2">
      <c r="A1006" s="57" t="s">
        <v>24</v>
      </c>
      <c r="B1006" s="583" t="s">
        <v>2447</v>
      </c>
      <c r="C1006" s="57"/>
      <c r="D1006" s="546">
        <v>1340</v>
      </c>
      <c r="E1006" s="162" t="s">
        <v>2937</v>
      </c>
      <c r="F1006" s="358"/>
      <c r="G1006" s="65"/>
      <c r="H1006" s="73"/>
      <c r="I1006" s="90">
        <v>2006</v>
      </c>
      <c r="J1006" s="73">
        <v>11.121840000000001</v>
      </c>
      <c r="K1006" s="66">
        <v>8.5137459999999994</v>
      </c>
      <c r="L1006" s="717">
        <v>2012</v>
      </c>
      <c r="M1006" s="73"/>
      <c r="N1006" s="359">
        <f>K1006*(1-0.18)</f>
        <v>6.9812717199999996</v>
      </c>
      <c r="O1006" s="1041"/>
      <c r="P1006" s="73"/>
      <c r="Q1006" s="359"/>
      <c r="R1006" s="1041"/>
      <c r="S1006" s="73"/>
      <c r="T1006" s="359"/>
      <c r="U1006" s="73"/>
      <c r="V1006" s="66"/>
      <c r="W1006" s="592"/>
      <c r="X1006" s="593"/>
      <c r="Y1006" s="52"/>
      <c r="Z1006" s="52"/>
      <c r="AA1006" s="596"/>
      <c r="AB1006" s="824"/>
      <c r="AC1006" s="825"/>
      <c r="AD1006" s="164"/>
      <c r="AE1006" s="164"/>
      <c r="AF1006" s="25"/>
      <c r="AG1006" s="26"/>
      <c r="AH1006" s="275"/>
      <c r="AI1006" s="52"/>
      <c r="AJ1006" s="35"/>
      <c r="AK1006" s="289"/>
      <c r="AL1006" s="290"/>
      <c r="AM1006" s="211"/>
      <c r="AN1006" s="164"/>
      <c r="AO1006" s="76"/>
      <c r="AP1006" s="44"/>
      <c r="AQ1006" s="275"/>
      <c r="AR1006" s="52"/>
      <c r="AS1006" s="35"/>
      <c r="AT1006" s="840"/>
      <c r="AU1006" s="212"/>
      <c r="AV1006" s="164"/>
      <c r="AW1006" s="164"/>
      <c r="AX1006" s="76"/>
      <c r="AY1006" s="44"/>
      <c r="AZ1006" s="275"/>
      <c r="BA1006" s="52"/>
      <c r="BB1006" s="35"/>
      <c r="BC1006" s="79"/>
      <c r="BD1006" s="230"/>
      <c r="BE1006" s="211"/>
      <c r="BF1006" s="164"/>
      <c r="BG1006" s="76"/>
      <c r="BH1006" s="44"/>
      <c r="BI1006" s="275"/>
      <c r="BJ1006" s="52"/>
      <c r="BK1006" s="35"/>
      <c r="BL1006" s="79"/>
      <c r="BM1006" s="230"/>
      <c r="BN1006" s="211"/>
      <c r="BO1006" s="164"/>
      <c r="BP1006" s="76"/>
      <c r="BQ1006" s="44"/>
      <c r="BR1006" s="1025" t="s">
        <v>229</v>
      </c>
      <c r="BS1006" s="52"/>
      <c r="BT1006" s="35"/>
      <c r="BU1006" s="79">
        <v>-0.8</v>
      </c>
      <c r="BV1006" s="212">
        <v>-0.95</v>
      </c>
      <c r="BW1006" s="304"/>
      <c r="BX1006" s="313"/>
      <c r="BY1006" s="138" t="s">
        <v>2936</v>
      </c>
    </row>
    <row r="1007" spans="1:77" ht="15" customHeight="1" outlineLevel="1" x14ac:dyDescent="0.2">
      <c r="A1007" s="57" t="s">
        <v>24</v>
      </c>
      <c r="B1007" s="583" t="s">
        <v>357</v>
      </c>
      <c r="C1007" s="57"/>
      <c r="D1007" s="546">
        <v>4457</v>
      </c>
      <c r="E1007" s="162" t="s">
        <v>371</v>
      </c>
      <c r="F1007" s="358"/>
      <c r="G1007" s="65"/>
      <c r="H1007" s="73">
        <v>34</v>
      </c>
      <c r="I1007" s="90"/>
      <c r="J1007" s="73"/>
      <c r="K1007" s="66"/>
      <c r="L1007" s="717"/>
      <c r="M1007" s="73">
        <v>45.527999999999999</v>
      </c>
      <c r="N1007" s="359">
        <v>50.982999999999997</v>
      </c>
      <c r="O1007" s="1041"/>
      <c r="P1007" s="73"/>
      <c r="Q1007" s="359"/>
      <c r="R1007" s="1041"/>
      <c r="S1007" s="73"/>
      <c r="T1007" s="359"/>
      <c r="U1007" s="73"/>
      <c r="V1007" s="66"/>
      <c r="W1007" s="594">
        <f t="shared" ref="W1007:W1258" si="643">AA1007*(1+AB1007)</f>
        <v>2.7200000000000002E-2</v>
      </c>
      <c r="X1007" s="595">
        <f t="shared" ref="X1007:X1258" si="644">AA1007*(1+AC1007)</f>
        <v>2.7200000000000002E-2</v>
      </c>
      <c r="Y1007" s="52">
        <v>1990</v>
      </c>
      <c r="Z1007" s="52"/>
      <c r="AA1007" s="596">
        <f>+H1007/1000</f>
        <v>3.4000000000000002E-2</v>
      </c>
      <c r="AB1007" s="256">
        <v>-0.2</v>
      </c>
      <c r="AC1007" s="688">
        <v>-0.2</v>
      </c>
      <c r="AD1007" s="164"/>
      <c r="AE1007" s="164"/>
      <c r="AF1007" s="25"/>
      <c r="AG1007" s="26"/>
      <c r="AH1007" s="275"/>
      <c r="AI1007" s="52"/>
      <c r="AJ1007" s="35"/>
      <c r="AK1007" s="289"/>
      <c r="AL1007" s="290"/>
      <c r="AM1007" s="211"/>
      <c r="AN1007" s="164"/>
      <c r="AO1007" s="76"/>
      <c r="AP1007" s="44"/>
      <c r="AQ1007" s="275"/>
      <c r="AR1007" s="52"/>
      <c r="AS1007" s="35"/>
      <c r="AT1007" s="79"/>
      <c r="AU1007" s="212"/>
      <c r="AV1007" s="164"/>
      <c r="AW1007" s="164"/>
      <c r="AX1007" s="76"/>
      <c r="AY1007" s="44"/>
      <c r="AZ1007" s="275"/>
      <c r="BA1007" s="52"/>
      <c r="BB1007" s="35"/>
      <c r="BC1007" s="79"/>
      <c r="BD1007" s="230"/>
      <c r="BE1007" s="211"/>
      <c r="BF1007" s="164"/>
      <c r="BG1007" s="76"/>
      <c r="BH1007" s="44"/>
      <c r="BI1007" s="275"/>
      <c r="BJ1007" s="52"/>
      <c r="BK1007" s="35"/>
      <c r="BL1007" s="79"/>
      <c r="BM1007" s="230"/>
      <c r="BN1007" s="211"/>
      <c r="BO1007" s="164"/>
      <c r="BP1007" s="76"/>
      <c r="BQ1007" s="44"/>
      <c r="BR1007" s="299"/>
      <c r="BS1007" s="52"/>
      <c r="BT1007" s="35"/>
      <c r="BU1007" s="79"/>
      <c r="BV1007" s="212"/>
      <c r="BW1007" s="304"/>
      <c r="BX1007" s="313"/>
      <c r="BY1007" s="138"/>
    </row>
    <row r="1008" spans="1:77" ht="15" customHeight="1" outlineLevel="1" x14ac:dyDescent="0.2">
      <c r="A1008" s="57" t="s">
        <v>24</v>
      </c>
      <c r="B1008" s="583" t="s">
        <v>477</v>
      </c>
      <c r="C1008" s="583" t="s">
        <v>1810</v>
      </c>
      <c r="D1008" s="546">
        <v>2.0659999999999998</v>
      </c>
      <c r="E1008" s="162" t="s">
        <v>631</v>
      </c>
      <c r="F1008" s="358"/>
      <c r="G1008" s="65"/>
      <c r="H1008" s="73"/>
      <c r="I1008" s="90"/>
      <c r="J1008" s="73"/>
      <c r="K1008" s="66"/>
      <c r="L1008" s="717"/>
      <c r="M1008" s="73"/>
      <c r="N1008" s="738">
        <v>1.3125E-2</v>
      </c>
      <c r="O1008" s="1041"/>
      <c r="P1008" s="73"/>
      <c r="Q1008" s="738"/>
      <c r="R1008" s="1041"/>
      <c r="S1008" s="73"/>
      <c r="T1008" s="738"/>
      <c r="U1008" s="73"/>
      <c r="V1008" s="66"/>
      <c r="W1008" s="740">
        <f t="shared" ref="W1008" si="645">AA1008*(1+AB1008)</f>
        <v>9.7124999999999989E-6</v>
      </c>
      <c r="X1008" s="741">
        <f t="shared" ref="X1008" si="646">AA1008*(1+AC1008)</f>
        <v>9.7124999999999989E-6</v>
      </c>
      <c r="Y1008" s="52">
        <v>2010</v>
      </c>
      <c r="Z1008" s="52"/>
      <c r="AA1008" s="739">
        <f>+N1008/1000</f>
        <v>1.3124999999999999E-5</v>
      </c>
      <c r="AB1008" s="256">
        <v>-0.26</v>
      </c>
      <c r="AC1008" s="688">
        <v>-0.26</v>
      </c>
      <c r="AD1008" s="164"/>
      <c r="AE1008" s="164"/>
      <c r="AF1008" s="25"/>
      <c r="AG1008" s="26"/>
      <c r="AH1008" s="275"/>
      <c r="AI1008" s="52"/>
      <c r="AJ1008" s="35"/>
      <c r="AK1008" s="289"/>
      <c r="AL1008" s="290"/>
      <c r="AM1008" s="211"/>
      <c r="AN1008" s="164"/>
      <c r="AO1008" s="76"/>
      <c r="AP1008" s="44"/>
      <c r="AQ1008" s="275"/>
      <c r="AR1008" s="52"/>
      <c r="AS1008" s="35"/>
      <c r="AT1008" s="79"/>
      <c r="AU1008" s="212"/>
      <c r="AV1008" s="164"/>
      <c r="AW1008" s="164"/>
      <c r="AX1008" s="76"/>
      <c r="AY1008" s="44"/>
      <c r="AZ1008" s="275"/>
      <c r="BA1008" s="52"/>
      <c r="BB1008" s="35"/>
      <c r="BC1008" s="79"/>
      <c r="BD1008" s="230"/>
      <c r="BE1008" s="211"/>
      <c r="BF1008" s="164"/>
      <c r="BG1008" s="76"/>
      <c r="BH1008" s="44"/>
      <c r="BI1008" s="275"/>
      <c r="BJ1008" s="52"/>
      <c r="BK1008" s="35"/>
      <c r="BL1008" s="79"/>
      <c r="BM1008" s="230"/>
      <c r="BN1008" s="211"/>
      <c r="BO1008" s="164"/>
      <c r="BP1008" s="76"/>
      <c r="BQ1008" s="44"/>
      <c r="BR1008" s="299"/>
      <c r="BS1008" s="52"/>
      <c r="BT1008" s="35"/>
      <c r="BU1008" s="79"/>
      <c r="BV1008" s="212"/>
      <c r="BW1008" s="304"/>
      <c r="BX1008" s="313"/>
      <c r="BY1008" s="138"/>
    </row>
    <row r="1009" spans="1:77" ht="15" customHeight="1" outlineLevel="1" x14ac:dyDescent="0.2">
      <c r="A1009" s="57" t="s">
        <v>24</v>
      </c>
      <c r="B1009" s="583" t="s">
        <v>477</v>
      </c>
      <c r="C1009" s="583" t="s">
        <v>1308</v>
      </c>
      <c r="D1009" s="546">
        <v>8.7550000000000008</v>
      </c>
      <c r="E1009" s="162" t="s">
        <v>631</v>
      </c>
      <c r="F1009" s="358"/>
      <c r="G1009" s="65"/>
      <c r="H1009" s="73"/>
      <c r="I1009" s="90">
        <v>2007</v>
      </c>
      <c r="J1009" s="73"/>
      <c r="K1009" s="734">
        <v>2.9904E-2</v>
      </c>
      <c r="L1009" s="717"/>
      <c r="M1009" s="73"/>
      <c r="N1009" s="359"/>
      <c r="O1009" s="1041"/>
      <c r="P1009" s="73"/>
      <c r="Q1009" s="359"/>
      <c r="R1009" s="1041"/>
      <c r="S1009" s="73"/>
      <c r="T1009" s="359"/>
      <c r="U1009" s="73"/>
      <c r="V1009" s="66"/>
      <c r="W1009" s="740">
        <f t="shared" si="643"/>
        <v>2.0334719999999998E-5</v>
      </c>
      <c r="X1009" s="741">
        <f t="shared" si="644"/>
        <v>2.0334719999999998E-5</v>
      </c>
      <c r="Y1009" s="52">
        <v>2007</v>
      </c>
      <c r="Z1009" s="52"/>
      <c r="AA1009" s="739">
        <f>+K1009/1000</f>
        <v>2.9904E-5</v>
      </c>
      <c r="AB1009" s="256">
        <v>-0.32</v>
      </c>
      <c r="AC1009" s="688">
        <f t="shared" ref="AC1009:AC1081" si="647">AB1009</f>
        <v>-0.32</v>
      </c>
      <c r="AD1009" s="164"/>
      <c r="AE1009" s="164"/>
      <c r="AF1009" s="25"/>
      <c r="AG1009" s="26"/>
      <c r="AH1009" s="275"/>
      <c r="AI1009" s="52"/>
      <c r="AJ1009" s="35"/>
      <c r="AK1009" s="289"/>
      <c r="AL1009" s="290"/>
      <c r="AM1009" s="211"/>
      <c r="AN1009" s="164"/>
      <c r="AO1009" s="76"/>
      <c r="AP1009" s="44"/>
      <c r="AQ1009" s="275"/>
      <c r="AR1009" s="52"/>
      <c r="AS1009" s="35"/>
      <c r="AT1009" s="79"/>
      <c r="AU1009" s="212"/>
      <c r="AV1009" s="164"/>
      <c r="AW1009" s="164"/>
      <c r="AX1009" s="76"/>
      <c r="AY1009" s="44"/>
      <c r="AZ1009" s="275"/>
      <c r="BA1009" s="52"/>
      <c r="BB1009" s="35"/>
      <c r="BC1009" s="79"/>
      <c r="BD1009" s="230"/>
      <c r="BE1009" s="211"/>
      <c r="BF1009" s="164"/>
      <c r="BG1009" s="76"/>
      <c r="BH1009" s="44"/>
      <c r="BI1009" s="275"/>
      <c r="BJ1009" s="52"/>
      <c r="BK1009" s="35"/>
      <c r="BL1009" s="79"/>
      <c r="BM1009" s="230"/>
      <c r="BN1009" s="211"/>
      <c r="BO1009" s="164"/>
      <c r="BP1009" s="76"/>
      <c r="BQ1009" s="44"/>
      <c r="BR1009" s="299"/>
      <c r="BS1009" s="52"/>
      <c r="BT1009" s="35"/>
      <c r="BU1009" s="79"/>
      <c r="BV1009" s="212"/>
      <c r="BW1009" s="304"/>
      <c r="BX1009" s="313"/>
      <c r="BY1009" s="138"/>
    </row>
    <row r="1010" spans="1:77" ht="15" customHeight="1" outlineLevel="1" x14ac:dyDescent="0.2">
      <c r="A1010" s="57" t="s">
        <v>24</v>
      </c>
      <c r="B1010" s="583" t="s">
        <v>477</v>
      </c>
      <c r="C1010" s="583" t="s">
        <v>1372</v>
      </c>
      <c r="D1010" s="546">
        <v>12.411</v>
      </c>
      <c r="E1010" s="162" t="s">
        <v>631</v>
      </c>
      <c r="F1010" s="358"/>
      <c r="G1010" s="65"/>
      <c r="H1010" s="73"/>
      <c r="I1010" s="90"/>
      <c r="J1010" s="73"/>
      <c r="K1010" s="66"/>
      <c r="L1010" s="90">
        <v>2008</v>
      </c>
      <c r="M1010" s="73"/>
      <c r="N1010" s="359">
        <v>9.8669000000000007E-2</v>
      </c>
      <c r="O1010" s="1041"/>
      <c r="P1010" s="73"/>
      <c r="Q1010" s="359"/>
      <c r="R1010" s="1041"/>
      <c r="S1010" s="73"/>
      <c r="T1010" s="359"/>
      <c r="U1010" s="73"/>
      <c r="V1010" s="66"/>
      <c r="W1010" s="740">
        <f t="shared" ref="W1010" si="648">AA1010*(1+AB1010)</f>
        <v>3.848091E-5</v>
      </c>
      <c r="X1010" s="741">
        <f t="shared" ref="X1010" si="649">AA1010*(1+AC1010)</f>
        <v>3.848091E-5</v>
      </c>
      <c r="Y1010" s="52">
        <v>2008</v>
      </c>
      <c r="Z1010" s="52"/>
      <c r="AA1010" s="739">
        <f>+N1010/1000</f>
        <v>9.8669E-5</v>
      </c>
      <c r="AB1010" s="256">
        <v>-0.61</v>
      </c>
      <c r="AC1010" s="688">
        <f t="shared" si="647"/>
        <v>-0.61</v>
      </c>
      <c r="AD1010" s="164"/>
      <c r="AE1010" s="164"/>
      <c r="AF1010" s="25"/>
      <c r="AG1010" s="26"/>
      <c r="AH1010" s="275"/>
      <c r="AI1010" s="52"/>
      <c r="AJ1010" s="35"/>
      <c r="AK1010" s="289"/>
      <c r="AL1010" s="290"/>
      <c r="AM1010" s="211"/>
      <c r="AN1010" s="164"/>
      <c r="AO1010" s="76"/>
      <c r="AP1010" s="44"/>
      <c r="AQ1010" s="275"/>
      <c r="AR1010" s="52"/>
      <c r="AS1010" s="35"/>
      <c r="AT1010" s="79"/>
      <c r="AU1010" s="212"/>
      <c r="AV1010" s="164"/>
      <c r="AW1010" s="164"/>
      <c r="AX1010" s="76"/>
      <c r="AY1010" s="44"/>
      <c r="AZ1010" s="275"/>
      <c r="BA1010" s="52"/>
      <c r="BB1010" s="35"/>
      <c r="BC1010" s="79"/>
      <c r="BD1010" s="230"/>
      <c r="BE1010" s="211"/>
      <c r="BF1010" s="164"/>
      <c r="BG1010" s="76"/>
      <c r="BH1010" s="44"/>
      <c r="BI1010" s="275"/>
      <c r="BJ1010" s="52"/>
      <c r="BK1010" s="35"/>
      <c r="BL1010" s="79"/>
      <c r="BM1010" s="230"/>
      <c r="BN1010" s="211"/>
      <c r="BO1010" s="164"/>
      <c r="BP1010" s="76"/>
      <c r="BQ1010" s="44"/>
      <c r="BR1010" s="299"/>
      <c r="BS1010" s="52"/>
      <c r="BT1010" s="35"/>
      <c r="BU1010" s="79"/>
      <c r="BV1010" s="212"/>
      <c r="BW1010" s="304"/>
      <c r="BX1010" s="313"/>
      <c r="BY1010" s="138"/>
    </row>
    <row r="1011" spans="1:77" ht="15" customHeight="1" outlineLevel="1" x14ac:dyDescent="0.2">
      <c r="A1011" s="57" t="s">
        <v>24</v>
      </c>
      <c r="B1011" s="583" t="s">
        <v>477</v>
      </c>
      <c r="C1011" s="583" t="s">
        <v>1367</v>
      </c>
      <c r="D1011" s="546">
        <v>16.664999999999999</v>
      </c>
      <c r="E1011" s="162" t="s">
        <v>631</v>
      </c>
      <c r="F1011" s="358"/>
      <c r="G1011" s="65"/>
      <c r="H1011" s="73"/>
      <c r="I1011" s="90"/>
      <c r="J1011" s="73"/>
      <c r="K1011" s="734"/>
      <c r="L1011" s="717">
        <v>2008</v>
      </c>
      <c r="M1011" s="73"/>
      <c r="N1011" s="738">
        <v>8.8625999999999996E-2</v>
      </c>
      <c r="O1011" s="1041"/>
      <c r="P1011" s="73"/>
      <c r="Q1011" s="738"/>
      <c r="R1011" s="1041"/>
      <c r="S1011" s="73"/>
      <c r="T1011" s="738"/>
      <c r="U1011" s="73"/>
      <c r="V1011" s="66"/>
      <c r="W1011" s="740">
        <f t="shared" si="643"/>
        <v>6.2038199999999992E-5</v>
      </c>
      <c r="X1011" s="741">
        <f t="shared" si="644"/>
        <v>6.2038199999999992E-5</v>
      </c>
      <c r="Y1011" s="52">
        <v>2008</v>
      </c>
      <c r="Z1011" s="52"/>
      <c r="AA1011" s="739">
        <f t="shared" ref="AA1011" si="650">+N1011/1000</f>
        <v>8.8626000000000002E-5</v>
      </c>
      <c r="AB1011" s="256">
        <v>-0.3</v>
      </c>
      <c r="AC1011" s="688">
        <f t="shared" si="647"/>
        <v>-0.3</v>
      </c>
      <c r="AD1011" s="164"/>
      <c r="AE1011" s="164"/>
      <c r="AF1011" s="25"/>
      <c r="AG1011" s="26"/>
      <c r="AH1011" s="275"/>
      <c r="AI1011" s="52"/>
      <c r="AJ1011" s="35"/>
      <c r="AK1011" s="289"/>
      <c r="AL1011" s="290"/>
      <c r="AM1011" s="211"/>
      <c r="AN1011" s="164"/>
      <c r="AO1011" s="76"/>
      <c r="AP1011" s="44"/>
      <c r="AQ1011" s="275"/>
      <c r="AR1011" s="52"/>
      <c r="AS1011" s="35"/>
      <c r="AT1011" s="79"/>
      <c r="AU1011" s="212"/>
      <c r="AV1011" s="164"/>
      <c r="AW1011" s="164"/>
      <c r="AX1011" s="76"/>
      <c r="AY1011" s="44"/>
      <c r="AZ1011" s="275"/>
      <c r="BA1011" s="52"/>
      <c r="BB1011" s="35"/>
      <c r="BC1011" s="79"/>
      <c r="BD1011" s="230"/>
      <c r="BE1011" s="211"/>
      <c r="BF1011" s="164"/>
      <c r="BG1011" s="76"/>
      <c r="BH1011" s="44"/>
      <c r="BI1011" s="275"/>
      <c r="BJ1011" s="52"/>
      <c r="BK1011" s="35"/>
      <c r="BL1011" s="79"/>
      <c r="BM1011" s="230"/>
      <c r="BN1011" s="211"/>
      <c r="BO1011" s="164"/>
      <c r="BP1011" s="76"/>
      <c r="BQ1011" s="44"/>
      <c r="BR1011" s="299"/>
      <c r="BS1011" s="52"/>
      <c r="BT1011" s="35"/>
      <c r="BU1011" s="79"/>
      <c r="BV1011" s="212"/>
      <c r="BW1011" s="304"/>
      <c r="BX1011" s="313"/>
      <c r="BY1011" s="138"/>
    </row>
    <row r="1012" spans="1:77" ht="15" customHeight="1" outlineLevel="1" x14ac:dyDescent="0.2">
      <c r="A1012" s="57" t="s">
        <v>24</v>
      </c>
      <c r="B1012" s="583" t="s">
        <v>477</v>
      </c>
      <c r="C1012" s="583" t="s">
        <v>1369</v>
      </c>
      <c r="D1012" s="546">
        <v>2.33</v>
      </c>
      <c r="E1012" s="162" t="s">
        <v>631</v>
      </c>
      <c r="F1012" s="358"/>
      <c r="G1012" s="65"/>
      <c r="H1012" s="73"/>
      <c r="I1012" s="90"/>
      <c r="J1012" s="73"/>
      <c r="K1012" s="734"/>
      <c r="L1012" s="90">
        <v>2008</v>
      </c>
      <c r="M1012" s="73"/>
      <c r="N1012" s="738">
        <v>1.2147E-2</v>
      </c>
      <c r="O1012" s="1041"/>
      <c r="P1012" s="73"/>
      <c r="Q1012" s="738"/>
      <c r="R1012" s="1041"/>
      <c r="S1012" s="73"/>
      <c r="T1012" s="738"/>
      <c r="U1012" s="73"/>
      <c r="V1012" s="66"/>
      <c r="W1012" s="740">
        <f t="shared" si="643"/>
        <v>8.5028999999999995E-6</v>
      </c>
      <c r="X1012" s="741">
        <f t="shared" si="644"/>
        <v>8.5028999999999995E-6</v>
      </c>
      <c r="Y1012" s="52">
        <v>2008</v>
      </c>
      <c r="Z1012" s="52"/>
      <c r="AA1012" s="739">
        <f>+N1012/1000</f>
        <v>1.2146999999999999E-5</v>
      </c>
      <c r="AB1012" s="256">
        <v>-0.3</v>
      </c>
      <c r="AC1012" s="688">
        <f t="shared" si="647"/>
        <v>-0.3</v>
      </c>
      <c r="AD1012" s="164"/>
      <c r="AE1012" s="164"/>
      <c r="AF1012" s="25"/>
      <c r="AG1012" s="26"/>
      <c r="AH1012" s="275"/>
      <c r="AI1012" s="52"/>
      <c r="AJ1012" s="35"/>
      <c r="AK1012" s="289"/>
      <c r="AL1012" s="290"/>
      <c r="AM1012" s="211"/>
      <c r="AN1012" s="164"/>
      <c r="AO1012" s="76"/>
      <c r="AP1012" s="44"/>
      <c r="AQ1012" s="275"/>
      <c r="AR1012" s="52"/>
      <c r="AS1012" s="35"/>
      <c r="AT1012" s="79"/>
      <c r="AU1012" s="212"/>
      <c r="AV1012" s="164"/>
      <c r="AW1012" s="164"/>
      <c r="AX1012" s="76"/>
      <c r="AY1012" s="44"/>
      <c r="AZ1012" s="275"/>
      <c r="BA1012" s="52"/>
      <c r="BB1012" s="35"/>
      <c r="BC1012" s="79"/>
      <c r="BD1012" s="230"/>
      <c r="BE1012" s="211"/>
      <c r="BF1012" s="164"/>
      <c r="BG1012" s="76"/>
      <c r="BH1012" s="44"/>
      <c r="BI1012" s="275"/>
      <c r="BJ1012" s="52"/>
      <c r="BK1012" s="35"/>
      <c r="BL1012" s="79"/>
      <c r="BM1012" s="230"/>
      <c r="BN1012" s="211"/>
      <c r="BO1012" s="164"/>
      <c r="BP1012" s="76"/>
      <c r="BQ1012" s="44"/>
      <c r="BR1012" s="299"/>
      <c r="BS1012" s="52"/>
      <c r="BT1012" s="35"/>
      <c r="BU1012" s="79"/>
      <c r="BV1012" s="212"/>
      <c r="BW1012" s="304"/>
      <c r="BX1012" s="313"/>
      <c r="BY1012" s="138"/>
    </row>
    <row r="1013" spans="1:77" ht="15" customHeight="1" outlineLevel="1" x14ac:dyDescent="0.2">
      <c r="A1013" s="57" t="s">
        <v>24</v>
      </c>
      <c r="B1013" s="583" t="s">
        <v>477</v>
      </c>
      <c r="C1013" s="583" t="s">
        <v>1336</v>
      </c>
      <c r="D1013" s="546">
        <v>6.931</v>
      </c>
      <c r="E1013" s="162" t="s">
        <v>631</v>
      </c>
      <c r="F1013" s="358"/>
      <c r="G1013" s="65"/>
      <c r="H1013" s="73"/>
      <c r="I1013" s="90"/>
      <c r="J1013" s="73"/>
      <c r="K1013" s="734"/>
      <c r="L1013" s="717">
        <v>2013</v>
      </c>
      <c r="M1013" s="73"/>
      <c r="N1013" s="738">
        <v>4.3855999999999999E-2</v>
      </c>
      <c r="O1013" s="1041">
        <v>2013</v>
      </c>
      <c r="P1013" s="73"/>
      <c r="Q1013" s="738">
        <v>4.3855999999999999E-2</v>
      </c>
      <c r="R1013" s="1041"/>
      <c r="S1013" s="73"/>
      <c r="T1013" s="738"/>
      <c r="U1013" s="73"/>
      <c r="V1013" s="66"/>
      <c r="W1013" s="788">
        <f t="shared" si="643"/>
        <v>2.8506400000000002E-5</v>
      </c>
      <c r="X1013" s="789">
        <f t="shared" si="644"/>
        <v>2.8506400000000002E-5</v>
      </c>
      <c r="Y1013" s="52">
        <v>2013</v>
      </c>
      <c r="Z1013" s="52"/>
      <c r="AA1013" s="739">
        <f>+N1013/1000</f>
        <v>4.3856000000000002E-5</v>
      </c>
      <c r="AB1013" s="256">
        <v>-0.35</v>
      </c>
      <c r="AC1013" s="688">
        <f t="shared" si="647"/>
        <v>-0.35</v>
      </c>
      <c r="AD1013" s="164"/>
      <c r="AE1013" s="164"/>
      <c r="AF1013" s="25"/>
      <c r="AG1013" s="26"/>
      <c r="AH1013" s="275"/>
      <c r="AI1013" s="52"/>
      <c r="AJ1013" s="35"/>
      <c r="AK1013" s="289"/>
      <c r="AL1013" s="290"/>
      <c r="AM1013" s="211"/>
      <c r="AN1013" s="164"/>
      <c r="AO1013" s="76"/>
      <c r="AP1013" s="44"/>
      <c r="AQ1013" s="275"/>
      <c r="AR1013" s="52"/>
      <c r="AS1013" s="35"/>
      <c r="AT1013" s="79"/>
      <c r="AU1013" s="212"/>
      <c r="AV1013" s="164"/>
      <c r="AW1013" s="164"/>
      <c r="AX1013" s="76"/>
      <c r="AY1013" s="44"/>
      <c r="AZ1013" s="275"/>
      <c r="BA1013" s="52"/>
      <c r="BB1013" s="35"/>
      <c r="BC1013" s="79"/>
      <c r="BD1013" s="230"/>
      <c r="BE1013" s="211"/>
      <c r="BF1013" s="164"/>
      <c r="BG1013" s="76"/>
      <c r="BH1013" s="44"/>
      <c r="BI1013" s="275"/>
      <c r="BJ1013" s="52"/>
      <c r="BK1013" s="35"/>
      <c r="BL1013" s="79"/>
      <c r="BM1013" s="230"/>
      <c r="BN1013" s="211"/>
      <c r="BO1013" s="164"/>
      <c r="BP1013" s="76"/>
      <c r="BQ1013" s="44"/>
      <c r="BR1013" s="299"/>
      <c r="BS1013" s="52"/>
      <c r="BT1013" s="35"/>
      <c r="BU1013" s="79"/>
      <c r="BV1013" s="212"/>
      <c r="BW1013" s="304"/>
      <c r="BX1013" s="313"/>
      <c r="BY1013" s="138"/>
    </row>
    <row r="1014" spans="1:77" ht="15" customHeight="1" outlineLevel="1" x14ac:dyDescent="0.2">
      <c r="A1014" s="583" t="s">
        <v>24</v>
      </c>
      <c r="B1014" s="583" t="s">
        <v>477</v>
      </c>
      <c r="C1014" s="583" t="s">
        <v>1659</v>
      </c>
      <c r="D1014" s="546">
        <v>10.353</v>
      </c>
      <c r="E1014" s="162" t="s">
        <v>631</v>
      </c>
      <c r="F1014" s="358"/>
      <c r="G1014" s="65"/>
      <c r="H1014" s="73"/>
      <c r="I1014" s="90">
        <v>2007</v>
      </c>
      <c r="J1014" s="73"/>
      <c r="K1014" s="734">
        <v>7.4215000000000003E-2</v>
      </c>
      <c r="L1014" s="717"/>
      <c r="M1014" s="73"/>
      <c r="N1014" s="738"/>
      <c r="O1014" s="1041"/>
      <c r="P1014" s="73"/>
      <c r="Q1014" s="738"/>
      <c r="R1014" s="1041"/>
      <c r="S1014" s="73"/>
      <c r="T1014" s="738"/>
      <c r="U1014" s="73"/>
      <c r="V1014" s="66"/>
      <c r="W1014" s="788">
        <f t="shared" ref="W1014" si="651">AA1014*(1+AB1014)</f>
        <v>5.4919100000000008E-5</v>
      </c>
      <c r="X1014" s="789">
        <f t="shared" ref="X1014" si="652">AA1014*(1+AC1014)</f>
        <v>5.4919100000000008E-5</v>
      </c>
      <c r="Y1014" s="52">
        <v>2007</v>
      </c>
      <c r="Z1014" s="52"/>
      <c r="AA1014" s="787">
        <f>+K1014/1000</f>
        <v>7.4215000000000007E-5</v>
      </c>
      <c r="AB1014" s="256">
        <v>-0.26</v>
      </c>
      <c r="AC1014" s="688">
        <f t="shared" si="647"/>
        <v>-0.26</v>
      </c>
      <c r="AD1014" s="164"/>
      <c r="AE1014" s="164"/>
      <c r="AF1014" s="25"/>
      <c r="AG1014" s="26"/>
      <c r="AH1014" s="275"/>
      <c r="AI1014" s="52"/>
      <c r="AJ1014" s="35"/>
      <c r="AK1014" s="289"/>
      <c r="AL1014" s="290"/>
      <c r="AM1014" s="211"/>
      <c r="AN1014" s="164"/>
      <c r="AO1014" s="76"/>
      <c r="AP1014" s="44"/>
      <c r="AQ1014" s="275"/>
      <c r="AR1014" s="52"/>
      <c r="AS1014" s="35"/>
      <c r="AT1014" s="79"/>
      <c r="AU1014" s="212"/>
      <c r="AV1014" s="164"/>
      <c r="AW1014" s="164"/>
      <c r="AX1014" s="76"/>
      <c r="AY1014" s="44"/>
      <c r="AZ1014" s="275"/>
      <c r="BA1014" s="52"/>
      <c r="BB1014" s="35"/>
      <c r="BC1014" s="79"/>
      <c r="BD1014" s="230"/>
      <c r="BE1014" s="211"/>
      <c r="BF1014" s="164"/>
      <c r="BG1014" s="76"/>
      <c r="BH1014" s="44"/>
      <c r="BI1014" s="275"/>
      <c r="BJ1014" s="52"/>
      <c r="BK1014" s="35"/>
      <c r="BL1014" s="79"/>
      <c r="BM1014" s="230"/>
      <c r="BN1014" s="211"/>
      <c r="BO1014" s="164"/>
      <c r="BP1014" s="76"/>
      <c r="BQ1014" s="44"/>
      <c r="BR1014" s="299"/>
      <c r="BS1014" s="52"/>
      <c r="BT1014" s="35"/>
      <c r="BU1014" s="79"/>
      <c r="BV1014" s="212"/>
      <c r="BW1014" s="304"/>
      <c r="BX1014" s="313"/>
      <c r="BY1014" s="138" t="s">
        <v>1671</v>
      </c>
    </row>
    <row r="1015" spans="1:77" ht="15" customHeight="1" outlineLevel="1" x14ac:dyDescent="0.2">
      <c r="A1015" s="57" t="s">
        <v>24</v>
      </c>
      <c r="B1015" s="583" t="s">
        <v>477</v>
      </c>
      <c r="C1015" s="583" t="s">
        <v>1307</v>
      </c>
      <c r="D1015" s="546">
        <v>10.032</v>
      </c>
      <c r="E1015" s="162" t="s">
        <v>631</v>
      </c>
      <c r="F1015" s="358"/>
      <c r="G1015" s="65"/>
      <c r="H1015" s="73"/>
      <c r="I1015" s="90">
        <v>2007</v>
      </c>
      <c r="J1015" s="73"/>
      <c r="K1015" s="790">
        <v>3.0751000000000001E-2</v>
      </c>
      <c r="L1015" s="717"/>
      <c r="M1015" s="73"/>
      <c r="N1015" s="786">
        <f>K1015*(1-0.04)</f>
        <v>2.9520959999999999E-2</v>
      </c>
      <c r="O1015" s="1041"/>
      <c r="P1015" s="73"/>
      <c r="Q1015" s="359"/>
      <c r="R1015" s="1041"/>
      <c r="S1015" s="73"/>
      <c r="T1015" s="359"/>
      <c r="U1015" s="73"/>
      <c r="V1015" s="66"/>
      <c r="W1015" s="788">
        <f t="shared" ref="W1015" si="653">AA1015*(1+AB1015)</f>
        <v>2.1218189999999995E-5</v>
      </c>
      <c r="X1015" s="789">
        <f t="shared" ref="X1015" si="654">AA1015*(1+AC1015)</f>
        <v>2.1218189999999995E-5</v>
      </c>
      <c r="Y1015" s="52">
        <v>2007</v>
      </c>
      <c r="Z1015" s="52"/>
      <c r="AA1015" s="787">
        <f t="shared" ref="AA1015:AA1026" si="655">+K1015/1000</f>
        <v>3.0750999999999997E-5</v>
      </c>
      <c r="AB1015" s="256">
        <v>-0.31</v>
      </c>
      <c r="AC1015" s="688">
        <f t="shared" si="647"/>
        <v>-0.31</v>
      </c>
      <c r="AD1015" s="164"/>
      <c r="AE1015" s="164"/>
      <c r="AF1015" s="25"/>
      <c r="AG1015" s="26"/>
      <c r="AH1015" s="275"/>
      <c r="AI1015" s="52"/>
      <c r="AJ1015" s="35"/>
      <c r="AK1015" s="289"/>
      <c r="AL1015" s="290"/>
      <c r="AM1015" s="211"/>
      <c r="AN1015" s="164"/>
      <c r="AO1015" s="76"/>
      <c r="AP1015" s="44"/>
      <c r="AQ1015" s="275"/>
      <c r="AR1015" s="52"/>
      <c r="AS1015" s="35"/>
      <c r="AT1015" s="79"/>
      <c r="AU1015" s="212"/>
      <c r="AV1015" s="164"/>
      <c r="AW1015" s="164"/>
      <c r="AX1015" s="76"/>
      <c r="AY1015" s="44"/>
      <c r="AZ1015" s="275"/>
      <c r="BA1015" s="52"/>
      <c r="BB1015" s="35"/>
      <c r="BC1015" s="79"/>
      <c r="BD1015" s="230"/>
      <c r="BE1015" s="211"/>
      <c r="BF1015" s="164"/>
      <c r="BG1015" s="76"/>
      <c r="BH1015" s="44"/>
      <c r="BI1015" s="275"/>
      <c r="BJ1015" s="52"/>
      <c r="BK1015" s="35"/>
      <c r="BL1015" s="79"/>
      <c r="BM1015" s="230"/>
      <c r="BN1015" s="211"/>
      <c r="BO1015" s="164"/>
      <c r="BP1015" s="76"/>
      <c r="BQ1015" s="44"/>
      <c r="BR1015" s="299"/>
      <c r="BS1015" s="52"/>
      <c r="BT1015" s="35"/>
      <c r="BU1015" s="79"/>
      <c r="BV1015" s="212"/>
      <c r="BW1015" s="304"/>
      <c r="BX1015" s="313"/>
      <c r="BY1015" s="138"/>
    </row>
    <row r="1016" spans="1:77" ht="15" customHeight="1" outlineLevel="1" x14ac:dyDescent="0.2">
      <c r="A1016" s="57" t="s">
        <v>24</v>
      </c>
      <c r="B1016" s="583" t="s">
        <v>477</v>
      </c>
      <c r="C1016" s="583" t="s">
        <v>473</v>
      </c>
      <c r="D1016" s="546">
        <v>390.63600000000002</v>
      </c>
      <c r="E1016" s="162" t="s">
        <v>387</v>
      </c>
      <c r="F1016" s="358"/>
      <c r="G1016" s="65"/>
      <c r="H1016" s="73"/>
      <c r="I1016" s="90"/>
      <c r="J1016" s="73"/>
      <c r="K1016" s="66">
        <v>2.2999231</v>
      </c>
      <c r="L1016" s="717"/>
      <c r="M1016" s="73"/>
      <c r="N1016" s="359">
        <f>K1016*0.96</f>
        <v>2.207926176</v>
      </c>
      <c r="O1016" s="1041">
        <v>2016</v>
      </c>
      <c r="P1016" s="73"/>
      <c r="Q1016" s="359">
        <v>2.2705247000000002</v>
      </c>
      <c r="R1016" s="1041">
        <v>2016</v>
      </c>
      <c r="S1016" s="73"/>
      <c r="T1016" s="359">
        <v>2.2705247000000002</v>
      </c>
      <c r="U1016" s="73"/>
      <c r="V1016" s="66"/>
      <c r="W1016" s="594">
        <f t="shared" si="643"/>
        <v>1.8100394797000003E-3</v>
      </c>
      <c r="X1016" s="595">
        <f t="shared" si="644"/>
        <v>1.8100394797000003E-3</v>
      </c>
      <c r="Y1016" s="52">
        <v>2005</v>
      </c>
      <c r="Z1016" s="52"/>
      <c r="AA1016" s="596">
        <f t="shared" si="655"/>
        <v>2.2999231000000002E-3</v>
      </c>
      <c r="AB1016" s="732">
        <v>-0.21299999999999999</v>
      </c>
      <c r="AC1016" s="733">
        <f>AB1016</f>
        <v>-0.21299999999999999</v>
      </c>
      <c r="AD1016" s="164"/>
      <c r="AE1016" s="164"/>
      <c r="AF1016" s="25"/>
      <c r="AG1016" s="26"/>
      <c r="AH1016" s="275"/>
      <c r="AI1016" s="52"/>
      <c r="AJ1016" s="35"/>
      <c r="AK1016" s="289"/>
      <c r="AL1016" s="290"/>
      <c r="AM1016" s="211"/>
      <c r="AN1016" s="164"/>
      <c r="AO1016" s="594"/>
      <c r="AP1016" s="595"/>
      <c r="AQ1016" s="275"/>
      <c r="AR1016" s="52"/>
      <c r="AS1016" s="596"/>
      <c r="AT1016" s="79"/>
      <c r="AU1016" s="212"/>
      <c r="AV1016" s="164"/>
      <c r="AW1016" s="164"/>
      <c r="AX1016" s="76"/>
      <c r="AY1016" s="44"/>
      <c r="AZ1016" s="275"/>
      <c r="BA1016" s="52"/>
      <c r="BB1016" s="35"/>
      <c r="BC1016" s="79"/>
      <c r="BD1016" s="230"/>
      <c r="BE1016" s="211"/>
      <c r="BF1016" s="164"/>
      <c r="BG1016" s="76"/>
      <c r="BH1016" s="44"/>
      <c r="BI1016" s="275"/>
      <c r="BJ1016" s="52"/>
      <c r="BK1016" s="35"/>
      <c r="BL1016" s="79"/>
      <c r="BM1016" s="230"/>
      <c r="BN1016" s="211"/>
      <c r="BO1016" s="164"/>
      <c r="BP1016" s="726">
        <f>+BT1016*(1+BU1016)</f>
        <v>1.1499615500000011E-4</v>
      </c>
      <c r="BQ1016" s="727">
        <f>BT1016*(1+BV1016)</f>
        <v>1.1499615500000011E-4</v>
      </c>
      <c r="BR1016" s="299">
        <v>2005</v>
      </c>
      <c r="BS1016" s="35"/>
      <c r="BT1016" s="596">
        <f>+K1016/1000</f>
        <v>2.2999231000000002E-3</v>
      </c>
      <c r="BU1016" s="79">
        <v>-0.95</v>
      </c>
      <c r="BV1016" s="212">
        <f>+BU1016</f>
        <v>-0.95</v>
      </c>
      <c r="BW1016" s="304"/>
      <c r="BX1016" s="313"/>
      <c r="BY1016" s="138"/>
    </row>
    <row r="1017" spans="1:77" ht="15" customHeight="1" outlineLevel="1" x14ac:dyDescent="0.2">
      <c r="A1017" s="57" t="s">
        <v>24</v>
      </c>
      <c r="B1017" s="583" t="s">
        <v>477</v>
      </c>
      <c r="C1017" s="583" t="s">
        <v>1266</v>
      </c>
      <c r="D1017" s="546">
        <v>5.4109999999999996</v>
      </c>
      <c r="E1017" s="162" t="s">
        <v>631</v>
      </c>
      <c r="F1017" s="358"/>
      <c r="G1017" s="65"/>
      <c r="H1017" s="73"/>
      <c r="I1017" s="90">
        <v>2007</v>
      </c>
      <c r="J1017" s="73"/>
      <c r="K1017" s="734">
        <v>1.6802999999999998E-2</v>
      </c>
      <c r="L1017" s="717"/>
      <c r="M1017" s="73"/>
      <c r="N1017" s="359"/>
      <c r="O1017" s="1041"/>
      <c r="P1017" s="73"/>
      <c r="Q1017" s="359"/>
      <c r="R1017" s="1041"/>
      <c r="S1017" s="73"/>
      <c r="T1017" s="359"/>
      <c r="U1017" s="73"/>
      <c r="V1017" s="66"/>
      <c r="W1017" s="740">
        <f t="shared" si="643"/>
        <v>1.1426039999999998E-5</v>
      </c>
      <c r="X1017" s="741">
        <f t="shared" si="644"/>
        <v>1.1426039999999998E-5</v>
      </c>
      <c r="Y1017" s="52">
        <v>2007</v>
      </c>
      <c r="Z1017" s="52"/>
      <c r="AA1017" s="739">
        <f t="shared" si="655"/>
        <v>1.6802999999999998E-5</v>
      </c>
      <c r="AB1017" s="256">
        <v>-0.32</v>
      </c>
      <c r="AC1017" s="688">
        <f t="shared" si="647"/>
        <v>-0.32</v>
      </c>
      <c r="AD1017" s="164"/>
      <c r="AE1017" s="164"/>
      <c r="AF1017" s="25"/>
      <c r="AG1017" s="26"/>
      <c r="AH1017" s="275"/>
      <c r="AI1017" s="52"/>
      <c r="AJ1017" s="35"/>
      <c r="AK1017" s="289"/>
      <c r="AL1017" s="290"/>
      <c r="AM1017" s="211"/>
      <c r="AN1017" s="164"/>
      <c r="AO1017" s="594"/>
      <c r="AP1017" s="595"/>
      <c r="AQ1017" s="275"/>
      <c r="AR1017" s="52"/>
      <c r="AS1017" s="596"/>
      <c r="AT1017" s="79"/>
      <c r="AU1017" s="212"/>
      <c r="AV1017" s="164"/>
      <c r="AW1017" s="164"/>
      <c r="AX1017" s="76"/>
      <c r="AY1017" s="44"/>
      <c r="AZ1017" s="275"/>
      <c r="BA1017" s="52"/>
      <c r="BB1017" s="35"/>
      <c r="BC1017" s="79"/>
      <c r="BD1017" s="230"/>
      <c r="BE1017" s="211"/>
      <c r="BF1017" s="164"/>
      <c r="BG1017" s="76"/>
      <c r="BH1017" s="44"/>
      <c r="BI1017" s="275"/>
      <c r="BJ1017" s="52"/>
      <c r="BK1017" s="35"/>
      <c r="BL1017" s="79"/>
      <c r="BM1017" s="230"/>
      <c r="BN1017" s="211"/>
      <c r="BO1017" s="164"/>
      <c r="BP1017" s="726"/>
      <c r="BQ1017" s="727"/>
      <c r="BR1017" s="299"/>
      <c r="BS1017" s="35"/>
      <c r="BT1017" s="596"/>
      <c r="BU1017" s="79"/>
      <c r="BV1017" s="212"/>
      <c r="BW1017" s="304"/>
      <c r="BX1017" s="313"/>
      <c r="BY1017" s="138"/>
    </row>
    <row r="1018" spans="1:77" ht="15" customHeight="1" outlineLevel="1" x14ac:dyDescent="0.2">
      <c r="A1018" s="57" t="s">
        <v>24</v>
      </c>
      <c r="B1018" s="583" t="s">
        <v>477</v>
      </c>
      <c r="C1018" s="583" t="s">
        <v>1330</v>
      </c>
      <c r="D1018" s="546">
        <v>18.239000000000001</v>
      </c>
      <c r="E1018" s="162" t="s">
        <v>631</v>
      </c>
      <c r="F1018" s="358"/>
      <c r="G1018" s="65"/>
      <c r="H1018" s="73"/>
      <c r="I1018" s="90">
        <v>2008</v>
      </c>
      <c r="J1018" s="73"/>
      <c r="K1018" s="66">
        <v>0.13986899999999999</v>
      </c>
      <c r="L1018" s="717"/>
      <c r="M1018" s="73"/>
      <c r="N1018" s="359"/>
      <c r="O1018" s="1041"/>
      <c r="P1018" s="73"/>
      <c r="Q1018" s="359"/>
      <c r="R1018" s="1041"/>
      <c r="S1018" s="73"/>
      <c r="T1018" s="359"/>
      <c r="U1018" s="73"/>
      <c r="V1018" s="66"/>
      <c r="W1018" s="740">
        <f t="shared" ref="W1018:W1023" si="656">AA1018*(1+AB1018)</f>
        <v>6.7137119999999986E-5</v>
      </c>
      <c r="X1018" s="741">
        <f t="shared" ref="X1018:X1023" si="657">AA1018*(1+AC1018)</f>
        <v>6.7137119999999986E-5</v>
      </c>
      <c r="Y1018" s="52">
        <v>2008</v>
      </c>
      <c r="Z1018" s="52"/>
      <c r="AA1018" s="596">
        <f t="shared" si="655"/>
        <v>1.3986899999999999E-4</v>
      </c>
      <c r="AB1018" s="256">
        <v>-0.52</v>
      </c>
      <c r="AC1018" s="688">
        <f t="shared" si="647"/>
        <v>-0.52</v>
      </c>
      <c r="AD1018" s="164"/>
      <c r="AE1018" s="164"/>
      <c r="AF1018" s="25"/>
      <c r="AG1018" s="26"/>
      <c r="AH1018" s="275"/>
      <c r="AI1018" s="52"/>
      <c r="AJ1018" s="35"/>
      <c r="AK1018" s="289"/>
      <c r="AL1018" s="290"/>
      <c r="AM1018" s="211"/>
      <c r="AN1018" s="164"/>
      <c r="AO1018" s="594"/>
      <c r="AP1018" s="595"/>
      <c r="AQ1018" s="275"/>
      <c r="AR1018" s="52"/>
      <c r="AS1018" s="596"/>
      <c r="AT1018" s="79"/>
      <c r="AU1018" s="212"/>
      <c r="AV1018" s="164"/>
      <c r="AW1018" s="164"/>
      <c r="AX1018" s="76"/>
      <c r="AY1018" s="44"/>
      <c r="AZ1018" s="275"/>
      <c r="BA1018" s="52"/>
      <c r="BB1018" s="35"/>
      <c r="BC1018" s="79"/>
      <c r="BD1018" s="230"/>
      <c r="BE1018" s="211"/>
      <c r="BF1018" s="164"/>
      <c r="BG1018" s="76"/>
      <c r="BH1018" s="44"/>
      <c r="BI1018" s="275"/>
      <c r="BJ1018" s="52"/>
      <c r="BK1018" s="35"/>
      <c r="BL1018" s="79"/>
      <c r="BM1018" s="230"/>
      <c r="BN1018" s="211"/>
      <c r="BO1018" s="164"/>
      <c r="BP1018" s="726"/>
      <c r="BQ1018" s="727"/>
      <c r="BR1018" s="299"/>
      <c r="BS1018" s="35"/>
      <c r="BT1018" s="596"/>
      <c r="BU1018" s="79"/>
      <c r="BV1018" s="212"/>
      <c r="BW1018" s="304"/>
      <c r="BX1018" s="313"/>
      <c r="BY1018" s="138"/>
    </row>
    <row r="1019" spans="1:77" ht="15" customHeight="1" outlineLevel="1" x14ac:dyDescent="0.2">
      <c r="A1019" s="57" t="s">
        <v>24</v>
      </c>
      <c r="B1019" s="583" t="s">
        <v>477</v>
      </c>
      <c r="C1019" s="583" t="s">
        <v>1811</v>
      </c>
      <c r="D1019" s="546">
        <v>2.536</v>
      </c>
      <c r="E1019" s="162" t="s">
        <v>631</v>
      </c>
      <c r="F1019" s="358"/>
      <c r="G1019" s="65"/>
      <c r="H1019" s="73"/>
      <c r="I1019" s="90"/>
      <c r="J1019" s="73"/>
      <c r="K1019" s="66"/>
      <c r="L1019" s="717"/>
      <c r="M1019" s="73"/>
      <c r="N1019" s="786">
        <v>2.5541999999999999E-2</v>
      </c>
      <c r="O1019" s="1041"/>
      <c r="P1019" s="73"/>
      <c r="Q1019" s="786"/>
      <c r="R1019" s="1041"/>
      <c r="S1019" s="73"/>
      <c r="T1019" s="786"/>
      <c r="U1019" s="73"/>
      <c r="V1019" s="66"/>
      <c r="W1019" s="740">
        <f t="shared" ref="W1019" si="658">AA1019*(1+AB1019)</f>
        <v>1.890108E-5</v>
      </c>
      <c r="X1019" s="741">
        <f t="shared" ref="X1019" si="659">AA1019*(1+AC1019)</f>
        <v>1.890108E-5</v>
      </c>
      <c r="Y1019" s="52">
        <v>2010</v>
      </c>
      <c r="Z1019" s="52"/>
      <c r="AA1019" s="739">
        <f>+N1019/1000</f>
        <v>2.5542E-5</v>
      </c>
      <c r="AB1019" s="256">
        <v>-0.26</v>
      </c>
      <c r="AC1019" s="688">
        <f t="shared" si="647"/>
        <v>-0.26</v>
      </c>
      <c r="AD1019" s="164"/>
      <c r="AE1019" s="164"/>
      <c r="AF1019" s="25"/>
      <c r="AG1019" s="26"/>
      <c r="AH1019" s="275"/>
      <c r="AI1019" s="52"/>
      <c r="AJ1019" s="35"/>
      <c r="AK1019" s="289"/>
      <c r="AL1019" s="290"/>
      <c r="AM1019" s="211"/>
      <c r="AN1019" s="164"/>
      <c r="AO1019" s="594"/>
      <c r="AP1019" s="595"/>
      <c r="AQ1019" s="275"/>
      <c r="AR1019" s="52"/>
      <c r="AS1019" s="596"/>
      <c r="AT1019" s="79"/>
      <c r="AU1019" s="212"/>
      <c r="AV1019" s="164"/>
      <c r="AW1019" s="164"/>
      <c r="AX1019" s="76"/>
      <c r="AY1019" s="44"/>
      <c r="AZ1019" s="275"/>
      <c r="BA1019" s="52"/>
      <c r="BB1019" s="35"/>
      <c r="BC1019" s="79"/>
      <c r="BD1019" s="230"/>
      <c r="BE1019" s="211"/>
      <c r="BF1019" s="164"/>
      <c r="BG1019" s="76"/>
      <c r="BH1019" s="44"/>
      <c r="BI1019" s="275"/>
      <c r="BJ1019" s="52"/>
      <c r="BK1019" s="35"/>
      <c r="BL1019" s="79"/>
      <c r="BM1019" s="230"/>
      <c r="BN1019" s="211"/>
      <c r="BO1019" s="164"/>
      <c r="BP1019" s="726"/>
      <c r="BQ1019" s="727"/>
      <c r="BR1019" s="299"/>
      <c r="BS1019" s="35"/>
      <c r="BT1019" s="596"/>
      <c r="BU1019" s="79"/>
      <c r="BV1019" s="212"/>
      <c r="BW1019" s="304"/>
      <c r="BX1019" s="313"/>
      <c r="BY1019" s="138"/>
    </row>
    <row r="1020" spans="1:77" ht="15" customHeight="1" outlineLevel="1" x14ac:dyDescent="0.2">
      <c r="A1020" s="57" t="s">
        <v>24</v>
      </c>
      <c r="B1020" s="583" t="s">
        <v>477</v>
      </c>
      <c r="C1020" s="583" t="s">
        <v>1919</v>
      </c>
      <c r="D1020" s="546">
        <v>4.8849999999999998</v>
      </c>
      <c r="E1020" s="162" t="s">
        <v>631</v>
      </c>
      <c r="F1020" s="358"/>
      <c r="G1020" s="65"/>
      <c r="H1020" s="73"/>
      <c r="I1020" s="90">
        <v>2007</v>
      </c>
      <c r="J1020" s="73"/>
      <c r="K1020" s="790">
        <v>1.6205000000000001E-2</v>
      </c>
      <c r="L1020" s="717"/>
      <c r="M1020" s="73"/>
      <c r="N1020" s="786"/>
      <c r="O1020" s="1041"/>
      <c r="P1020" s="73"/>
      <c r="Q1020" s="786"/>
      <c r="R1020" s="1041"/>
      <c r="S1020" s="73"/>
      <c r="T1020" s="786"/>
      <c r="U1020" s="73"/>
      <c r="V1020" s="66"/>
      <c r="W1020" s="740">
        <f t="shared" ref="W1020" si="660">AA1020*(1+AB1020)</f>
        <v>1.1829650000000001E-5</v>
      </c>
      <c r="X1020" s="741">
        <f t="shared" ref="X1020" si="661">AA1020*(1+AC1020)</f>
        <v>1.1829650000000001E-5</v>
      </c>
      <c r="Y1020" s="52">
        <v>2007</v>
      </c>
      <c r="Z1020" s="52"/>
      <c r="AA1020" s="739">
        <f>+K1020/1000</f>
        <v>1.6205000000000002E-5</v>
      </c>
      <c r="AB1020" s="256">
        <v>-0.27</v>
      </c>
      <c r="AC1020" s="688">
        <f t="shared" si="647"/>
        <v>-0.27</v>
      </c>
      <c r="AD1020" s="164"/>
      <c r="AE1020" s="164"/>
      <c r="AF1020" s="25"/>
      <c r="AG1020" s="26"/>
      <c r="AH1020" s="275"/>
      <c r="AI1020" s="52"/>
      <c r="AJ1020" s="35"/>
      <c r="AK1020" s="289"/>
      <c r="AL1020" s="290"/>
      <c r="AM1020" s="211"/>
      <c r="AN1020" s="164"/>
      <c r="AO1020" s="594"/>
      <c r="AP1020" s="595"/>
      <c r="AQ1020" s="275"/>
      <c r="AR1020" s="52"/>
      <c r="AS1020" s="596"/>
      <c r="AT1020" s="79"/>
      <c r="AU1020" s="212"/>
      <c r="AV1020" s="164"/>
      <c r="AW1020" s="164"/>
      <c r="AX1020" s="76"/>
      <c r="AY1020" s="44"/>
      <c r="AZ1020" s="275"/>
      <c r="BA1020" s="52"/>
      <c r="BB1020" s="35"/>
      <c r="BC1020" s="79"/>
      <c r="BD1020" s="230"/>
      <c r="BE1020" s="211"/>
      <c r="BF1020" s="164"/>
      <c r="BG1020" s="76"/>
      <c r="BH1020" s="44"/>
      <c r="BI1020" s="275"/>
      <c r="BJ1020" s="52"/>
      <c r="BK1020" s="35"/>
      <c r="BL1020" s="79"/>
      <c r="BM1020" s="230"/>
      <c r="BN1020" s="211"/>
      <c r="BO1020" s="164"/>
      <c r="BP1020" s="726"/>
      <c r="BQ1020" s="727"/>
      <c r="BR1020" s="299"/>
      <c r="BS1020" s="35"/>
      <c r="BT1020" s="596"/>
      <c r="BU1020" s="79"/>
      <c r="BV1020" s="212"/>
      <c r="BW1020" s="304"/>
      <c r="BX1020" s="313"/>
      <c r="BY1020" s="138"/>
    </row>
    <row r="1021" spans="1:77" ht="15" customHeight="1" outlineLevel="1" x14ac:dyDescent="0.2">
      <c r="A1021" s="57" t="s">
        <v>24</v>
      </c>
      <c r="B1021" s="583" t="s">
        <v>477</v>
      </c>
      <c r="C1021" s="583" t="s">
        <v>1697</v>
      </c>
      <c r="D1021" s="546">
        <v>67.268000000000001</v>
      </c>
      <c r="E1021" s="162" t="s">
        <v>631</v>
      </c>
      <c r="F1021" s="358"/>
      <c r="G1021" s="65"/>
      <c r="H1021" s="73"/>
      <c r="I1021" s="90">
        <v>1998</v>
      </c>
      <c r="J1021" s="73"/>
      <c r="K1021" s="66">
        <v>0.281916</v>
      </c>
      <c r="L1021" s="717"/>
      <c r="M1021" s="73"/>
      <c r="N1021" s="359"/>
      <c r="O1021" s="1041"/>
      <c r="P1021" s="73"/>
      <c r="Q1021" s="359"/>
      <c r="R1021" s="1041"/>
      <c r="S1021" s="73"/>
      <c r="T1021" s="359"/>
      <c r="U1021" s="73"/>
      <c r="V1021" s="66"/>
      <c r="W1021" s="740">
        <f t="shared" ref="W1021" si="662">AA1021*(1+AB1021)</f>
        <v>2.11437E-4</v>
      </c>
      <c r="X1021" s="741">
        <f t="shared" ref="X1021" si="663">AA1021*(1+AC1021)</f>
        <v>2.11437E-4</v>
      </c>
      <c r="Y1021" s="52">
        <v>1998</v>
      </c>
      <c r="Z1021" s="52"/>
      <c r="AA1021" s="739">
        <f>+K1021/1000</f>
        <v>2.81916E-4</v>
      </c>
      <c r="AB1021" s="256">
        <v>-0.25</v>
      </c>
      <c r="AC1021" s="688">
        <f t="shared" si="647"/>
        <v>-0.25</v>
      </c>
      <c r="AD1021" s="164"/>
      <c r="AE1021" s="164"/>
      <c r="AF1021" s="25"/>
      <c r="AG1021" s="26"/>
      <c r="AH1021" s="275"/>
      <c r="AI1021" s="52"/>
      <c r="AJ1021" s="35"/>
      <c r="AK1021" s="289"/>
      <c r="AL1021" s="290"/>
      <c r="AM1021" s="211"/>
      <c r="AN1021" s="164"/>
      <c r="AO1021" s="594"/>
      <c r="AP1021" s="595"/>
      <c r="AQ1021" s="275"/>
      <c r="AR1021" s="52"/>
      <c r="AS1021" s="596"/>
      <c r="AT1021" s="79"/>
      <c r="AU1021" s="212"/>
      <c r="AV1021" s="164"/>
      <c r="AW1021" s="164"/>
      <c r="AX1021" s="76"/>
      <c r="AY1021" s="44"/>
      <c r="AZ1021" s="275"/>
      <c r="BA1021" s="52"/>
      <c r="BB1021" s="35"/>
      <c r="BC1021" s="79"/>
      <c r="BD1021" s="230"/>
      <c r="BE1021" s="211"/>
      <c r="BF1021" s="164"/>
      <c r="BG1021" s="76"/>
      <c r="BH1021" s="44"/>
      <c r="BI1021" s="275"/>
      <c r="BJ1021" s="52"/>
      <c r="BK1021" s="35"/>
      <c r="BL1021" s="79"/>
      <c r="BM1021" s="230"/>
      <c r="BN1021" s="211"/>
      <c r="BO1021" s="164"/>
      <c r="BP1021" s="726"/>
      <c r="BQ1021" s="727"/>
      <c r="BR1021" s="299"/>
      <c r="BS1021" s="35"/>
      <c r="BT1021" s="596"/>
      <c r="BU1021" s="79"/>
      <c r="BV1021" s="212"/>
      <c r="BW1021" s="304"/>
      <c r="BX1021" s="313"/>
      <c r="BY1021" s="138"/>
    </row>
    <row r="1022" spans="1:77" ht="15" customHeight="1" outlineLevel="1" x14ac:dyDescent="0.2">
      <c r="A1022" s="57" t="s">
        <v>24</v>
      </c>
      <c r="B1022" s="583" t="s">
        <v>477</v>
      </c>
      <c r="C1022" s="583" t="s">
        <v>1855</v>
      </c>
      <c r="D1022" s="546">
        <v>4.9169999999999998</v>
      </c>
      <c r="E1022" s="162" t="s">
        <v>631</v>
      </c>
      <c r="F1022" s="358"/>
      <c r="G1022" s="65"/>
      <c r="H1022" s="73"/>
      <c r="I1022" s="90"/>
      <c r="J1022" s="73"/>
      <c r="K1022" s="66"/>
      <c r="L1022" s="717">
        <v>2009</v>
      </c>
      <c r="M1022" s="73"/>
      <c r="N1022" s="738">
        <v>1.1644E-2</v>
      </c>
      <c r="O1022" s="1041"/>
      <c r="P1022" s="73"/>
      <c r="Q1022" s="738"/>
      <c r="R1022" s="1041"/>
      <c r="S1022" s="73"/>
      <c r="T1022" s="738"/>
      <c r="U1022" s="73"/>
      <c r="V1022" s="66"/>
      <c r="W1022" s="740">
        <f t="shared" ref="W1022" si="664">AA1022*(1+AB1022)</f>
        <v>8.6165600000000004E-6</v>
      </c>
      <c r="X1022" s="741">
        <f t="shared" ref="X1022" si="665">AA1022*(1+AC1022)</f>
        <v>8.6165600000000004E-6</v>
      </c>
      <c r="Y1022" s="52">
        <v>2009</v>
      </c>
      <c r="Z1022" s="52"/>
      <c r="AA1022" s="739">
        <f>+N1022/1000</f>
        <v>1.1644000000000001E-5</v>
      </c>
      <c r="AB1022" s="256">
        <v>-0.26</v>
      </c>
      <c r="AC1022" s="688">
        <f t="shared" si="647"/>
        <v>-0.26</v>
      </c>
      <c r="AD1022" s="164"/>
      <c r="AE1022" s="164"/>
      <c r="AF1022" s="25"/>
      <c r="AG1022" s="26"/>
      <c r="AH1022" s="275"/>
      <c r="AI1022" s="52"/>
      <c r="AJ1022" s="35"/>
      <c r="AK1022" s="289"/>
      <c r="AL1022" s="290"/>
      <c r="AM1022" s="211"/>
      <c r="AN1022" s="164"/>
      <c r="AO1022" s="594"/>
      <c r="AP1022" s="595"/>
      <c r="AQ1022" s="275"/>
      <c r="AR1022" s="52"/>
      <c r="AS1022" s="596"/>
      <c r="AT1022" s="79"/>
      <c r="AU1022" s="212"/>
      <c r="AV1022" s="164"/>
      <c r="AW1022" s="164"/>
      <c r="AX1022" s="76"/>
      <c r="AY1022" s="44"/>
      <c r="AZ1022" s="275"/>
      <c r="BA1022" s="52"/>
      <c r="BB1022" s="35"/>
      <c r="BC1022" s="79"/>
      <c r="BD1022" s="230"/>
      <c r="BE1022" s="211"/>
      <c r="BF1022" s="164"/>
      <c r="BG1022" s="76"/>
      <c r="BH1022" s="44"/>
      <c r="BI1022" s="275"/>
      <c r="BJ1022" s="52"/>
      <c r="BK1022" s="35"/>
      <c r="BL1022" s="79"/>
      <c r="BM1022" s="230"/>
      <c r="BN1022" s="211"/>
      <c r="BO1022" s="164"/>
      <c r="BP1022" s="726"/>
      <c r="BQ1022" s="727"/>
      <c r="BR1022" s="299"/>
      <c r="BS1022" s="35"/>
      <c r="BT1022" s="596"/>
      <c r="BU1022" s="79"/>
      <c r="BV1022" s="212"/>
      <c r="BW1022" s="304"/>
      <c r="BX1022" s="313"/>
      <c r="BY1022" s="138"/>
    </row>
    <row r="1023" spans="1:77" ht="15" customHeight="1" outlineLevel="1" x14ac:dyDescent="0.2">
      <c r="A1023" s="57" t="s">
        <v>24</v>
      </c>
      <c r="B1023" s="583" t="s">
        <v>477</v>
      </c>
      <c r="C1023" s="583" t="s">
        <v>1386</v>
      </c>
      <c r="D1023" s="546">
        <v>1.595</v>
      </c>
      <c r="E1023" s="162" t="s">
        <v>631</v>
      </c>
      <c r="F1023" s="358"/>
      <c r="G1023" s="65"/>
      <c r="H1023" s="73"/>
      <c r="I1023" s="90">
        <v>2007</v>
      </c>
      <c r="J1023" s="73"/>
      <c r="K1023" s="790">
        <v>9.1089999999999997E-4</v>
      </c>
      <c r="L1023" s="717"/>
      <c r="M1023" s="73"/>
      <c r="N1023" s="359"/>
      <c r="O1023" s="1041"/>
      <c r="P1023" s="73"/>
      <c r="Q1023" s="359"/>
      <c r="R1023" s="1041"/>
      <c r="S1023" s="73"/>
      <c r="T1023" s="359"/>
      <c r="U1023" s="73"/>
      <c r="V1023" s="66"/>
      <c r="W1023" s="788">
        <f t="shared" si="656"/>
        <v>6.3762999999999992E-7</v>
      </c>
      <c r="X1023" s="789">
        <f t="shared" si="657"/>
        <v>6.3762999999999992E-7</v>
      </c>
      <c r="Y1023" s="52">
        <v>2007</v>
      </c>
      <c r="Z1023" s="52"/>
      <c r="AA1023" s="787">
        <f t="shared" si="655"/>
        <v>9.1089999999999993E-7</v>
      </c>
      <c r="AB1023" s="256">
        <v>-0.3</v>
      </c>
      <c r="AC1023" s="688">
        <f>AB1023</f>
        <v>-0.3</v>
      </c>
      <c r="AD1023" s="164"/>
      <c r="AE1023" s="164"/>
      <c r="AF1023" s="25"/>
      <c r="AG1023" s="26"/>
      <c r="AH1023" s="275"/>
      <c r="AI1023" s="52"/>
      <c r="AJ1023" s="35"/>
      <c r="AK1023" s="289"/>
      <c r="AL1023" s="290"/>
      <c r="AM1023" s="211"/>
      <c r="AN1023" s="164"/>
      <c r="AO1023" s="594"/>
      <c r="AP1023" s="595"/>
      <c r="AQ1023" s="275"/>
      <c r="AR1023" s="52"/>
      <c r="AS1023" s="596"/>
      <c r="AT1023" s="79"/>
      <c r="AU1023" s="212"/>
      <c r="AV1023" s="164"/>
      <c r="AW1023" s="164"/>
      <c r="AX1023" s="76"/>
      <c r="AY1023" s="44"/>
      <c r="AZ1023" s="275"/>
      <c r="BA1023" s="52"/>
      <c r="BB1023" s="35"/>
      <c r="BC1023" s="79"/>
      <c r="BD1023" s="230"/>
      <c r="BE1023" s="211"/>
      <c r="BF1023" s="164"/>
      <c r="BG1023" s="76"/>
      <c r="BH1023" s="44"/>
      <c r="BI1023" s="275"/>
      <c r="BJ1023" s="52"/>
      <c r="BK1023" s="35"/>
      <c r="BL1023" s="79"/>
      <c r="BM1023" s="230"/>
      <c r="BN1023" s="211"/>
      <c r="BO1023" s="164"/>
      <c r="BP1023" s="726"/>
      <c r="BQ1023" s="727"/>
      <c r="BR1023" s="299"/>
      <c r="BS1023" s="35"/>
      <c r="BT1023" s="596"/>
      <c r="BU1023" s="79"/>
      <c r="BV1023" s="212"/>
      <c r="BW1023" s="304"/>
      <c r="BX1023" s="313"/>
      <c r="BY1023" s="138"/>
    </row>
    <row r="1024" spans="1:77" ht="23.45" customHeight="1" outlineLevel="1" x14ac:dyDescent="0.2">
      <c r="A1024" s="583" t="s">
        <v>24</v>
      </c>
      <c r="B1024" s="583" t="s">
        <v>477</v>
      </c>
      <c r="C1024" s="583" t="s">
        <v>1660</v>
      </c>
      <c r="D1024" s="546">
        <v>6.5039999999999996</v>
      </c>
      <c r="E1024" s="162" t="s">
        <v>631</v>
      </c>
      <c r="F1024" s="358"/>
      <c r="G1024" s="65"/>
      <c r="H1024" s="73"/>
      <c r="I1024" s="90">
        <v>2007</v>
      </c>
      <c r="J1024" s="73"/>
      <c r="K1024" s="790">
        <v>4.1463E-2</v>
      </c>
      <c r="L1024" s="717"/>
      <c r="M1024" s="73"/>
      <c r="N1024" s="359"/>
      <c r="O1024" s="1041"/>
      <c r="P1024" s="73"/>
      <c r="Q1024" s="359"/>
      <c r="R1024" s="1041"/>
      <c r="S1024" s="73"/>
      <c r="T1024" s="359"/>
      <c r="U1024" s="73"/>
      <c r="V1024" s="66"/>
      <c r="W1024" s="788">
        <f t="shared" ref="W1024" si="666">AA1024*(1+AB1024)</f>
        <v>3.1097250000000001E-5</v>
      </c>
      <c r="X1024" s="789">
        <f t="shared" ref="X1024" si="667">AA1024*(1+AC1024)</f>
        <v>3.1097250000000001E-5</v>
      </c>
      <c r="Y1024" s="52">
        <v>2007</v>
      </c>
      <c r="Z1024" s="52"/>
      <c r="AA1024" s="787">
        <f t="shared" si="655"/>
        <v>4.1462999999999999E-5</v>
      </c>
      <c r="AB1024" s="256">
        <v>-0.25</v>
      </c>
      <c r="AC1024" s="688">
        <f>AB1024</f>
        <v>-0.25</v>
      </c>
      <c r="AD1024" s="164"/>
      <c r="AE1024" s="164"/>
      <c r="AF1024" s="25"/>
      <c r="AG1024" s="26"/>
      <c r="AH1024" s="275"/>
      <c r="AI1024" s="52"/>
      <c r="AJ1024" s="35"/>
      <c r="AK1024" s="289"/>
      <c r="AL1024" s="290"/>
      <c r="AM1024" s="211"/>
      <c r="AN1024" s="164"/>
      <c r="AO1024" s="594"/>
      <c r="AP1024" s="595"/>
      <c r="AQ1024" s="275"/>
      <c r="AR1024" s="52"/>
      <c r="AS1024" s="596"/>
      <c r="AT1024" s="79"/>
      <c r="AU1024" s="212"/>
      <c r="AV1024" s="164"/>
      <c r="AW1024" s="164"/>
      <c r="AX1024" s="76"/>
      <c r="AY1024" s="44"/>
      <c r="AZ1024" s="275"/>
      <c r="BA1024" s="52"/>
      <c r="BB1024" s="35"/>
      <c r="BC1024" s="79"/>
      <c r="BD1024" s="230"/>
      <c r="BE1024" s="211"/>
      <c r="BF1024" s="164"/>
      <c r="BG1024" s="76"/>
      <c r="BH1024" s="44"/>
      <c r="BI1024" s="275"/>
      <c r="BJ1024" s="52"/>
      <c r="BK1024" s="35"/>
      <c r="BL1024" s="79"/>
      <c r="BM1024" s="230"/>
      <c r="BN1024" s="211"/>
      <c r="BO1024" s="164"/>
      <c r="BP1024" s="726"/>
      <c r="BQ1024" s="727"/>
      <c r="BR1024" s="299"/>
      <c r="BS1024" s="35"/>
      <c r="BT1024" s="596"/>
      <c r="BU1024" s="79"/>
      <c r="BV1024" s="212"/>
      <c r="BW1024" s="304"/>
      <c r="BX1024" s="313"/>
      <c r="BY1024" s="138" t="s">
        <v>1671</v>
      </c>
    </row>
    <row r="1025" spans="1:77" ht="15" customHeight="1" outlineLevel="1" x14ac:dyDescent="0.2">
      <c r="A1025" s="57" t="s">
        <v>24</v>
      </c>
      <c r="B1025" s="583" t="s">
        <v>477</v>
      </c>
      <c r="C1025" s="583" t="s">
        <v>1304</v>
      </c>
      <c r="D1025" s="546">
        <v>9.75</v>
      </c>
      <c r="E1025" s="162" t="s">
        <v>631</v>
      </c>
      <c r="F1025" s="358"/>
      <c r="G1025" s="65"/>
      <c r="H1025" s="73"/>
      <c r="I1025" s="90">
        <v>2007</v>
      </c>
      <c r="J1025" s="73"/>
      <c r="K1025" s="734">
        <v>3.1050000000000001E-2</v>
      </c>
      <c r="L1025" s="717"/>
      <c r="M1025" s="73"/>
      <c r="N1025" s="359"/>
      <c r="O1025" s="1041"/>
      <c r="P1025" s="73"/>
      <c r="Q1025" s="359"/>
      <c r="R1025" s="1041"/>
      <c r="S1025" s="73"/>
      <c r="T1025" s="359"/>
      <c r="U1025" s="73"/>
      <c r="V1025" s="66"/>
      <c r="W1025" s="740">
        <f t="shared" ref="W1025" si="668">AA1025*(1+AB1025)</f>
        <v>2.0492999999999998E-5</v>
      </c>
      <c r="X1025" s="741">
        <f t="shared" ref="X1025" si="669">AA1025*(1+AC1025)</f>
        <v>2.0492999999999998E-5</v>
      </c>
      <c r="Y1025" s="52">
        <v>2007</v>
      </c>
      <c r="Z1025" s="52"/>
      <c r="AA1025" s="739">
        <f t="shared" si="655"/>
        <v>3.1050000000000003E-5</v>
      </c>
      <c r="AB1025" s="256">
        <v>-0.34</v>
      </c>
      <c r="AC1025" s="688">
        <f>AB1025</f>
        <v>-0.34</v>
      </c>
      <c r="AD1025" s="164"/>
      <c r="AE1025" s="164"/>
      <c r="AF1025" s="25"/>
      <c r="AG1025" s="26"/>
      <c r="AH1025" s="275"/>
      <c r="AI1025" s="52"/>
      <c r="AJ1025" s="35"/>
      <c r="AK1025" s="289"/>
      <c r="AL1025" s="290"/>
      <c r="AM1025" s="211"/>
      <c r="AN1025" s="164"/>
      <c r="AO1025" s="594"/>
      <c r="AP1025" s="595"/>
      <c r="AQ1025" s="275"/>
      <c r="AR1025" s="52"/>
      <c r="AS1025" s="596"/>
      <c r="AT1025" s="79"/>
      <c r="AU1025" s="212"/>
      <c r="AV1025" s="164"/>
      <c r="AW1025" s="164"/>
      <c r="AX1025" s="76"/>
      <c r="AY1025" s="44"/>
      <c r="AZ1025" s="275"/>
      <c r="BA1025" s="52"/>
      <c r="BB1025" s="35"/>
      <c r="BC1025" s="79"/>
      <c r="BD1025" s="230"/>
      <c r="BE1025" s="211"/>
      <c r="BF1025" s="164"/>
      <c r="BG1025" s="76"/>
      <c r="BH1025" s="44"/>
      <c r="BI1025" s="275"/>
      <c r="BJ1025" s="52"/>
      <c r="BK1025" s="35"/>
      <c r="BL1025" s="79"/>
      <c r="BM1025" s="230"/>
      <c r="BN1025" s="211"/>
      <c r="BO1025" s="164"/>
      <c r="BP1025" s="726"/>
      <c r="BQ1025" s="727"/>
      <c r="BR1025" s="299"/>
      <c r="BS1025" s="35"/>
      <c r="BT1025" s="596"/>
      <c r="BU1025" s="79"/>
      <c r="BV1025" s="212"/>
      <c r="BW1025" s="304"/>
      <c r="BX1025" s="313"/>
      <c r="BY1025" s="138"/>
    </row>
    <row r="1026" spans="1:77" ht="15" customHeight="1" outlineLevel="1" x14ac:dyDescent="0.2">
      <c r="A1026" s="583" t="s">
        <v>24</v>
      </c>
      <c r="B1026" s="583" t="s">
        <v>477</v>
      </c>
      <c r="C1026" s="583" t="s">
        <v>1661</v>
      </c>
      <c r="D1026" s="546">
        <v>3.7919999999999998</v>
      </c>
      <c r="E1026" s="162" t="s">
        <v>631</v>
      </c>
      <c r="F1026" s="358"/>
      <c r="G1026" s="65"/>
      <c r="H1026" s="73"/>
      <c r="I1026" s="90">
        <v>2007</v>
      </c>
      <c r="J1026" s="73"/>
      <c r="K1026" s="734">
        <v>2.3098E-2</v>
      </c>
      <c r="L1026" s="717"/>
      <c r="M1026" s="73"/>
      <c r="N1026" s="359"/>
      <c r="O1026" s="1041"/>
      <c r="P1026" s="73"/>
      <c r="Q1026" s="359"/>
      <c r="R1026" s="1041"/>
      <c r="S1026" s="73"/>
      <c r="T1026" s="359"/>
      <c r="U1026" s="73"/>
      <c r="V1026" s="66"/>
      <c r="W1026" s="788">
        <f t="shared" ref="W1026" si="670">AA1026*(1+AB1026)</f>
        <v>1.7092520000000001E-5</v>
      </c>
      <c r="X1026" s="789">
        <f t="shared" ref="X1026" si="671">AA1026*(1+AC1026)</f>
        <v>1.7092520000000001E-5</v>
      </c>
      <c r="Y1026" s="52">
        <v>2007</v>
      </c>
      <c r="Z1026" s="52"/>
      <c r="AA1026" s="787">
        <f t="shared" si="655"/>
        <v>2.3098000000000001E-5</v>
      </c>
      <c r="AB1026" s="256">
        <v>-0.26</v>
      </c>
      <c r="AC1026" s="688">
        <f>AB1026</f>
        <v>-0.26</v>
      </c>
      <c r="AD1026" s="164"/>
      <c r="AE1026" s="164"/>
      <c r="AF1026" s="25"/>
      <c r="AG1026" s="26"/>
      <c r="AH1026" s="275"/>
      <c r="AI1026" s="52"/>
      <c r="AJ1026" s="35"/>
      <c r="AK1026" s="289"/>
      <c r="AL1026" s="290"/>
      <c r="AM1026" s="211"/>
      <c r="AN1026" s="164"/>
      <c r="AO1026" s="594"/>
      <c r="AP1026" s="595"/>
      <c r="AQ1026" s="275"/>
      <c r="AR1026" s="52"/>
      <c r="AS1026" s="596"/>
      <c r="AT1026" s="79"/>
      <c r="AU1026" s="212"/>
      <c r="AV1026" s="164"/>
      <c r="AW1026" s="164"/>
      <c r="AX1026" s="76"/>
      <c r="AY1026" s="44"/>
      <c r="AZ1026" s="275"/>
      <c r="BA1026" s="52"/>
      <c r="BB1026" s="35"/>
      <c r="BC1026" s="79"/>
      <c r="BD1026" s="230"/>
      <c r="BE1026" s="211"/>
      <c r="BF1026" s="164"/>
      <c r="BG1026" s="76"/>
      <c r="BH1026" s="44"/>
      <c r="BI1026" s="275"/>
      <c r="BJ1026" s="52"/>
      <c r="BK1026" s="35"/>
      <c r="BL1026" s="79"/>
      <c r="BM1026" s="230"/>
      <c r="BN1026" s="211"/>
      <c r="BO1026" s="164"/>
      <c r="BP1026" s="726"/>
      <c r="BQ1026" s="727"/>
      <c r="BR1026" s="299"/>
      <c r="BS1026" s="35"/>
      <c r="BT1026" s="596"/>
      <c r="BU1026" s="79"/>
      <c r="BV1026" s="212"/>
      <c r="BW1026" s="304"/>
      <c r="BX1026" s="313"/>
      <c r="BY1026" s="138" t="s">
        <v>1671</v>
      </c>
    </row>
    <row r="1027" spans="1:77" ht="15" customHeight="1" outlineLevel="1" x14ac:dyDescent="0.2">
      <c r="A1027" s="57" t="s">
        <v>24</v>
      </c>
      <c r="B1027" s="583" t="s">
        <v>477</v>
      </c>
      <c r="C1027" s="583" t="s">
        <v>1302</v>
      </c>
      <c r="D1027" s="546">
        <v>12.337</v>
      </c>
      <c r="E1027" s="162" t="s">
        <v>631</v>
      </c>
      <c r="F1027" s="358"/>
      <c r="G1027" s="65"/>
      <c r="H1027" s="73"/>
      <c r="I1027" s="90"/>
      <c r="J1027" s="73"/>
      <c r="K1027" s="734"/>
      <c r="L1027" s="717"/>
      <c r="M1027" s="73"/>
      <c r="N1027" s="738">
        <v>3.3313000000000002E-2</v>
      </c>
      <c r="O1027" s="1041"/>
      <c r="P1027" s="73"/>
      <c r="Q1027" s="738"/>
      <c r="R1027" s="1041"/>
      <c r="S1027" s="73"/>
      <c r="T1027" s="738"/>
      <c r="U1027" s="73"/>
      <c r="V1027" s="66"/>
      <c r="W1027" s="740">
        <f t="shared" si="643"/>
        <v>2.0654060000000003E-5</v>
      </c>
      <c r="X1027" s="741">
        <f t="shared" si="644"/>
        <v>2.0654060000000003E-5</v>
      </c>
      <c r="Y1027" s="52">
        <v>2010</v>
      </c>
      <c r="Z1027" s="52"/>
      <c r="AA1027" s="739">
        <f>+N1027/1000</f>
        <v>3.3313000000000004E-5</v>
      </c>
      <c r="AB1027" s="256">
        <v>-0.38</v>
      </c>
      <c r="AC1027" s="688">
        <f t="shared" si="647"/>
        <v>-0.38</v>
      </c>
      <c r="AD1027" s="164"/>
      <c r="AE1027" s="164"/>
      <c r="AF1027" s="25"/>
      <c r="AG1027" s="26"/>
      <c r="AH1027" s="275"/>
      <c r="AI1027" s="52"/>
      <c r="AJ1027" s="35"/>
      <c r="AK1027" s="289"/>
      <c r="AL1027" s="290"/>
      <c r="AM1027" s="211"/>
      <c r="AN1027" s="164"/>
      <c r="AO1027" s="594"/>
      <c r="AP1027" s="595"/>
      <c r="AQ1027" s="275"/>
      <c r="AR1027" s="52"/>
      <c r="AS1027" s="596"/>
      <c r="AT1027" s="79"/>
      <c r="AU1027" s="212"/>
      <c r="AV1027" s="164"/>
      <c r="AW1027" s="164"/>
      <c r="AX1027" s="76"/>
      <c r="AY1027" s="44"/>
      <c r="AZ1027" s="275"/>
      <c r="BA1027" s="52"/>
      <c r="BB1027" s="35"/>
      <c r="BC1027" s="79"/>
      <c r="BD1027" s="230"/>
      <c r="BE1027" s="211"/>
      <c r="BF1027" s="164"/>
      <c r="BG1027" s="76"/>
      <c r="BH1027" s="44"/>
      <c r="BI1027" s="275"/>
      <c r="BJ1027" s="52"/>
      <c r="BK1027" s="35"/>
      <c r="BL1027" s="79"/>
      <c r="BM1027" s="230"/>
      <c r="BN1027" s="211"/>
      <c r="BO1027" s="164"/>
      <c r="BP1027" s="726"/>
      <c r="BQ1027" s="727"/>
      <c r="BR1027" s="299"/>
      <c r="BS1027" s="35"/>
      <c r="BT1027" s="596"/>
      <c r="BU1027" s="79"/>
      <c r="BV1027" s="212"/>
      <c r="BW1027" s="304"/>
      <c r="BX1027" s="313"/>
      <c r="BY1027" s="138"/>
    </row>
    <row r="1028" spans="1:77" ht="15" customHeight="1" outlineLevel="1" x14ac:dyDescent="0.2">
      <c r="A1028" s="57" t="s">
        <v>24</v>
      </c>
      <c r="B1028" s="583" t="s">
        <v>477</v>
      </c>
      <c r="C1028" s="583" t="s">
        <v>1936</v>
      </c>
      <c r="D1028" s="546">
        <v>9.92</v>
      </c>
      <c r="E1028" s="162" t="s">
        <v>631</v>
      </c>
      <c r="F1028" s="358"/>
      <c r="G1028" s="65"/>
      <c r="H1028" s="73"/>
      <c r="I1028" s="90"/>
      <c r="J1028" s="73"/>
      <c r="K1028" s="734"/>
      <c r="L1028" s="717">
        <v>2008</v>
      </c>
      <c r="M1028" s="73"/>
      <c r="N1028" s="738">
        <v>7.6884999999999995E-2</v>
      </c>
      <c r="O1028" s="1041"/>
      <c r="P1028" s="73"/>
      <c r="Q1028" s="738"/>
      <c r="R1028" s="1041"/>
      <c r="S1028" s="73"/>
      <c r="T1028" s="738"/>
      <c r="U1028" s="73"/>
      <c r="V1028" s="66"/>
      <c r="W1028" s="740">
        <f t="shared" ref="W1028" si="672">AA1028*(1+AB1028)</f>
        <v>5.6126049999999994E-5</v>
      </c>
      <c r="X1028" s="741">
        <f t="shared" ref="X1028" si="673">AA1028*(1+AC1028)</f>
        <v>5.6126049999999994E-5</v>
      </c>
      <c r="Y1028" s="52">
        <v>2008</v>
      </c>
      <c r="Z1028" s="52"/>
      <c r="AA1028" s="739">
        <f>+N1028/1000</f>
        <v>7.6884999999999993E-5</v>
      </c>
      <c r="AB1028" s="256">
        <v>-0.27</v>
      </c>
      <c r="AC1028" s="688">
        <f t="shared" si="647"/>
        <v>-0.27</v>
      </c>
      <c r="AD1028" s="164"/>
      <c r="AE1028" s="164"/>
      <c r="AF1028" s="25"/>
      <c r="AG1028" s="26"/>
      <c r="AH1028" s="275"/>
      <c r="AI1028" s="52"/>
      <c r="AJ1028" s="35"/>
      <c r="AK1028" s="289"/>
      <c r="AL1028" s="290"/>
      <c r="AM1028" s="211"/>
      <c r="AN1028" s="164"/>
      <c r="AO1028" s="594"/>
      <c r="AP1028" s="595"/>
      <c r="AQ1028" s="275"/>
      <c r="AR1028" s="52"/>
      <c r="AS1028" s="596"/>
      <c r="AT1028" s="79"/>
      <c r="AU1028" s="212"/>
      <c r="AV1028" s="164"/>
      <c r="AW1028" s="164"/>
      <c r="AX1028" s="76"/>
      <c r="AY1028" s="44"/>
      <c r="AZ1028" s="275"/>
      <c r="BA1028" s="52"/>
      <c r="BB1028" s="35"/>
      <c r="BC1028" s="79"/>
      <c r="BD1028" s="230"/>
      <c r="BE1028" s="211"/>
      <c r="BF1028" s="164"/>
      <c r="BG1028" s="76"/>
      <c r="BH1028" s="44"/>
      <c r="BI1028" s="275"/>
      <c r="BJ1028" s="52"/>
      <c r="BK1028" s="35"/>
      <c r="BL1028" s="79"/>
      <c r="BM1028" s="230"/>
      <c r="BN1028" s="211"/>
      <c r="BO1028" s="164"/>
      <c r="BP1028" s="726"/>
      <c r="BQ1028" s="727"/>
      <c r="BR1028" s="299"/>
      <c r="BS1028" s="35"/>
      <c r="BT1028" s="596"/>
      <c r="BU1028" s="79"/>
      <c r="BV1028" s="212"/>
      <c r="BW1028" s="304"/>
      <c r="BX1028" s="313"/>
      <c r="BY1028" s="138"/>
    </row>
    <row r="1029" spans="1:77" ht="15" customHeight="1" outlineLevel="1" x14ac:dyDescent="0.2">
      <c r="A1029" s="57" t="s">
        <v>24</v>
      </c>
      <c r="B1029" s="583" t="s">
        <v>477</v>
      </c>
      <c r="C1029" s="583" t="s">
        <v>1505</v>
      </c>
      <c r="D1029" s="546">
        <v>16.759</v>
      </c>
      <c r="E1029" s="162" t="s">
        <v>631</v>
      </c>
      <c r="F1029" s="358"/>
      <c r="G1029" s="65"/>
      <c r="H1029" s="73"/>
      <c r="I1029" s="90">
        <v>2003</v>
      </c>
      <c r="J1029" s="73"/>
      <c r="K1029" s="66">
        <v>0.18366499999999999</v>
      </c>
      <c r="L1029" s="717"/>
      <c r="M1029" s="73"/>
      <c r="N1029" s="738"/>
      <c r="O1029" s="1041"/>
      <c r="P1029" s="73"/>
      <c r="Q1029" s="738"/>
      <c r="R1029" s="1041"/>
      <c r="S1029" s="73"/>
      <c r="T1029" s="738"/>
      <c r="U1029" s="73"/>
      <c r="V1029" s="66"/>
      <c r="W1029" s="594">
        <f t="shared" ref="W1029" si="674">AA1029*(1+AB1029)</f>
        <v>1.1570895E-4</v>
      </c>
      <c r="X1029" s="595">
        <f t="shared" ref="X1029" si="675">AA1029*(1+AC1029)</f>
        <v>1.1570895E-4</v>
      </c>
      <c r="Y1029" s="52">
        <v>2010</v>
      </c>
      <c r="Z1029" s="52"/>
      <c r="AA1029" s="596">
        <f>+K1029/1000</f>
        <v>1.8366499999999998E-4</v>
      </c>
      <c r="AB1029" s="256">
        <v>-0.37</v>
      </c>
      <c r="AC1029" s="688">
        <f t="shared" ref="AC1029:AC1034" si="676">AB1029</f>
        <v>-0.37</v>
      </c>
      <c r="AD1029" s="164"/>
      <c r="AE1029" s="164"/>
      <c r="AF1029" s="25"/>
      <c r="AG1029" s="26"/>
      <c r="AH1029" s="275"/>
      <c r="AI1029" s="52"/>
      <c r="AJ1029" s="35"/>
      <c r="AK1029" s="289"/>
      <c r="AL1029" s="290"/>
      <c r="AM1029" s="211"/>
      <c r="AN1029" s="164"/>
      <c r="AO1029" s="594"/>
      <c r="AP1029" s="595"/>
      <c r="AQ1029" s="275"/>
      <c r="AR1029" s="52"/>
      <c r="AS1029" s="596"/>
      <c r="AT1029" s="79"/>
      <c r="AU1029" s="212"/>
      <c r="AV1029" s="164"/>
      <c r="AW1029" s="164"/>
      <c r="AX1029" s="76"/>
      <c r="AY1029" s="44"/>
      <c r="AZ1029" s="275"/>
      <c r="BA1029" s="52"/>
      <c r="BB1029" s="35"/>
      <c r="BC1029" s="79"/>
      <c r="BD1029" s="230"/>
      <c r="BE1029" s="211"/>
      <c r="BF1029" s="164"/>
      <c r="BG1029" s="76"/>
      <c r="BH1029" s="44"/>
      <c r="BI1029" s="275"/>
      <c r="BJ1029" s="52"/>
      <c r="BK1029" s="35"/>
      <c r="BL1029" s="79"/>
      <c r="BM1029" s="230"/>
      <c r="BN1029" s="211"/>
      <c r="BO1029" s="164"/>
      <c r="BP1029" s="726"/>
      <c r="BQ1029" s="727"/>
      <c r="BR1029" s="299"/>
      <c r="BS1029" s="35"/>
      <c r="BT1029" s="596"/>
      <c r="BU1029" s="79"/>
      <c r="BV1029" s="212"/>
      <c r="BW1029" s="304"/>
      <c r="BX1029" s="313"/>
      <c r="BY1029" s="138"/>
    </row>
    <row r="1030" spans="1:77" ht="15" customHeight="1" outlineLevel="1" x14ac:dyDescent="0.2">
      <c r="A1030" s="57" t="s">
        <v>24</v>
      </c>
      <c r="B1030" s="583" t="s">
        <v>477</v>
      </c>
      <c r="C1030" s="583" t="s">
        <v>1712</v>
      </c>
      <c r="D1030" s="546">
        <v>9.5719999999999992</v>
      </c>
      <c r="E1030" s="162" t="s">
        <v>631</v>
      </c>
      <c r="F1030" s="358"/>
      <c r="G1030" s="65"/>
      <c r="H1030" s="73"/>
      <c r="I1030" s="90"/>
      <c r="J1030" s="73"/>
      <c r="K1030" s="66"/>
      <c r="L1030" s="717">
        <v>2009</v>
      </c>
      <c r="M1030" s="73"/>
      <c r="N1030" s="738">
        <v>3.0686999999999999E-2</v>
      </c>
      <c r="O1030" s="1041"/>
      <c r="P1030" s="73"/>
      <c r="Q1030" s="738"/>
      <c r="R1030" s="1041"/>
      <c r="S1030" s="73"/>
      <c r="T1030" s="738"/>
      <c r="U1030" s="73"/>
      <c r="V1030" s="66"/>
      <c r="W1030" s="788">
        <f t="shared" ref="W1030" si="677">AA1030*(1+AB1030)</f>
        <v>2.301525E-5</v>
      </c>
      <c r="X1030" s="789">
        <f t="shared" ref="X1030" si="678">AA1030*(1+AC1030)</f>
        <v>2.301525E-5</v>
      </c>
      <c r="Y1030" s="52">
        <v>2009</v>
      </c>
      <c r="Z1030" s="52"/>
      <c r="AA1030" s="787">
        <f>+N1030/1000</f>
        <v>3.0686999999999999E-5</v>
      </c>
      <c r="AB1030" s="256">
        <v>-0.25</v>
      </c>
      <c r="AC1030" s="688">
        <f t="shared" si="676"/>
        <v>-0.25</v>
      </c>
      <c r="AD1030" s="164"/>
      <c r="AE1030" s="164"/>
      <c r="AF1030" s="25"/>
      <c r="AG1030" s="26"/>
      <c r="AH1030" s="275"/>
      <c r="AI1030" s="52"/>
      <c r="AJ1030" s="35"/>
      <c r="AK1030" s="289"/>
      <c r="AL1030" s="290"/>
      <c r="AM1030" s="211"/>
      <c r="AN1030" s="164"/>
      <c r="AO1030" s="594"/>
      <c r="AP1030" s="595"/>
      <c r="AQ1030" s="275"/>
      <c r="AR1030" s="52"/>
      <c r="AS1030" s="596"/>
      <c r="AT1030" s="79"/>
      <c r="AU1030" s="212"/>
      <c r="AV1030" s="164"/>
      <c r="AW1030" s="164"/>
      <c r="AX1030" s="76"/>
      <c r="AY1030" s="44"/>
      <c r="AZ1030" s="275"/>
      <c r="BA1030" s="52"/>
      <c r="BB1030" s="35"/>
      <c r="BC1030" s="79"/>
      <c r="BD1030" s="230"/>
      <c r="BE1030" s="211"/>
      <c r="BF1030" s="164"/>
      <c r="BG1030" s="76"/>
      <c r="BH1030" s="44"/>
      <c r="BI1030" s="275"/>
      <c r="BJ1030" s="52"/>
      <c r="BK1030" s="35"/>
      <c r="BL1030" s="79"/>
      <c r="BM1030" s="230"/>
      <c r="BN1030" s="211"/>
      <c r="BO1030" s="164"/>
      <c r="BP1030" s="726"/>
      <c r="BQ1030" s="727"/>
      <c r="BR1030" s="299"/>
      <c r="BS1030" s="35"/>
      <c r="BT1030" s="596"/>
      <c r="BU1030" s="79"/>
      <c r="BV1030" s="212"/>
      <c r="BW1030" s="304"/>
      <c r="BX1030" s="313"/>
      <c r="BY1030" s="138"/>
    </row>
    <row r="1031" spans="1:77" ht="15" customHeight="1" outlineLevel="1" x14ac:dyDescent="0.2">
      <c r="A1031" s="57" t="s">
        <v>24</v>
      </c>
      <c r="B1031" s="583" t="s">
        <v>477</v>
      </c>
      <c r="C1031" s="583" t="s">
        <v>1662</v>
      </c>
      <c r="D1031" s="546">
        <v>1.708</v>
      </c>
      <c r="E1031" s="162" t="s">
        <v>631</v>
      </c>
      <c r="F1031" s="358"/>
      <c r="G1031" s="65"/>
      <c r="H1031" s="73"/>
      <c r="I1031" s="90">
        <v>2007</v>
      </c>
      <c r="J1031" s="73"/>
      <c r="K1031" s="734">
        <v>1.1008E-2</v>
      </c>
      <c r="L1031" s="717"/>
      <c r="M1031" s="73"/>
      <c r="N1031" s="738"/>
      <c r="O1031" s="1041"/>
      <c r="P1031" s="73"/>
      <c r="Q1031" s="738"/>
      <c r="R1031" s="1041"/>
      <c r="S1031" s="73"/>
      <c r="T1031" s="738"/>
      <c r="U1031" s="73"/>
      <c r="V1031" s="66"/>
      <c r="W1031" s="788">
        <f t="shared" ref="W1031" si="679">AA1031*(1+AB1031)</f>
        <v>8.2560000000000002E-6</v>
      </c>
      <c r="X1031" s="789">
        <f t="shared" ref="X1031" si="680">AA1031*(1+AC1031)</f>
        <v>8.2560000000000002E-6</v>
      </c>
      <c r="Y1031" s="52">
        <v>2007</v>
      </c>
      <c r="Z1031" s="52"/>
      <c r="AA1031" s="787">
        <f>+K1031/1000</f>
        <v>1.1008E-5</v>
      </c>
      <c r="AB1031" s="256">
        <v>-0.25</v>
      </c>
      <c r="AC1031" s="688">
        <f t="shared" si="676"/>
        <v>-0.25</v>
      </c>
      <c r="AD1031" s="164"/>
      <c r="AE1031" s="164"/>
      <c r="AF1031" s="25"/>
      <c r="AG1031" s="26"/>
      <c r="AH1031" s="275"/>
      <c r="AI1031" s="52"/>
      <c r="AJ1031" s="35"/>
      <c r="AK1031" s="289"/>
      <c r="AL1031" s="290"/>
      <c r="AM1031" s="211"/>
      <c r="AN1031" s="164"/>
      <c r="AO1031" s="594"/>
      <c r="AP1031" s="595"/>
      <c r="AQ1031" s="275"/>
      <c r="AR1031" s="52"/>
      <c r="AS1031" s="596"/>
      <c r="AT1031" s="79"/>
      <c r="AU1031" s="212"/>
      <c r="AV1031" s="164"/>
      <c r="AW1031" s="164"/>
      <c r="AX1031" s="76"/>
      <c r="AY1031" s="44"/>
      <c r="AZ1031" s="275"/>
      <c r="BA1031" s="52"/>
      <c r="BB1031" s="35"/>
      <c r="BC1031" s="79"/>
      <c r="BD1031" s="230"/>
      <c r="BE1031" s="211"/>
      <c r="BF1031" s="164"/>
      <c r="BG1031" s="76"/>
      <c r="BH1031" s="44"/>
      <c r="BI1031" s="275"/>
      <c r="BJ1031" s="52"/>
      <c r="BK1031" s="35"/>
      <c r="BL1031" s="79"/>
      <c r="BM1031" s="230"/>
      <c r="BN1031" s="211"/>
      <c r="BO1031" s="164"/>
      <c r="BP1031" s="726"/>
      <c r="BQ1031" s="727"/>
      <c r="BR1031" s="299"/>
      <c r="BS1031" s="35"/>
      <c r="BT1031" s="596"/>
      <c r="BU1031" s="79"/>
      <c r="BV1031" s="212"/>
      <c r="BW1031" s="304"/>
      <c r="BX1031" s="313"/>
      <c r="BY1031" s="138" t="s">
        <v>1671</v>
      </c>
    </row>
    <row r="1032" spans="1:77" ht="15" customHeight="1" outlineLevel="1" x14ac:dyDescent="0.2">
      <c r="A1032" s="57" t="s">
        <v>24</v>
      </c>
      <c r="B1032" s="583" t="s">
        <v>477</v>
      </c>
      <c r="C1032" s="583" t="s">
        <v>2084</v>
      </c>
      <c r="D1032" s="546">
        <v>134.96700000000001</v>
      </c>
      <c r="E1032" s="162" t="s">
        <v>2213</v>
      </c>
      <c r="F1032" s="358"/>
      <c r="G1032" s="65"/>
      <c r="H1032" s="73"/>
      <c r="I1032" s="90">
        <v>2007</v>
      </c>
      <c r="J1032" s="73"/>
      <c r="K1032" s="734">
        <v>1.582605</v>
      </c>
      <c r="L1032" s="717"/>
      <c r="M1032" s="73"/>
      <c r="N1032" s="738"/>
      <c r="O1032" s="1056">
        <v>2016</v>
      </c>
      <c r="P1032" s="1057"/>
      <c r="Q1032" s="1058">
        <v>1.5826051299999999</v>
      </c>
      <c r="R1032" s="1056">
        <v>2016</v>
      </c>
      <c r="S1032" s="1057"/>
      <c r="T1032" s="1058">
        <v>1.5826051299999999</v>
      </c>
      <c r="U1032" s="73"/>
      <c r="V1032" s="66"/>
      <c r="W1032" s="788">
        <f t="shared" ref="W1032" si="681">AA1032*(1+AB1032)</f>
        <v>1.179040725E-3</v>
      </c>
      <c r="X1032" s="789">
        <f t="shared" ref="X1032" si="682">AA1032*(1+AC1032)</f>
        <v>1.179040725E-3</v>
      </c>
      <c r="Y1032" s="52">
        <v>2007</v>
      </c>
      <c r="Z1032" s="52"/>
      <c r="AA1032" s="787">
        <f>+K1032/1000</f>
        <v>1.5826049999999999E-3</v>
      </c>
      <c r="AB1032" s="732">
        <v>-0.255</v>
      </c>
      <c r="AC1032" s="733">
        <f t="shared" si="676"/>
        <v>-0.255</v>
      </c>
      <c r="AD1032" s="164"/>
      <c r="AE1032" s="164"/>
      <c r="AF1032" s="25"/>
      <c r="AG1032" s="26"/>
      <c r="AH1032" s="275"/>
      <c r="AI1032" s="52"/>
      <c r="AJ1032" s="35"/>
      <c r="AK1032" s="289"/>
      <c r="AL1032" s="290"/>
      <c r="AM1032" s="211"/>
      <c r="AN1032" s="164"/>
      <c r="AO1032" s="594"/>
      <c r="AP1032" s="595"/>
      <c r="AQ1032" s="275"/>
      <c r="AR1032" s="52"/>
      <c r="AS1032" s="596"/>
      <c r="AT1032" s="79"/>
      <c r="AU1032" s="212"/>
      <c r="AV1032" s="164"/>
      <c r="AW1032" s="164"/>
      <c r="AX1032" s="76"/>
      <c r="AY1032" s="44"/>
      <c r="AZ1032" s="275"/>
      <c r="BA1032" s="52"/>
      <c r="BB1032" s="35"/>
      <c r="BC1032" s="79"/>
      <c r="BD1032" s="230"/>
      <c r="BE1032" s="211"/>
      <c r="BF1032" s="164"/>
      <c r="BG1032" s="76"/>
      <c r="BH1032" s="44"/>
      <c r="BI1032" s="275"/>
      <c r="BJ1032" s="52"/>
      <c r="BK1032" s="35"/>
      <c r="BL1032" s="79"/>
      <c r="BM1032" s="230"/>
      <c r="BN1032" s="211"/>
      <c r="BO1032" s="164"/>
      <c r="BP1032" s="726"/>
      <c r="BQ1032" s="727"/>
      <c r="BR1032" s="299"/>
      <c r="BS1032" s="35"/>
      <c r="BT1032" s="596"/>
      <c r="BU1032" s="79"/>
      <c r="BV1032" s="212"/>
      <c r="BW1032" s="304"/>
      <c r="BX1032" s="313"/>
      <c r="BY1032" s="138"/>
    </row>
    <row r="1033" spans="1:77" ht="15" customHeight="1" outlineLevel="1" x14ac:dyDescent="0.2">
      <c r="A1033" s="57" t="s">
        <v>24</v>
      </c>
      <c r="B1033" s="583" t="s">
        <v>477</v>
      </c>
      <c r="C1033" s="583" t="s">
        <v>1784</v>
      </c>
      <c r="D1033" s="546">
        <v>118.652</v>
      </c>
      <c r="E1033" s="162" t="s">
        <v>631</v>
      </c>
      <c r="F1033" s="358"/>
      <c r="G1033" s="65"/>
      <c r="H1033" s="73"/>
      <c r="I1033" s="90">
        <v>2000</v>
      </c>
      <c r="J1033" s="73"/>
      <c r="K1033" s="734">
        <v>0.67402899999999999</v>
      </c>
      <c r="L1033" s="717"/>
      <c r="M1033" s="73"/>
      <c r="N1033" s="738"/>
      <c r="O1033" s="1041"/>
      <c r="P1033" s="73"/>
      <c r="Q1033" s="738"/>
      <c r="R1033" s="1041"/>
      <c r="S1033" s="73"/>
      <c r="T1033" s="738"/>
      <c r="U1033" s="73"/>
      <c r="V1033" s="66"/>
      <c r="W1033" s="788">
        <f t="shared" ref="W1033" si="683">AA1033*(1+AB1033)</f>
        <v>5.0552175000000003E-4</v>
      </c>
      <c r="X1033" s="789">
        <f t="shared" ref="X1033" si="684">AA1033*(1+AC1033)</f>
        <v>5.0552175000000003E-4</v>
      </c>
      <c r="Y1033" s="52">
        <v>2000</v>
      </c>
      <c r="Z1033" s="52"/>
      <c r="AA1033" s="787">
        <f>+K1033/1000</f>
        <v>6.7402900000000003E-4</v>
      </c>
      <c r="AB1033" s="256">
        <v>-0.25</v>
      </c>
      <c r="AC1033" s="688">
        <f t="shared" si="676"/>
        <v>-0.25</v>
      </c>
      <c r="AD1033" s="164"/>
      <c r="AE1033" s="164"/>
      <c r="AF1033" s="25"/>
      <c r="AG1033" s="26"/>
      <c r="AH1033" s="275"/>
      <c r="AI1033" s="52"/>
      <c r="AJ1033" s="35"/>
      <c r="AK1033" s="289"/>
      <c r="AL1033" s="290"/>
      <c r="AM1033" s="211"/>
      <c r="AN1033" s="164"/>
      <c r="AO1033" s="594"/>
      <c r="AP1033" s="595"/>
      <c r="AQ1033" s="275"/>
      <c r="AR1033" s="52"/>
      <c r="AS1033" s="596"/>
      <c r="AT1033" s="79"/>
      <c r="AU1033" s="212"/>
      <c r="AV1033" s="164"/>
      <c r="AW1033" s="164"/>
      <c r="AX1033" s="76"/>
      <c r="AY1033" s="44"/>
      <c r="AZ1033" s="275"/>
      <c r="BA1033" s="52"/>
      <c r="BB1033" s="35"/>
      <c r="BC1033" s="79"/>
      <c r="BD1033" s="230"/>
      <c r="BE1033" s="211"/>
      <c r="BF1033" s="164"/>
      <c r="BG1033" s="76"/>
      <c r="BH1033" s="44"/>
      <c r="BI1033" s="275"/>
      <c r="BJ1033" s="52"/>
      <c r="BK1033" s="35"/>
      <c r="BL1033" s="79"/>
      <c r="BM1033" s="230"/>
      <c r="BN1033" s="211"/>
      <c r="BO1033" s="164"/>
      <c r="BP1033" s="726"/>
      <c r="BQ1033" s="727"/>
      <c r="BR1033" s="299"/>
      <c r="BS1033" s="35"/>
      <c r="BT1033" s="596"/>
      <c r="BU1033" s="79"/>
      <c r="BV1033" s="212"/>
      <c r="BW1033" s="304"/>
      <c r="BX1033" s="313"/>
      <c r="BY1033" s="138"/>
    </row>
    <row r="1034" spans="1:77" ht="15" customHeight="1" outlineLevel="1" x14ac:dyDescent="0.2">
      <c r="A1034" s="583" t="s">
        <v>24</v>
      </c>
      <c r="B1034" s="583" t="s">
        <v>477</v>
      </c>
      <c r="C1034" s="583" t="s">
        <v>1657</v>
      </c>
      <c r="D1034" s="546">
        <v>13.183999999999999</v>
      </c>
      <c r="E1034" s="162" t="s">
        <v>631</v>
      </c>
      <c r="F1034" s="358"/>
      <c r="G1034" s="65"/>
      <c r="H1034" s="73"/>
      <c r="I1034" s="90">
        <v>2007</v>
      </c>
      <c r="J1034" s="73"/>
      <c r="K1034" s="66">
        <v>6.8588999999999997E-2</v>
      </c>
      <c r="L1034" s="717"/>
      <c r="M1034" s="73"/>
      <c r="N1034" s="738"/>
      <c r="O1034" s="1041"/>
      <c r="P1034" s="73"/>
      <c r="Q1034" s="738"/>
      <c r="R1034" s="1041"/>
      <c r="S1034" s="73"/>
      <c r="T1034" s="738"/>
      <c r="U1034" s="73"/>
      <c r="V1034" s="66"/>
      <c r="W1034" s="740">
        <f t="shared" ref="W1034" si="685">AA1034*(1+AB1034)</f>
        <v>5.1441750000000003E-5</v>
      </c>
      <c r="X1034" s="741">
        <f t="shared" ref="X1034" si="686">AA1034*(1+AC1034)</f>
        <v>5.1441750000000003E-5</v>
      </c>
      <c r="Y1034" s="52">
        <v>2007</v>
      </c>
      <c r="Z1034" s="52"/>
      <c r="AA1034" s="739">
        <f>+K1034/1000</f>
        <v>6.8589000000000003E-5</v>
      </c>
      <c r="AB1034" s="256">
        <v>-0.25</v>
      </c>
      <c r="AC1034" s="688">
        <f t="shared" si="676"/>
        <v>-0.25</v>
      </c>
      <c r="AD1034" s="164"/>
      <c r="AE1034" s="164"/>
      <c r="AF1034" s="25"/>
      <c r="AG1034" s="26"/>
      <c r="AH1034" s="275"/>
      <c r="AI1034" s="52"/>
      <c r="AJ1034" s="35"/>
      <c r="AK1034" s="289"/>
      <c r="AL1034" s="290"/>
      <c r="AM1034" s="211"/>
      <c r="AN1034" s="164"/>
      <c r="AO1034" s="594"/>
      <c r="AP1034" s="595"/>
      <c r="AQ1034" s="275"/>
      <c r="AR1034" s="52"/>
      <c r="AS1034" s="596"/>
      <c r="AT1034" s="79"/>
      <c r="AU1034" s="212"/>
      <c r="AV1034" s="164"/>
      <c r="AW1034" s="164"/>
      <c r="AX1034" s="76"/>
      <c r="AY1034" s="44"/>
      <c r="AZ1034" s="275"/>
      <c r="BA1034" s="52"/>
      <c r="BB1034" s="35"/>
      <c r="BC1034" s="79"/>
      <c r="BD1034" s="230"/>
      <c r="BE1034" s="211"/>
      <c r="BF1034" s="164"/>
      <c r="BG1034" s="76"/>
      <c r="BH1034" s="44"/>
      <c r="BI1034" s="275"/>
      <c r="BJ1034" s="52"/>
      <c r="BK1034" s="35"/>
      <c r="BL1034" s="79"/>
      <c r="BM1034" s="230"/>
      <c r="BN1034" s="211"/>
      <c r="BO1034" s="164"/>
      <c r="BP1034" s="726"/>
      <c r="BQ1034" s="727"/>
      <c r="BR1034" s="299"/>
      <c r="BS1034" s="35"/>
      <c r="BT1034" s="596"/>
      <c r="BU1034" s="79"/>
      <c r="BV1034" s="212"/>
      <c r="BW1034" s="304"/>
      <c r="BX1034" s="313"/>
      <c r="BY1034" s="138"/>
    </row>
    <row r="1035" spans="1:77" ht="15" customHeight="1" outlineLevel="1" x14ac:dyDescent="0.2">
      <c r="A1035" s="57" t="s">
        <v>24</v>
      </c>
      <c r="B1035" s="583" t="s">
        <v>477</v>
      </c>
      <c r="C1035" s="583" t="s">
        <v>1271</v>
      </c>
      <c r="D1035" s="546">
        <v>9.4090000000000007</v>
      </c>
      <c r="E1035" s="162" t="s">
        <v>631</v>
      </c>
      <c r="F1035" s="358"/>
      <c r="G1035" s="65"/>
      <c r="H1035" s="73"/>
      <c r="I1035" s="90"/>
      <c r="J1035" s="73"/>
      <c r="K1035" s="734"/>
      <c r="L1035" s="717"/>
      <c r="M1035" s="73"/>
      <c r="N1035" s="738">
        <v>2.2787000000000002E-2</v>
      </c>
      <c r="O1035" s="1041"/>
      <c r="P1035" s="73"/>
      <c r="Q1035" s="738"/>
      <c r="R1035" s="1041"/>
      <c r="S1035" s="73"/>
      <c r="T1035" s="738"/>
      <c r="U1035" s="73"/>
      <c r="V1035" s="66"/>
      <c r="W1035" s="740">
        <f t="shared" si="643"/>
        <v>7.0639700000000018E-6</v>
      </c>
      <c r="X1035" s="741">
        <f t="shared" si="644"/>
        <v>7.0639700000000018E-6</v>
      </c>
      <c r="Y1035" s="52">
        <v>2010</v>
      </c>
      <c r="Z1035" s="52"/>
      <c r="AA1035" s="739">
        <f>+N1035/1000</f>
        <v>2.2787000000000001E-5</v>
      </c>
      <c r="AB1035" s="256">
        <v>-0.69</v>
      </c>
      <c r="AC1035" s="688">
        <f t="shared" si="647"/>
        <v>-0.69</v>
      </c>
      <c r="AD1035" s="164"/>
      <c r="AE1035" s="164"/>
      <c r="AF1035" s="25"/>
      <c r="AG1035" s="26"/>
      <c r="AH1035" s="275"/>
      <c r="AI1035" s="52"/>
      <c r="AJ1035" s="35"/>
      <c r="AK1035" s="289"/>
      <c r="AL1035" s="290"/>
      <c r="AM1035" s="211"/>
      <c r="AN1035" s="164"/>
      <c r="AO1035" s="594"/>
      <c r="AP1035" s="595"/>
      <c r="AQ1035" s="275"/>
      <c r="AR1035" s="52"/>
      <c r="AS1035" s="596"/>
      <c r="AT1035" s="79"/>
      <c r="AU1035" s="212"/>
      <c r="AV1035" s="164"/>
      <c r="AW1035" s="164"/>
      <c r="AX1035" s="76"/>
      <c r="AY1035" s="44"/>
      <c r="AZ1035" s="275"/>
      <c r="BA1035" s="52"/>
      <c r="BB1035" s="35"/>
      <c r="BC1035" s="79"/>
      <c r="BD1035" s="230"/>
      <c r="BE1035" s="211"/>
      <c r="BF1035" s="164"/>
      <c r="BG1035" s="76"/>
      <c r="BH1035" s="44"/>
      <c r="BI1035" s="275"/>
      <c r="BJ1035" s="52"/>
      <c r="BK1035" s="35"/>
      <c r="BL1035" s="79"/>
      <c r="BM1035" s="230"/>
      <c r="BN1035" s="211"/>
      <c r="BO1035" s="164"/>
      <c r="BP1035" s="726"/>
      <c r="BQ1035" s="727"/>
      <c r="BR1035" s="299"/>
      <c r="BS1035" s="35"/>
      <c r="BT1035" s="596"/>
      <c r="BU1035" s="79"/>
      <c r="BV1035" s="212"/>
      <c r="BW1035" s="304"/>
      <c r="BX1035" s="313"/>
      <c r="BY1035" s="138"/>
    </row>
    <row r="1036" spans="1:77" ht="15" customHeight="1" outlineLevel="1" x14ac:dyDescent="0.2">
      <c r="A1036" s="57" t="s">
        <v>24</v>
      </c>
      <c r="B1036" s="583" t="s">
        <v>477</v>
      </c>
      <c r="C1036" s="583" t="s">
        <v>1663</v>
      </c>
      <c r="D1036" s="546">
        <v>2.5019999999999998</v>
      </c>
      <c r="E1036" s="162" t="s">
        <v>631</v>
      </c>
      <c r="F1036" s="358"/>
      <c r="G1036" s="65"/>
      <c r="H1036" s="73"/>
      <c r="I1036" s="90">
        <v>2007</v>
      </c>
      <c r="J1036" s="73"/>
      <c r="K1036" s="734">
        <v>1.6150999999999999E-2</v>
      </c>
      <c r="L1036" s="717"/>
      <c r="M1036" s="73"/>
      <c r="N1036" s="738"/>
      <c r="O1036" s="1041"/>
      <c r="P1036" s="73"/>
      <c r="Q1036" s="738"/>
      <c r="R1036" s="1041"/>
      <c r="S1036" s="73"/>
      <c r="T1036" s="738"/>
      <c r="U1036" s="73"/>
      <c r="V1036" s="66"/>
      <c r="W1036" s="788">
        <f t="shared" ref="W1036" si="687">AA1036*(1+AB1036)</f>
        <v>1.1467209999999998E-5</v>
      </c>
      <c r="X1036" s="789">
        <f t="shared" ref="X1036" si="688">AA1036*(1+AC1036)</f>
        <v>1.1467209999999998E-5</v>
      </c>
      <c r="Y1036" s="52">
        <v>2007</v>
      </c>
      <c r="Z1036" s="52"/>
      <c r="AA1036" s="787">
        <f>+K1036/1000</f>
        <v>1.6150999999999998E-5</v>
      </c>
      <c r="AB1036" s="256">
        <v>-0.28999999999999998</v>
      </c>
      <c r="AC1036" s="688">
        <f t="shared" si="647"/>
        <v>-0.28999999999999998</v>
      </c>
      <c r="AD1036" s="164"/>
      <c r="AE1036" s="164"/>
      <c r="AF1036" s="25"/>
      <c r="AG1036" s="26"/>
      <c r="AH1036" s="275"/>
      <c r="AI1036" s="52"/>
      <c r="AJ1036" s="35"/>
      <c r="AK1036" s="289"/>
      <c r="AL1036" s="290"/>
      <c r="AM1036" s="211"/>
      <c r="AN1036" s="164"/>
      <c r="AO1036" s="594"/>
      <c r="AP1036" s="595"/>
      <c r="AQ1036" s="275"/>
      <c r="AR1036" s="52"/>
      <c r="AS1036" s="596"/>
      <c r="AT1036" s="79"/>
      <c r="AU1036" s="212"/>
      <c r="AV1036" s="164"/>
      <c r="AW1036" s="164"/>
      <c r="AX1036" s="76"/>
      <c r="AY1036" s="44"/>
      <c r="AZ1036" s="275"/>
      <c r="BA1036" s="52"/>
      <c r="BB1036" s="35"/>
      <c r="BC1036" s="79"/>
      <c r="BD1036" s="230"/>
      <c r="BE1036" s="211"/>
      <c r="BF1036" s="164"/>
      <c r="BG1036" s="76"/>
      <c r="BH1036" s="44"/>
      <c r="BI1036" s="275"/>
      <c r="BJ1036" s="52"/>
      <c r="BK1036" s="35"/>
      <c r="BL1036" s="79"/>
      <c r="BM1036" s="230"/>
      <c r="BN1036" s="211"/>
      <c r="BO1036" s="164"/>
      <c r="BP1036" s="726"/>
      <c r="BQ1036" s="727"/>
      <c r="BR1036" s="299"/>
      <c r="BS1036" s="35"/>
      <c r="BT1036" s="596"/>
      <c r="BU1036" s="79"/>
      <c r="BV1036" s="212"/>
      <c r="BW1036" s="304"/>
      <c r="BX1036" s="313"/>
      <c r="BY1036" s="138" t="s">
        <v>1671</v>
      </c>
    </row>
    <row r="1037" spans="1:77" ht="15" customHeight="1" outlineLevel="1" x14ac:dyDescent="0.2">
      <c r="A1037" s="57" t="s">
        <v>24</v>
      </c>
      <c r="B1037" s="583" t="s">
        <v>477</v>
      </c>
      <c r="C1037" s="583" t="s">
        <v>1305</v>
      </c>
      <c r="D1037" s="546">
        <v>5.9710000000000001</v>
      </c>
      <c r="E1037" s="162" t="s">
        <v>631</v>
      </c>
      <c r="F1037" s="358"/>
      <c r="G1037" s="65"/>
      <c r="H1037" s="73"/>
      <c r="I1037" s="90">
        <v>2007</v>
      </c>
      <c r="J1037" s="73"/>
      <c r="K1037" s="734">
        <v>1.9538E-2</v>
      </c>
      <c r="L1037" s="717"/>
      <c r="M1037" s="73"/>
      <c r="N1037" s="359"/>
      <c r="O1037" s="1041"/>
      <c r="P1037" s="73"/>
      <c r="Q1037" s="359"/>
      <c r="R1037" s="1041"/>
      <c r="S1037" s="73"/>
      <c r="T1037" s="359"/>
      <c r="U1037" s="73"/>
      <c r="V1037" s="66"/>
      <c r="W1037" s="740">
        <f t="shared" ref="W1037:W1045" si="689">AA1037*(1+AB1037)</f>
        <v>1.1918179999999999E-5</v>
      </c>
      <c r="X1037" s="741">
        <f t="shared" ref="X1037:X1045" si="690">AA1037*(1+AC1037)</f>
        <v>1.1918179999999999E-5</v>
      </c>
      <c r="Y1037" s="52">
        <v>2007</v>
      </c>
      <c r="Z1037" s="52"/>
      <c r="AA1037" s="739">
        <f>+K1037/1000</f>
        <v>1.9537999999999998E-5</v>
      </c>
      <c r="AB1037" s="256">
        <v>-0.39</v>
      </c>
      <c r="AC1037" s="688">
        <f>AB1037</f>
        <v>-0.39</v>
      </c>
      <c r="AD1037" s="164"/>
      <c r="AE1037" s="164"/>
      <c r="AF1037" s="25"/>
      <c r="AG1037" s="26"/>
      <c r="AH1037" s="275"/>
      <c r="AI1037" s="52"/>
      <c r="AJ1037" s="35"/>
      <c r="AK1037" s="289"/>
      <c r="AL1037" s="290"/>
      <c r="AM1037" s="211"/>
      <c r="AN1037" s="164"/>
      <c r="AO1037" s="594"/>
      <c r="AP1037" s="595"/>
      <c r="AQ1037" s="275"/>
      <c r="AR1037" s="52"/>
      <c r="AS1037" s="596"/>
      <c r="AT1037" s="79"/>
      <c r="AU1037" s="212"/>
      <c r="AV1037" s="164"/>
      <c r="AW1037" s="164"/>
      <c r="AX1037" s="76"/>
      <c r="AY1037" s="44"/>
      <c r="AZ1037" s="275"/>
      <c r="BA1037" s="52"/>
      <c r="BB1037" s="35"/>
      <c r="BC1037" s="79"/>
      <c r="BD1037" s="230"/>
      <c r="BE1037" s="211"/>
      <c r="BF1037" s="164"/>
      <c r="BG1037" s="76"/>
      <c r="BH1037" s="44"/>
      <c r="BI1037" s="275"/>
      <c r="BJ1037" s="52"/>
      <c r="BK1037" s="35"/>
      <c r="BL1037" s="79"/>
      <c r="BM1037" s="230"/>
      <c r="BN1037" s="211"/>
      <c r="BO1037" s="164"/>
      <c r="BP1037" s="726"/>
      <c r="BQ1037" s="727"/>
      <c r="BR1037" s="299"/>
      <c r="BS1037" s="35"/>
      <c r="BT1037" s="596"/>
      <c r="BU1037" s="79"/>
      <c r="BV1037" s="212"/>
      <c r="BW1037" s="304"/>
      <c r="BX1037" s="313"/>
      <c r="BY1037" s="138"/>
    </row>
    <row r="1038" spans="1:77" ht="15" customHeight="1" outlineLevel="1" x14ac:dyDescent="0.2">
      <c r="A1038" s="57" t="s">
        <v>24</v>
      </c>
      <c r="B1038" s="583" t="s">
        <v>477</v>
      </c>
      <c r="C1038" s="583" t="s">
        <v>1812</v>
      </c>
      <c r="D1038" s="546">
        <v>2.0640000000000001</v>
      </c>
      <c r="E1038" s="162" t="s">
        <v>631</v>
      </c>
      <c r="F1038" s="358"/>
      <c r="G1038" s="65"/>
      <c r="H1038" s="73"/>
      <c r="I1038" s="90"/>
      <c r="J1038" s="73"/>
      <c r="K1038" s="734"/>
      <c r="L1038" s="717"/>
      <c r="M1038" s="73"/>
      <c r="N1038" s="786">
        <v>1.6556999999999999E-2</v>
      </c>
      <c r="O1038" s="1041"/>
      <c r="P1038" s="73"/>
      <c r="Q1038" s="786"/>
      <c r="R1038" s="1041"/>
      <c r="S1038" s="73"/>
      <c r="T1038" s="786"/>
      <c r="U1038" s="73"/>
      <c r="V1038" s="66"/>
      <c r="W1038" s="788">
        <f t="shared" ref="W1038" si="691">AA1038*(1+AB1038)</f>
        <v>1.2252179999999998E-5</v>
      </c>
      <c r="X1038" s="789">
        <f t="shared" ref="X1038" si="692">AA1038*(1+AC1038)</f>
        <v>1.2252179999999998E-5</v>
      </c>
      <c r="Y1038" s="52">
        <v>2010</v>
      </c>
      <c r="Z1038" s="52"/>
      <c r="AA1038" s="739">
        <f>+N1038/1000</f>
        <v>1.6556999999999998E-5</v>
      </c>
      <c r="AB1038" s="256">
        <v>-0.26</v>
      </c>
      <c r="AC1038" s="688">
        <f>AB1038</f>
        <v>-0.26</v>
      </c>
      <c r="AD1038" s="164"/>
      <c r="AE1038" s="164"/>
      <c r="AF1038" s="25"/>
      <c r="AG1038" s="26"/>
      <c r="AH1038" s="275"/>
      <c r="AI1038" s="52"/>
      <c r="AJ1038" s="35"/>
      <c r="AK1038" s="289"/>
      <c r="AL1038" s="290"/>
      <c r="AM1038" s="211"/>
      <c r="AN1038" s="164"/>
      <c r="AO1038" s="594"/>
      <c r="AP1038" s="595"/>
      <c r="AQ1038" s="275"/>
      <c r="AR1038" s="52"/>
      <c r="AS1038" s="596"/>
      <c r="AT1038" s="79"/>
      <c r="AU1038" s="212"/>
      <c r="AV1038" s="164"/>
      <c r="AW1038" s="164"/>
      <c r="AX1038" s="76"/>
      <c r="AY1038" s="44"/>
      <c r="AZ1038" s="275"/>
      <c r="BA1038" s="52"/>
      <c r="BB1038" s="35"/>
      <c r="BC1038" s="79"/>
      <c r="BD1038" s="230"/>
      <c r="BE1038" s="211"/>
      <c r="BF1038" s="164"/>
      <c r="BG1038" s="76"/>
      <c r="BH1038" s="44"/>
      <c r="BI1038" s="275"/>
      <c r="BJ1038" s="52"/>
      <c r="BK1038" s="35"/>
      <c r="BL1038" s="79"/>
      <c r="BM1038" s="230"/>
      <c r="BN1038" s="211"/>
      <c r="BO1038" s="164"/>
      <c r="BP1038" s="726"/>
      <c r="BQ1038" s="727"/>
      <c r="BR1038" s="299"/>
      <c r="BS1038" s="35"/>
      <c r="BT1038" s="596"/>
      <c r="BU1038" s="79"/>
      <c r="BV1038" s="212"/>
      <c r="BW1038" s="304"/>
      <c r="BX1038" s="313"/>
      <c r="BY1038" s="138"/>
    </row>
    <row r="1039" spans="1:77" ht="15" customHeight="1" outlineLevel="1" x14ac:dyDescent="0.2">
      <c r="A1039" s="583" t="s">
        <v>24</v>
      </c>
      <c r="B1039" s="583" t="s">
        <v>477</v>
      </c>
      <c r="C1039" s="583" t="s">
        <v>1813</v>
      </c>
      <c r="D1039" s="546">
        <v>5.6120000000000001</v>
      </c>
      <c r="E1039" s="162" t="s">
        <v>631</v>
      </c>
      <c r="F1039" s="358"/>
      <c r="G1039" s="65"/>
      <c r="H1039" s="73"/>
      <c r="I1039" s="90"/>
      <c r="J1039" s="73"/>
      <c r="K1039" s="734"/>
      <c r="L1039" s="717"/>
      <c r="M1039" s="73"/>
      <c r="N1039" s="786">
        <v>2.6741000000000001E-2</v>
      </c>
      <c r="O1039" s="1041"/>
      <c r="P1039" s="73"/>
      <c r="Q1039" s="786"/>
      <c r="R1039" s="1041"/>
      <c r="S1039" s="73"/>
      <c r="T1039" s="786"/>
      <c r="U1039" s="73"/>
      <c r="V1039" s="66"/>
      <c r="W1039" s="788">
        <f t="shared" ref="W1039:W1040" si="693">AA1039*(1+AB1039)</f>
        <v>1.9788340000000001E-5</v>
      </c>
      <c r="X1039" s="789">
        <f t="shared" ref="X1039:X1040" si="694">AA1039*(1+AC1039)</f>
        <v>1.9788340000000001E-5</v>
      </c>
      <c r="Y1039" s="52">
        <v>2010</v>
      </c>
      <c r="Z1039" s="52"/>
      <c r="AA1039" s="739">
        <f t="shared" ref="AA1039:AA1040" si="695">+N1039/1000</f>
        <v>2.6741E-5</v>
      </c>
      <c r="AB1039" s="256">
        <v>-0.26</v>
      </c>
      <c r="AC1039" s="688">
        <f>AB1039</f>
        <v>-0.26</v>
      </c>
      <c r="AD1039" s="164"/>
      <c r="AE1039" s="164"/>
      <c r="AF1039" s="25"/>
      <c r="AG1039" s="26"/>
      <c r="AH1039" s="275"/>
      <c r="AI1039" s="52"/>
      <c r="AJ1039" s="35"/>
      <c r="AK1039" s="289"/>
      <c r="AL1039" s="290"/>
      <c r="AM1039" s="211"/>
      <c r="AN1039" s="164"/>
      <c r="AO1039" s="594"/>
      <c r="AP1039" s="595"/>
      <c r="AQ1039" s="275"/>
      <c r="AR1039" s="52"/>
      <c r="AS1039" s="596"/>
      <c r="AT1039" s="79"/>
      <c r="AU1039" s="212"/>
      <c r="AV1039" s="164"/>
      <c r="AW1039" s="164"/>
      <c r="AX1039" s="76"/>
      <c r="AY1039" s="44"/>
      <c r="AZ1039" s="275"/>
      <c r="BA1039" s="52"/>
      <c r="BB1039" s="35"/>
      <c r="BC1039" s="79"/>
      <c r="BD1039" s="230"/>
      <c r="BE1039" s="211"/>
      <c r="BF1039" s="164"/>
      <c r="BG1039" s="76"/>
      <c r="BH1039" s="44"/>
      <c r="BI1039" s="275"/>
      <c r="BJ1039" s="52"/>
      <c r="BK1039" s="35"/>
      <c r="BL1039" s="79"/>
      <c r="BM1039" s="230"/>
      <c r="BN1039" s="211"/>
      <c r="BO1039" s="164"/>
      <c r="BP1039" s="726"/>
      <c r="BQ1039" s="727"/>
      <c r="BR1039" s="299"/>
      <c r="BS1039" s="35"/>
      <c r="BT1039" s="596"/>
      <c r="BU1039" s="79"/>
      <c r="BV1039" s="212"/>
      <c r="BW1039" s="304"/>
      <c r="BX1039" s="313"/>
      <c r="BY1039" s="138"/>
    </row>
    <row r="1040" spans="1:77" ht="15" customHeight="1" outlineLevel="1" x14ac:dyDescent="0.2">
      <c r="A1040" s="583" t="s">
        <v>24</v>
      </c>
      <c r="B1040" s="583" t="s">
        <v>477</v>
      </c>
      <c r="C1040" s="583" t="s">
        <v>1814</v>
      </c>
      <c r="D1040" s="546">
        <v>4.5279999999999996</v>
      </c>
      <c r="E1040" s="162" t="s">
        <v>631</v>
      </c>
      <c r="F1040" s="358"/>
      <c r="G1040" s="65"/>
      <c r="H1040" s="73"/>
      <c r="I1040" s="90"/>
      <c r="J1040" s="73"/>
      <c r="K1040" s="734"/>
      <c r="L1040" s="717"/>
      <c r="M1040" s="73"/>
      <c r="N1040" s="786">
        <v>3.1546999999999999E-2</v>
      </c>
      <c r="O1040" s="1041"/>
      <c r="P1040" s="73"/>
      <c r="Q1040" s="786"/>
      <c r="R1040" s="1041"/>
      <c r="S1040" s="73"/>
      <c r="T1040" s="786"/>
      <c r="U1040" s="73"/>
      <c r="V1040" s="66"/>
      <c r="W1040" s="788">
        <f t="shared" si="693"/>
        <v>2.3344779999999999E-5</v>
      </c>
      <c r="X1040" s="789">
        <f t="shared" si="694"/>
        <v>2.3344779999999999E-5</v>
      </c>
      <c r="Y1040" s="52">
        <v>2010</v>
      </c>
      <c r="Z1040" s="52"/>
      <c r="AA1040" s="739">
        <f t="shared" si="695"/>
        <v>3.1547000000000001E-5</v>
      </c>
      <c r="AB1040" s="256">
        <v>-0.26</v>
      </c>
      <c r="AC1040" s="688">
        <f>AB1040</f>
        <v>-0.26</v>
      </c>
      <c r="AD1040" s="164"/>
      <c r="AE1040" s="164"/>
      <c r="AF1040" s="25"/>
      <c r="AG1040" s="26"/>
      <c r="AH1040" s="275"/>
      <c r="AI1040" s="52"/>
      <c r="AJ1040" s="35"/>
      <c r="AK1040" s="289"/>
      <c r="AL1040" s="290"/>
      <c r="AM1040" s="211"/>
      <c r="AN1040" s="164"/>
      <c r="AO1040" s="594"/>
      <c r="AP1040" s="595"/>
      <c r="AQ1040" s="275"/>
      <c r="AR1040" s="52"/>
      <c r="AS1040" s="596"/>
      <c r="AT1040" s="79"/>
      <c r="AU1040" s="212"/>
      <c r="AV1040" s="164"/>
      <c r="AW1040" s="164"/>
      <c r="AX1040" s="76"/>
      <c r="AY1040" s="44"/>
      <c r="AZ1040" s="275"/>
      <c r="BA1040" s="52"/>
      <c r="BB1040" s="35"/>
      <c r="BC1040" s="79"/>
      <c r="BD1040" s="230"/>
      <c r="BE1040" s="211"/>
      <c r="BF1040" s="164"/>
      <c r="BG1040" s="76"/>
      <c r="BH1040" s="44"/>
      <c r="BI1040" s="275"/>
      <c r="BJ1040" s="52"/>
      <c r="BK1040" s="35"/>
      <c r="BL1040" s="79"/>
      <c r="BM1040" s="230"/>
      <c r="BN1040" s="211"/>
      <c r="BO1040" s="164"/>
      <c r="BP1040" s="726"/>
      <c r="BQ1040" s="727"/>
      <c r="BR1040" s="299"/>
      <c r="BS1040" s="35"/>
      <c r="BT1040" s="596"/>
      <c r="BU1040" s="79"/>
      <c r="BV1040" s="212"/>
      <c r="BW1040" s="304"/>
      <c r="BX1040" s="313"/>
      <c r="BY1040" s="138"/>
    </row>
    <row r="1041" spans="1:77" ht="15" customHeight="1" outlineLevel="1" x14ac:dyDescent="0.2">
      <c r="A1041" s="57" t="s">
        <v>24</v>
      </c>
      <c r="B1041" s="583" t="s">
        <v>477</v>
      </c>
      <c r="C1041" s="583" t="s">
        <v>1576</v>
      </c>
      <c r="D1041" s="546">
        <v>6.641</v>
      </c>
      <c r="E1041" s="162" t="s">
        <v>631</v>
      </c>
      <c r="F1041" s="358"/>
      <c r="G1041" s="65"/>
      <c r="H1041" s="73"/>
      <c r="I1041" s="90">
        <v>2007</v>
      </c>
      <c r="J1041" s="73"/>
      <c r="K1041" s="734">
        <v>2.5090999999999999E-2</v>
      </c>
      <c r="L1041" s="717"/>
      <c r="M1041" s="73"/>
      <c r="N1041" s="359"/>
      <c r="O1041" s="1041"/>
      <c r="P1041" s="73"/>
      <c r="Q1041" s="359"/>
      <c r="R1041" s="1041"/>
      <c r="S1041" s="73"/>
      <c r="T1041" s="359"/>
      <c r="U1041" s="73"/>
      <c r="V1041" s="66"/>
      <c r="W1041" s="740">
        <f t="shared" ref="W1041" si="696">AA1041*(1+AB1041)</f>
        <v>1.6560059999999995E-5</v>
      </c>
      <c r="X1041" s="741">
        <f t="shared" ref="X1041" si="697">AA1041*(1+AC1041)</f>
        <v>1.6560059999999995E-5</v>
      </c>
      <c r="Y1041" s="52">
        <v>2007</v>
      </c>
      <c r="Z1041" s="52"/>
      <c r="AA1041" s="739">
        <f>+K1041/1000</f>
        <v>2.5090999999999997E-5</v>
      </c>
      <c r="AB1041" s="256">
        <v>-0.34</v>
      </c>
      <c r="AC1041" s="688">
        <f>AB1041</f>
        <v>-0.34</v>
      </c>
      <c r="AD1041" s="164"/>
      <c r="AE1041" s="164"/>
      <c r="AF1041" s="25"/>
      <c r="AG1041" s="26"/>
      <c r="AH1041" s="275"/>
      <c r="AI1041" s="52"/>
      <c r="AJ1041" s="35"/>
      <c r="AK1041" s="289"/>
      <c r="AL1041" s="290"/>
      <c r="AM1041" s="211"/>
      <c r="AN1041" s="164"/>
      <c r="AO1041" s="594"/>
      <c r="AP1041" s="595"/>
      <c r="AQ1041" s="275"/>
      <c r="AR1041" s="52"/>
      <c r="AS1041" s="596"/>
      <c r="AT1041" s="79"/>
      <c r="AU1041" s="212"/>
      <c r="AV1041" s="164"/>
      <c r="AW1041" s="164"/>
      <c r="AX1041" s="76"/>
      <c r="AY1041" s="44"/>
      <c r="AZ1041" s="275"/>
      <c r="BA1041" s="52"/>
      <c r="BB1041" s="35"/>
      <c r="BC1041" s="79"/>
      <c r="BD1041" s="230"/>
      <c r="BE1041" s="211"/>
      <c r="BF1041" s="164"/>
      <c r="BG1041" s="76"/>
      <c r="BH1041" s="44"/>
      <c r="BI1041" s="275"/>
      <c r="BJ1041" s="52"/>
      <c r="BK1041" s="35"/>
      <c r="BL1041" s="79"/>
      <c r="BM1041" s="230"/>
      <c r="BN1041" s="211"/>
      <c r="BO1041" s="164"/>
      <c r="BP1041" s="726"/>
      <c r="BQ1041" s="727"/>
      <c r="BR1041" s="299"/>
      <c r="BS1041" s="35"/>
      <c r="BT1041" s="596"/>
      <c r="BU1041" s="79"/>
      <c r="BV1041" s="212"/>
      <c r="BW1041" s="304"/>
      <c r="BX1041" s="313"/>
      <c r="BY1041" s="138"/>
    </row>
    <row r="1042" spans="1:77" ht="15" customHeight="1" outlineLevel="1" x14ac:dyDescent="0.2">
      <c r="A1042" s="57" t="s">
        <v>24</v>
      </c>
      <c r="B1042" s="583" t="s">
        <v>477</v>
      </c>
      <c r="C1042" s="583" t="s">
        <v>1370</v>
      </c>
      <c r="D1042" s="546">
        <v>32.777000000000001</v>
      </c>
      <c r="E1042" s="162" t="s">
        <v>631</v>
      </c>
      <c r="F1042" s="358"/>
      <c r="G1042" s="65"/>
      <c r="H1042" s="73"/>
      <c r="I1042" s="90"/>
      <c r="J1042" s="73"/>
      <c r="K1042" s="66"/>
      <c r="L1042" s="90">
        <v>2008</v>
      </c>
      <c r="M1042" s="73"/>
      <c r="N1042" s="359">
        <v>0.19911100000000001</v>
      </c>
      <c r="O1042" s="1041"/>
      <c r="P1042" s="73"/>
      <c r="Q1042" s="359"/>
      <c r="R1042" s="1041"/>
      <c r="S1042" s="73"/>
      <c r="T1042" s="359"/>
      <c r="U1042" s="73"/>
      <c r="V1042" s="66"/>
      <c r="W1042" s="594">
        <f t="shared" si="689"/>
        <v>1.3937769999999999E-4</v>
      </c>
      <c r="X1042" s="595">
        <f t="shared" si="690"/>
        <v>1.3937769999999999E-4</v>
      </c>
      <c r="Y1042" s="52">
        <v>2008</v>
      </c>
      <c r="Z1042" s="52"/>
      <c r="AA1042" s="596">
        <f>+N1042/1000</f>
        <v>1.99111E-4</v>
      </c>
      <c r="AB1042" s="256">
        <v>-0.3</v>
      </c>
      <c r="AC1042" s="688">
        <f t="shared" si="647"/>
        <v>-0.3</v>
      </c>
      <c r="AD1042" s="164"/>
      <c r="AE1042" s="164"/>
      <c r="AF1042" s="25"/>
      <c r="AG1042" s="26"/>
      <c r="AH1042" s="275"/>
      <c r="AI1042" s="52"/>
      <c r="AJ1042" s="35"/>
      <c r="AK1042" s="289"/>
      <c r="AL1042" s="290"/>
      <c r="AM1042" s="211"/>
      <c r="AN1042" s="164"/>
      <c r="AO1042" s="594"/>
      <c r="AP1042" s="595"/>
      <c r="AQ1042" s="275"/>
      <c r="AR1042" s="52"/>
      <c r="AS1042" s="596"/>
      <c r="AT1042" s="79"/>
      <c r="AU1042" s="212"/>
      <c r="AV1042" s="164"/>
      <c r="AW1042" s="164"/>
      <c r="AX1042" s="76"/>
      <c r="AY1042" s="44"/>
      <c r="AZ1042" s="275"/>
      <c r="BA1042" s="52"/>
      <c r="BB1042" s="35"/>
      <c r="BC1042" s="79"/>
      <c r="BD1042" s="230"/>
      <c r="BE1042" s="211"/>
      <c r="BF1042" s="164"/>
      <c r="BG1042" s="76"/>
      <c r="BH1042" s="44"/>
      <c r="BI1042" s="275"/>
      <c r="BJ1042" s="52"/>
      <c r="BK1042" s="35"/>
      <c r="BL1042" s="79"/>
      <c r="BM1042" s="230"/>
      <c r="BN1042" s="211"/>
      <c r="BO1042" s="164"/>
      <c r="BP1042" s="726"/>
      <c r="BQ1042" s="727"/>
      <c r="BR1042" s="299"/>
      <c r="BS1042" s="35"/>
      <c r="BT1042" s="596"/>
      <c r="BU1042" s="79"/>
      <c r="BV1042" s="212"/>
      <c r="BW1042" s="304"/>
      <c r="BX1042" s="313"/>
      <c r="BY1042" s="138"/>
    </row>
    <row r="1043" spans="1:77" s="901" customFormat="1" ht="15" customHeight="1" outlineLevel="1" x14ac:dyDescent="0.2">
      <c r="A1043" s="864" t="s">
        <v>24</v>
      </c>
      <c r="B1043" s="864" t="s">
        <v>477</v>
      </c>
      <c r="C1043" s="864" t="s">
        <v>1643</v>
      </c>
      <c r="D1043" s="865">
        <v>9</v>
      </c>
      <c r="E1043" s="864" t="s">
        <v>631</v>
      </c>
      <c r="F1043" s="866"/>
      <c r="G1043" s="867"/>
      <c r="H1043" s="868"/>
      <c r="I1043" s="869">
        <v>2007</v>
      </c>
      <c r="J1043" s="868"/>
      <c r="K1043" s="870">
        <v>3.2084000000000001E-2</v>
      </c>
      <c r="L1043" s="871"/>
      <c r="M1043" s="868"/>
      <c r="N1043" s="872"/>
      <c r="O1043" s="1045"/>
      <c r="P1043" s="868"/>
      <c r="Q1043" s="872"/>
      <c r="R1043" s="1045"/>
      <c r="S1043" s="868"/>
      <c r="T1043" s="872"/>
      <c r="U1043" s="868"/>
      <c r="V1043" s="873"/>
      <c r="W1043" s="874">
        <f t="shared" si="689"/>
        <v>2.3742159999999998E-5</v>
      </c>
      <c r="X1043" s="875">
        <f>AA1043*(1+AC1043)</f>
        <v>2.3742159999999998E-5</v>
      </c>
      <c r="Y1043" s="876">
        <v>2007</v>
      </c>
      <c r="Z1043" s="876"/>
      <c r="AA1043" s="877">
        <f>+K1043/1000</f>
        <v>3.2084E-5</v>
      </c>
      <c r="AB1043" s="878">
        <v>-0.26</v>
      </c>
      <c r="AC1043" s="879">
        <f t="shared" si="647"/>
        <v>-0.26</v>
      </c>
      <c r="AD1043" s="880"/>
      <c r="AE1043" s="880"/>
      <c r="AF1043" s="881"/>
      <c r="AG1043" s="882"/>
      <c r="AH1043" s="883"/>
      <c r="AI1043" s="876"/>
      <c r="AJ1043" s="884"/>
      <c r="AK1043" s="885"/>
      <c r="AL1043" s="886"/>
      <c r="AM1043" s="887"/>
      <c r="AN1043" s="880"/>
      <c r="AO1043" s="888"/>
      <c r="AP1043" s="889"/>
      <c r="AQ1043" s="883"/>
      <c r="AR1043" s="876"/>
      <c r="AS1043" s="890"/>
      <c r="AT1043" s="891"/>
      <c r="AU1043" s="892"/>
      <c r="AV1043" s="880"/>
      <c r="AW1043" s="880"/>
      <c r="AX1043" s="893"/>
      <c r="AY1043" s="894"/>
      <c r="AZ1043" s="883"/>
      <c r="BA1043" s="876"/>
      <c r="BB1043" s="884"/>
      <c r="BC1043" s="891"/>
      <c r="BD1043" s="895"/>
      <c r="BE1043" s="887"/>
      <c r="BF1043" s="880"/>
      <c r="BG1043" s="893"/>
      <c r="BH1043" s="894"/>
      <c r="BI1043" s="883"/>
      <c r="BJ1043" s="876"/>
      <c r="BK1043" s="884"/>
      <c r="BL1043" s="891"/>
      <c r="BM1043" s="895"/>
      <c r="BN1043" s="887"/>
      <c r="BO1043" s="880"/>
      <c r="BP1043" s="896"/>
      <c r="BQ1043" s="897"/>
      <c r="BR1043" s="898"/>
      <c r="BS1043" s="884"/>
      <c r="BT1043" s="890"/>
      <c r="BU1043" s="891"/>
      <c r="BV1043" s="892"/>
      <c r="BW1043" s="899"/>
      <c r="BX1043" s="900"/>
      <c r="BY1043" s="138"/>
    </row>
    <row r="1044" spans="1:77" s="901" customFormat="1" ht="15" customHeight="1" outlineLevel="1" x14ac:dyDescent="0.2">
      <c r="A1044" s="864" t="s">
        <v>24</v>
      </c>
      <c r="B1044" s="864" t="s">
        <v>477</v>
      </c>
      <c r="C1044" s="864" t="s">
        <v>2085</v>
      </c>
      <c r="D1044" s="865">
        <v>2.4020000000000001</v>
      </c>
      <c r="E1044" s="864" t="s">
        <v>631</v>
      </c>
      <c r="F1044" s="866"/>
      <c r="G1044" s="867"/>
      <c r="H1044" s="868"/>
      <c r="I1044" s="869">
        <v>2007</v>
      </c>
      <c r="J1044" s="868"/>
      <c r="K1044" s="870">
        <v>3.3544999999999998E-2</v>
      </c>
      <c r="L1044" s="871"/>
      <c r="M1044" s="868"/>
      <c r="N1044" s="872"/>
      <c r="O1044" s="1045"/>
      <c r="P1044" s="868"/>
      <c r="Q1044" s="872"/>
      <c r="R1044" s="1045"/>
      <c r="S1044" s="868"/>
      <c r="T1044" s="872"/>
      <c r="U1044" s="868"/>
      <c r="V1044" s="873"/>
      <c r="W1044" s="874">
        <f t="shared" ref="W1044" si="698">AA1044*(1+AB1044)</f>
        <v>2.5158749999999997E-5</v>
      </c>
      <c r="X1044" s="875">
        <f>AA1044*(1+AC1044)</f>
        <v>2.5158749999999997E-5</v>
      </c>
      <c r="Y1044" s="876">
        <v>2007</v>
      </c>
      <c r="Z1044" s="876"/>
      <c r="AA1044" s="877">
        <f>+K1044/1000</f>
        <v>3.3544999999999998E-5</v>
      </c>
      <c r="AB1044" s="878">
        <v>-0.25</v>
      </c>
      <c r="AC1044" s="879">
        <f t="shared" si="647"/>
        <v>-0.25</v>
      </c>
      <c r="AD1044" s="880"/>
      <c r="AE1044" s="880"/>
      <c r="AF1044" s="881"/>
      <c r="AG1044" s="882"/>
      <c r="AH1044" s="883"/>
      <c r="AI1044" s="876"/>
      <c r="AJ1044" s="884"/>
      <c r="AK1044" s="885"/>
      <c r="AL1044" s="886"/>
      <c r="AM1044" s="887"/>
      <c r="AN1044" s="880"/>
      <c r="AO1044" s="888"/>
      <c r="AP1044" s="889"/>
      <c r="AQ1044" s="883"/>
      <c r="AR1044" s="876"/>
      <c r="AS1044" s="890"/>
      <c r="AT1044" s="891"/>
      <c r="AU1044" s="892"/>
      <c r="AV1044" s="880"/>
      <c r="AW1044" s="880"/>
      <c r="AX1044" s="893"/>
      <c r="AY1044" s="894"/>
      <c r="AZ1044" s="883"/>
      <c r="BA1044" s="876"/>
      <c r="BB1044" s="884"/>
      <c r="BC1044" s="891"/>
      <c r="BD1044" s="895"/>
      <c r="BE1044" s="887"/>
      <c r="BF1044" s="880"/>
      <c r="BG1044" s="893"/>
      <c r="BH1044" s="894"/>
      <c r="BI1044" s="883"/>
      <c r="BJ1044" s="876"/>
      <c r="BK1044" s="884"/>
      <c r="BL1044" s="891"/>
      <c r="BM1044" s="895"/>
      <c r="BN1044" s="887"/>
      <c r="BO1044" s="880"/>
      <c r="BP1044" s="896"/>
      <c r="BQ1044" s="897"/>
      <c r="BR1044" s="898"/>
      <c r="BS1044" s="884"/>
      <c r="BT1044" s="890"/>
      <c r="BU1044" s="891"/>
      <c r="BV1044" s="892"/>
      <c r="BW1044" s="899"/>
      <c r="BX1044" s="900"/>
      <c r="BY1044" s="138"/>
    </row>
    <row r="1045" spans="1:77" ht="15" customHeight="1" outlineLevel="1" x14ac:dyDescent="0.2">
      <c r="A1045" s="57" t="s">
        <v>24</v>
      </c>
      <c r="B1045" s="583" t="s">
        <v>477</v>
      </c>
      <c r="C1045" s="583" t="s">
        <v>1333</v>
      </c>
      <c r="D1045" s="546">
        <v>16.774000000000001</v>
      </c>
      <c r="E1045" s="162" t="s">
        <v>631</v>
      </c>
      <c r="F1045" s="358"/>
      <c r="G1045" s="65"/>
      <c r="H1045" s="73"/>
      <c r="I1045" s="90"/>
      <c r="J1045" s="73"/>
      <c r="K1045" s="734"/>
      <c r="L1045" s="717">
        <v>2008</v>
      </c>
      <c r="M1045" s="73"/>
      <c r="N1045" s="738">
        <v>8.8459999999999997E-2</v>
      </c>
      <c r="O1045" s="1041"/>
      <c r="P1045" s="73"/>
      <c r="Q1045" s="738"/>
      <c r="R1045" s="1041"/>
      <c r="S1045" s="73"/>
      <c r="T1045" s="738"/>
      <c r="U1045" s="73"/>
      <c r="V1045" s="66"/>
      <c r="W1045" s="788">
        <f t="shared" si="689"/>
        <v>3.7153200000000002E-5</v>
      </c>
      <c r="X1045" s="789">
        <f t="shared" si="690"/>
        <v>3.7153200000000002E-5</v>
      </c>
      <c r="Y1045" s="52">
        <v>2008</v>
      </c>
      <c r="Z1045" s="52"/>
      <c r="AA1045" s="739">
        <f>+N1045/1000</f>
        <v>8.8460000000000003E-5</v>
      </c>
      <c r="AB1045" s="256">
        <v>-0.57999999999999996</v>
      </c>
      <c r="AC1045" s="688">
        <f t="shared" ref="AC1045:AC1048" si="699">AB1045</f>
        <v>-0.57999999999999996</v>
      </c>
      <c r="AD1045" s="164"/>
      <c r="AE1045" s="164"/>
      <c r="AF1045" s="25"/>
      <c r="AG1045" s="26"/>
      <c r="AH1045" s="275"/>
      <c r="AI1045" s="52"/>
      <c r="AJ1045" s="35"/>
      <c r="AK1045" s="289"/>
      <c r="AL1045" s="290"/>
      <c r="AM1045" s="211"/>
      <c r="AN1045" s="164"/>
      <c r="AO1045" s="594"/>
      <c r="AP1045" s="595"/>
      <c r="AQ1045" s="275"/>
      <c r="AR1045" s="52"/>
      <c r="AS1045" s="596"/>
      <c r="AT1045" s="79"/>
      <c r="AU1045" s="212"/>
      <c r="AV1045" s="164"/>
      <c r="AW1045" s="164"/>
      <c r="AX1045" s="76"/>
      <c r="AY1045" s="44"/>
      <c r="AZ1045" s="275"/>
      <c r="BA1045" s="52"/>
      <c r="BB1045" s="35"/>
      <c r="BC1045" s="79"/>
      <c r="BD1045" s="230"/>
      <c r="BE1045" s="211"/>
      <c r="BF1045" s="164"/>
      <c r="BG1045" s="76"/>
      <c r="BH1045" s="44"/>
      <c r="BI1045" s="275"/>
      <c r="BJ1045" s="52"/>
      <c r="BK1045" s="35"/>
      <c r="BL1045" s="79"/>
      <c r="BM1045" s="230"/>
      <c r="BN1045" s="211"/>
      <c r="BO1045" s="164"/>
      <c r="BP1045" s="726"/>
      <c r="BQ1045" s="727"/>
      <c r="BR1045" s="299"/>
      <c r="BS1045" s="35"/>
      <c r="BT1045" s="596"/>
      <c r="BU1045" s="79"/>
      <c r="BV1045" s="212"/>
      <c r="BW1045" s="304"/>
      <c r="BX1045" s="313"/>
      <c r="BY1045" s="138"/>
    </row>
    <row r="1046" spans="1:77" ht="15" customHeight="1" outlineLevel="1" x14ac:dyDescent="0.2">
      <c r="A1046" s="583" t="s">
        <v>24</v>
      </c>
      <c r="B1046" s="583" t="s">
        <v>477</v>
      </c>
      <c r="C1046" s="583" t="s">
        <v>1658</v>
      </c>
      <c r="D1046" s="546">
        <v>9.9309999999999992</v>
      </c>
      <c r="E1046" s="162" t="s">
        <v>631</v>
      </c>
      <c r="F1046" s="358"/>
      <c r="G1046" s="65"/>
      <c r="H1046" s="73"/>
      <c r="I1046" s="90">
        <v>2007</v>
      </c>
      <c r="J1046" s="73"/>
      <c r="K1046" s="734">
        <v>5.1582000000000003E-2</v>
      </c>
      <c r="L1046" s="717"/>
      <c r="M1046" s="73"/>
      <c r="N1046" s="738"/>
      <c r="O1046" s="1041"/>
      <c r="P1046" s="73"/>
      <c r="Q1046" s="738"/>
      <c r="R1046" s="1041"/>
      <c r="S1046" s="73"/>
      <c r="T1046" s="738"/>
      <c r="U1046" s="73"/>
      <c r="V1046" s="66"/>
      <c r="W1046" s="788">
        <f t="shared" ref="W1046" si="700">AA1046*(1+AB1046)</f>
        <v>3.8686500000000003E-5</v>
      </c>
      <c r="X1046" s="789">
        <f t="shared" ref="X1046" si="701">AA1046*(1+AC1046)</f>
        <v>3.8686500000000003E-5</v>
      </c>
      <c r="Y1046" s="52">
        <v>2007</v>
      </c>
      <c r="Z1046" s="52"/>
      <c r="AA1046" s="787">
        <f>+K1046/1000</f>
        <v>5.1582000000000002E-5</v>
      </c>
      <c r="AB1046" s="256">
        <v>-0.25</v>
      </c>
      <c r="AC1046" s="688">
        <f t="shared" si="699"/>
        <v>-0.25</v>
      </c>
      <c r="AD1046" s="164"/>
      <c r="AE1046" s="164"/>
      <c r="AF1046" s="25"/>
      <c r="AG1046" s="26"/>
      <c r="AH1046" s="275"/>
      <c r="AI1046" s="52"/>
      <c r="AJ1046" s="35"/>
      <c r="AK1046" s="289"/>
      <c r="AL1046" s="290"/>
      <c r="AM1046" s="211"/>
      <c r="AN1046" s="164"/>
      <c r="AO1046" s="594"/>
      <c r="AP1046" s="595"/>
      <c r="AQ1046" s="275"/>
      <c r="AR1046" s="52"/>
      <c r="AS1046" s="596"/>
      <c r="AT1046" s="79"/>
      <c r="AU1046" s="212"/>
      <c r="AV1046" s="164"/>
      <c r="AW1046" s="164"/>
      <c r="AX1046" s="76"/>
      <c r="AY1046" s="44"/>
      <c r="AZ1046" s="275"/>
      <c r="BA1046" s="52"/>
      <c r="BB1046" s="35"/>
      <c r="BC1046" s="79"/>
      <c r="BD1046" s="230"/>
      <c r="BE1046" s="211"/>
      <c r="BF1046" s="164"/>
      <c r="BG1046" s="76"/>
      <c r="BH1046" s="44"/>
      <c r="BI1046" s="275"/>
      <c r="BJ1046" s="52"/>
      <c r="BK1046" s="35"/>
      <c r="BL1046" s="79"/>
      <c r="BM1046" s="230"/>
      <c r="BN1046" s="211"/>
      <c r="BO1046" s="164"/>
      <c r="BP1046" s="726"/>
      <c r="BQ1046" s="727"/>
      <c r="BR1046" s="299"/>
      <c r="BS1046" s="35"/>
      <c r="BT1046" s="596"/>
      <c r="BU1046" s="79"/>
      <c r="BV1046" s="212"/>
      <c r="BW1046" s="304"/>
      <c r="BX1046" s="313"/>
      <c r="BY1046" s="138"/>
    </row>
    <row r="1047" spans="1:77" ht="15" customHeight="1" outlineLevel="1" x14ac:dyDescent="0.2">
      <c r="A1047" s="583" t="s">
        <v>24</v>
      </c>
      <c r="B1047" s="583" t="s">
        <v>477</v>
      </c>
      <c r="C1047" s="583" t="s">
        <v>1996</v>
      </c>
      <c r="D1047" s="546">
        <v>8.6150000000000002</v>
      </c>
      <c r="E1047" s="162" t="s">
        <v>631</v>
      </c>
      <c r="F1047" s="358"/>
      <c r="G1047" s="65"/>
      <c r="H1047" s="73"/>
      <c r="I1047" s="90"/>
      <c r="J1047" s="73"/>
      <c r="K1047" s="734"/>
      <c r="L1047" s="717">
        <v>2008</v>
      </c>
      <c r="M1047" s="73"/>
      <c r="N1047" s="738">
        <v>9.8895999999999998E-2</v>
      </c>
      <c r="O1047" s="1041"/>
      <c r="P1047" s="73"/>
      <c r="Q1047" s="738"/>
      <c r="R1047" s="1041"/>
      <c r="S1047" s="73"/>
      <c r="T1047" s="738"/>
      <c r="U1047" s="73"/>
      <c r="V1047" s="66"/>
      <c r="W1047" s="788">
        <f t="shared" ref="W1047" si="702">AA1047*(1+AB1047)</f>
        <v>7.1205119999999988E-5</v>
      </c>
      <c r="X1047" s="789">
        <f t="shared" ref="X1047" si="703">AA1047*(1+AC1047)</f>
        <v>7.1205119999999988E-5</v>
      </c>
      <c r="Y1047" s="52">
        <v>2008</v>
      </c>
      <c r="Z1047" s="52"/>
      <c r="AA1047" s="787">
        <f>+N1047/1000</f>
        <v>9.8895999999999996E-5</v>
      </c>
      <c r="AB1047" s="256">
        <v>-0.28000000000000003</v>
      </c>
      <c r="AC1047" s="688">
        <f t="shared" si="699"/>
        <v>-0.28000000000000003</v>
      </c>
      <c r="AD1047" s="164"/>
      <c r="AE1047" s="164"/>
      <c r="AF1047" s="25"/>
      <c r="AG1047" s="26"/>
      <c r="AH1047" s="275"/>
      <c r="AI1047" s="52"/>
      <c r="AJ1047" s="35"/>
      <c r="AK1047" s="289"/>
      <c r="AL1047" s="290"/>
      <c r="AM1047" s="211"/>
      <c r="AN1047" s="164"/>
      <c r="AO1047" s="594"/>
      <c r="AP1047" s="595"/>
      <c r="AQ1047" s="275"/>
      <c r="AR1047" s="52"/>
      <c r="AS1047" s="596"/>
      <c r="AT1047" s="79"/>
      <c r="AU1047" s="212"/>
      <c r="AV1047" s="164"/>
      <c r="AW1047" s="164"/>
      <c r="AX1047" s="76"/>
      <c r="AY1047" s="44"/>
      <c r="AZ1047" s="275"/>
      <c r="BA1047" s="52"/>
      <c r="BB1047" s="35"/>
      <c r="BC1047" s="79"/>
      <c r="BD1047" s="230"/>
      <c r="BE1047" s="211"/>
      <c r="BF1047" s="164"/>
      <c r="BG1047" s="76"/>
      <c r="BH1047" s="44"/>
      <c r="BI1047" s="275"/>
      <c r="BJ1047" s="52"/>
      <c r="BK1047" s="35"/>
      <c r="BL1047" s="79"/>
      <c r="BM1047" s="230"/>
      <c r="BN1047" s="211"/>
      <c r="BO1047" s="164"/>
      <c r="BP1047" s="726"/>
      <c r="BQ1047" s="727"/>
      <c r="BR1047" s="299"/>
      <c r="BS1047" s="35"/>
      <c r="BT1047" s="596"/>
      <c r="BU1047" s="79"/>
      <c r="BV1047" s="212"/>
      <c r="BW1047" s="304"/>
      <c r="BX1047" s="313"/>
      <c r="BY1047" s="138"/>
    </row>
    <row r="1048" spans="1:77" ht="15" customHeight="1" outlineLevel="1" x14ac:dyDescent="0.2">
      <c r="A1048" s="583" t="s">
        <v>24</v>
      </c>
      <c r="B1048" s="583" t="s">
        <v>477</v>
      </c>
      <c r="C1048" s="583" t="s">
        <v>1664</v>
      </c>
      <c r="D1048" s="546">
        <v>4.8289999999999997</v>
      </c>
      <c r="E1048" s="162" t="s">
        <v>631</v>
      </c>
      <c r="F1048" s="358"/>
      <c r="G1048" s="65"/>
      <c r="H1048" s="73"/>
      <c r="I1048" s="90">
        <v>2007</v>
      </c>
      <c r="J1048" s="73"/>
      <c r="K1048" s="734">
        <v>3.0380999999999998E-2</v>
      </c>
      <c r="L1048" s="717"/>
      <c r="M1048" s="73"/>
      <c r="N1048" s="738"/>
      <c r="O1048" s="1041"/>
      <c r="P1048" s="73"/>
      <c r="Q1048" s="738"/>
      <c r="R1048" s="1041"/>
      <c r="S1048" s="73"/>
      <c r="T1048" s="738"/>
      <c r="U1048" s="73"/>
      <c r="V1048" s="66"/>
      <c r="W1048" s="788">
        <f t="shared" ref="W1048" si="704">AA1048*(1+AB1048)</f>
        <v>2.2785749999999998E-5</v>
      </c>
      <c r="X1048" s="789">
        <f t="shared" ref="X1048" si="705">AA1048*(1+AC1048)</f>
        <v>2.2785749999999998E-5</v>
      </c>
      <c r="Y1048" s="52">
        <v>2007</v>
      </c>
      <c r="Z1048" s="52"/>
      <c r="AA1048" s="787">
        <f>+K1048/1000</f>
        <v>3.0380999999999999E-5</v>
      </c>
      <c r="AB1048" s="256">
        <v>-0.25</v>
      </c>
      <c r="AC1048" s="688">
        <f t="shared" si="699"/>
        <v>-0.25</v>
      </c>
      <c r="AD1048" s="164"/>
      <c r="AE1048" s="164"/>
      <c r="AF1048" s="25"/>
      <c r="AG1048" s="26"/>
      <c r="AH1048" s="275"/>
      <c r="AI1048" s="52"/>
      <c r="AJ1048" s="35"/>
      <c r="AK1048" s="289"/>
      <c r="AL1048" s="290"/>
      <c r="AM1048" s="211"/>
      <c r="AN1048" s="164"/>
      <c r="AO1048" s="594"/>
      <c r="AP1048" s="595"/>
      <c r="AQ1048" s="275"/>
      <c r="AR1048" s="52"/>
      <c r="AS1048" s="596"/>
      <c r="AT1048" s="79"/>
      <c r="AU1048" s="212"/>
      <c r="AV1048" s="164"/>
      <c r="AW1048" s="164"/>
      <c r="AX1048" s="76"/>
      <c r="AY1048" s="44"/>
      <c r="AZ1048" s="275"/>
      <c r="BA1048" s="52"/>
      <c r="BB1048" s="35"/>
      <c r="BC1048" s="79"/>
      <c r="BD1048" s="230"/>
      <c r="BE1048" s="211"/>
      <c r="BF1048" s="164"/>
      <c r="BG1048" s="76"/>
      <c r="BH1048" s="44"/>
      <c r="BI1048" s="275"/>
      <c r="BJ1048" s="52"/>
      <c r="BK1048" s="35"/>
      <c r="BL1048" s="79"/>
      <c r="BM1048" s="230"/>
      <c r="BN1048" s="211"/>
      <c r="BO1048" s="164"/>
      <c r="BP1048" s="726"/>
      <c r="BQ1048" s="727"/>
      <c r="BR1048" s="299"/>
      <c r="BS1048" s="35"/>
      <c r="BT1048" s="596"/>
      <c r="BU1048" s="79"/>
      <c r="BV1048" s="212"/>
      <c r="BW1048" s="304"/>
      <c r="BX1048" s="313"/>
      <c r="BY1048" s="138" t="s">
        <v>1671</v>
      </c>
    </row>
    <row r="1049" spans="1:77" ht="15" customHeight="1" outlineLevel="1" x14ac:dyDescent="0.2">
      <c r="A1049" s="57" t="s">
        <v>24</v>
      </c>
      <c r="B1049" s="583" t="s">
        <v>477</v>
      </c>
      <c r="C1049" s="583" t="s">
        <v>1388</v>
      </c>
      <c r="D1049" s="546">
        <v>1.024</v>
      </c>
      <c r="E1049" s="162" t="s">
        <v>631</v>
      </c>
      <c r="F1049" s="358"/>
      <c r="G1049" s="65"/>
      <c r="H1049" s="73"/>
      <c r="I1049" s="90"/>
      <c r="J1049" s="73"/>
      <c r="K1049" s="815"/>
      <c r="L1049" s="90">
        <v>2008</v>
      </c>
      <c r="M1049" s="73"/>
      <c r="N1049" s="811">
        <v>4.216E-4</v>
      </c>
      <c r="O1049" s="1041"/>
      <c r="P1049" s="73"/>
      <c r="Q1049" s="811"/>
      <c r="R1049" s="1041"/>
      <c r="S1049" s="73"/>
      <c r="T1049" s="811"/>
      <c r="U1049" s="73"/>
      <c r="V1049" s="66"/>
      <c r="W1049" s="808">
        <f t="shared" ref="W1049:W1052" si="706">AA1049*(1+AB1049)</f>
        <v>2.6560800000000001E-7</v>
      </c>
      <c r="X1049" s="809">
        <f t="shared" ref="X1049:X1052" si="707">AA1049*(1+AC1049)</f>
        <v>2.6560800000000001E-7</v>
      </c>
      <c r="Y1049" s="52">
        <v>2008</v>
      </c>
      <c r="Z1049" s="52"/>
      <c r="AA1049" s="807">
        <f>+N1049/1000</f>
        <v>4.2160000000000002E-7</v>
      </c>
      <c r="AB1049" s="256">
        <v>-0.37</v>
      </c>
      <c r="AC1049" s="688">
        <f t="shared" si="647"/>
        <v>-0.37</v>
      </c>
      <c r="AD1049" s="164"/>
      <c r="AE1049" s="164"/>
      <c r="AF1049" s="25"/>
      <c r="AG1049" s="26"/>
      <c r="AH1049" s="275"/>
      <c r="AI1049" s="52"/>
      <c r="AJ1049" s="35"/>
      <c r="AK1049" s="289"/>
      <c r="AL1049" s="290"/>
      <c r="AM1049" s="211"/>
      <c r="AN1049" s="164"/>
      <c r="AO1049" s="594"/>
      <c r="AP1049" s="595"/>
      <c r="AQ1049" s="275"/>
      <c r="AR1049" s="52"/>
      <c r="AS1049" s="596"/>
      <c r="AT1049" s="79"/>
      <c r="AU1049" s="212"/>
      <c r="AV1049" s="164"/>
      <c r="AW1049" s="164"/>
      <c r="AX1049" s="76"/>
      <c r="AY1049" s="44"/>
      <c r="AZ1049" s="275"/>
      <c r="BA1049" s="52"/>
      <c r="BB1049" s="35"/>
      <c r="BC1049" s="79"/>
      <c r="BD1049" s="230"/>
      <c r="BE1049" s="211"/>
      <c r="BF1049" s="164"/>
      <c r="BG1049" s="76"/>
      <c r="BH1049" s="44"/>
      <c r="BI1049" s="275"/>
      <c r="BJ1049" s="52"/>
      <c r="BK1049" s="35"/>
      <c r="BL1049" s="79"/>
      <c r="BM1049" s="230"/>
      <c r="BN1049" s="211"/>
      <c r="BO1049" s="164"/>
      <c r="BP1049" s="726"/>
      <c r="BQ1049" s="727"/>
      <c r="BR1049" s="299"/>
      <c r="BS1049" s="35"/>
      <c r="BT1049" s="596"/>
      <c r="BU1049" s="79"/>
      <c r="BV1049" s="212"/>
      <c r="BW1049" s="304"/>
      <c r="BX1049" s="313"/>
      <c r="BY1049" s="138"/>
    </row>
    <row r="1050" spans="1:77" ht="15" customHeight="1" outlineLevel="1" x14ac:dyDescent="0.2">
      <c r="A1050" s="57" t="s">
        <v>24</v>
      </c>
      <c r="B1050" s="583" t="s">
        <v>477</v>
      </c>
      <c r="C1050" s="583" t="s">
        <v>2047</v>
      </c>
      <c r="D1050" s="546">
        <v>10.535</v>
      </c>
      <c r="E1050" s="162" t="s">
        <v>631</v>
      </c>
      <c r="F1050" s="358"/>
      <c r="G1050" s="65"/>
      <c r="H1050" s="73"/>
      <c r="I1050" s="90">
        <v>2007</v>
      </c>
      <c r="J1050" s="73"/>
      <c r="K1050" s="815">
        <v>3.5103000000000002E-2</v>
      </c>
      <c r="L1050" s="90"/>
      <c r="M1050" s="73"/>
      <c r="N1050" s="811"/>
      <c r="O1050" s="1041"/>
      <c r="P1050" s="73"/>
      <c r="Q1050" s="811"/>
      <c r="R1050" s="1041"/>
      <c r="S1050" s="73"/>
      <c r="T1050" s="811"/>
      <c r="U1050" s="73"/>
      <c r="V1050" s="66"/>
      <c r="W1050" s="808">
        <f t="shared" ref="W1050" si="708">AA1050*(1+AB1050)</f>
        <v>2.4923129999999997E-5</v>
      </c>
      <c r="X1050" s="809">
        <f t="shared" ref="X1050" si="709">AA1050*(1+AC1050)</f>
        <v>2.4923129999999997E-5</v>
      </c>
      <c r="Y1050" s="52">
        <v>2007</v>
      </c>
      <c r="Z1050" s="52"/>
      <c r="AA1050" s="807">
        <f>+K1050/1000</f>
        <v>3.5102999999999999E-5</v>
      </c>
      <c r="AB1050" s="256">
        <v>-0.28999999999999998</v>
      </c>
      <c r="AC1050" s="688">
        <f t="shared" si="647"/>
        <v>-0.28999999999999998</v>
      </c>
      <c r="AD1050" s="164"/>
      <c r="AE1050" s="164"/>
      <c r="AF1050" s="25"/>
      <c r="AG1050" s="26"/>
      <c r="AH1050" s="275"/>
      <c r="AI1050" s="52"/>
      <c r="AJ1050" s="35"/>
      <c r="AK1050" s="289"/>
      <c r="AL1050" s="290"/>
      <c r="AM1050" s="211"/>
      <c r="AN1050" s="164"/>
      <c r="AO1050" s="594"/>
      <c r="AP1050" s="595"/>
      <c r="AQ1050" s="275"/>
      <c r="AR1050" s="52"/>
      <c r="AS1050" s="596"/>
      <c r="AT1050" s="79"/>
      <c r="AU1050" s="212"/>
      <c r="AV1050" s="164"/>
      <c r="AW1050" s="164"/>
      <c r="AX1050" s="76"/>
      <c r="AY1050" s="44"/>
      <c r="AZ1050" s="275"/>
      <c r="BA1050" s="52"/>
      <c r="BB1050" s="35"/>
      <c r="BC1050" s="79"/>
      <c r="BD1050" s="230"/>
      <c r="BE1050" s="211"/>
      <c r="BF1050" s="164"/>
      <c r="BG1050" s="76"/>
      <c r="BH1050" s="44"/>
      <c r="BI1050" s="275"/>
      <c r="BJ1050" s="52"/>
      <c r="BK1050" s="35"/>
      <c r="BL1050" s="79"/>
      <c r="BM1050" s="230"/>
      <c r="BN1050" s="211"/>
      <c r="BO1050" s="164"/>
      <c r="BP1050" s="726"/>
      <c r="BQ1050" s="727"/>
      <c r="BR1050" s="299"/>
      <c r="BS1050" s="35"/>
      <c r="BT1050" s="596"/>
      <c r="BU1050" s="79"/>
      <c r="BV1050" s="212"/>
      <c r="BW1050" s="304"/>
      <c r="BX1050" s="313"/>
      <c r="BY1050" s="138"/>
    </row>
    <row r="1051" spans="1:77" ht="15" customHeight="1" outlineLevel="1" x14ac:dyDescent="0.2">
      <c r="A1051" s="57" t="s">
        <v>24</v>
      </c>
      <c r="B1051" s="583" t="s">
        <v>477</v>
      </c>
      <c r="C1051" s="583" t="s">
        <v>1594</v>
      </c>
      <c r="D1051" s="546">
        <v>6.09</v>
      </c>
      <c r="E1051" s="162" t="s">
        <v>631</v>
      </c>
      <c r="F1051" s="358"/>
      <c r="G1051" s="65"/>
      <c r="H1051" s="73"/>
      <c r="I1051" s="90"/>
      <c r="J1051" s="73"/>
      <c r="K1051" s="815"/>
      <c r="L1051" s="90">
        <v>2008</v>
      </c>
      <c r="M1051" s="73"/>
      <c r="N1051" s="738">
        <v>2.7556000000000001E-2</v>
      </c>
      <c r="O1051" s="1041"/>
      <c r="P1051" s="73"/>
      <c r="Q1051" s="738"/>
      <c r="R1051" s="1041"/>
      <c r="S1051" s="73"/>
      <c r="T1051" s="738"/>
      <c r="U1051" s="73"/>
      <c r="V1051" s="66"/>
      <c r="W1051" s="740">
        <f t="shared" ref="W1051" si="710">AA1051*(1+AB1051)</f>
        <v>1.3502440000000001E-5</v>
      </c>
      <c r="X1051" s="741">
        <f t="shared" ref="X1051" si="711">AA1051*(1+AC1051)</f>
        <v>1.3502440000000001E-5</v>
      </c>
      <c r="Y1051" s="52">
        <v>2008</v>
      </c>
      <c r="Z1051" s="52"/>
      <c r="AA1051" s="739">
        <f>+N1051/1000</f>
        <v>2.7556000000000002E-5</v>
      </c>
      <c r="AB1051" s="256">
        <v>-0.51</v>
      </c>
      <c r="AC1051" s="688">
        <f t="shared" ref="AC1051" si="712">AB1051</f>
        <v>-0.51</v>
      </c>
      <c r="AD1051" s="164"/>
      <c r="AE1051" s="164"/>
      <c r="AF1051" s="25"/>
      <c r="AG1051" s="26"/>
      <c r="AH1051" s="275"/>
      <c r="AI1051" s="52"/>
      <c r="AJ1051" s="35"/>
      <c r="AK1051" s="289"/>
      <c r="AL1051" s="290"/>
      <c r="AM1051" s="211"/>
      <c r="AN1051" s="164"/>
      <c r="AO1051" s="594"/>
      <c r="AP1051" s="595"/>
      <c r="AQ1051" s="275"/>
      <c r="AR1051" s="52"/>
      <c r="AS1051" s="596"/>
      <c r="AT1051" s="79"/>
      <c r="AU1051" s="212"/>
      <c r="AV1051" s="164"/>
      <c r="AW1051" s="164"/>
      <c r="AX1051" s="76"/>
      <c r="AY1051" s="44"/>
      <c r="AZ1051" s="275"/>
      <c r="BA1051" s="52"/>
      <c r="BB1051" s="35"/>
      <c r="BC1051" s="79"/>
      <c r="BD1051" s="230"/>
      <c r="BE1051" s="211"/>
      <c r="BF1051" s="164"/>
      <c r="BG1051" s="76"/>
      <c r="BH1051" s="44"/>
      <c r="BI1051" s="275"/>
      <c r="BJ1051" s="52"/>
      <c r="BK1051" s="35"/>
      <c r="BL1051" s="79"/>
      <c r="BM1051" s="230"/>
      <c r="BN1051" s="211"/>
      <c r="BO1051" s="164"/>
      <c r="BP1051" s="726"/>
      <c r="BQ1051" s="727"/>
      <c r="BR1051" s="299"/>
      <c r="BS1051" s="35"/>
      <c r="BT1051" s="596"/>
      <c r="BU1051" s="79"/>
      <c r="BV1051" s="212"/>
      <c r="BW1051" s="304"/>
      <c r="BX1051" s="313"/>
      <c r="BY1051" s="138"/>
    </row>
    <row r="1052" spans="1:77" ht="15" customHeight="1" outlineLevel="1" x14ac:dyDescent="0.2">
      <c r="A1052" s="57" t="s">
        <v>24</v>
      </c>
      <c r="B1052" s="583" t="s">
        <v>477</v>
      </c>
      <c r="C1052" s="583" t="s">
        <v>1593</v>
      </c>
      <c r="D1052" s="546">
        <v>6.46</v>
      </c>
      <c r="E1052" s="162" t="s">
        <v>631</v>
      </c>
      <c r="F1052" s="358"/>
      <c r="G1052" s="65"/>
      <c r="H1052" s="73"/>
      <c r="I1052" s="90"/>
      <c r="J1052" s="73"/>
      <c r="K1052" s="815"/>
      <c r="L1052" s="717">
        <v>2008</v>
      </c>
      <c r="M1052" s="73"/>
      <c r="N1052" s="738">
        <v>3.3832000000000001E-2</v>
      </c>
      <c r="O1052" s="1041"/>
      <c r="P1052" s="73"/>
      <c r="Q1052" s="738"/>
      <c r="R1052" s="1041"/>
      <c r="S1052" s="73"/>
      <c r="T1052" s="738"/>
      <c r="U1052" s="73"/>
      <c r="V1052" s="66"/>
      <c r="W1052" s="740">
        <f t="shared" si="706"/>
        <v>2.1314160000000004E-5</v>
      </c>
      <c r="X1052" s="741">
        <f t="shared" si="707"/>
        <v>2.1314160000000004E-5</v>
      </c>
      <c r="Y1052" s="52">
        <v>2008</v>
      </c>
      <c r="Z1052" s="52"/>
      <c r="AA1052" s="739">
        <f>+N1052/1000</f>
        <v>3.3832000000000004E-5</v>
      </c>
      <c r="AB1052" s="256">
        <v>-0.37</v>
      </c>
      <c r="AC1052" s="688">
        <f t="shared" si="647"/>
        <v>-0.37</v>
      </c>
      <c r="AD1052" s="164"/>
      <c r="AE1052" s="164"/>
      <c r="AF1052" s="25"/>
      <c r="AG1052" s="26"/>
      <c r="AH1052" s="275"/>
      <c r="AI1052" s="52"/>
      <c r="AJ1052" s="35"/>
      <c r="AK1052" s="289"/>
      <c r="AL1052" s="290"/>
      <c r="AM1052" s="211"/>
      <c r="AN1052" s="164"/>
      <c r="AO1052" s="594"/>
      <c r="AP1052" s="595"/>
      <c r="AQ1052" s="275"/>
      <c r="AR1052" s="52"/>
      <c r="AS1052" s="596"/>
      <c r="AT1052" s="79"/>
      <c r="AU1052" s="212"/>
      <c r="AV1052" s="164"/>
      <c r="AW1052" s="164"/>
      <c r="AX1052" s="76"/>
      <c r="AY1052" s="44"/>
      <c r="AZ1052" s="275"/>
      <c r="BA1052" s="52"/>
      <c r="BB1052" s="35"/>
      <c r="BC1052" s="79"/>
      <c r="BD1052" s="230"/>
      <c r="BE1052" s="211"/>
      <c r="BF1052" s="164"/>
      <c r="BG1052" s="76"/>
      <c r="BH1052" s="44"/>
      <c r="BI1052" s="275"/>
      <c r="BJ1052" s="52"/>
      <c r="BK1052" s="35"/>
      <c r="BL1052" s="79"/>
      <c r="BM1052" s="230"/>
      <c r="BN1052" s="211"/>
      <c r="BO1052" s="164"/>
      <c r="BP1052" s="726"/>
      <c r="BQ1052" s="727"/>
      <c r="BR1052" s="299"/>
      <c r="BS1052" s="35"/>
      <c r="BT1052" s="596"/>
      <c r="BU1052" s="79"/>
      <c r="BV1052" s="212"/>
      <c r="BW1052" s="304"/>
      <c r="BX1052" s="313"/>
      <c r="BY1052" s="138"/>
    </row>
    <row r="1053" spans="1:77" ht="15" customHeight="1" outlineLevel="1" x14ac:dyDescent="0.2">
      <c r="A1053" s="583" t="s">
        <v>24</v>
      </c>
      <c r="B1053" s="583" t="s">
        <v>477</v>
      </c>
      <c r="C1053" s="583" t="s">
        <v>1680</v>
      </c>
      <c r="D1053" s="546">
        <v>3.66</v>
      </c>
      <c r="E1053" s="162" t="s">
        <v>631</v>
      </c>
      <c r="F1053" s="358"/>
      <c r="G1053" s="65"/>
      <c r="H1053" s="73"/>
      <c r="I1053" s="90"/>
      <c r="J1053" s="73"/>
      <c r="K1053" s="815"/>
      <c r="L1053" s="717"/>
      <c r="M1053" s="73"/>
      <c r="N1053" s="738">
        <v>4.6948999999999998E-2</v>
      </c>
      <c r="O1053" s="1041"/>
      <c r="P1053" s="73"/>
      <c r="Q1053" s="738"/>
      <c r="R1053" s="1041"/>
      <c r="S1053" s="73"/>
      <c r="T1053" s="738"/>
      <c r="U1053" s="73"/>
      <c r="V1053" s="66"/>
      <c r="W1053" s="788">
        <f t="shared" ref="W1053" si="713">AA1053*(1+AB1053)</f>
        <v>3.5211749999999997E-5</v>
      </c>
      <c r="X1053" s="789">
        <f t="shared" ref="X1053" si="714">AA1053*(1+AC1053)</f>
        <v>3.5211749999999997E-5</v>
      </c>
      <c r="Y1053" s="52">
        <v>2010</v>
      </c>
      <c r="Z1053" s="52"/>
      <c r="AA1053" s="787">
        <f>+N1053/1000</f>
        <v>4.6949000000000001E-5</v>
      </c>
      <c r="AB1053" s="256">
        <v>-0.25</v>
      </c>
      <c r="AC1053" s="688">
        <f t="shared" si="647"/>
        <v>-0.25</v>
      </c>
      <c r="AD1053" s="164"/>
      <c r="AE1053" s="164"/>
      <c r="AF1053" s="25"/>
      <c r="AG1053" s="26"/>
      <c r="AH1053" s="275"/>
      <c r="AI1053" s="52"/>
      <c r="AJ1053" s="35"/>
      <c r="AK1053" s="289"/>
      <c r="AL1053" s="290"/>
      <c r="AM1053" s="211"/>
      <c r="AN1053" s="164"/>
      <c r="AO1053" s="594"/>
      <c r="AP1053" s="595"/>
      <c r="AQ1053" s="275"/>
      <c r="AR1053" s="52"/>
      <c r="AS1053" s="596"/>
      <c r="AT1053" s="79"/>
      <c r="AU1053" s="212"/>
      <c r="AV1053" s="164"/>
      <c r="AW1053" s="164"/>
      <c r="AX1053" s="76"/>
      <c r="AY1053" s="44"/>
      <c r="AZ1053" s="275"/>
      <c r="BA1053" s="52"/>
      <c r="BB1053" s="35"/>
      <c r="BC1053" s="79"/>
      <c r="BD1053" s="230"/>
      <c r="BE1053" s="211"/>
      <c r="BF1053" s="164"/>
      <c r="BG1053" s="76"/>
      <c r="BH1053" s="44"/>
      <c r="BI1053" s="275"/>
      <c r="BJ1053" s="52"/>
      <c r="BK1053" s="35"/>
      <c r="BL1053" s="79"/>
      <c r="BM1053" s="230"/>
      <c r="BN1053" s="211"/>
      <c r="BO1053" s="164"/>
      <c r="BP1053" s="726"/>
      <c r="BQ1053" s="727"/>
      <c r="BR1053" s="299"/>
      <c r="BS1053" s="35"/>
      <c r="BT1053" s="596"/>
      <c r="BU1053" s="79"/>
      <c r="BV1053" s="212"/>
      <c r="BW1053" s="304"/>
      <c r="BX1053" s="313"/>
      <c r="BY1053" s="138"/>
    </row>
    <row r="1054" spans="1:77" ht="15" customHeight="1" outlineLevel="1" x14ac:dyDescent="0.2">
      <c r="A1054" s="583" t="s">
        <v>24</v>
      </c>
      <c r="B1054" s="583" t="s">
        <v>477</v>
      </c>
      <c r="C1054" s="583" t="s">
        <v>2053</v>
      </c>
      <c r="D1054" s="546">
        <v>11.3</v>
      </c>
      <c r="E1054" s="162" t="s">
        <v>631</v>
      </c>
      <c r="F1054" s="358"/>
      <c r="G1054" s="65"/>
      <c r="H1054" s="73"/>
      <c r="I1054" s="90"/>
      <c r="J1054" s="73"/>
      <c r="K1054" s="815"/>
      <c r="L1054" s="717">
        <v>2008</v>
      </c>
      <c r="M1054" s="73"/>
      <c r="N1054" s="738">
        <v>5.0763000000000003E-2</v>
      </c>
      <c r="O1054" s="1041"/>
      <c r="P1054" s="73"/>
      <c r="Q1054" s="738"/>
      <c r="R1054" s="1041"/>
      <c r="S1054" s="73"/>
      <c r="T1054" s="738"/>
      <c r="U1054" s="73"/>
      <c r="V1054" s="66"/>
      <c r="W1054" s="788">
        <f t="shared" ref="W1054" si="715">AA1054*(1+AB1054)</f>
        <v>3.604173E-5</v>
      </c>
      <c r="X1054" s="789">
        <f t="shared" ref="X1054" si="716">AA1054*(1+AC1054)</f>
        <v>3.604173E-5</v>
      </c>
      <c r="Y1054" s="52">
        <v>2008</v>
      </c>
      <c r="Z1054" s="52"/>
      <c r="AA1054" s="787">
        <f>+N1054/1000</f>
        <v>5.0763000000000002E-5</v>
      </c>
      <c r="AB1054" s="256">
        <v>-0.28999999999999998</v>
      </c>
      <c r="AC1054" s="688">
        <f t="shared" si="647"/>
        <v>-0.28999999999999998</v>
      </c>
      <c r="AD1054" s="164"/>
      <c r="AE1054" s="164"/>
      <c r="AF1054" s="25"/>
      <c r="AG1054" s="26"/>
      <c r="AH1054" s="275"/>
      <c r="AI1054" s="52"/>
      <c r="AJ1054" s="35"/>
      <c r="AK1054" s="289"/>
      <c r="AL1054" s="290"/>
      <c r="AM1054" s="211"/>
      <c r="AN1054" s="164"/>
      <c r="AO1054" s="594"/>
      <c r="AP1054" s="595"/>
      <c r="AQ1054" s="275"/>
      <c r="AR1054" s="52"/>
      <c r="AS1054" s="596"/>
      <c r="AT1054" s="79"/>
      <c r="AU1054" s="212"/>
      <c r="AV1054" s="164"/>
      <c r="AW1054" s="164"/>
      <c r="AX1054" s="76"/>
      <c r="AY1054" s="44"/>
      <c r="AZ1054" s="275"/>
      <c r="BA1054" s="52"/>
      <c r="BB1054" s="35"/>
      <c r="BC1054" s="79"/>
      <c r="BD1054" s="230"/>
      <c r="BE1054" s="211"/>
      <c r="BF1054" s="164"/>
      <c r="BG1054" s="76"/>
      <c r="BH1054" s="44"/>
      <c r="BI1054" s="275"/>
      <c r="BJ1054" s="52"/>
      <c r="BK1054" s="35"/>
      <c r="BL1054" s="79"/>
      <c r="BM1054" s="230"/>
      <c r="BN1054" s="211"/>
      <c r="BO1054" s="164"/>
      <c r="BP1054" s="726"/>
      <c r="BQ1054" s="727"/>
      <c r="BR1054" s="299"/>
      <c r="BS1054" s="35"/>
      <c r="BT1054" s="596"/>
      <c r="BU1054" s="79"/>
      <c r="BV1054" s="212"/>
      <c r="BW1054" s="304"/>
      <c r="BX1054" s="313"/>
      <c r="BY1054" s="138"/>
    </row>
    <row r="1055" spans="1:77" ht="15" customHeight="1" outlineLevel="1" x14ac:dyDescent="0.2">
      <c r="A1055" s="57" t="s">
        <v>24</v>
      </c>
      <c r="B1055" s="583" t="s">
        <v>477</v>
      </c>
      <c r="C1055" s="583" t="s">
        <v>479</v>
      </c>
      <c r="D1055" s="546">
        <v>100</v>
      </c>
      <c r="E1055" s="162" t="s">
        <v>387</v>
      </c>
      <c r="F1055" s="358"/>
      <c r="G1055" s="65"/>
      <c r="H1055" s="735">
        <v>0.26327</v>
      </c>
      <c r="I1055" s="90"/>
      <c r="J1055" s="73"/>
      <c r="K1055" s="66"/>
      <c r="L1055" s="717"/>
      <c r="M1055" s="73"/>
      <c r="N1055" s="359"/>
      <c r="O1055" s="1041">
        <v>2016</v>
      </c>
      <c r="P1055" s="73"/>
      <c r="Q1055" s="359">
        <v>0.615452</v>
      </c>
      <c r="R1055" s="1041">
        <v>2016</v>
      </c>
      <c r="S1055" s="73"/>
      <c r="T1055" s="359">
        <v>0.615452</v>
      </c>
      <c r="U1055" s="73"/>
      <c r="V1055" s="66"/>
      <c r="W1055" s="594">
        <f t="shared" si="643"/>
        <v>2.0956292000000003E-4</v>
      </c>
      <c r="X1055" s="595">
        <f t="shared" si="644"/>
        <v>2.0956292000000003E-4</v>
      </c>
      <c r="Y1055" s="52">
        <v>1990</v>
      </c>
      <c r="Z1055" s="52"/>
      <c r="AA1055" s="596">
        <f>+H1055/1000</f>
        <v>2.6327000000000002E-4</v>
      </c>
      <c r="AB1055" s="732">
        <v>-0.20399999999999999</v>
      </c>
      <c r="AC1055" s="733">
        <f t="shared" si="647"/>
        <v>-0.20399999999999999</v>
      </c>
      <c r="AD1055" s="164"/>
      <c r="AE1055" s="164"/>
      <c r="AF1055" s="25"/>
      <c r="AG1055" s="26"/>
      <c r="AH1055" s="275"/>
      <c r="AI1055" s="52"/>
      <c r="AJ1055" s="35"/>
      <c r="AK1055" s="289"/>
      <c r="AL1055" s="290"/>
      <c r="AM1055" s="211"/>
      <c r="AN1055" s="164"/>
      <c r="AO1055" s="594"/>
      <c r="AP1055" s="595"/>
      <c r="AQ1055" s="275"/>
      <c r="AR1055" s="52"/>
      <c r="AS1055" s="596"/>
      <c r="AT1055" s="79"/>
      <c r="AU1055" s="212"/>
      <c r="AV1055" s="164"/>
      <c r="AW1055" s="164"/>
      <c r="AX1055" s="76"/>
      <c r="AY1055" s="44"/>
      <c r="AZ1055" s="275"/>
      <c r="BA1055" s="52"/>
      <c r="BB1055" s="35"/>
      <c r="BC1055" s="79"/>
      <c r="BD1055" s="230"/>
      <c r="BE1055" s="211"/>
      <c r="BF1055" s="164"/>
      <c r="BG1055" s="76"/>
      <c r="BH1055" s="44"/>
      <c r="BI1055" s="275"/>
      <c r="BJ1055" s="52"/>
      <c r="BK1055" s="35"/>
      <c r="BL1055" s="79"/>
      <c r="BM1055" s="230"/>
      <c r="BN1055" s="211"/>
      <c r="BO1055" s="164"/>
      <c r="BP1055" s="726"/>
      <c r="BQ1055" s="727"/>
      <c r="BR1055" s="299"/>
      <c r="BS1055" s="35"/>
      <c r="BT1055" s="596"/>
      <c r="BU1055" s="79"/>
      <c r="BV1055" s="212"/>
      <c r="BW1055" s="304"/>
      <c r="BX1055" s="313"/>
      <c r="BY1055" s="138"/>
    </row>
    <row r="1056" spans="1:77" ht="15" customHeight="1" outlineLevel="1" x14ac:dyDescent="0.2">
      <c r="A1056" s="57" t="s">
        <v>24</v>
      </c>
      <c r="B1056" s="583" t="s">
        <v>477</v>
      </c>
      <c r="C1056" s="583" t="s">
        <v>1573</v>
      </c>
      <c r="D1056" s="546">
        <v>9.6340000000000003</v>
      </c>
      <c r="E1056" s="162" t="s">
        <v>631</v>
      </c>
      <c r="F1056" s="358"/>
      <c r="G1056" s="65"/>
      <c r="H1056" s="735"/>
      <c r="I1056" s="90">
        <v>2007</v>
      </c>
      <c r="J1056" s="73"/>
      <c r="K1056" s="66">
        <v>0.13572699999999999</v>
      </c>
      <c r="L1056" s="717"/>
      <c r="M1056" s="73"/>
      <c r="N1056" s="359"/>
      <c r="O1056" s="1041"/>
      <c r="P1056" s="73"/>
      <c r="Q1056" s="359"/>
      <c r="R1056" s="1041"/>
      <c r="S1056" s="73"/>
      <c r="T1056" s="359"/>
      <c r="U1056" s="73"/>
      <c r="V1056" s="66"/>
      <c r="W1056" s="740">
        <f>AA1056*(1+AB1056)</f>
        <v>9.3651629999999978E-5</v>
      </c>
      <c r="X1056" s="741">
        <f>AA1056*(1+AC1056)</f>
        <v>9.3651629999999978E-5</v>
      </c>
      <c r="Y1056" s="52">
        <v>2007</v>
      </c>
      <c r="Z1056" s="52"/>
      <c r="AA1056" s="596">
        <f>+K1056/1000</f>
        <v>1.3572699999999998E-4</v>
      </c>
      <c r="AB1056" s="256">
        <v>-0.31</v>
      </c>
      <c r="AC1056" s="688">
        <f t="shared" ref="AC1056:AC1059" si="717">AB1056</f>
        <v>-0.31</v>
      </c>
      <c r="AD1056" s="164"/>
      <c r="AE1056" s="164"/>
      <c r="AF1056" s="25"/>
      <c r="AG1056" s="26"/>
      <c r="AH1056" s="275"/>
      <c r="AI1056" s="52"/>
      <c r="AJ1056" s="35"/>
      <c r="AK1056" s="289"/>
      <c r="AL1056" s="290"/>
      <c r="AM1056" s="211"/>
      <c r="AN1056" s="164"/>
      <c r="AO1056" s="594"/>
      <c r="AP1056" s="595"/>
      <c r="AQ1056" s="275"/>
      <c r="AR1056" s="52"/>
      <c r="AS1056" s="596"/>
      <c r="AT1056" s="79"/>
      <c r="AU1056" s="212"/>
      <c r="AV1056" s="164"/>
      <c r="AW1056" s="164"/>
      <c r="AX1056" s="76"/>
      <c r="AY1056" s="44"/>
      <c r="AZ1056" s="275"/>
      <c r="BA1056" s="52"/>
      <c r="BB1056" s="35"/>
      <c r="BC1056" s="79"/>
      <c r="BD1056" s="230"/>
      <c r="BE1056" s="211"/>
      <c r="BF1056" s="164"/>
      <c r="BG1056" s="76"/>
      <c r="BH1056" s="44"/>
      <c r="BI1056" s="275"/>
      <c r="BJ1056" s="52"/>
      <c r="BK1056" s="35"/>
      <c r="BL1056" s="79"/>
      <c r="BM1056" s="230"/>
      <c r="BN1056" s="211"/>
      <c r="BO1056" s="164"/>
      <c r="BP1056" s="726"/>
      <c r="BQ1056" s="727"/>
      <c r="BR1056" s="299"/>
      <c r="BS1056" s="35"/>
      <c r="BT1056" s="596"/>
      <c r="BU1056" s="79"/>
      <c r="BV1056" s="212"/>
      <c r="BW1056" s="304"/>
      <c r="BX1056" s="313"/>
      <c r="BY1056" s="138"/>
    </row>
    <row r="1057" spans="1:77" ht="15" customHeight="1" outlineLevel="1" x14ac:dyDescent="0.2">
      <c r="A1057" s="583" t="s">
        <v>24</v>
      </c>
      <c r="B1057" s="583" t="s">
        <v>477</v>
      </c>
      <c r="C1057" s="583" t="s">
        <v>1665</v>
      </c>
      <c r="D1057" s="546">
        <v>0.80200000000000005</v>
      </c>
      <c r="E1057" s="162" t="s">
        <v>631</v>
      </c>
      <c r="F1057" s="358"/>
      <c r="G1057" s="65"/>
      <c r="H1057" s="735"/>
      <c r="I1057" s="90">
        <v>2007</v>
      </c>
      <c r="J1057" s="73"/>
      <c r="K1057" s="734">
        <v>7.3839999999999999E-3</v>
      </c>
      <c r="L1057" s="717"/>
      <c r="M1057" s="73"/>
      <c r="N1057" s="359"/>
      <c r="O1057" s="1041"/>
      <c r="P1057" s="73"/>
      <c r="Q1057" s="359"/>
      <c r="R1057" s="1041"/>
      <c r="S1057" s="73"/>
      <c r="T1057" s="359"/>
      <c r="U1057" s="73"/>
      <c r="V1057" s="66"/>
      <c r="W1057" s="808">
        <f>AA1057*(1+AB1057)</f>
        <v>5.3903199999999996E-6</v>
      </c>
      <c r="X1057" s="809">
        <f>AA1057*(1+AC1057)</f>
        <v>5.3903199999999996E-6</v>
      </c>
      <c r="Y1057" s="52">
        <v>2007</v>
      </c>
      <c r="Z1057" s="52"/>
      <c r="AA1057" s="807">
        <f>+K1057/1000</f>
        <v>7.3839999999999999E-6</v>
      </c>
      <c r="AB1057" s="256">
        <v>-0.27</v>
      </c>
      <c r="AC1057" s="688">
        <f t="shared" si="717"/>
        <v>-0.27</v>
      </c>
      <c r="AD1057" s="164"/>
      <c r="AE1057" s="164"/>
      <c r="AF1057" s="25"/>
      <c r="AG1057" s="26"/>
      <c r="AH1057" s="275"/>
      <c r="AI1057" s="52"/>
      <c r="AJ1057" s="35"/>
      <c r="AK1057" s="289"/>
      <c r="AL1057" s="290"/>
      <c r="AM1057" s="211"/>
      <c r="AN1057" s="164"/>
      <c r="AO1057" s="594"/>
      <c r="AP1057" s="595"/>
      <c r="AQ1057" s="275"/>
      <c r="AR1057" s="52"/>
      <c r="AS1057" s="596"/>
      <c r="AT1057" s="79"/>
      <c r="AU1057" s="212"/>
      <c r="AV1057" s="164"/>
      <c r="AW1057" s="164"/>
      <c r="AX1057" s="76"/>
      <c r="AY1057" s="44"/>
      <c r="AZ1057" s="275"/>
      <c r="BA1057" s="52"/>
      <c r="BB1057" s="35"/>
      <c r="BC1057" s="79"/>
      <c r="BD1057" s="230"/>
      <c r="BE1057" s="211"/>
      <c r="BF1057" s="164"/>
      <c r="BG1057" s="76"/>
      <c r="BH1057" s="44"/>
      <c r="BI1057" s="275"/>
      <c r="BJ1057" s="52"/>
      <c r="BK1057" s="35"/>
      <c r="BL1057" s="79"/>
      <c r="BM1057" s="230"/>
      <c r="BN1057" s="211"/>
      <c r="BO1057" s="164"/>
      <c r="BP1057" s="726"/>
      <c r="BQ1057" s="727"/>
      <c r="BR1057" s="299"/>
      <c r="BS1057" s="35"/>
      <c r="BT1057" s="596"/>
      <c r="BU1057" s="79"/>
      <c r="BV1057" s="212"/>
      <c r="BW1057" s="304"/>
      <c r="BX1057" s="313"/>
      <c r="BY1057" s="138" t="s">
        <v>1671</v>
      </c>
    </row>
    <row r="1058" spans="1:77" s="901" customFormat="1" ht="15" customHeight="1" outlineLevel="1" x14ac:dyDescent="0.2">
      <c r="A1058" s="902" t="s">
        <v>24</v>
      </c>
      <c r="B1058" s="864" t="s">
        <v>477</v>
      </c>
      <c r="C1058" s="864" t="s">
        <v>1644</v>
      </c>
      <c r="D1058" s="865">
        <v>7.2519999999999998</v>
      </c>
      <c r="E1058" s="864" t="s">
        <v>631</v>
      </c>
      <c r="F1058" s="866"/>
      <c r="G1058" s="867"/>
      <c r="H1058" s="903"/>
      <c r="I1058" s="869">
        <v>2007</v>
      </c>
      <c r="J1058" s="868"/>
      <c r="K1058" s="870">
        <v>2.4192999999999999E-2</v>
      </c>
      <c r="L1058" s="871"/>
      <c r="M1058" s="868"/>
      <c r="N1058" s="872"/>
      <c r="O1058" s="1045"/>
      <c r="P1058" s="868"/>
      <c r="Q1058" s="872"/>
      <c r="R1058" s="1045"/>
      <c r="S1058" s="868"/>
      <c r="T1058" s="872"/>
      <c r="U1058" s="868"/>
      <c r="V1058" s="873"/>
      <c r="W1058" s="904">
        <f>AA1058*(1+AB1058)</f>
        <v>1.7902819999999999E-5</v>
      </c>
      <c r="X1058" s="905">
        <f>AA1058*(1+AC1058)</f>
        <v>1.7902819999999999E-5</v>
      </c>
      <c r="Y1058" s="876">
        <v>2007</v>
      </c>
      <c r="Z1058" s="876"/>
      <c r="AA1058" s="877">
        <f>+K1058/1000</f>
        <v>2.4193E-5</v>
      </c>
      <c r="AB1058" s="878">
        <v>-0.26</v>
      </c>
      <c r="AC1058" s="879">
        <f t="shared" si="717"/>
        <v>-0.26</v>
      </c>
      <c r="AD1058" s="880"/>
      <c r="AE1058" s="880"/>
      <c r="AF1058" s="881"/>
      <c r="AG1058" s="882"/>
      <c r="AH1058" s="883"/>
      <c r="AI1058" s="876"/>
      <c r="AJ1058" s="884"/>
      <c r="AK1058" s="885"/>
      <c r="AL1058" s="886"/>
      <c r="AM1058" s="887"/>
      <c r="AN1058" s="880"/>
      <c r="AO1058" s="888"/>
      <c r="AP1058" s="889"/>
      <c r="AQ1058" s="883"/>
      <c r="AR1058" s="876"/>
      <c r="AS1058" s="890"/>
      <c r="AT1058" s="891"/>
      <c r="AU1058" s="892"/>
      <c r="AV1058" s="880"/>
      <c r="AW1058" s="880"/>
      <c r="AX1058" s="893"/>
      <c r="AY1058" s="894"/>
      <c r="AZ1058" s="883"/>
      <c r="BA1058" s="876"/>
      <c r="BB1058" s="884"/>
      <c r="BC1058" s="891"/>
      <c r="BD1058" s="895"/>
      <c r="BE1058" s="887"/>
      <c r="BF1058" s="880"/>
      <c r="BG1058" s="893"/>
      <c r="BH1058" s="894"/>
      <c r="BI1058" s="883"/>
      <c r="BJ1058" s="876"/>
      <c r="BK1058" s="884"/>
      <c r="BL1058" s="891"/>
      <c r="BM1058" s="895"/>
      <c r="BN1058" s="887"/>
      <c r="BO1058" s="880"/>
      <c r="BP1058" s="896"/>
      <c r="BQ1058" s="897"/>
      <c r="BR1058" s="898"/>
      <c r="BS1058" s="884"/>
      <c r="BT1058" s="890"/>
      <c r="BU1058" s="891"/>
      <c r="BV1058" s="892"/>
      <c r="BW1058" s="899"/>
      <c r="BX1058" s="900"/>
      <c r="BY1058" s="138"/>
    </row>
    <row r="1059" spans="1:77" s="901" customFormat="1" ht="15" customHeight="1" outlineLevel="1" x14ac:dyDescent="0.2">
      <c r="A1059" s="864" t="s">
        <v>24</v>
      </c>
      <c r="B1059" s="864" t="s">
        <v>477</v>
      </c>
      <c r="C1059" s="864" t="s">
        <v>1666</v>
      </c>
      <c r="D1059" s="865">
        <v>6.44</v>
      </c>
      <c r="E1059" s="864" t="s">
        <v>631</v>
      </c>
      <c r="F1059" s="866"/>
      <c r="G1059" s="867"/>
      <c r="H1059" s="903"/>
      <c r="I1059" s="869">
        <v>2007</v>
      </c>
      <c r="J1059" s="868"/>
      <c r="K1059" s="870">
        <v>3.1759999999999997E-2</v>
      </c>
      <c r="L1059" s="871"/>
      <c r="M1059" s="868"/>
      <c r="N1059" s="872"/>
      <c r="O1059" s="1045"/>
      <c r="P1059" s="868"/>
      <c r="Q1059" s="872"/>
      <c r="R1059" s="1045"/>
      <c r="S1059" s="868"/>
      <c r="T1059" s="872"/>
      <c r="U1059" s="868"/>
      <c r="V1059" s="873"/>
      <c r="W1059" s="874">
        <f>AA1059*(1+AB1059)</f>
        <v>2.3819999999999996E-5</v>
      </c>
      <c r="X1059" s="875">
        <f>AA1059*(1+AC1059)</f>
        <v>2.3819999999999996E-5</v>
      </c>
      <c r="Y1059" s="876">
        <v>2007</v>
      </c>
      <c r="Z1059" s="876"/>
      <c r="AA1059" s="909">
        <f>+K1059/1000</f>
        <v>3.1759999999999994E-5</v>
      </c>
      <c r="AB1059" s="878">
        <v>-0.25</v>
      </c>
      <c r="AC1059" s="879">
        <f t="shared" si="717"/>
        <v>-0.25</v>
      </c>
      <c r="AD1059" s="880"/>
      <c r="AE1059" s="880"/>
      <c r="AF1059" s="881"/>
      <c r="AG1059" s="882"/>
      <c r="AH1059" s="883"/>
      <c r="AI1059" s="876"/>
      <c r="AJ1059" s="884"/>
      <c r="AK1059" s="885"/>
      <c r="AL1059" s="886"/>
      <c r="AM1059" s="887"/>
      <c r="AN1059" s="880"/>
      <c r="AO1059" s="888"/>
      <c r="AP1059" s="889"/>
      <c r="AQ1059" s="883"/>
      <c r="AR1059" s="876"/>
      <c r="AS1059" s="890"/>
      <c r="AT1059" s="891"/>
      <c r="AU1059" s="892"/>
      <c r="AV1059" s="880"/>
      <c r="AW1059" s="880"/>
      <c r="AX1059" s="893"/>
      <c r="AY1059" s="894"/>
      <c r="AZ1059" s="883"/>
      <c r="BA1059" s="876"/>
      <c r="BB1059" s="884"/>
      <c r="BC1059" s="891"/>
      <c r="BD1059" s="895"/>
      <c r="BE1059" s="887"/>
      <c r="BF1059" s="880"/>
      <c r="BG1059" s="893"/>
      <c r="BH1059" s="894"/>
      <c r="BI1059" s="883"/>
      <c r="BJ1059" s="876"/>
      <c r="BK1059" s="884"/>
      <c r="BL1059" s="891"/>
      <c r="BM1059" s="895"/>
      <c r="BN1059" s="887"/>
      <c r="BO1059" s="880"/>
      <c r="BP1059" s="896"/>
      <c r="BQ1059" s="897"/>
      <c r="BR1059" s="898"/>
      <c r="BS1059" s="884"/>
      <c r="BT1059" s="890"/>
      <c r="BU1059" s="891"/>
      <c r="BV1059" s="892"/>
      <c r="BW1059" s="899"/>
      <c r="BX1059" s="900"/>
      <c r="BY1059" s="138" t="s">
        <v>1671</v>
      </c>
    </row>
    <row r="1060" spans="1:77" s="901" customFormat="1" ht="15" customHeight="1" outlineLevel="1" x14ac:dyDescent="0.2">
      <c r="A1060" s="864" t="s">
        <v>24</v>
      </c>
      <c r="B1060" s="864" t="s">
        <v>477</v>
      </c>
      <c r="C1060" s="864" t="s">
        <v>1667</v>
      </c>
      <c r="D1060" s="865">
        <v>0.83199999999999996</v>
      </c>
      <c r="E1060" s="864" t="s">
        <v>631</v>
      </c>
      <c r="F1060" s="866"/>
      <c r="G1060" s="867"/>
      <c r="H1060" s="903"/>
      <c r="I1060" s="869">
        <v>2007</v>
      </c>
      <c r="J1060" s="868"/>
      <c r="K1060" s="870">
        <v>9.0620000000000006E-3</v>
      </c>
      <c r="L1060" s="871"/>
      <c r="M1060" s="868"/>
      <c r="N1060" s="872"/>
      <c r="O1060" s="1045"/>
      <c r="P1060" s="868"/>
      <c r="Q1060" s="872"/>
      <c r="R1060" s="1045"/>
      <c r="S1060" s="868"/>
      <c r="T1060" s="872"/>
      <c r="U1060" s="868"/>
      <c r="V1060" s="873"/>
      <c r="W1060" s="911">
        <f>AA1060*(1+AB1060)</f>
        <v>6.7965000000000001E-6</v>
      </c>
      <c r="X1060" s="912">
        <f>AA1060*(1+AC1060)</f>
        <v>6.7965000000000001E-6</v>
      </c>
      <c r="Y1060" s="876">
        <v>2007</v>
      </c>
      <c r="Z1060" s="876"/>
      <c r="AA1060" s="910">
        <f>+K1060/1000</f>
        <v>9.0620000000000007E-6</v>
      </c>
      <c r="AB1060" s="878">
        <v>-0.25</v>
      </c>
      <c r="AC1060" s="879">
        <v>-0.25</v>
      </c>
      <c r="AD1060" s="880"/>
      <c r="AE1060" s="880"/>
      <c r="AF1060" s="881"/>
      <c r="AG1060" s="882"/>
      <c r="AH1060" s="883"/>
      <c r="AI1060" s="876"/>
      <c r="AJ1060" s="884"/>
      <c r="AK1060" s="885"/>
      <c r="AL1060" s="886"/>
      <c r="AM1060" s="887"/>
      <c r="AN1060" s="880"/>
      <c r="AO1060" s="888"/>
      <c r="AP1060" s="889"/>
      <c r="AQ1060" s="883"/>
      <c r="AR1060" s="876"/>
      <c r="AS1060" s="890"/>
      <c r="AT1060" s="891"/>
      <c r="AU1060" s="892"/>
      <c r="AV1060" s="880"/>
      <c r="AW1060" s="880"/>
      <c r="AX1060" s="893"/>
      <c r="AY1060" s="894"/>
      <c r="AZ1060" s="883"/>
      <c r="BA1060" s="876"/>
      <c r="BB1060" s="884"/>
      <c r="BC1060" s="891"/>
      <c r="BD1060" s="895"/>
      <c r="BE1060" s="887"/>
      <c r="BF1060" s="880"/>
      <c r="BG1060" s="893"/>
      <c r="BH1060" s="894"/>
      <c r="BI1060" s="883"/>
      <c r="BJ1060" s="876"/>
      <c r="BK1060" s="884"/>
      <c r="BL1060" s="891"/>
      <c r="BM1060" s="895"/>
      <c r="BN1060" s="887"/>
      <c r="BO1060" s="880"/>
      <c r="BP1060" s="896"/>
      <c r="BQ1060" s="897"/>
      <c r="BR1060" s="898"/>
      <c r="BS1060" s="884"/>
      <c r="BT1060" s="890"/>
      <c r="BU1060" s="891"/>
      <c r="BV1060" s="892"/>
      <c r="BW1060" s="899"/>
      <c r="BX1060" s="900"/>
      <c r="BY1060" s="138" t="s">
        <v>1671</v>
      </c>
    </row>
    <row r="1061" spans="1:77" ht="15" customHeight="1" outlineLevel="1" x14ac:dyDescent="0.2">
      <c r="A1061" s="57" t="s">
        <v>24</v>
      </c>
      <c r="B1061" s="583" t="s">
        <v>477</v>
      </c>
      <c r="C1061" s="583" t="s">
        <v>1310</v>
      </c>
      <c r="D1061" s="546">
        <v>13.222</v>
      </c>
      <c r="E1061" s="162" t="s">
        <v>631</v>
      </c>
      <c r="F1061" s="358"/>
      <c r="G1061" s="65"/>
      <c r="H1061" s="735"/>
      <c r="I1061" s="90">
        <v>2007</v>
      </c>
      <c r="J1061" s="73"/>
      <c r="K1061" s="734">
        <v>4.2160000000000003E-2</v>
      </c>
      <c r="L1061" s="717"/>
      <c r="M1061" s="73"/>
      <c r="N1061" s="359"/>
      <c r="O1061" s="1041"/>
      <c r="P1061" s="73"/>
      <c r="Q1061" s="359"/>
      <c r="R1061" s="1041"/>
      <c r="S1061" s="73"/>
      <c r="T1061" s="359"/>
      <c r="U1061" s="73"/>
      <c r="V1061" s="66"/>
      <c r="W1061" s="740">
        <f t="shared" ref="W1061" si="718">AA1061*(1+AB1061)</f>
        <v>2.8668799999999999E-5</v>
      </c>
      <c r="X1061" s="741">
        <f t="shared" ref="X1061" si="719">AA1061*(1+AC1061)</f>
        <v>2.8668799999999999E-5</v>
      </c>
      <c r="Y1061" s="52">
        <v>2007</v>
      </c>
      <c r="Z1061" s="52"/>
      <c r="AA1061" s="739">
        <f t="shared" ref="AA1061" si="720">+K1061/1000</f>
        <v>4.2160000000000003E-5</v>
      </c>
      <c r="AB1061" s="256">
        <v>-0.32</v>
      </c>
      <c r="AC1061" s="688">
        <f t="shared" si="647"/>
        <v>-0.32</v>
      </c>
      <c r="AD1061" s="164"/>
      <c r="AE1061" s="164"/>
      <c r="AF1061" s="25"/>
      <c r="AG1061" s="26"/>
      <c r="AH1061" s="275"/>
      <c r="AI1061" s="52"/>
      <c r="AJ1061" s="35"/>
      <c r="AK1061" s="289"/>
      <c r="AL1061" s="290"/>
      <c r="AM1061" s="211"/>
      <c r="AN1061" s="164"/>
      <c r="AO1061" s="594"/>
      <c r="AP1061" s="595"/>
      <c r="AQ1061" s="275"/>
      <c r="AR1061" s="52"/>
      <c r="AS1061" s="596"/>
      <c r="AT1061" s="79"/>
      <c r="AU1061" s="212"/>
      <c r="AV1061" s="164"/>
      <c r="AW1061" s="164"/>
      <c r="AX1061" s="76"/>
      <c r="AY1061" s="44"/>
      <c r="AZ1061" s="275"/>
      <c r="BA1061" s="52"/>
      <c r="BB1061" s="35"/>
      <c r="BC1061" s="79"/>
      <c r="BD1061" s="230"/>
      <c r="BE1061" s="211"/>
      <c r="BF1061" s="164"/>
      <c r="BG1061" s="76"/>
      <c r="BH1061" s="44"/>
      <c r="BI1061" s="275"/>
      <c r="BJ1061" s="52"/>
      <c r="BK1061" s="35"/>
      <c r="BL1061" s="79"/>
      <c r="BM1061" s="230"/>
      <c r="BN1061" s="211"/>
      <c r="BO1061" s="164"/>
      <c r="BP1061" s="726"/>
      <c r="BQ1061" s="727"/>
      <c r="BR1061" s="299"/>
      <c r="BS1061" s="35"/>
      <c r="BT1061" s="596"/>
      <c r="BU1061" s="79"/>
      <c r="BV1061" s="212"/>
      <c r="BW1061" s="304"/>
      <c r="BX1061" s="313"/>
      <c r="BY1061" s="138"/>
    </row>
    <row r="1062" spans="1:77" ht="15" customHeight="1" outlineLevel="1" x14ac:dyDescent="0.2">
      <c r="A1062" s="57" t="s">
        <v>24</v>
      </c>
      <c r="B1062" s="583" t="s">
        <v>477</v>
      </c>
      <c r="C1062" s="583" t="s">
        <v>1799</v>
      </c>
      <c r="D1062" s="546">
        <v>1.2569999999999999</v>
      </c>
      <c r="E1062" s="162" t="s">
        <v>631</v>
      </c>
      <c r="F1062" s="358"/>
      <c r="G1062" s="65"/>
      <c r="H1062" s="735"/>
      <c r="I1062" s="90"/>
      <c r="J1062" s="73"/>
      <c r="K1062" s="734"/>
      <c r="L1062" s="717"/>
      <c r="M1062" s="73"/>
      <c r="N1062" s="786">
        <v>1.8079999999999999E-2</v>
      </c>
      <c r="O1062" s="1041"/>
      <c r="P1062" s="73"/>
      <c r="Q1062" s="786"/>
      <c r="R1062" s="1041"/>
      <c r="S1062" s="73"/>
      <c r="T1062" s="786"/>
      <c r="U1062" s="73"/>
      <c r="V1062" s="66"/>
      <c r="W1062" s="740">
        <f t="shared" ref="W1062" si="721">AA1062*(1+AB1062)</f>
        <v>1.3559999999999999E-5</v>
      </c>
      <c r="X1062" s="741">
        <f t="shared" ref="X1062" si="722">AA1062*(1+AC1062)</f>
        <v>1.3559999999999999E-5</v>
      </c>
      <c r="Y1062" s="52">
        <v>2010</v>
      </c>
      <c r="Z1062" s="52"/>
      <c r="AA1062" s="739">
        <f>+N1062/1000</f>
        <v>1.808E-5</v>
      </c>
      <c r="AB1062" s="256">
        <v>-0.25</v>
      </c>
      <c r="AC1062" s="688">
        <f t="shared" si="647"/>
        <v>-0.25</v>
      </c>
      <c r="AD1062" s="164"/>
      <c r="AE1062" s="164"/>
      <c r="AF1062" s="25"/>
      <c r="AG1062" s="26"/>
      <c r="AH1062" s="275"/>
      <c r="AI1062" s="52"/>
      <c r="AJ1062" s="35"/>
      <c r="AK1062" s="289"/>
      <c r="AL1062" s="290"/>
      <c r="AM1062" s="211"/>
      <c r="AN1062" s="164"/>
      <c r="AO1062" s="594"/>
      <c r="AP1062" s="595"/>
      <c r="AQ1062" s="275"/>
      <c r="AR1062" s="52"/>
      <c r="AS1062" s="596"/>
      <c r="AT1062" s="79"/>
      <c r="AU1062" s="212"/>
      <c r="AV1062" s="164"/>
      <c r="AW1062" s="164"/>
      <c r="AX1062" s="76"/>
      <c r="AY1062" s="44"/>
      <c r="AZ1062" s="275"/>
      <c r="BA1062" s="52"/>
      <c r="BB1062" s="35"/>
      <c r="BC1062" s="79"/>
      <c r="BD1062" s="230"/>
      <c r="BE1062" s="211"/>
      <c r="BF1062" s="164"/>
      <c r="BG1062" s="76"/>
      <c r="BH1062" s="44"/>
      <c r="BI1062" s="275"/>
      <c r="BJ1062" s="52"/>
      <c r="BK1062" s="35"/>
      <c r="BL1062" s="79"/>
      <c r="BM1062" s="230"/>
      <c r="BN1062" s="211"/>
      <c r="BO1062" s="164"/>
      <c r="BP1062" s="726"/>
      <c r="BQ1062" s="727"/>
      <c r="BR1062" s="299"/>
      <c r="BS1062" s="35"/>
      <c r="BT1062" s="596"/>
      <c r="BU1062" s="79"/>
      <c r="BV1062" s="212"/>
      <c r="BW1062" s="304"/>
      <c r="BX1062" s="313"/>
      <c r="BY1062" s="138"/>
    </row>
    <row r="1063" spans="1:77" ht="15" customHeight="1" outlineLevel="1" x14ac:dyDescent="0.2">
      <c r="A1063" s="57" t="s">
        <v>24</v>
      </c>
      <c r="B1063" s="583" t="s">
        <v>477</v>
      </c>
      <c r="C1063" s="583" t="s">
        <v>2261</v>
      </c>
      <c r="D1063" s="546"/>
      <c r="E1063" s="162" t="s">
        <v>387</v>
      </c>
      <c r="F1063" s="358"/>
      <c r="G1063" s="65"/>
      <c r="H1063" s="735"/>
      <c r="I1063" s="90">
        <v>2007</v>
      </c>
      <c r="J1063" s="73"/>
      <c r="K1063" s="734">
        <v>1.68331765</v>
      </c>
      <c r="L1063" s="717"/>
      <c r="M1063" s="73"/>
      <c r="N1063" s="786"/>
      <c r="O1063" s="1041"/>
      <c r="P1063" s="73"/>
      <c r="Q1063" s="786"/>
      <c r="R1063" s="1041"/>
      <c r="S1063" s="73"/>
      <c r="T1063" s="786"/>
      <c r="U1063" s="73"/>
      <c r="V1063" s="66"/>
      <c r="W1063" s="594">
        <f>AA1063*(1+AB1063)</f>
        <v>1.28100473165E-3</v>
      </c>
      <c r="X1063" s="595">
        <f>AA1063*(1+AC1063)</f>
        <v>1.28100473165E-3</v>
      </c>
      <c r="Y1063" s="52">
        <v>2007</v>
      </c>
      <c r="Z1063" s="52"/>
      <c r="AA1063" s="596">
        <f t="shared" ref="AA1063" si="723">+K1063/1000</f>
        <v>1.6833176499999999E-3</v>
      </c>
      <c r="AB1063" s="732">
        <v>-0.23899999999999999</v>
      </c>
      <c r="AC1063" s="733">
        <f t="shared" si="647"/>
        <v>-0.23899999999999999</v>
      </c>
      <c r="AD1063" s="164"/>
      <c r="AE1063" s="164"/>
      <c r="AF1063" s="25"/>
      <c r="AG1063" s="26"/>
      <c r="AH1063" s="275"/>
      <c r="AI1063" s="52"/>
      <c r="AJ1063" s="35"/>
      <c r="AK1063" s="289"/>
      <c r="AL1063" s="290"/>
      <c r="AM1063" s="211"/>
      <c r="AN1063" s="164"/>
      <c r="AO1063" s="594"/>
      <c r="AP1063" s="595"/>
      <c r="AQ1063" s="275"/>
      <c r="AR1063" s="52"/>
      <c r="AS1063" s="596"/>
      <c r="AT1063" s="79"/>
      <c r="AU1063" s="212"/>
      <c r="AV1063" s="164"/>
      <c r="AW1063" s="164"/>
      <c r="AX1063" s="76"/>
      <c r="AY1063" s="44"/>
      <c r="AZ1063" s="275"/>
      <c r="BA1063" s="52"/>
      <c r="BB1063" s="35"/>
      <c r="BC1063" s="79"/>
      <c r="BD1063" s="230"/>
      <c r="BE1063" s="211"/>
      <c r="BF1063" s="164"/>
      <c r="BG1063" s="76"/>
      <c r="BH1063" s="44"/>
      <c r="BI1063" s="275"/>
      <c r="BJ1063" s="52"/>
      <c r="BK1063" s="35"/>
      <c r="BL1063" s="79"/>
      <c r="BM1063" s="230"/>
      <c r="BN1063" s="211"/>
      <c r="BO1063" s="164"/>
      <c r="BP1063" s="726"/>
      <c r="BQ1063" s="727"/>
      <c r="BR1063" s="299"/>
      <c r="BS1063" s="35"/>
      <c r="BT1063" s="596"/>
      <c r="BU1063" s="79"/>
      <c r="BV1063" s="212"/>
      <c r="BW1063" s="304"/>
      <c r="BX1063" s="313"/>
      <c r="BY1063" s="138"/>
    </row>
    <row r="1064" spans="1:77" ht="15" customHeight="1" outlineLevel="1" x14ac:dyDescent="0.2">
      <c r="A1064" s="57" t="s">
        <v>24</v>
      </c>
      <c r="B1064" s="583" t="s">
        <v>477</v>
      </c>
      <c r="C1064" s="583" t="s">
        <v>1575</v>
      </c>
      <c r="D1064" s="546">
        <v>9.1539999999999999</v>
      </c>
      <c r="E1064" s="162" t="s">
        <v>631</v>
      </c>
      <c r="F1064" s="358"/>
      <c r="G1064" s="65"/>
      <c r="H1064" s="735"/>
      <c r="I1064" s="90">
        <v>2007</v>
      </c>
      <c r="J1064" s="73"/>
      <c r="K1064" s="734">
        <v>3.5778999999999998E-2</v>
      </c>
      <c r="L1064" s="717"/>
      <c r="M1064" s="73"/>
      <c r="N1064" s="359"/>
      <c r="O1064" s="1041"/>
      <c r="P1064" s="73"/>
      <c r="Q1064" s="359"/>
      <c r="R1064" s="1041"/>
      <c r="S1064" s="73"/>
      <c r="T1064" s="359"/>
      <c r="U1064" s="73"/>
      <c r="V1064" s="66"/>
      <c r="W1064" s="740">
        <f>AA1064*(1+AB1064)</f>
        <v>2.4687509999999998E-5</v>
      </c>
      <c r="X1064" s="741">
        <f>AA1064*(1+AC1064)</f>
        <v>2.4687509999999998E-5</v>
      </c>
      <c r="Y1064" s="52">
        <v>2007</v>
      </c>
      <c r="Z1064" s="52"/>
      <c r="AA1064" s="739">
        <f t="shared" ref="AA1064:AA1066" si="724">+K1064/1000</f>
        <v>3.5778999999999997E-5</v>
      </c>
      <c r="AB1064" s="256">
        <v>-0.31</v>
      </c>
      <c r="AC1064" s="688">
        <f t="shared" ref="AC1064:AC1068" si="725">AB1064</f>
        <v>-0.31</v>
      </c>
      <c r="AD1064" s="164"/>
      <c r="AE1064" s="164"/>
      <c r="AF1064" s="25"/>
      <c r="AG1064" s="26"/>
      <c r="AH1064" s="275"/>
      <c r="AI1064" s="52"/>
      <c r="AJ1064" s="35"/>
      <c r="AK1064" s="289"/>
      <c r="AL1064" s="290"/>
      <c r="AM1064" s="211"/>
      <c r="AN1064" s="164"/>
      <c r="AO1064" s="594"/>
      <c r="AP1064" s="595"/>
      <c r="AQ1064" s="275"/>
      <c r="AR1064" s="52"/>
      <c r="AS1064" s="596"/>
      <c r="AT1064" s="79"/>
      <c r="AU1064" s="212"/>
      <c r="AV1064" s="164"/>
      <c r="AW1064" s="164"/>
      <c r="AX1064" s="76"/>
      <c r="AY1064" s="44"/>
      <c r="AZ1064" s="275"/>
      <c r="BA1064" s="52"/>
      <c r="BB1064" s="35"/>
      <c r="BC1064" s="79"/>
      <c r="BD1064" s="230"/>
      <c r="BE1064" s="211"/>
      <c r="BF1064" s="164"/>
      <c r="BG1064" s="76"/>
      <c r="BH1064" s="44"/>
      <c r="BI1064" s="275"/>
      <c r="BJ1064" s="52"/>
      <c r="BK1064" s="35"/>
      <c r="BL1064" s="79"/>
      <c r="BM1064" s="230"/>
      <c r="BN1064" s="211"/>
      <c r="BO1064" s="164"/>
      <c r="BP1064" s="726"/>
      <c r="BQ1064" s="727"/>
      <c r="BR1064" s="299"/>
      <c r="BS1064" s="35"/>
      <c r="BT1064" s="596"/>
      <c r="BU1064" s="79"/>
      <c r="BV1064" s="212"/>
      <c r="BW1064" s="304"/>
      <c r="BX1064" s="313"/>
      <c r="BY1064" s="138"/>
    </row>
    <row r="1065" spans="1:77" ht="15" customHeight="1" outlineLevel="1" x14ac:dyDescent="0.2">
      <c r="A1065" s="57" t="s">
        <v>24</v>
      </c>
      <c r="B1065" s="583" t="s">
        <v>477</v>
      </c>
      <c r="C1065" s="583" t="s">
        <v>1815</v>
      </c>
      <c r="D1065" s="546">
        <v>7.0140000000000002</v>
      </c>
      <c r="E1065" s="162" t="s">
        <v>631</v>
      </c>
      <c r="F1065" s="358"/>
      <c r="G1065" s="65"/>
      <c r="H1065" s="735"/>
      <c r="I1065" s="90"/>
      <c r="J1065" s="73"/>
      <c r="K1065" s="734"/>
      <c r="L1065" s="717"/>
      <c r="M1065" s="73"/>
      <c r="N1065" s="786">
        <v>4.2903999999999998E-2</v>
      </c>
      <c r="O1065" s="1041"/>
      <c r="P1065" s="73"/>
      <c r="Q1065" s="786"/>
      <c r="R1065" s="1041"/>
      <c r="S1065" s="73"/>
      <c r="T1065" s="786"/>
      <c r="U1065" s="73"/>
      <c r="V1065" s="66"/>
      <c r="W1065" s="740">
        <f>AA1065*(1+AB1065)</f>
        <v>3.1748959999999994E-5</v>
      </c>
      <c r="X1065" s="741">
        <f>AA1065*(1+AC1065)</f>
        <v>3.1748959999999994E-5</v>
      </c>
      <c r="Y1065" s="52">
        <v>2010</v>
      </c>
      <c r="Z1065" s="52"/>
      <c r="AA1065" s="739">
        <f>+N1065/1000</f>
        <v>4.2903999999999994E-5</v>
      </c>
      <c r="AB1065" s="256">
        <v>-0.26</v>
      </c>
      <c r="AC1065" s="688">
        <f t="shared" si="725"/>
        <v>-0.26</v>
      </c>
      <c r="AD1065" s="164"/>
      <c r="AE1065" s="164"/>
      <c r="AF1065" s="25"/>
      <c r="AG1065" s="26"/>
      <c r="AH1065" s="275"/>
      <c r="AI1065" s="52"/>
      <c r="AJ1065" s="35"/>
      <c r="AK1065" s="289"/>
      <c r="AL1065" s="290"/>
      <c r="AM1065" s="211"/>
      <c r="AN1065" s="164"/>
      <c r="AO1065" s="594"/>
      <c r="AP1065" s="595"/>
      <c r="AQ1065" s="275"/>
      <c r="AR1065" s="52"/>
      <c r="AS1065" s="596"/>
      <c r="AT1065" s="79"/>
      <c r="AU1065" s="212"/>
      <c r="AV1065" s="164"/>
      <c r="AW1065" s="164"/>
      <c r="AX1065" s="76"/>
      <c r="AY1065" s="44"/>
      <c r="AZ1065" s="275"/>
      <c r="BA1065" s="52"/>
      <c r="BB1065" s="35"/>
      <c r="BC1065" s="79"/>
      <c r="BD1065" s="230"/>
      <c r="BE1065" s="211"/>
      <c r="BF1065" s="164"/>
      <c r="BG1065" s="76"/>
      <c r="BH1065" s="44"/>
      <c r="BI1065" s="275"/>
      <c r="BJ1065" s="52"/>
      <c r="BK1065" s="35"/>
      <c r="BL1065" s="79"/>
      <c r="BM1065" s="230"/>
      <c r="BN1065" s="211"/>
      <c r="BO1065" s="164"/>
      <c r="BP1065" s="726"/>
      <c r="BQ1065" s="727"/>
      <c r="BR1065" s="299"/>
      <c r="BS1065" s="35"/>
      <c r="BT1065" s="596"/>
      <c r="BU1065" s="79"/>
      <c r="BV1065" s="212"/>
      <c r="BW1065" s="304"/>
      <c r="BX1065" s="313"/>
      <c r="BY1065" s="138"/>
    </row>
    <row r="1066" spans="1:77" ht="15" customHeight="1" outlineLevel="1" x14ac:dyDescent="0.2">
      <c r="A1066" s="583" t="s">
        <v>24</v>
      </c>
      <c r="B1066" s="583" t="s">
        <v>477</v>
      </c>
      <c r="C1066" s="583" t="s">
        <v>1668</v>
      </c>
      <c r="D1066" s="546">
        <v>2.0950000000000002</v>
      </c>
      <c r="E1066" s="162" t="s">
        <v>631</v>
      </c>
      <c r="F1066" s="358"/>
      <c r="G1066" s="65"/>
      <c r="H1066" s="735"/>
      <c r="I1066" s="90">
        <v>2007</v>
      </c>
      <c r="J1066" s="73"/>
      <c r="K1066" s="734">
        <v>1.3162999999999999E-2</v>
      </c>
      <c r="L1066" s="717"/>
      <c r="M1066" s="73"/>
      <c r="N1066" s="359"/>
      <c r="O1066" s="1041"/>
      <c r="P1066" s="73"/>
      <c r="Q1066" s="359"/>
      <c r="R1066" s="1041"/>
      <c r="S1066" s="73"/>
      <c r="T1066" s="359"/>
      <c r="U1066" s="73"/>
      <c r="V1066" s="66"/>
      <c r="W1066" s="788">
        <f t="shared" ref="W1066" si="726">AA1066*(1+AB1066)</f>
        <v>9.8722500000000002E-6</v>
      </c>
      <c r="X1066" s="789">
        <f t="shared" ref="X1066" si="727">AA1066*(1+AC1066)</f>
        <v>9.8722500000000002E-6</v>
      </c>
      <c r="Y1066" s="52">
        <v>2007</v>
      </c>
      <c r="Z1066" s="52"/>
      <c r="AA1066" s="787">
        <f t="shared" si="724"/>
        <v>1.3162999999999999E-5</v>
      </c>
      <c r="AB1066" s="256">
        <v>-0.25</v>
      </c>
      <c r="AC1066" s="688">
        <f t="shared" si="725"/>
        <v>-0.25</v>
      </c>
      <c r="AD1066" s="164"/>
      <c r="AE1066" s="164"/>
      <c r="AF1066" s="25"/>
      <c r="AG1066" s="26"/>
      <c r="AH1066" s="275"/>
      <c r="AI1066" s="52"/>
      <c r="AJ1066" s="35"/>
      <c r="AK1066" s="289"/>
      <c r="AL1066" s="290"/>
      <c r="AM1066" s="211"/>
      <c r="AN1066" s="164"/>
      <c r="AO1066" s="594"/>
      <c r="AP1066" s="595"/>
      <c r="AQ1066" s="275"/>
      <c r="AR1066" s="52"/>
      <c r="AS1066" s="596"/>
      <c r="AT1066" s="79"/>
      <c r="AU1066" s="212"/>
      <c r="AV1066" s="164"/>
      <c r="AW1066" s="164"/>
      <c r="AX1066" s="76"/>
      <c r="AY1066" s="44"/>
      <c r="AZ1066" s="275"/>
      <c r="BA1066" s="52"/>
      <c r="BB1066" s="35"/>
      <c r="BC1066" s="79"/>
      <c r="BD1066" s="230"/>
      <c r="BE1066" s="211"/>
      <c r="BF1066" s="164"/>
      <c r="BG1066" s="76"/>
      <c r="BH1066" s="44"/>
      <c r="BI1066" s="275"/>
      <c r="BJ1066" s="52"/>
      <c r="BK1066" s="35"/>
      <c r="BL1066" s="79"/>
      <c r="BM1066" s="230"/>
      <c r="BN1066" s="211"/>
      <c r="BO1066" s="164"/>
      <c r="BP1066" s="726"/>
      <c r="BQ1066" s="727"/>
      <c r="BR1066" s="299"/>
      <c r="BS1066" s="35"/>
      <c r="BT1066" s="596"/>
      <c r="BU1066" s="79"/>
      <c r="BV1066" s="212"/>
      <c r="BW1066" s="304"/>
      <c r="BX1066" s="313"/>
      <c r="BY1066" s="138" t="s">
        <v>1671</v>
      </c>
    </row>
    <row r="1067" spans="1:77" ht="15" customHeight="1" outlineLevel="1" x14ac:dyDescent="0.2">
      <c r="A1067" s="583" t="s">
        <v>24</v>
      </c>
      <c r="B1067" s="583" t="s">
        <v>477</v>
      </c>
      <c r="C1067" s="583" t="s">
        <v>1711</v>
      </c>
      <c r="D1067" s="546">
        <v>5.3079999999999998</v>
      </c>
      <c r="E1067" s="162" t="s">
        <v>631</v>
      </c>
      <c r="F1067" s="358"/>
      <c r="G1067" s="65"/>
      <c r="H1067" s="735"/>
      <c r="I1067" s="90"/>
      <c r="J1067" s="73"/>
      <c r="K1067" s="734"/>
      <c r="L1067" s="717">
        <v>2008</v>
      </c>
      <c r="M1067" s="73"/>
      <c r="N1067" s="738">
        <v>7.1495000000000003E-2</v>
      </c>
      <c r="O1067" s="1041"/>
      <c r="P1067" s="73"/>
      <c r="Q1067" s="738"/>
      <c r="R1067" s="1041"/>
      <c r="S1067" s="73"/>
      <c r="T1067" s="738"/>
      <c r="U1067" s="73"/>
      <c r="V1067" s="66"/>
      <c r="W1067" s="788">
        <f t="shared" ref="W1067" si="728">AA1067*(1+AB1067)</f>
        <v>5.3621250000000004E-5</v>
      </c>
      <c r="X1067" s="789">
        <f t="shared" ref="X1067" si="729">AA1067*(1+AC1067)</f>
        <v>5.3621250000000004E-5</v>
      </c>
      <c r="Y1067" s="52">
        <v>2008</v>
      </c>
      <c r="Z1067" s="52"/>
      <c r="AA1067" s="787">
        <f>+N1067/1000</f>
        <v>7.1495000000000006E-5</v>
      </c>
      <c r="AB1067" s="256">
        <v>-0.25</v>
      </c>
      <c r="AC1067" s="688">
        <f t="shared" si="725"/>
        <v>-0.25</v>
      </c>
      <c r="AD1067" s="164"/>
      <c r="AE1067" s="164"/>
      <c r="AF1067" s="25"/>
      <c r="AG1067" s="26"/>
      <c r="AH1067" s="275"/>
      <c r="AI1067" s="52"/>
      <c r="AJ1067" s="35"/>
      <c r="AK1067" s="289"/>
      <c r="AL1067" s="290"/>
      <c r="AM1067" s="211"/>
      <c r="AN1067" s="164"/>
      <c r="AO1067" s="594"/>
      <c r="AP1067" s="595"/>
      <c r="AQ1067" s="275"/>
      <c r="AR1067" s="52"/>
      <c r="AS1067" s="596"/>
      <c r="AT1067" s="79"/>
      <c r="AU1067" s="212"/>
      <c r="AV1067" s="164"/>
      <c r="AW1067" s="164"/>
      <c r="AX1067" s="76"/>
      <c r="AY1067" s="44"/>
      <c r="AZ1067" s="275"/>
      <c r="BA1067" s="52"/>
      <c r="BB1067" s="35"/>
      <c r="BC1067" s="79"/>
      <c r="BD1067" s="230"/>
      <c r="BE1067" s="211"/>
      <c r="BF1067" s="164"/>
      <c r="BG1067" s="76"/>
      <c r="BH1067" s="44"/>
      <c r="BI1067" s="275"/>
      <c r="BJ1067" s="52"/>
      <c r="BK1067" s="35"/>
      <c r="BL1067" s="79"/>
      <c r="BM1067" s="230"/>
      <c r="BN1067" s="211"/>
      <c r="BO1067" s="164"/>
      <c r="BP1067" s="726"/>
      <c r="BQ1067" s="727"/>
      <c r="BR1067" s="299"/>
      <c r="BS1067" s="35"/>
      <c r="BT1067" s="596"/>
      <c r="BU1067" s="79"/>
      <c r="BV1067" s="212"/>
      <c r="BW1067" s="304"/>
      <c r="BX1067" s="313"/>
      <c r="BY1067" s="138"/>
    </row>
    <row r="1068" spans="1:77" ht="15" customHeight="1" outlineLevel="1" x14ac:dyDescent="0.2">
      <c r="A1068" s="583" t="s">
        <v>24</v>
      </c>
      <c r="B1068" s="583" t="s">
        <v>477</v>
      </c>
      <c r="C1068" s="583" t="s">
        <v>1715</v>
      </c>
      <c r="D1068" s="546">
        <v>26.753</v>
      </c>
      <c r="E1068" s="162" t="s">
        <v>631</v>
      </c>
      <c r="F1068" s="358"/>
      <c r="G1068" s="65"/>
      <c r="H1068" s="735"/>
      <c r="I1068" s="90"/>
      <c r="J1068" s="73"/>
      <c r="K1068" s="734"/>
      <c r="L1068" s="717">
        <v>2008</v>
      </c>
      <c r="M1068" s="73"/>
      <c r="N1068" s="738">
        <v>0.104629</v>
      </c>
      <c r="O1068" s="1041"/>
      <c r="P1068" s="73"/>
      <c r="Q1068" s="738"/>
      <c r="R1068" s="1041"/>
      <c r="S1068" s="73"/>
      <c r="T1068" s="738"/>
      <c r="U1068" s="73"/>
      <c r="V1068" s="66"/>
      <c r="W1068" s="788">
        <f t="shared" ref="W1068" si="730">AA1068*(1+AB1068)</f>
        <v>7.847175E-5</v>
      </c>
      <c r="X1068" s="789">
        <f t="shared" ref="X1068" si="731">AA1068*(1+AC1068)</f>
        <v>7.847175E-5</v>
      </c>
      <c r="Y1068" s="52">
        <v>2008</v>
      </c>
      <c r="Z1068" s="52"/>
      <c r="AA1068" s="787">
        <f>+N1068/1000</f>
        <v>1.04629E-4</v>
      </c>
      <c r="AB1068" s="256">
        <v>-0.25</v>
      </c>
      <c r="AC1068" s="688">
        <f t="shared" si="725"/>
        <v>-0.25</v>
      </c>
      <c r="AD1068" s="164"/>
      <c r="AE1068" s="164"/>
      <c r="AF1068" s="25"/>
      <c r="AG1068" s="26"/>
      <c r="AH1068" s="275"/>
      <c r="AI1068" s="52"/>
      <c r="AJ1068" s="35"/>
      <c r="AK1068" s="289"/>
      <c r="AL1068" s="290"/>
      <c r="AM1068" s="211"/>
      <c r="AN1068" s="164"/>
      <c r="AO1068" s="594"/>
      <c r="AP1068" s="595"/>
      <c r="AQ1068" s="275"/>
      <c r="AR1068" s="52"/>
      <c r="AS1068" s="596"/>
      <c r="AT1068" s="79"/>
      <c r="AU1068" s="212"/>
      <c r="AV1068" s="164"/>
      <c r="AW1068" s="164"/>
      <c r="AX1068" s="76"/>
      <c r="AY1068" s="44"/>
      <c r="AZ1068" s="275"/>
      <c r="BA1068" s="52"/>
      <c r="BB1068" s="35"/>
      <c r="BC1068" s="79"/>
      <c r="BD1068" s="230"/>
      <c r="BE1068" s="211"/>
      <c r="BF1068" s="164"/>
      <c r="BG1068" s="76"/>
      <c r="BH1068" s="44"/>
      <c r="BI1068" s="275"/>
      <c r="BJ1068" s="52"/>
      <c r="BK1068" s="35"/>
      <c r="BL1068" s="79"/>
      <c r="BM1068" s="230"/>
      <c r="BN1068" s="211"/>
      <c r="BO1068" s="164"/>
      <c r="BP1068" s="726"/>
      <c r="BQ1068" s="727"/>
      <c r="BR1068" s="299"/>
      <c r="BS1068" s="35"/>
      <c r="BT1068" s="596"/>
      <c r="BU1068" s="79"/>
      <c r="BV1068" s="212"/>
      <c r="BW1068" s="304"/>
      <c r="BX1068" s="313"/>
      <c r="BY1068" s="138"/>
    </row>
    <row r="1069" spans="1:77" ht="15" customHeight="1" outlineLevel="1" x14ac:dyDescent="0.2">
      <c r="A1069" s="57" t="s">
        <v>24</v>
      </c>
      <c r="B1069" s="583" t="s">
        <v>477</v>
      </c>
      <c r="C1069" s="583" t="s">
        <v>1270</v>
      </c>
      <c r="D1069" s="546">
        <v>5.9610000000000003</v>
      </c>
      <c r="E1069" s="162" t="s">
        <v>631</v>
      </c>
      <c r="F1069" s="358"/>
      <c r="G1069" s="65"/>
      <c r="H1069" s="735"/>
      <c r="I1069" s="90">
        <v>2007</v>
      </c>
      <c r="J1069" s="73"/>
      <c r="K1069" s="734">
        <v>1.3524E-2</v>
      </c>
      <c r="L1069" s="717"/>
      <c r="M1069" s="73"/>
      <c r="N1069" s="359"/>
      <c r="O1069" s="1041"/>
      <c r="P1069" s="73"/>
      <c r="Q1069" s="359"/>
      <c r="R1069" s="1041"/>
      <c r="S1069" s="73"/>
      <c r="T1069" s="359"/>
      <c r="U1069" s="73"/>
      <c r="V1069" s="66"/>
      <c r="W1069" s="740">
        <f t="shared" si="643"/>
        <v>7.30296E-6</v>
      </c>
      <c r="X1069" s="741">
        <f t="shared" si="644"/>
        <v>7.30296E-6</v>
      </c>
      <c r="Y1069" s="52">
        <v>2007</v>
      </c>
      <c r="Z1069" s="52"/>
      <c r="AA1069" s="739">
        <f t="shared" ref="AA1069:AA1258" si="732">+K1069/1000</f>
        <v>1.3524E-5</v>
      </c>
      <c r="AB1069" s="256">
        <v>-0.46</v>
      </c>
      <c r="AC1069" s="688">
        <f t="shared" si="647"/>
        <v>-0.46</v>
      </c>
      <c r="AD1069" s="164"/>
      <c r="AE1069" s="164"/>
      <c r="AF1069" s="25"/>
      <c r="AG1069" s="26"/>
      <c r="AH1069" s="275"/>
      <c r="AI1069" s="52"/>
      <c r="AJ1069" s="35"/>
      <c r="AK1069" s="289"/>
      <c r="AL1069" s="290"/>
      <c r="AM1069" s="211"/>
      <c r="AN1069" s="164"/>
      <c r="AO1069" s="594"/>
      <c r="AP1069" s="595"/>
      <c r="AQ1069" s="275"/>
      <c r="AR1069" s="52"/>
      <c r="AS1069" s="596"/>
      <c r="AT1069" s="79"/>
      <c r="AU1069" s="212"/>
      <c r="AV1069" s="164"/>
      <c r="AW1069" s="164"/>
      <c r="AX1069" s="76"/>
      <c r="AY1069" s="44"/>
      <c r="AZ1069" s="275"/>
      <c r="BA1069" s="52"/>
      <c r="BB1069" s="35"/>
      <c r="BC1069" s="79"/>
      <c r="BD1069" s="230"/>
      <c r="BE1069" s="211"/>
      <c r="BF1069" s="164"/>
      <c r="BG1069" s="76"/>
      <c r="BH1069" s="44"/>
      <c r="BI1069" s="275"/>
      <c r="BJ1069" s="52"/>
      <c r="BK1069" s="35"/>
      <c r="BL1069" s="79"/>
      <c r="BM1069" s="230"/>
      <c r="BN1069" s="211"/>
      <c r="BO1069" s="164"/>
      <c r="BP1069" s="726"/>
      <c r="BQ1069" s="727"/>
      <c r="BR1069" s="299"/>
      <c r="BS1069" s="35"/>
      <c r="BT1069" s="596"/>
      <c r="BU1069" s="79"/>
      <c r="BV1069" s="212"/>
      <c r="BW1069" s="304"/>
      <c r="BX1069" s="313"/>
      <c r="BY1069" s="138"/>
    </row>
    <row r="1070" spans="1:77" ht="15" customHeight="1" outlineLevel="1" x14ac:dyDescent="0.2">
      <c r="A1070" s="583" t="s">
        <v>24</v>
      </c>
      <c r="B1070" s="583" t="s">
        <v>477</v>
      </c>
      <c r="C1070" s="583" t="s">
        <v>1669</v>
      </c>
      <c r="D1070" s="546">
        <v>4.2380000000000004</v>
      </c>
      <c r="E1070" s="162" t="s">
        <v>631</v>
      </c>
      <c r="F1070" s="358"/>
      <c r="G1070" s="65"/>
      <c r="H1070" s="735"/>
      <c r="I1070" s="90">
        <v>2007</v>
      </c>
      <c r="J1070" s="73"/>
      <c r="K1070" s="734">
        <v>2.4853E-2</v>
      </c>
      <c r="L1070" s="717"/>
      <c r="M1070" s="73"/>
      <c r="N1070" s="359"/>
      <c r="O1070" s="1041"/>
      <c r="P1070" s="73"/>
      <c r="Q1070" s="359"/>
      <c r="R1070" s="1041"/>
      <c r="S1070" s="73"/>
      <c r="T1070" s="359"/>
      <c r="U1070" s="73"/>
      <c r="V1070" s="66"/>
      <c r="W1070" s="788">
        <f t="shared" si="643"/>
        <v>1.7894159999999999E-5</v>
      </c>
      <c r="X1070" s="789">
        <f t="shared" si="644"/>
        <v>1.7894159999999999E-5</v>
      </c>
      <c r="Y1070" s="52">
        <v>2007</v>
      </c>
      <c r="Z1070" s="52"/>
      <c r="AA1070" s="787">
        <f>+K1070/1000</f>
        <v>2.4853000000000001E-5</v>
      </c>
      <c r="AB1070" s="256">
        <v>-0.28000000000000003</v>
      </c>
      <c r="AC1070" s="688">
        <f t="shared" si="647"/>
        <v>-0.28000000000000003</v>
      </c>
      <c r="AD1070" s="164"/>
      <c r="AE1070" s="164"/>
      <c r="AF1070" s="25"/>
      <c r="AG1070" s="26"/>
      <c r="AH1070" s="275"/>
      <c r="AI1070" s="52"/>
      <c r="AJ1070" s="35"/>
      <c r="AK1070" s="289"/>
      <c r="AL1070" s="290"/>
      <c r="AM1070" s="211"/>
      <c r="AN1070" s="164"/>
      <c r="AO1070" s="594"/>
      <c r="AP1070" s="595"/>
      <c r="AQ1070" s="275"/>
      <c r="AR1070" s="52"/>
      <c r="AS1070" s="596"/>
      <c r="AT1070" s="79"/>
      <c r="AU1070" s="212"/>
      <c r="AV1070" s="164"/>
      <c r="AW1070" s="164"/>
      <c r="AX1070" s="76"/>
      <c r="AY1070" s="44"/>
      <c r="AZ1070" s="275"/>
      <c r="BA1070" s="52"/>
      <c r="BB1070" s="35"/>
      <c r="BC1070" s="79"/>
      <c r="BD1070" s="230"/>
      <c r="BE1070" s="211"/>
      <c r="BF1070" s="164"/>
      <c r="BG1070" s="76"/>
      <c r="BH1070" s="44"/>
      <c r="BI1070" s="275"/>
      <c r="BJ1070" s="52"/>
      <c r="BK1070" s="35"/>
      <c r="BL1070" s="79"/>
      <c r="BM1070" s="230"/>
      <c r="BN1070" s="211"/>
      <c r="BO1070" s="164"/>
      <c r="BP1070" s="726"/>
      <c r="BQ1070" s="727"/>
      <c r="BR1070" s="299"/>
      <c r="BS1070" s="35"/>
      <c r="BT1070" s="596"/>
      <c r="BU1070" s="79"/>
      <c r="BV1070" s="212"/>
      <c r="BW1070" s="304"/>
      <c r="BX1070" s="313"/>
      <c r="BY1070" s="138" t="s">
        <v>1671</v>
      </c>
    </row>
    <row r="1071" spans="1:77" ht="15" customHeight="1" outlineLevel="1" x14ac:dyDescent="0.2">
      <c r="A1071" s="583" t="s">
        <v>24</v>
      </c>
      <c r="B1071" s="583" t="s">
        <v>477</v>
      </c>
      <c r="C1071" s="583" t="s">
        <v>1928</v>
      </c>
      <c r="D1071" s="546">
        <v>7.2830000000000004</v>
      </c>
      <c r="E1071" s="162" t="s">
        <v>631</v>
      </c>
      <c r="F1071" s="358"/>
      <c r="G1071" s="65"/>
      <c r="H1071" s="735"/>
      <c r="I1071" s="90"/>
      <c r="J1071" s="73"/>
      <c r="K1071" s="734"/>
      <c r="L1071" s="717">
        <v>2008</v>
      </c>
      <c r="M1071" s="73"/>
      <c r="N1071" s="786">
        <v>3.3984E-2</v>
      </c>
      <c r="O1071" s="1041"/>
      <c r="P1071" s="73"/>
      <c r="Q1071" s="359"/>
      <c r="R1071" s="1041"/>
      <c r="S1071" s="73"/>
      <c r="T1071" s="359"/>
      <c r="U1071" s="73"/>
      <c r="V1071" s="66"/>
      <c r="W1071" s="788">
        <f t="shared" ref="W1071" si="733">AA1071*(1+AB1071)</f>
        <v>2.4808319999999999E-5</v>
      </c>
      <c r="X1071" s="789">
        <f t="shared" ref="X1071" si="734">AA1071*(1+AC1071)</f>
        <v>2.4808319999999999E-5</v>
      </c>
      <c r="Y1071" s="52">
        <v>2008</v>
      </c>
      <c r="Z1071" s="52"/>
      <c r="AA1071" s="787">
        <f>+N1071/1000</f>
        <v>3.3983999999999999E-5</v>
      </c>
      <c r="AB1071" s="256">
        <v>-0.27</v>
      </c>
      <c r="AC1071" s="688">
        <f t="shared" si="647"/>
        <v>-0.27</v>
      </c>
      <c r="AD1071" s="164"/>
      <c r="AE1071" s="164"/>
      <c r="AF1071" s="25"/>
      <c r="AG1071" s="26"/>
      <c r="AH1071" s="275"/>
      <c r="AI1071" s="52"/>
      <c r="AJ1071" s="35"/>
      <c r="AK1071" s="289"/>
      <c r="AL1071" s="290"/>
      <c r="AM1071" s="211"/>
      <c r="AN1071" s="164"/>
      <c r="AO1071" s="594"/>
      <c r="AP1071" s="595"/>
      <c r="AQ1071" s="275"/>
      <c r="AR1071" s="52"/>
      <c r="AS1071" s="596"/>
      <c r="AT1071" s="79"/>
      <c r="AU1071" s="212"/>
      <c r="AV1071" s="164"/>
      <c r="AW1071" s="164"/>
      <c r="AX1071" s="76"/>
      <c r="AY1071" s="44"/>
      <c r="AZ1071" s="275"/>
      <c r="BA1071" s="52"/>
      <c r="BB1071" s="35"/>
      <c r="BC1071" s="79"/>
      <c r="BD1071" s="230"/>
      <c r="BE1071" s="211"/>
      <c r="BF1071" s="164"/>
      <c r="BG1071" s="76"/>
      <c r="BH1071" s="44"/>
      <c r="BI1071" s="275"/>
      <c r="BJ1071" s="52"/>
      <c r="BK1071" s="35"/>
      <c r="BL1071" s="79"/>
      <c r="BM1071" s="230"/>
      <c r="BN1071" s="211"/>
      <c r="BO1071" s="164"/>
      <c r="BP1071" s="726"/>
      <c r="BQ1071" s="727"/>
      <c r="BR1071" s="299"/>
      <c r="BS1071" s="35"/>
      <c r="BT1071" s="596"/>
      <c r="BU1071" s="79"/>
      <c r="BV1071" s="212"/>
      <c r="BW1071" s="304"/>
      <c r="BX1071" s="313"/>
      <c r="BY1071" s="138"/>
    </row>
    <row r="1072" spans="1:77" ht="15" customHeight="1" outlineLevel="1" x14ac:dyDescent="0.2">
      <c r="A1072" s="57" t="s">
        <v>24</v>
      </c>
      <c r="B1072" s="583" t="s">
        <v>477</v>
      </c>
      <c r="C1072" s="583" t="s">
        <v>1368</v>
      </c>
      <c r="D1072" s="546">
        <v>2.8490000000000002</v>
      </c>
      <c r="E1072" s="162" t="s">
        <v>631</v>
      </c>
      <c r="F1072" s="358"/>
      <c r="G1072" s="65"/>
      <c r="H1072" s="735"/>
      <c r="I1072" s="90"/>
      <c r="J1072" s="73"/>
      <c r="K1072" s="734"/>
      <c r="L1072" s="90">
        <v>2008</v>
      </c>
      <c r="M1072" s="73"/>
      <c r="N1072" s="738">
        <v>3.1567999999999999E-2</v>
      </c>
      <c r="O1072" s="1041"/>
      <c r="P1072" s="73"/>
      <c r="Q1072" s="738"/>
      <c r="R1072" s="1041"/>
      <c r="S1072" s="73"/>
      <c r="T1072" s="738"/>
      <c r="U1072" s="73"/>
      <c r="V1072" s="66"/>
      <c r="W1072" s="740">
        <f t="shared" ref="W1072:W1073" si="735">AA1072*(1+AB1072)</f>
        <v>1.4205599999999998E-5</v>
      </c>
      <c r="X1072" s="741">
        <f t="shared" ref="X1072:X1073" si="736">AA1072*(1+AC1072)</f>
        <v>1.4205599999999998E-5</v>
      </c>
      <c r="Y1072" s="52">
        <v>2008</v>
      </c>
      <c r="Z1072" s="52"/>
      <c r="AA1072" s="739">
        <f>+N1072/1000</f>
        <v>3.1568E-5</v>
      </c>
      <c r="AB1072" s="256">
        <v>-0.55000000000000004</v>
      </c>
      <c r="AC1072" s="688">
        <f t="shared" si="647"/>
        <v>-0.55000000000000004</v>
      </c>
      <c r="AD1072" s="164"/>
      <c r="AE1072" s="164"/>
      <c r="AF1072" s="25"/>
      <c r="AG1072" s="26"/>
      <c r="AH1072" s="275"/>
      <c r="AI1072" s="52"/>
      <c r="AJ1072" s="35"/>
      <c r="AK1072" s="289"/>
      <c r="AL1072" s="290"/>
      <c r="AM1072" s="211"/>
      <c r="AN1072" s="164"/>
      <c r="AO1072" s="594"/>
      <c r="AP1072" s="595"/>
      <c r="AQ1072" s="275"/>
      <c r="AR1072" s="52"/>
      <c r="AS1072" s="596"/>
      <c r="AT1072" s="79"/>
      <c r="AU1072" s="212"/>
      <c r="AV1072" s="164"/>
      <c r="AW1072" s="164"/>
      <c r="AX1072" s="76"/>
      <c r="AY1072" s="44"/>
      <c r="AZ1072" s="275"/>
      <c r="BA1072" s="52"/>
      <c r="BB1072" s="35"/>
      <c r="BC1072" s="79"/>
      <c r="BD1072" s="230"/>
      <c r="BE1072" s="211"/>
      <c r="BF1072" s="164"/>
      <c r="BG1072" s="76"/>
      <c r="BH1072" s="44"/>
      <c r="BI1072" s="275"/>
      <c r="BJ1072" s="52"/>
      <c r="BK1072" s="35"/>
      <c r="BL1072" s="79"/>
      <c r="BM1072" s="230"/>
      <c r="BN1072" s="211"/>
      <c r="BO1072" s="164"/>
      <c r="BP1072" s="726"/>
      <c r="BQ1072" s="727"/>
      <c r="BR1072" s="299"/>
      <c r="BS1072" s="35"/>
      <c r="BT1072" s="596"/>
      <c r="BU1072" s="79"/>
      <c r="BV1072" s="212"/>
      <c r="BW1072" s="304"/>
      <c r="BX1072" s="313"/>
      <c r="BY1072" s="138"/>
    </row>
    <row r="1073" spans="1:77" ht="15" customHeight="1" outlineLevel="1" x14ac:dyDescent="0.2">
      <c r="A1073" s="57" t="s">
        <v>24</v>
      </c>
      <c r="B1073" s="583" t="s">
        <v>477</v>
      </c>
      <c r="C1073" s="583" t="s">
        <v>1571</v>
      </c>
      <c r="D1073" s="546">
        <v>7.1059999999999999</v>
      </c>
      <c r="E1073" s="162" t="s">
        <v>631</v>
      </c>
      <c r="F1073" s="358"/>
      <c r="G1073" s="65"/>
      <c r="H1073" s="735"/>
      <c r="I1073" s="90">
        <v>2007</v>
      </c>
      <c r="J1073" s="73"/>
      <c r="K1073" s="734">
        <v>7.6728000000000005E-2</v>
      </c>
      <c r="L1073" s="717"/>
      <c r="M1073" s="73"/>
      <c r="N1073" s="359"/>
      <c r="O1073" s="1041"/>
      <c r="P1073" s="73"/>
      <c r="Q1073" s="359"/>
      <c r="R1073" s="1041"/>
      <c r="S1073" s="73"/>
      <c r="T1073" s="359"/>
      <c r="U1073" s="73"/>
      <c r="V1073" s="66"/>
      <c r="W1073" s="740">
        <f t="shared" si="735"/>
        <v>4.8338640000000001E-5</v>
      </c>
      <c r="X1073" s="741">
        <f t="shared" si="736"/>
        <v>4.8338640000000001E-5</v>
      </c>
      <c r="Y1073" s="52">
        <v>2007</v>
      </c>
      <c r="Z1073" s="52"/>
      <c r="AA1073" s="739">
        <f t="shared" ref="AA1073" si="737">+K1073/1000</f>
        <v>7.6728000000000001E-5</v>
      </c>
      <c r="AB1073" s="256">
        <v>-0.37</v>
      </c>
      <c r="AC1073" s="688">
        <f t="shared" ref="AC1073" si="738">AB1073</f>
        <v>-0.37</v>
      </c>
      <c r="AD1073" s="164"/>
      <c r="AE1073" s="164"/>
      <c r="AF1073" s="25"/>
      <c r="AG1073" s="26"/>
      <c r="AH1073" s="275"/>
      <c r="AI1073" s="52"/>
      <c r="AJ1073" s="35"/>
      <c r="AK1073" s="289"/>
      <c r="AL1073" s="290"/>
      <c r="AM1073" s="211"/>
      <c r="AN1073" s="164"/>
      <c r="AO1073" s="594"/>
      <c r="AP1073" s="595"/>
      <c r="AQ1073" s="275"/>
      <c r="AR1073" s="52"/>
      <c r="AS1073" s="596"/>
      <c r="AT1073" s="79"/>
      <c r="AU1073" s="212"/>
      <c r="AV1073" s="164"/>
      <c r="AW1073" s="164"/>
      <c r="AX1073" s="76"/>
      <c r="AY1073" s="44"/>
      <c r="AZ1073" s="275"/>
      <c r="BA1073" s="52"/>
      <c r="BB1073" s="35"/>
      <c r="BC1073" s="79"/>
      <c r="BD1073" s="230"/>
      <c r="BE1073" s="211"/>
      <c r="BF1073" s="164"/>
      <c r="BG1073" s="76"/>
      <c r="BH1073" s="44"/>
      <c r="BI1073" s="275"/>
      <c r="BJ1073" s="52"/>
      <c r="BK1073" s="35"/>
      <c r="BL1073" s="79"/>
      <c r="BM1073" s="230"/>
      <c r="BN1073" s="211"/>
      <c r="BO1073" s="164"/>
      <c r="BP1073" s="726"/>
      <c r="BQ1073" s="727"/>
      <c r="BR1073" s="299"/>
      <c r="BS1073" s="35"/>
      <c r="BT1073" s="596"/>
      <c r="BU1073" s="79"/>
      <c r="BV1073" s="212"/>
      <c r="BW1073" s="304"/>
      <c r="BX1073" s="313"/>
      <c r="BY1073" s="138"/>
    </row>
    <row r="1074" spans="1:77" ht="15" customHeight="1" outlineLevel="1" x14ac:dyDescent="0.2">
      <c r="A1074" s="57" t="s">
        <v>24</v>
      </c>
      <c r="B1074" s="583" t="s">
        <v>477</v>
      </c>
      <c r="C1074" s="583" t="s">
        <v>1272</v>
      </c>
      <c r="D1074" s="546">
        <v>11.234</v>
      </c>
      <c r="E1074" s="162" t="s">
        <v>631</v>
      </c>
      <c r="F1074" s="358"/>
      <c r="G1074" s="65"/>
      <c r="H1074" s="735"/>
      <c r="I1074" s="90">
        <v>2007</v>
      </c>
      <c r="J1074" s="73"/>
      <c r="K1074" s="734">
        <v>3.5909000000000003E-2</v>
      </c>
      <c r="L1074" s="717"/>
      <c r="M1074" s="73"/>
      <c r="N1074" s="359"/>
      <c r="O1074" s="1041"/>
      <c r="P1074" s="73"/>
      <c r="Q1074" s="359"/>
      <c r="R1074" s="1041"/>
      <c r="S1074" s="73"/>
      <c r="T1074" s="359"/>
      <c r="U1074" s="73"/>
      <c r="V1074" s="66"/>
      <c r="W1074" s="740">
        <f t="shared" si="643"/>
        <v>2.4418120000000001E-5</v>
      </c>
      <c r="X1074" s="741">
        <f t="shared" si="644"/>
        <v>2.4418120000000001E-5</v>
      </c>
      <c r="Y1074" s="52">
        <v>2007</v>
      </c>
      <c r="Z1074" s="52"/>
      <c r="AA1074" s="739">
        <f t="shared" si="732"/>
        <v>3.5909000000000005E-5</v>
      </c>
      <c r="AB1074" s="256">
        <v>-0.32</v>
      </c>
      <c r="AC1074" s="688">
        <f t="shared" si="647"/>
        <v>-0.32</v>
      </c>
      <c r="AD1074" s="164"/>
      <c r="AE1074" s="164"/>
      <c r="AF1074" s="25"/>
      <c r="AG1074" s="26"/>
      <c r="AH1074" s="275"/>
      <c r="AI1074" s="52"/>
      <c r="AJ1074" s="35"/>
      <c r="AK1074" s="289"/>
      <c r="AL1074" s="290"/>
      <c r="AM1074" s="211"/>
      <c r="AN1074" s="164"/>
      <c r="AO1074" s="594"/>
      <c r="AP1074" s="595"/>
      <c r="AQ1074" s="275"/>
      <c r="AR1074" s="52"/>
      <c r="AS1074" s="596"/>
      <c r="AT1074" s="79"/>
      <c r="AU1074" s="212"/>
      <c r="AV1074" s="164"/>
      <c r="AW1074" s="164"/>
      <c r="AX1074" s="76"/>
      <c r="AY1074" s="44"/>
      <c r="AZ1074" s="275"/>
      <c r="BA1074" s="52"/>
      <c r="BB1074" s="35"/>
      <c r="BC1074" s="79"/>
      <c r="BD1074" s="230"/>
      <c r="BE1074" s="211"/>
      <c r="BF1074" s="164"/>
      <c r="BG1074" s="76"/>
      <c r="BH1074" s="44"/>
      <c r="BI1074" s="275"/>
      <c r="BJ1074" s="52"/>
      <c r="BK1074" s="35"/>
      <c r="BL1074" s="79"/>
      <c r="BM1074" s="230"/>
      <c r="BN1074" s="211"/>
      <c r="BO1074" s="164"/>
      <c r="BP1074" s="726"/>
      <c r="BQ1074" s="727"/>
      <c r="BR1074" s="299"/>
      <c r="BS1074" s="35"/>
      <c r="BT1074" s="596"/>
      <c r="BU1074" s="79"/>
      <c r="BV1074" s="212"/>
      <c r="BW1074" s="304"/>
      <c r="BX1074" s="313"/>
      <c r="BY1074" s="138"/>
    </row>
    <row r="1075" spans="1:77" ht="15" customHeight="1" outlineLevel="1" x14ac:dyDescent="0.2">
      <c r="A1075" s="57" t="s">
        <v>24</v>
      </c>
      <c r="B1075" s="583" t="s">
        <v>477</v>
      </c>
      <c r="C1075" s="583" t="s">
        <v>1816</v>
      </c>
      <c r="D1075" s="546">
        <v>2.9119999999999999</v>
      </c>
      <c r="E1075" s="162" t="s">
        <v>631</v>
      </c>
      <c r="F1075" s="358"/>
      <c r="G1075" s="65"/>
      <c r="H1075" s="735"/>
      <c r="I1075" s="90"/>
      <c r="J1075" s="73"/>
      <c r="K1075" s="734"/>
      <c r="L1075" s="717"/>
      <c r="M1075" s="73"/>
      <c r="N1075" s="738">
        <v>3.0959E-2</v>
      </c>
      <c r="O1075" s="1041"/>
      <c r="P1075" s="73"/>
      <c r="Q1075" s="738"/>
      <c r="R1075" s="1041"/>
      <c r="S1075" s="73"/>
      <c r="T1075" s="738"/>
      <c r="U1075" s="73"/>
      <c r="V1075" s="66"/>
      <c r="W1075" s="740">
        <f t="shared" ref="W1075" si="739">AA1075*(1+AB1075)</f>
        <v>2.2909659999999999E-5</v>
      </c>
      <c r="X1075" s="741">
        <f t="shared" ref="X1075" si="740">AA1075*(1+AC1075)</f>
        <v>2.2909659999999999E-5</v>
      </c>
      <c r="Y1075" s="52">
        <v>2010</v>
      </c>
      <c r="Z1075" s="52"/>
      <c r="AA1075" s="739">
        <f>+N1075/1000</f>
        <v>3.0959E-5</v>
      </c>
      <c r="AB1075" s="256">
        <v>-0.26</v>
      </c>
      <c r="AC1075" s="688">
        <f t="shared" si="647"/>
        <v>-0.26</v>
      </c>
      <c r="AD1075" s="164"/>
      <c r="AE1075" s="164"/>
      <c r="AF1075" s="25"/>
      <c r="AG1075" s="26"/>
      <c r="AH1075" s="275"/>
      <c r="AI1075" s="52"/>
      <c r="AJ1075" s="35"/>
      <c r="AK1075" s="289"/>
      <c r="AL1075" s="290"/>
      <c r="AM1075" s="211"/>
      <c r="AN1075" s="164"/>
      <c r="AO1075" s="594"/>
      <c r="AP1075" s="595"/>
      <c r="AQ1075" s="275"/>
      <c r="AR1075" s="52"/>
      <c r="AS1075" s="596"/>
      <c r="AT1075" s="79"/>
      <c r="AU1075" s="212"/>
      <c r="AV1075" s="164"/>
      <c r="AW1075" s="164"/>
      <c r="AX1075" s="76"/>
      <c r="AY1075" s="44"/>
      <c r="AZ1075" s="275"/>
      <c r="BA1075" s="52"/>
      <c r="BB1075" s="35"/>
      <c r="BC1075" s="79"/>
      <c r="BD1075" s="230"/>
      <c r="BE1075" s="211"/>
      <c r="BF1075" s="164"/>
      <c r="BG1075" s="76"/>
      <c r="BH1075" s="44"/>
      <c r="BI1075" s="275"/>
      <c r="BJ1075" s="52"/>
      <c r="BK1075" s="35"/>
      <c r="BL1075" s="79"/>
      <c r="BM1075" s="230"/>
      <c r="BN1075" s="211"/>
      <c r="BO1075" s="164"/>
      <c r="BP1075" s="726"/>
      <c r="BQ1075" s="727"/>
      <c r="BR1075" s="299"/>
      <c r="BS1075" s="35"/>
      <c r="BT1075" s="596"/>
      <c r="BU1075" s="79"/>
      <c r="BV1075" s="212"/>
      <c r="BW1075" s="304"/>
      <c r="BX1075" s="313"/>
      <c r="BY1075" s="138"/>
    </row>
    <row r="1076" spans="1:77" ht="15" customHeight="1" outlineLevel="1" x14ac:dyDescent="0.2">
      <c r="A1076" s="583" t="s">
        <v>24</v>
      </c>
      <c r="B1076" s="583" t="s">
        <v>477</v>
      </c>
      <c r="C1076" s="583" t="s">
        <v>2005</v>
      </c>
      <c r="D1076" s="546">
        <v>2.8</v>
      </c>
      <c r="E1076" s="162" t="s">
        <v>631</v>
      </c>
      <c r="F1076" s="358"/>
      <c r="G1076" s="65"/>
      <c r="H1076" s="735"/>
      <c r="I1076" s="90"/>
      <c r="J1076" s="73"/>
      <c r="K1076" s="734"/>
      <c r="L1076" s="717">
        <v>2009</v>
      </c>
      <c r="M1076" s="73"/>
      <c r="N1076" s="738">
        <v>7.3280000000000003E-3</v>
      </c>
      <c r="O1076" s="1041"/>
      <c r="P1076" s="73"/>
      <c r="Q1076" s="738"/>
      <c r="R1076" s="1041"/>
      <c r="S1076" s="73"/>
      <c r="T1076" s="738"/>
      <c r="U1076" s="73"/>
      <c r="V1076" s="66"/>
      <c r="W1076" s="740">
        <f t="shared" ref="W1076" si="741">AA1076*(1+AB1076)</f>
        <v>5.2761600000000002E-6</v>
      </c>
      <c r="X1076" s="741">
        <f t="shared" ref="X1076" si="742">AA1076*(1+AC1076)</f>
        <v>5.2761600000000002E-6</v>
      </c>
      <c r="Y1076" s="52">
        <v>2009</v>
      </c>
      <c r="Z1076" s="52"/>
      <c r="AA1076" s="739">
        <f>+N1076/1000</f>
        <v>7.328E-6</v>
      </c>
      <c r="AB1076" s="256">
        <v>-0.28000000000000003</v>
      </c>
      <c r="AC1076" s="688">
        <f t="shared" si="647"/>
        <v>-0.28000000000000003</v>
      </c>
      <c r="AD1076" s="164"/>
      <c r="AE1076" s="164"/>
      <c r="AF1076" s="25"/>
      <c r="AG1076" s="26"/>
      <c r="AH1076" s="275"/>
      <c r="AI1076" s="52"/>
      <c r="AJ1076" s="35"/>
      <c r="AK1076" s="289"/>
      <c r="AL1076" s="290"/>
      <c r="AM1076" s="211"/>
      <c r="AN1076" s="164"/>
      <c r="AO1076" s="594"/>
      <c r="AP1076" s="595"/>
      <c r="AQ1076" s="275"/>
      <c r="AR1076" s="52"/>
      <c r="AS1076" s="596"/>
      <c r="AT1076" s="79"/>
      <c r="AU1076" s="212"/>
      <c r="AV1076" s="164"/>
      <c r="AW1076" s="164"/>
      <c r="AX1076" s="76"/>
      <c r="AY1076" s="44"/>
      <c r="AZ1076" s="275"/>
      <c r="BA1076" s="52"/>
      <c r="BB1076" s="35"/>
      <c r="BC1076" s="79"/>
      <c r="BD1076" s="230"/>
      <c r="BE1076" s="211"/>
      <c r="BF1076" s="164"/>
      <c r="BG1076" s="76"/>
      <c r="BH1076" s="44"/>
      <c r="BI1076" s="275"/>
      <c r="BJ1076" s="52"/>
      <c r="BK1076" s="35"/>
      <c r="BL1076" s="79"/>
      <c r="BM1076" s="230"/>
      <c r="BN1076" s="211"/>
      <c r="BO1076" s="164"/>
      <c r="BP1076" s="726"/>
      <c r="BQ1076" s="727"/>
      <c r="BR1076" s="299"/>
      <c r="BS1076" s="35"/>
      <c r="BT1076" s="596"/>
      <c r="BU1076" s="79"/>
      <c r="BV1076" s="212"/>
      <c r="BW1076" s="304"/>
      <c r="BX1076" s="313"/>
      <c r="BY1076" s="138"/>
    </row>
    <row r="1077" spans="1:77" ht="15" customHeight="1" outlineLevel="1" x14ac:dyDescent="0.2">
      <c r="A1077" s="583" t="s">
        <v>24</v>
      </c>
      <c r="B1077" s="583" t="s">
        <v>477</v>
      </c>
      <c r="C1077" s="583" t="s">
        <v>1679</v>
      </c>
      <c r="D1077" s="546">
        <v>2.1509999999999998</v>
      </c>
      <c r="E1077" s="162" t="s">
        <v>631</v>
      </c>
      <c r="F1077" s="358"/>
      <c r="G1077" s="65"/>
      <c r="H1077" s="735"/>
      <c r="I1077" s="90"/>
      <c r="J1077" s="73"/>
      <c r="K1077" s="734">
        <v>1.9517E-2</v>
      </c>
      <c r="L1077" s="717"/>
      <c r="M1077" s="73"/>
      <c r="N1077" s="359"/>
      <c r="O1077" s="1041"/>
      <c r="P1077" s="73"/>
      <c r="Q1077" s="359"/>
      <c r="R1077" s="1041"/>
      <c r="S1077" s="73"/>
      <c r="T1077" s="359"/>
      <c r="U1077" s="73"/>
      <c r="V1077" s="66"/>
      <c r="W1077" s="788">
        <f t="shared" si="643"/>
        <v>1.4637750000000001E-5</v>
      </c>
      <c r="X1077" s="789">
        <f t="shared" si="644"/>
        <v>1.4637750000000001E-5</v>
      </c>
      <c r="Y1077" s="52">
        <v>2005</v>
      </c>
      <c r="Z1077" s="52"/>
      <c r="AA1077" s="787">
        <f t="shared" si="732"/>
        <v>1.9517E-5</v>
      </c>
      <c r="AB1077" s="256">
        <v>-0.25</v>
      </c>
      <c r="AC1077" s="688">
        <f t="shared" si="647"/>
        <v>-0.25</v>
      </c>
      <c r="AD1077" s="164"/>
      <c r="AE1077" s="164"/>
      <c r="AF1077" s="25"/>
      <c r="AG1077" s="26"/>
      <c r="AH1077" s="275"/>
      <c r="AI1077" s="52"/>
      <c r="AJ1077" s="35"/>
      <c r="AK1077" s="289"/>
      <c r="AL1077" s="290"/>
      <c r="AM1077" s="211"/>
      <c r="AN1077" s="164"/>
      <c r="AO1077" s="594"/>
      <c r="AP1077" s="595"/>
      <c r="AQ1077" s="275"/>
      <c r="AR1077" s="52"/>
      <c r="AS1077" s="596"/>
      <c r="AT1077" s="79"/>
      <c r="AU1077" s="212"/>
      <c r="AV1077" s="164"/>
      <c r="AW1077" s="164"/>
      <c r="AX1077" s="76"/>
      <c r="AY1077" s="44"/>
      <c r="AZ1077" s="275"/>
      <c r="BA1077" s="52"/>
      <c r="BB1077" s="35"/>
      <c r="BC1077" s="79"/>
      <c r="BD1077" s="230"/>
      <c r="BE1077" s="211"/>
      <c r="BF1077" s="164"/>
      <c r="BG1077" s="76"/>
      <c r="BH1077" s="44"/>
      <c r="BI1077" s="275"/>
      <c r="BJ1077" s="52"/>
      <c r="BK1077" s="35"/>
      <c r="BL1077" s="79"/>
      <c r="BM1077" s="230"/>
      <c r="BN1077" s="211"/>
      <c r="BO1077" s="164"/>
      <c r="BP1077" s="726"/>
      <c r="BQ1077" s="727"/>
      <c r="BR1077" s="299"/>
      <c r="BS1077" s="35"/>
      <c r="BT1077" s="596"/>
      <c r="BU1077" s="79"/>
      <c r="BV1077" s="212"/>
      <c r="BW1077" s="304"/>
      <c r="BX1077" s="313"/>
      <c r="BY1077" s="138"/>
    </row>
    <row r="1078" spans="1:77" ht="15" customHeight="1" outlineLevel="1" x14ac:dyDescent="0.2">
      <c r="A1078" s="583" t="s">
        <v>24</v>
      </c>
      <c r="B1078" s="583" t="s">
        <v>477</v>
      </c>
      <c r="C1078" s="583" t="s">
        <v>1910</v>
      </c>
      <c r="D1078" s="546">
        <v>3.5</v>
      </c>
      <c r="E1078" s="162" t="s">
        <v>631</v>
      </c>
      <c r="F1078" s="358"/>
      <c r="G1078" s="65"/>
      <c r="H1078" s="735"/>
      <c r="I1078" s="90"/>
      <c r="J1078" s="73"/>
      <c r="K1078" s="734"/>
      <c r="L1078" s="717">
        <v>2008</v>
      </c>
      <c r="M1078" s="73"/>
      <c r="N1078" s="786">
        <v>2.0275999999999999E-2</v>
      </c>
      <c r="O1078" s="1041"/>
      <c r="P1078" s="73"/>
      <c r="Q1078" s="786"/>
      <c r="R1078" s="1041"/>
      <c r="S1078" s="73"/>
      <c r="T1078" s="786"/>
      <c r="U1078" s="73"/>
      <c r="V1078" s="66"/>
      <c r="W1078" s="788">
        <f t="shared" ref="W1078" si="743">AA1078*(1+AB1078)</f>
        <v>1.4801479999999999E-5</v>
      </c>
      <c r="X1078" s="789">
        <f t="shared" ref="X1078" si="744">AA1078*(1+AC1078)</f>
        <v>1.4801479999999999E-5</v>
      </c>
      <c r="Y1078" s="52">
        <v>2008</v>
      </c>
      <c r="Z1078" s="52"/>
      <c r="AA1078" s="787">
        <f>+N1078/1000</f>
        <v>2.0276E-5</v>
      </c>
      <c r="AB1078" s="256">
        <v>-0.27</v>
      </c>
      <c r="AC1078" s="688">
        <f t="shared" si="647"/>
        <v>-0.27</v>
      </c>
      <c r="AD1078" s="164"/>
      <c r="AE1078" s="164"/>
      <c r="AF1078" s="25"/>
      <c r="AG1078" s="26"/>
      <c r="AH1078" s="275"/>
      <c r="AI1078" s="52"/>
      <c r="AJ1078" s="35"/>
      <c r="AK1078" s="289"/>
      <c r="AL1078" s="290"/>
      <c r="AM1078" s="211"/>
      <c r="AN1078" s="164"/>
      <c r="AO1078" s="594"/>
      <c r="AP1078" s="595"/>
      <c r="AQ1078" s="275"/>
      <c r="AR1078" s="52"/>
      <c r="AS1078" s="596"/>
      <c r="AT1078" s="79"/>
      <c r="AU1078" s="212"/>
      <c r="AV1078" s="164"/>
      <c r="AW1078" s="164"/>
      <c r="AX1078" s="76"/>
      <c r="AY1078" s="44"/>
      <c r="AZ1078" s="275"/>
      <c r="BA1078" s="52"/>
      <c r="BB1078" s="35"/>
      <c r="BC1078" s="79"/>
      <c r="BD1078" s="230"/>
      <c r="BE1078" s="211"/>
      <c r="BF1078" s="164"/>
      <c r="BG1078" s="76"/>
      <c r="BH1078" s="44"/>
      <c r="BI1078" s="275"/>
      <c r="BJ1078" s="52"/>
      <c r="BK1078" s="35"/>
      <c r="BL1078" s="79"/>
      <c r="BM1078" s="230"/>
      <c r="BN1078" s="211"/>
      <c r="BO1078" s="164"/>
      <c r="BP1078" s="726"/>
      <c r="BQ1078" s="727"/>
      <c r="BR1078" s="299"/>
      <c r="BS1078" s="35"/>
      <c r="BT1078" s="596"/>
      <c r="BU1078" s="79"/>
      <c r="BV1078" s="212"/>
      <c r="BW1078" s="304"/>
      <c r="BX1078" s="313"/>
      <c r="BY1078" s="138"/>
    </row>
    <row r="1079" spans="1:77" ht="15" customHeight="1" outlineLevel="1" x14ac:dyDescent="0.2">
      <c r="A1079" s="583" t="s">
        <v>24</v>
      </c>
      <c r="B1079" s="583" t="s">
        <v>477</v>
      </c>
      <c r="C1079" s="583" t="s">
        <v>1670</v>
      </c>
      <c r="D1079" s="546">
        <v>1.3089999999999999</v>
      </c>
      <c r="E1079" s="162" t="s">
        <v>631</v>
      </c>
      <c r="F1079" s="358"/>
      <c r="G1079" s="65"/>
      <c r="H1079" s="735"/>
      <c r="I1079" s="90">
        <v>2007</v>
      </c>
      <c r="J1079" s="73"/>
      <c r="K1079" s="734">
        <v>1.1965E-2</v>
      </c>
      <c r="L1079" s="717"/>
      <c r="M1079" s="73"/>
      <c r="N1079" s="359"/>
      <c r="O1079" s="1041"/>
      <c r="P1079" s="73"/>
      <c r="Q1079" s="359"/>
      <c r="R1079" s="1041"/>
      <c r="S1079" s="73"/>
      <c r="T1079" s="359"/>
      <c r="U1079" s="73"/>
      <c r="V1079" s="66"/>
      <c r="W1079" s="788">
        <f t="shared" si="643"/>
        <v>8.9737500000000003E-6</v>
      </c>
      <c r="X1079" s="789">
        <f t="shared" si="644"/>
        <v>8.9737500000000003E-6</v>
      </c>
      <c r="Y1079" s="52">
        <v>2007</v>
      </c>
      <c r="Z1079" s="52"/>
      <c r="AA1079" s="787">
        <f t="shared" si="732"/>
        <v>1.1965E-5</v>
      </c>
      <c r="AB1079" s="256">
        <v>-0.25</v>
      </c>
      <c r="AC1079" s="688">
        <f t="shared" si="647"/>
        <v>-0.25</v>
      </c>
      <c r="AD1079" s="164"/>
      <c r="AE1079" s="164"/>
      <c r="AF1079" s="25"/>
      <c r="AG1079" s="26"/>
      <c r="AH1079" s="275"/>
      <c r="AI1079" s="52"/>
      <c r="AJ1079" s="35"/>
      <c r="AK1079" s="289"/>
      <c r="AL1079" s="290"/>
      <c r="AM1079" s="211"/>
      <c r="AN1079" s="164"/>
      <c r="AO1079" s="594"/>
      <c r="AP1079" s="595"/>
      <c r="AQ1079" s="275"/>
      <c r="AR1079" s="52"/>
      <c r="AS1079" s="596"/>
      <c r="AT1079" s="79"/>
      <c r="AU1079" s="212"/>
      <c r="AV1079" s="164"/>
      <c r="AW1079" s="164"/>
      <c r="AX1079" s="76"/>
      <c r="AY1079" s="44"/>
      <c r="AZ1079" s="275"/>
      <c r="BA1079" s="52"/>
      <c r="BB1079" s="35"/>
      <c r="BC1079" s="79"/>
      <c r="BD1079" s="230"/>
      <c r="BE1079" s="211"/>
      <c r="BF1079" s="164"/>
      <c r="BG1079" s="76"/>
      <c r="BH1079" s="44"/>
      <c r="BI1079" s="275"/>
      <c r="BJ1079" s="52"/>
      <c r="BK1079" s="35"/>
      <c r="BL1079" s="79"/>
      <c r="BM1079" s="230"/>
      <c r="BN1079" s="211"/>
      <c r="BO1079" s="164"/>
      <c r="BP1079" s="726"/>
      <c r="BQ1079" s="727"/>
      <c r="BR1079" s="299"/>
      <c r="BS1079" s="35"/>
      <c r="BT1079" s="596"/>
      <c r="BU1079" s="79"/>
      <c r="BV1079" s="212"/>
      <c r="BW1079" s="304"/>
      <c r="BX1079" s="313"/>
      <c r="BY1079" s="138" t="s">
        <v>1671</v>
      </c>
    </row>
    <row r="1080" spans="1:77" ht="15" customHeight="1" outlineLevel="1" x14ac:dyDescent="0.2">
      <c r="A1080" s="583" t="s">
        <v>24</v>
      </c>
      <c r="B1080" s="583" t="s">
        <v>477</v>
      </c>
      <c r="C1080" s="583" t="s">
        <v>1838</v>
      </c>
      <c r="D1080" s="546">
        <v>72.804000000000002</v>
      </c>
      <c r="E1080" s="162" t="s">
        <v>631</v>
      </c>
      <c r="F1080" s="358"/>
      <c r="G1080" s="65"/>
      <c r="H1080" s="735"/>
      <c r="I1080" s="90"/>
      <c r="J1080" s="73"/>
      <c r="K1080" s="734"/>
      <c r="L1080" s="717">
        <v>2008</v>
      </c>
      <c r="M1080" s="73"/>
      <c r="N1080" s="359">
        <v>0.40168799999999999</v>
      </c>
      <c r="O1080" s="1041"/>
      <c r="P1080" s="73"/>
      <c r="Q1080" s="359"/>
      <c r="R1080" s="1041"/>
      <c r="S1080" s="73"/>
      <c r="T1080" s="359"/>
      <c r="U1080" s="73"/>
      <c r="V1080" s="66"/>
      <c r="W1080" s="788">
        <f t="shared" ref="W1080" si="745">AA1080*(1+AB1080)</f>
        <v>2.9724911999999998E-4</v>
      </c>
      <c r="X1080" s="789">
        <f t="shared" ref="X1080" si="746">AA1080*(1+AC1080)</f>
        <v>2.9724911999999998E-4</v>
      </c>
      <c r="Y1080" s="52">
        <v>2008</v>
      </c>
      <c r="Z1080" s="52"/>
      <c r="AA1080" s="787">
        <f>+N1080/1000</f>
        <v>4.0168799999999998E-4</v>
      </c>
      <c r="AB1080" s="256">
        <v>-0.26</v>
      </c>
      <c r="AC1080" s="688">
        <f t="shared" si="647"/>
        <v>-0.26</v>
      </c>
      <c r="AD1080" s="164"/>
      <c r="AE1080" s="164"/>
      <c r="AF1080" s="25"/>
      <c r="AG1080" s="26"/>
      <c r="AH1080" s="275"/>
      <c r="AI1080" s="52"/>
      <c r="AJ1080" s="35"/>
      <c r="AK1080" s="289"/>
      <c r="AL1080" s="290"/>
      <c r="AM1080" s="211"/>
      <c r="AN1080" s="164"/>
      <c r="AO1080" s="594"/>
      <c r="AP1080" s="595"/>
      <c r="AQ1080" s="275"/>
      <c r="AR1080" s="52"/>
      <c r="AS1080" s="596"/>
      <c r="AT1080" s="79"/>
      <c r="AU1080" s="212"/>
      <c r="AV1080" s="164"/>
      <c r="AW1080" s="164"/>
      <c r="AX1080" s="76"/>
      <c r="AY1080" s="44"/>
      <c r="AZ1080" s="275"/>
      <c r="BA1080" s="52"/>
      <c r="BB1080" s="35"/>
      <c r="BC1080" s="79"/>
      <c r="BD1080" s="230"/>
      <c r="BE1080" s="211"/>
      <c r="BF1080" s="164"/>
      <c r="BG1080" s="76"/>
      <c r="BH1080" s="44"/>
      <c r="BI1080" s="275"/>
      <c r="BJ1080" s="52"/>
      <c r="BK1080" s="35"/>
      <c r="BL1080" s="79"/>
      <c r="BM1080" s="230"/>
      <c r="BN1080" s="211"/>
      <c r="BO1080" s="164"/>
      <c r="BP1080" s="726"/>
      <c r="BQ1080" s="727"/>
      <c r="BR1080" s="299"/>
      <c r="BS1080" s="35"/>
      <c r="BT1080" s="596"/>
      <c r="BU1080" s="79"/>
      <c r="BV1080" s="212"/>
      <c r="BW1080" s="304"/>
      <c r="BX1080" s="313"/>
      <c r="BY1080" s="138"/>
    </row>
    <row r="1081" spans="1:77" ht="15" customHeight="1" outlineLevel="1" x14ac:dyDescent="0.2">
      <c r="A1081" s="583" t="s">
        <v>24</v>
      </c>
      <c r="B1081" s="583" t="s">
        <v>477</v>
      </c>
      <c r="C1081" s="583" t="s">
        <v>2052</v>
      </c>
      <c r="D1081" s="546">
        <v>4.0449999999999999</v>
      </c>
      <c r="E1081" s="162" t="s">
        <v>631</v>
      </c>
      <c r="F1081" s="358"/>
      <c r="G1081" s="65"/>
      <c r="H1081" s="735"/>
      <c r="I1081" s="90">
        <v>2007</v>
      </c>
      <c r="J1081" s="73"/>
      <c r="K1081" s="734">
        <v>1.3542999999999999E-2</v>
      </c>
      <c r="L1081" s="717"/>
      <c r="M1081" s="73"/>
      <c r="N1081" s="359"/>
      <c r="O1081" s="1041"/>
      <c r="P1081" s="73"/>
      <c r="Q1081" s="359"/>
      <c r="R1081" s="1041"/>
      <c r="S1081" s="73"/>
      <c r="T1081" s="359"/>
      <c r="U1081" s="73"/>
      <c r="V1081" s="66"/>
      <c r="W1081" s="788">
        <f t="shared" ref="W1081" si="747">AA1081*(1+AB1081)</f>
        <v>9.6155299999999984E-6</v>
      </c>
      <c r="X1081" s="789">
        <f t="shared" ref="X1081" si="748">AA1081*(1+AC1081)</f>
        <v>9.6155299999999984E-6</v>
      </c>
      <c r="Y1081" s="52">
        <v>2007</v>
      </c>
      <c r="Z1081" s="52"/>
      <c r="AA1081" s="787">
        <f>+K1081/1000</f>
        <v>1.3542999999999999E-5</v>
      </c>
      <c r="AB1081" s="256">
        <v>-0.28999999999999998</v>
      </c>
      <c r="AC1081" s="688">
        <f t="shared" si="647"/>
        <v>-0.28999999999999998</v>
      </c>
      <c r="AD1081" s="164"/>
      <c r="AE1081" s="164"/>
      <c r="AF1081" s="25"/>
      <c r="AG1081" s="26"/>
      <c r="AH1081" s="275"/>
      <c r="AI1081" s="52"/>
      <c r="AJ1081" s="35"/>
      <c r="AK1081" s="289"/>
      <c r="AL1081" s="290"/>
      <c r="AM1081" s="211"/>
      <c r="AN1081" s="164"/>
      <c r="AO1081" s="594"/>
      <c r="AP1081" s="595"/>
      <c r="AQ1081" s="275"/>
      <c r="AR1081" s="52"/>
      <c r="AS1081" s="596"/>
      <c r="AT1081" s="79"/>
      <c r="AU1081" s="212"/>
      <c r="AV1081" s="164"/>
      <c r="AW1081" s="164"/>
      <c r="AX1081" s="76"/>
      <c r="AY1081" s="44"/>
      <c r="AZ1081" s="275"/>
      <c r="BA1081" s="52"/>
      <c r="BB1081" s="35"/>
      <c r="BC1081" s="79"/>
      <c r="BD1081" s="230"/>
      <c r="BE1081" s="211"/>
      <c r="BF1081" s="164"/>
      <c r="BG1081" s="76"/>
      <c r="BH1081" s="44"/>
      <c r="BI1081" s="275"/>
      <c r="BJ1081" s="52"/>
      <c r="BK1081" s="35"/>
      <c r="BL1081" s="79"/>
      <c r="BM1081" s="230"/>
      <c r="BN1081" s="211"/>
      <c r="BO1081" s="164"/>
      <c r="BP1081" s="726"/>
      <c r="BQ1081" s="727"/>
      <c r="BR1081" s="299"/>
      <c r="BS1081" s="35"/>
      <c r="BT1081" s="596"/>
      <c r="BU1081" s="79"/>
      <c r="BV1081" s="212"/>
      <c r="BW1081" s="304"/>
      <c r="BX1081" s="313"/>
      <c r="BY1081" s="138"/>
    </row>
    <row r="1082" spans="1:77" ht="15" customHeight="1" outlineLevel="1" x14ac:dyDescent="0.2">
      <c r="A1082" s="57" t="s">
        <v>24</v>
      </c>
      <c r="B1082" s="583" t="s">
        <v>477</v>
      </c>
      <c r="C1082" s="583" t="s">
        <v>1572</v>
      </c>
      <c r="D1082" s="546">
        <v>7.52</v>
      </c>
      <c r="E1082" s="162" t="s">
        <v>631</v>
      </c>
      <c r="F1082" s="358"/>
      <c r="G1082" s="65"/>
      <c r="H1082" s="735"/>
      <c r="I1082" s="90">
        <v>2007</v>
      </c>
      <c r="J1082" s="73"/>
      <c r="K1082" s="734">
        <v>4.7594999999999998E-2</v>
      </c>
      <c r="L1082" s="717"/>
      <c r="M1082" s="73"/>
      <c r="N1082" s="359"/>
      <c r="O1082" s="1041"/>
      <c r="P1082" s="73"/>
      <c r="Q1082" s="359"/>
      <c r="R1082" s="1041"/>
      <c r="S1082" s="73"/>
      <c r="T1082" s="359"/>
      <c r="U1082" s="73"/>
      <c r="V1082" s="66"/>
      <c r="W1082" s="740">
        <f t="shared" ref="W1082" si="749">AA1082*(1+AB1082)</f>
        <v>3.0460800000000001E-5</v>
      </c>
      <c r="X1082" s="741">
        <f t="shared" ref="X1082" si="750">AA1082*(1+AC1082)</f>
        <v>3.0460800000000001E-5</v>
      </c>
      <c r="Y1082" s="52">
        <v>2007</v>
      </c>
      <c r="Z1082" s="52"/>
      <c r="AA1082" s="739">
        <f t="shared" ref="AA1082:AA1084" si="751">+K1082/1000</f>
        <v>4.7595000000000001E-5</v>
      </c>
      <c r="AB1082" s="256">
        <v>-0.36</v>
      </c>
      <c r="AC1082" s="688">
        <f t="shared" ref="AC1082:AC1085" si="752">AB1082</f>
        <v>-0.36</v>
      </c>
      <c r="AD1082" s="164"/>
      <c r="AE1082" s="164"/>
      <c r="AF1082" s="25"/>
      <c r="AG1082" s="26"/>
      <c r="AH1082" s="275"/>
      <c r="AI1082" s="52"/>
      <c r="AJ1082" s="35"/>
      <c r="AK1082" s="289"/>
      <c r="AL1082" s="290"/>
      <c r="AM1082" s="211"/>
      <c r="AN1082" s="164"/>
      <c r="AO1082" s="594"/>
      <c r="AP1082" s="595"/>
      <c r="AQ1082" s="275"/>
      <c r="AR1082" s="52"/>
      <c r="AS1082" s="596"/>
      <c r="AT1082" s="79"/>
      <c r="AU1082" s="212"/>
      <c r="AV1082" s="164"/>
      <c r="AW1082" s="164"/>
      <c r="AX1082" s="76"/>
      <c r="AY1082" s="44"/>
      <c r="AZ1082" s="275"/>
      <c r="BA1082" s="52"/>
      <c r="BB1082" s="35"/>
      <c r="BC1082" s="79"/>
      <c r="BD1082" s="230"/>
      <c r="BE1082" s="211"/>
      <c r="BF1082" s="164"/>
      <c r="BG1082" s="76"/>
      <c r="BH1082" s="44"/>
      <c r="BI1082" s="275"/>
      <c r="BJ1082" s="52"/>
      <c r="BK1082" s="35"/>
      <c r="BL1082" s="79"/>
      <c r="BM1082" s="230"/>
      <c r="BN1082" s="211"/>
      <c r="BO1082" s="164"/>
      <c r="BP1082" s="726"/>
      <c r="BQ1082" s="727"/>
      <c r="BR1082" s="299"/>
      <c r="BS1082" s="35"/>
      <c r="BT1082" s="596"/>
      <c r="BU1082" s="79"/>
      <c r="BV1082" s="212"/>
      <c r="BW1082" s="304"/>
      <c r="BX1082" s="313"/>
      <c r="BY1082" s="138"/>
    </row>
    <row r="1083" spans="1:77" ht="15" customHeight="1" outlineLevel="1" x14ac:dyDescent="0.2">
      <c r="A1083" s="57" t="s">
        <v>24</v>
      </c>
      <c r="B1083" s="583" t="s">
        <v>477</v>
      </c>
      <c r="C1083" s="583" t="s">
        <v>2086</v>
      </c>
      <c r="D1083" s="546">
        <v>3.8919999999999999</v>
      </c>
      <c r="E1083" s="162" t="s">
        <v>631</v>
      </c>
      <c r="F1083" s="358"/>
      <c r="G1083" s="65"/>
      <c r="H1083" s="735"/>
      <c r="I1083" s="90">
        <v>2007</v>
      </c>
      <c r="J1083" s="73"/>
      <c r="K1083" s="734">
        <v>6.1818999999999999E-2</v>
      </c>
      <c r="L1083" s="717"/>
      <c r="M1083" s="73"/>
      <c r="N1083" s="359"/>
      <c r="O1083" s="1041"/>
      <c r="P1083" s="73"/>
      <c r="Q1083" s="359"/>
      <c r="R1083" s="1041"/>
      <c r="S1083" s="73"/>
      <c r="T1083" s="359"/>
      <c r="U1083" s="73"/>
      <c r="V1083" s="66"/>
      <c r="W1083" s="740">
        <f t="shared" ref="W1083" si="753">AA1083*(1+AB1083)</f>
        <v>4.3891489999999997E-5</v>
      </c>
      <c r="X1083" s="741">
        <f t="shared" ref="X1083" si="754">AA1083*(1+AC1083)</f>
        <v>4.3891489999999997E-5</v>
      </c>
      <c r="Y1083" s="52">
        <v>2007</v>
      </c>
      <c r="Z1083" s="52"/>
      <c r="AA1083" s="739">
        <f t="shared" si="751"/>
        <v>6.1818999999999999E-5</v>
      </c>
      <c r="AB1083" s="256">
        <v>-0.28999999999999998</v>
      </c>
      <c r="AC1083" s="688">
        <f t="shared" si="752"/>
        <v>-0.28999999999999998</v>
      </c>
      <c r="AD1083" s="164"/>
      <c r="AE1083" s="164"/>
      <c r="AF1083" s="25"/>
      <c r="AG1083" s="26"/>
      <c r="AH1083" s="275"/>
      <c r="AI1083" s="52"/>
      <c r="AJ1083" s="35"/>
      <c r="AK1083" s="289"/>
      <c r="AL1083" s="290"/>
      <c r="AM1083" s="211"/>
      <c r="AN1083" s="164"/>
      <c r="AO1083" s="594"/>
      <c r="AP1083" s="595"/>
      <c r="AQ1083" s="275"/>
      <c r="AR1083" s="52"/>
      <c r="AS1083" s="596"/>
      <c r="AT1083" s="79"/>
      <c r="AU1083" s="212"/>
      <c r="AV1083" s="164"/>
      <c r="AW1083" s="164"/>
      <c r="AX1083" s="76"/>
      <c r="AY1083" s="44"/>
      <c r="AZ1083" s="275"/>
      <c r="BA1083" s="52"/>
      <c r="BB1083" s="35"/>
      <c r="BC1083" s="79"/>
      <c r="BD1083" s="230"/>
      <c r="BE1083" s="211"/>
      <c r="BF1083" s="164"/>
      <c r="BG1083" s="76"/>
      <c r="BH1083" s="44"/>
      <c r="BI1083" s="275"/>
      <c r="BJ1083" s="52"/>
      <c r="BK1083" s="35"/>
      <c r="BL1083" s="79"/>
      <c r="BM1083" s="230"/>
      <c r="BN1083" s="211"/>
      <c r="BO1083" s="164"/>
      <c r="BP1083" s="726"/>
      <c r="BQ1083" s="727"/>
      <c r="BR1083" s="299"/>
      <c r="BS1083" s="35"/>
      <c r="BT1083" s="596"/>
      <c r="BU1083" s="79"/>
      <c r="BV1083" s="212"/>
      <c r="BW1083" s="304"/>
      <c r="BX1083" s="313"/>
      <c r="BY1083" s="138"/>
    </row>
    <row r="1084" spans="1:77" ht="15" customHeight="1" outlineLevel="1" x14ac:dyDescent="0.2">
      <c r="A1084" s="57" t="s">
        <v>24</v>
      </c>
      <c r="B1084" s="583" t="s">
        <v>477</v>
      </c>
      <c r="C1084" s="583" t="s">
        <v>1925</v>
      </c>
      <c r="D1084" s="546">
        <v>1.9</v>
      </c>
      <c r="E1084" s="162" t="s">
        <v>631</v>
      </c>
      <c r="F1084" s="358"/>
      <c r="G1084" s="65"/>
      <c r="H1084" s="735"/>
      <c r="I1084" s="90">
        <v>2005</v>
      </c>
      <c r="J1084" s="73"/>
      <c r="K1084" s="734">
        <v>1.9937E-2</v>
      </c>
      <c r="L1084" s="717"/>
      <c r="M1084" s="73"/>
      <c r="N1084" s="359"/>
      <c r="O1084" s="1041"/>
      <c r="P1084" s="73"/>
      <c r="Q1084" s="359"/>
      <c r="R1084" s="1041"/>
      <c r="S1084" s="73"/>
      <c r="T1084" s="359"/>
      <c r="U1084" s="73"/>
      <c r="V1084" s="66"/>
      <c r="W1084" s="740">
        <f t="shared" ref="W1084" si="755">AA1084*(1+AB1084)</f>
        <v>1.4554009999999999E-5</v>
      </c>
      <c r="X1084" s="741">
        <f t="shared" ref="X1084" si="756">AA1084*(1+AC1084)</f>
        <v>1.4554009999999999E-5</v>
      </c>
      <c r="Y1084" s="52">
        <v>2005</v>
      </c>
      <c r="Z1084" s="52"/>
      <c r="AA1084" s="739">
        <f t="shared" si="751"/>
        <v>1.9936999999999999E-5</v>
      </c>
      <c r="AB1084" s="256">
        <v>-0.27</v>
      </c>
      <c r="AC1084" s="688">
        <f t="shared" si="752"/>
        <v>-0.27</v>
      </c>
      <c r="AD1084" s="164"/>
      <c r="AE1084" s="164"/>
      <c r="AF1084" s="25"/>
      <c r="AG1084" s="26"/>
      <c r="AH1084" s="275"/>
      <c r="AI1084" s="52"/>
      <c r="AJ1084" s="35"/>
      <c r="AK1084" s="289"/>
      <c r="AL1084" s="290"/>
      <c r="AM1084" s="211"/>
      <c r="AN1084" s="164"/>
      <c r="AO1084" s="594"/>
      <c r="AP1084" s="595"/>
      <c r="AQ1084" s="275"/>
      <c r="AR1084" s="52"/>
      <c r="AS1084" s="596"/>
      <c r="AT1084" s="79"/>
      <c r="AU1084" s="212"/>
      <c r="AV1084" s="164"/>
      <c r="AW1084" s="164"/>
      <c r="AX1084" s="76"/>
      <c r="AY1084" s="44"/>
      <c r="AZ1084" s="275"/>
      <c r="BA1084" s="52"/>
      <c r="BB1084" s="35"/>
      <c r="BC1084" s="79"/>
      <c r="BD1084" s="230"/>
      <c r="BE1084" s="211"/>
      <c r="BF1084" s="164"/>
      <c r="BG1084" s="76"/>
      <c r="BH1084" s="44"/>
      <c r="BI1084" s="275"/>
      <c r="BJ1084" s="52"/>
      <c r="BK1084" s="35"/>
      <c r="BL1084" s="79"/>
      <c r="BM1084" s="230"/>
      <c r="BN1084" s="211"/>
      <c r="BO1084" s="164"/>
      <c r="BP1084" s="726"/>
      <c r="BQ1084" s="727"/>
      <c r="BR1084" s="299"/>
      <c r="BS1084" s="35"/>
      <c r="BT1084" s="596"/>
      <c r="BU1084" s="79"/>
      <c r="BV1084" s="212"/>
      <c r="BW1084" s="304"/>
      <c r="BX1084" s="313"/>
      <c r="BY1084" s="138"/>
    </row>
    <row r="1085" spans="1:77" ht="15" customHeight="1" outlineLevel="1" x14ac:dyDescent="0.2">
      <c r="A1085" s="57" t="s">
        <v>24</v>
      </c>
      <c r="B1085" s="583" t="s">
        <v>477</v>
      </c>
      <c r="C1085" s="583" t="s">
        <v>1979</v>
      </c>
      <c r="D1085" s="546">
        <v>17.157</v>
      </c>
      <c r="E1085" s="162" t="s">
        <v>631</v>
      </c>
      <c r="F1085" s="358"/>
      <c r="G1085" s="65"/>
      <c r="H1085" s="735"/>
      <c r="I1085" s="90"/>
      <c r="J1085" s="73"/>
      <c r="K1085" s="734"/>
      <c r="L1085" s="717">
        <v>2008</v>
      </c>
      <c r="M1085" s="73"/>
      <c r="N1085" s="359">
        <v>6.3576999999999995E-2</v>
      </c>
      <c r="O1085" s="1041"/>
      <c r="P1085" s="73"/>
      <c r="Q1085" s="359"/>
      <c r="R1085" s="1041"/>
      <c r="S1085" s="73"/>
      <c r="T1085" s="359"/>
      <c r="U1085" s="73"/>
      <c r="V1085" s="66"/>
      <c r="W1085" s="740">
        <f t="shared" ref="W1085" si="757">AA1085*(1+AB1085)</f>
        <v>4.6411209999999994E-5</v>
      </c>
      <c r="X1085" s="741">
        <f t="shared" ref="X1085" si="758">AA1085*(1+AC1085)</f>
        <v>4.6411209999999994E-5</v>
      </c>
      <c r="Y1085" s="52">
        <v>2008</v>
      </c>
      <c r="Z1085" s="52"/>
      <c r="AA1085" s="739">
        <f>+N1085/1000</f>
        <v>6.3576999999999991E-5</v>
      </c>
      <c r="AB1085" s="256">
        <v>-0.27</v>
      </c>
      <c r="AC1085" s="688">
        <f t="shared" si="752"/>
        <v>-0.27</v>
      </c>
      <c r="AD1085" s="164"/>
      <c r="AE1085" s="164"/>
      <c r="AF1085" s="25"/>
      <c r="AG1085" s="26"/>
      <c r="AH1085" s="275"/>
      <c r="AI1085" s="52"/>
      <c r="AJ1085" s="35"/>
      <c r="AK1085" s="289"/>
      <c r="AL1085" s="290"/>
      <c r="AM1085" s="211"/>
      <c r="AN1085" s="164"/>
      <c r="AO1085" s="594"/>
      <c r="AP1085" s="595"/>
      <c r="AQ1085" s="275"/>
      <c r="AR1085" s="52"/>
      <c r="AS1085" s="596"/>
      <c r="AT1085" s="79"/>
      <c r="AU1085" s="212"/>
      <c r="AV1085" s="164"/>
      <c r="AW1085" s="164"/>
      <c r="AX1085" s="76"/>
      <c r="AY1085" s="44"/>
      <c r="AZ1085" s="275"/>
      <c r="BA1085" s="52"/>
      <c r="BB1085" s="35"/>
      <c r="BC1085" s="79"/>
      <c r="BD1085" s="230"/>
      <c r="BE1085" s="211"/>
      <c r="BF1085" s="164"/>
      <c r="BG1085" s="76"/>
      <c r="BH1085" s="44"/>
      <c r="BI1085" s="275"/>
      <c r="BJ1085" s="52"/>
      <c r="BK1085" s="35"/>
      <c r="BL1085" s="79"/>
      <c r="BM1085" s="230"/>
      <c r="BN1085" s="211"/>
      <c r="BO1085" s="164"/>
      <c r="BP1085" s="726"/>
      <c r="BQ1085" s="727"/>
      <c r="BR1085" s="299"/>
      <c r="BS1085" s="35"/>
      <c r="BT1085" s="596"/>
      <c r="BU1085" s="79"/>
      <c r="BV1085" s="212"/>
      <c r="BW1085" s="304"/>
      <c r="BX1085" s="313"/>
      <c r="BY1085" s="138"/>
    </row>
    <row r="1086" spans="1:77" ht="12.75" customHeight="1" outlineLevel="1" x14ac:dyDescent="0.2">
      <c r="A1086" s="57" t="s">
        <v>24</v>
      </c>
      <c r="B1086" s="583" t="s">
        <v>356</v>
      </c>
      <c r="C1086" s="57"/>
      <c r="D1086" s="546">
        <v>10003</v>
      </c>
      <c r="E1086" s="162" t="s">
        <v>2920</v>
      </c>
      <c r="F1086" s="358"/>
      <c r="G1086" s="65"/>
      <c r="H1086" s="73"/>
      <c r="I1086" s="90"/>
      <c r="J1086" s="73"/>
      <c r="K1086" s="66">
        <v>86.5</v>
      </c>
      <c r="L1086" s="717">
        <v>2012</v>
      </c>
      <c r="M1086" s="73"/>
      <c r="N1086" s="359">
        <v>76.3</v>
      </c>
      <c r="O1086" s="1041"/>
      <c r="P1086" s="73"/>
      <c r="Q1086" s="359">
        <f>K1086*0.79</f>
        <v>68.335000000000008</v>
      </c>
      <c r="R1086" s="1041">
        <v>2017</v>
      </c>
      <c r="S1086" s="73">
        <v>69.099999999999994</v>
      </c>
      <c r="T1086" s="359">
        <v>66.5</v>
      </c>
      <c r="U1086" s="73"/>
      <c r="V1086" s="66"/>
      <c r="W1086" s="1132">
        <f t="shared" si="643"/>
        <v>6.9199999999999998E-2</v>
      </c>
      <c r="X1086" s="1133">
        <f t="shared" si="644"/>
        <v>6.9199999999999998E-2</v>
      </c>
      <c r="Y1086" s="52">
        <v>2005</v>
      </c>
      <c r="Z1086" s="52"/>
      <c r="AA1086" s="596">
        <f t="shared" si="732"/>
        <v>8.6499999999999994E-2</v>
      </c>
      <c r="AB1086" s="1109">
        <v>-0.2</v>
      </c>
      <c r="AC1086" s="1110">
        <v>-0.2</v>
      </c>
      <c r="AD1086" s="164"/>
      <c r="AE1086" s="164"/>
      <c r="AF1086" s="25"/>
      <c r="AG1086" s="26"/>
      <c r="AH1086" s="275"/>
      <c r="AI1086" s="52"/>
      <c r="AJ1086" s="35"/>
      <c r="AK1086" s="289"/>
      <c r="AL1086" s="290"/>
      <c r="AM1086" s="211"/>
      <c r="AN1086" s="164"/>
      <c r="AO1086" s="594">
        <f>AS1086*(1+AT1086)</f>
        <v>5.1899999999999995E-2</v>
      </c>
      <c r="AP1086" s="595">
        <f>AS1086*(1+AU1086)</f>
        <v>5.1899999999999995E-2</v>
      </c>
      <c r="AQ1086" s="275">
        <v>2005</v>
      </c>
      <c r="AR1086" s="52"/>
      <c r="AS1086" s="596">
        <f>+K1086/1000</f>
        <v>8.6499999999999994E-2</v>
      </c>
      <c r="AT1086" s="79">
        <v>-0.4</v>
      </c>
      <c r="AU1086" s="212">
        <f>AT1086</f>
        <v>-0.4</v>
      </c>
      <c r="AV1086" s="164"/>
      <c r="AW1086" s="164"/>
      <c r="AX1086" s="76"/>
      <c r="AY1086" s="44"/>
      <c r="AZ1086" s="275"/>
      <c r="BA1086" s="52"/>
      <c r="BB1086" s="35"/>
      <c r="BC1086" s="79"/>
      <c r="BD1086" s="230"/>
      <c r="BE1086" s="211"/>
      <c r="BF1086" s="164"/>
      <c r="BG1086" s="76"/>
      <c r="BH1086" s="44"/>
      <c r="BI1086" s="275"/>
      <c r="BJ1086" s="52"/>
      <c r="BK1086" s="35"/>
      <c r="BL1086" s="79"/>
      <c r="BM1086" s="230"/>
      <c r="BN1086" s="211"/>
      <c r="BO1086" s="164"/>
      <c r="BP1086" s="726">
        <f>+BT1086*(1+BU1086)</f>
        <v>1.7299999999999996E-2</v>
      </c>
      <c r="BQ1086" s="727">
        <f>BT1086*(1+BV1086)</f>
        <v>1.7299999999999996E-2</v>
      </c>
      <c r="BR1086" s="299">
        <v>1990</v>
      </c>
      <c r="BS1086" s="35"/>
      <c r="BT1086" s="596">
        <f>+K1086/1000</f>
        <v>8.6499999999999994E-2</v>
      </c>
      <c r="BU1086" s="79">
        <v>-0.8</v>
      </c>
      <c r="BV1086" s="212">
        <f>BU1086</f>
        <v>-0.8</v>
      </c>
      <c r="BW1086" s="304"/>
      <c r="BX1086" s="313"/>
      <c r="BY1086" s="138"/>
    </row>
    <row r="1087" spans="1:77" ht="15" customHeight="1" outlineLevel="1" x14ac:dyDescent="0.2">
      <c r="A1087" s="57" t="s">
        <v>24</v>
      </c>
      <c r="B1087" s="583" t="s">
        <v>477</v>
      </c>
      <c r="C1087" s="583" t="s">
        <v>1501</v>
      </c>
      <c r="D1087" s="546">
        <v>30</v>
      </c>
      <c r="E1087" s="162" t="s">
        <v>631</v>
      </c>
      <c r="F1087" s="358"/>
      <c r="G1087" s="65"/>
      <c r="H1087" s="73"/>
      <c r="I1087" s="90"/>
      <c r="J1087" s="73"/>
      <c r="K1087" s="66"/>
      <c r="L1087" s="717">
        <v>2010</v>
      </c>
      <c r="M1087" s="73"/>
      <c r="N1087" s="359">
        <v>0.13716500000000001</v>
      </c>
      <c r="O1087" s="1041"/>
      <c r="P1087" s="73"/>
      <c r="Q1087" s="359"/>
      <c r="R1087" s="1041"/>
      <c r="S1087" s="735"/>
      <c r="T1087" s="738"/>
      <c r="U1087" s="73"/>
      <c r="V1087" s="66"/>
      <c r="W1087" s="594">
        <f t="shared" ref="W1087" si="759">AA1087*(1+AB1087)</f>
        <v>9.6015500000000003E-5</v>
      </c>
      <c r="X1087" s="595">
        <f t="shared" ref="X1087" si="760">AA1087*(1+AC1087)</f>
        <v>1.0973200000000003E-4</v>
      </c>
      <c r="Y1087" s="52">
        <v>2005</v>
      </c>
      <c r="Z1087" s="52"/>
      <c r="AA1087" s="596">
        <f>+N1087/1000</f>
        <v>1.3716500000000002E-4</v>
      </c>
      <c r="AB1087" s="256">
        <v>-0.3</v>
      </c>
      <c r="AC1087" s="688">
        <v>-0.2</v>
      </c>
      <c r="AD1087" s="164"/>
      <c r="AE1087" s="164"/>
      <c r="AF1087" s="25"/>
      <c r="AG1087" s="26"/>
      <c r="AH1087" s="275"/>
      <c r="AI1087" s="52"/>
      <c r="AJ1087" s="35"/>
      <c r="AK1087" s="289"/>
      <c r="AL1087" s="290"/>
      <c r="AM1087" s="211"/>
      <c r="AN1087" s="164"/>
      <c r="AO1087" s="594"/>
      <c r="AP1087" s="595"/>
      <c r="AQ1087" s="275"/>
      <c r="AR1087" s="52"/>
      <c r="AS1087" s="596"/>
      <c r="AT1087" s="79"/>
      <c r="AU1087" s="212"/>
      <c r="AV1087" s="164"/>
      <c r="AW1087" s="164"/>
      <c r="AX1087" s="76"/>
      <c r="AY1087" s="44"/>
      <c r="AZ1087" s="275"/>
      <c r="BA1087" s="52"/>
      <c r="BB1087" s="35"/>
      <c r="BC1087" s="79"/>
      <c r="BD1087" s="230"/>
      <c r="BE1087" s="211"/>
      <c r="BF1087" s="164"/>
      <c r="BG1087" s="76"/>
      <c r="BH1087" s="44"/>
      <c r="BI1087" s="275"/>
      <c r="BJ1087" s="52"/>
      <c r="BK1087" s="35"/>
      <c r="BL1087" s="79"/>
      <c r="BM1087" s="230"/>
      <c r="BN1087" s="211"/>
      <c r="BO1087" s="164"/>
      <c r="BP1087" s="726"/>
      <c r="BQ1087" s="727"/>
      <c r="BR1087" s="299"/>
      <c r="BS1087" s="35"/>
      <c r="BT1087" s="596"/>
      <c r="BU1087" s="79"/>
      <c r="BV1087" s="212"/>
      <c r="BW1087" s="304"/>
      <c r="BX1087" s="313"/>
      <c r="BY1087" s="138"/>
    </row>
    <row r="1088" spans="1:77" ht="15" customHeight="1" outlineLevel="1" x14ac:dyDescent="0.2">
      <c r="A1088" s="57" t="s">
        <v>24</v>
      </c>
      <c r="B1088" s="583" t="s">
        <v>477</v>
      </c>
      <c r="C1088" s="583" t="s">
        <v>2060</v>
      </c>
      <c r="D1088" s="546">
        <v>2.069</v>
      </c>
      <c r="E1088" s="162" t="s">
        <v>631</v>
      </c>
      <c r="F1088" s="358"/>
      <c r="G1088" s="65"/>
      <c r="H1088" s="73"/>
      <c r="I1088" s="90"/>
      <c r="J1088" s="73"/>
      <c r="K1088" s="66"/>
      <c r="L1088" s="717">
        <v>2011</v>
      </c>
      <c r="M1088" s="73"/>
      <c r="N1088" s="811">
        <v>1.1794000000000001E-2</v>
      </c>
      <c r="O1088" s="1041"/>
      <c r="P1088" s="73"/>
      <c r="Q1088" s="359"/>
      <c r="R1088" s="1041"/>
      <c r="S1088" s="73"/>
      <c r="T1088" s="359"/>
      <c r="U1088" s="73"/>
      <c r="V1088" s="66"/>
      <c r="W1088" s="594">
        <f t="shared" ref="W1088" si="761">AA1088*(1+AB1088)</f>
        <v>8.3737400000000002E-6</v>
      </c>
      <c r="X1088" s="595">
        <f t="shared" ref="X1088" si="762">AA1088*(1+AC1088)</f>
        <v>8.3737400000000002E-6</v>
      </c>
      <c r="Y1088" s="52">
        <v>2011</v>
      </c>
      <c r="Z1088" s="52"/>
      <c r="AA1088" s="596">
        <f>+N1088/1000</f>
        <v>1.1794000000000001E-5</v>
      </c>
      <c r="AB1088" s="256">
        <v>-0.28999999999999998</v>
      </c>
      <c r="AC1088" s="688">
        <v>-0.28999999999999998</v>
      </c>
      <c r="AD1088" s="164"/>
      <c r="AE1088" s="164"/>
      <c r="AF1088" s="25"/>
      <c r="AG1088" s="26"/>
      <c r="AH1088" s="275"/>
      <c r="AI1088" s="52"/>
      <c r="AJ1088" s="35"/>
      <c r="AK1088" s="289"/>
      <c r="AL1088" s="290"/>
      <c r="AM1088" s="211"/>
      <c r="AN1088" s="164"/>
      <c r="AO1088" s="594"/>
      <c r="AP1088" s="595"/>
      <c r="AQ1088" s="275"/>
      <c r="AR1088" s="52"/>
      <c r="AS1088" s="596"/>
      <c r="AT1088" s="79"/>
      <c r="AU1088" s="212"/>
      <c r="AV1088" s="164"/>
      <c r="AW1088" s="164"/>
      <c r="AX1088" s="76"/>
      <c r="AY1088" s="44"/>
      <c r="AZ1088" s="275"/>
      <c r="BA1088" s="52"/>
      <c r="BB1088" s="35"/>
      <c r="BC1088" s="79"/>
      <c r="BD1088" s="230"/>
      <c r="BE1088" s="211"/>
      <c r="BF1088" s="164"/>
      <c r="BG1088" s="76"/>
      <c r="BH1088" s="44"/>
      <c r="BI1088" s="275"/>
      <c r="BJ1088" s="52"/>
      <c r="BK1088" s="35"/>
      <c r="BL1088" s="79"/>
      <c r="BM1088" s="230"/>
      <c r="BN1088" s="211"/>
      <c r="BO1088" s="164"/>
      <c r="BP1088" s="726"/>
      <c r="BQ1088" s="727"/>
      <c r="BR1088" s="299"/>
      <c r="BS1088" s="35"/>
      <c r="BT1088" s="596"/>
      <c r="BU1088" s="79"/>
      <c r="BV1088" s="212"/>
      <c r="BW1088" s="304"/>
      <c r="BX1088" s="313"/>
      <c r="BY1088" s="138"/>
    </row>
    <row r="1089" spans="1:77" ht="15" customHeight="1" outlineLevel="1" x14ac:dyDescent="0.2">
      <c r="A1089" s="57" t="s">
        <v>24</v>
      </c>
      <c r="B1089" s="583" t="s">
        <v>477</v>
      </c>
      <c r="C1089" s="583" t="s">
        <v>1442</v>
      </c>
      <c r="D1089" s="546">
        <v>4.1479999999999997</v>
      </c>
      <c r="E1089" s="162" t="s">
        <v>631</v>
      </c>
      <c r="F1089" s="358"/>
      <c r="G1089" s="65"/>
      <c r="H1089" s="73"/>
      <c r="I1089" s="90"/>
      <c r="J1089" s="73"/>
      <c r="K1089" s="734">
        <v>1.7236999999999999E-2</v>
      </c>
      <c r="L1089" s="717"/>
      <c r="M1089" s="73"/>
      <c r="N1089" s="359"/>
      <c r="O1089" s="1041"/>
      <c r="P1089" s="73"/>
      <c r="Q1089" s="359"/>
      <c r="R1089" s="1041"/>
      <c r="S1089" s="73"/>
      <c r="T1089" s="359"/>
      <c r="U1089" s="73"/>
      <c r="V1089" s="66"/>
      <c r="W1089" s="788">
        <f t="shared" si="643"/>
        <v>3.447399999999999E-6</v>
      </c>
      <c r="X1089" s="789">
        <f t="shared" si="644"/>
        <v>3.447399999999999E-6</v>
      </c>
      <c r="Y1089" s="52">
        <v>2005</v>
      </c>
      <c r="Z1089" s="52"/>
      <c r="AA1089" s="739">
        <f t="shared" si="732"/>
        <v>1.7236999999999998E-5</v>
      </c>
      <c r="AB1089" s="256">
        <v>-0.8</v>
      </c>
      <c r="AC1089" s="688">
        <f t="shared" ref="AC1089:AC1125" si="763">AB1089</f>
        <v>-0.8</v>
      </c>
      <c r="AD1089" s="164"/>
      <c r="AE1089" s="164"/>
      <c r="AF1089" s="25"/>
      <c r="AG1089" s="26"/>
      <c r="AH1089" s="275"/>
      <c r="AI1089" s="52"/>
      <c r="AJ1089" s="35"/>
      <c r="AK1089" s="289"/>
      <c r="AL1089" s="290"/>
      <c r="AM1089" s="211"/>
      <c r="AN1089" s="164"/>
      <c r="AO1089" s="594"/>
      <c r="AP1089" s="595"/>
      <c r="AQ1089" s="275"/>
      <c r="AR1089" s="52"/>
      <c r="AS1089" s="596"/>
      <c r="AT1089" s="79"/>
      <c r="AU1089" s="212"/>
      <c r="AV1089" s="164"/>
      <c r="AW1089" s="164"/>
      <c r="AX1089" s="76"/>
      <c r="AY1089" s="44"/>
      <c r="AZ1089" s="275"/>
      <c r="BA1089" s="52"/>
      <c r="BB1089" s="35"/>
      <c r="BC1089" s="79"/>
      <c r="BD1089" s="230"/>
      <c r="BE1089" s="211"/>
      <c r="BF1089" s="164"/>
      <c r="BG1089" s="76"/>
      <c r="BH1089" s="44"/>
      <c r="BI1089" s="275"/>
      <c r="BJ1089" s="52"/>
      <c r="BK1089" s="35"/>
      <c r="BL1089" s="79"/>
      <c r="BM1089" s="230"/>
      <c r="BN1089" s="211"/>
      <c r="BO1089" s="164"/>
      <c r="BP1089" s="726"/>
      <c r="BQ1089" s="727"/>
      <c r="BR1089" s="299"/>
      <c r="BS1089" s="35"/>
      <c r="BT1089" s="596"/>
      <c r="BU1089" s="79"/>
      <c r="BV1089" s="212"/>
      <c r="BW1089" s="304"/>
      <c r="BX1089" s="313"/>
      <c r="BY1089" s="138"/>
    </row>
    <row r="1090" spans="1:77" ht="15" customHeight="1" outlineLevel="1" x14ac:dyDescent="0.2">
      <c r="A1090" s="57" t="s">
        <v>24</v>
      </c>
      <c r="B1090" s="583" t="s">
        <v>477</v>
      </c>
      <c r="C1090" s="583" t="s">
        <v>1797</v>
      </c>
      <c r="D1090" s="546">
        <v>18.097999999999999</v>
      </c>
      <c r="E1090" s="162" t="s">
        <v>631</v>
      </c>
      <c r="F1090" s="358"/>
      <c r="G1090" s="65"/>
      <c r="H1090" s="73"/>
      <c r="I1090" s="90"/>
      <c r="J1090" s="73"/>
      <c r="K1090" s="734"/>
      <c r="L1090" s="717"/>
      <c r="M1090" s="73"/>
      <c r="N1090" s="738">
        <v>0.114315</v>
      </c>
      <c r="O1090" s="1041"/>
      <c r="P1090" s="73"/>
      <c r="Q1090" s="738"/>
      <c r="R1090" s="1041"/>
      <c r="S1090" s="73"/>
      <c r="T1090" s="738"/>
      <c r="U1090" s="73"/>
      <c r="V1090" s="66"/>
      <c r="W1090" s="788">
        <f t="shared" ref="W1090" si="764">AA1090*(1+AB1090)</f>
        <v>8.5736249999999998E-5</v>
      </c>
      <c r="X1090" s="789">
        <f t="shared" ref="X1090" si="765">AA1090*(1+AC1090)</f>
        <v>8.5736249999999998E-5</v>
      </c>
      <c r="Y1090" s="52">
        <v>2010</v>
      </c>
      <c r="Z1090" s="52"/>
      <c r="AA1090" s="739">
        <f>+N1090/1000</f>
        <v>1.1431500000000001E-4</v>
      </c>
      <c r="AB1090" s="256">
        <v>-0.25</v>
      </c>
      <c r="AC1090" s="688">
        <v>-0.25</v>
      </c>
      <c r="AD1090" s="164"/>
      <c r="AE1090" s="164"/>
      <c r="AF1090" s="25"/>
      <c r="AG1090" s="26"/>
      <c r="AH1090" s="275"/>
      <c r="AI1090" s="52"/>
      <c r="AJ1090" s="35"/>
      <c r="AK1090" s="289"/>
      <c r="AL1090" s="290"/>
      <c r="AM1090" s="211"/>
      <c r="AN1090" s="164"/>
      <c r="AO1090" s="594"/>
      <c r="AP1090" s="595"/>
      <c r="AQ1090" s="275"/>
      <c r="AR1090" s="52"/>
      <c r="AS1090" s="596"/>
      <c r="AT1090" s="79"/>
      <c r="AU1090" s="212"/>
      <c r="AV1090" s="164"/>
      <c r="AW1090" s="164"/>
      <c r="AX1090" s="76"/>
      <c r="AY1090" s="44"/>
      <c r="AZ1090" s="275"/>
      <c r="BA1090" s="52"/>
      <c r="BB1090" s="35"/>
      <c r="BC1090" s="79"/>
      <c r="BD1090" s="230"/>
      <c r="BE1090" s="211"/>
      <c r="BF1090" s="164"/>
      <c r="BG1090" s="76"/>
      <c r="BH1090" s="44"/>
      <c r="BI1090" s="275"/>
      <c r="BJ1090" s="52"/>
      <c r="BK1090" s="35"/>
      <c r="BL1090" s="79"/>
      <c r="BM1090" s="230"/>
      <c r="BN1090" s="211"/>
      <c r="BO1090" s="164"/>
      <c r="BP1090" s="726"/>
      <c r="BQ1090" s="727"/>
      <c r="BR1090" s="299"/>
      <c r="BS1090" s="35"/>
      <c r="BT1090" s="596"/>
      <c r="BU1090" s="79"/>
      <c r="BV1090" s="212"/>
      <c r="BW1090" s="304"/>
      <c r="BX1090" s="313"/>
      <c r="BY1090" s="138"/>
    </row>
    <row r="1091" spans="1:77" ht="15" customHeight="1" outlineLevel="1" x14ac:dyDescent="0.2">
      <c r="A1091" s="583" t="s">
        <v>24</v>
      </c>
      <c r="B1091" s="583" t="s">
        <v>477</v>
      </c>
      <c r="C1091" s="583" t="s">
        <v>1694</v>
      </c>
      <c r="D1091" s="546">
        <v>0.56699999999999995</v>
      </c>
      <c r="E1091" s="162" t="s">
        <v>631</v>
      </c>
      <c r="F1091" s="358"/>
      <c r="G1091" s="65"/>
      <c r="H1091" s="73"/>
      <c r="I1091" s="90"/>
      <c r="J1091" s="73"/>
      <c r="K1091" s="790">
        <v>4.1669999999999997E-3</v>
      </c>
      <c r="L1091" s="717"/>
      <c r="M1091" s="73"/>
      <c r="N1091" s="359"/>
      <c r="O1091" s="1041"/>
      <c r="P1091" s="73"/>
      <c r="Q1091" s="359"/>
      <c r="R1091" s="1041"/>
      <c r="S1091" s="73"/>
      <c r="T1091" s="359"/>
      <c r="U1091" s="73"/>
      <c r="V1091" s="66"/>
      <c r="W1091" s="808">
        <f t="shared" ref="W1091" si="766">AA1091*(1+AB1091)</f>
        <v>3.1252500000000003E-6</v>
      </c>
      <c r="X1091" s="809">
        <f t="shared" ref="X1091" si="767">AA1091*(1+AC1091)</f>
        <v>3.1252500000000003E-6</v>
      </c>
      <c r="Y1091" s="52">
        <v>2005</v>
      </c>
      <c r="Z1091" s="52"/>
      <c r="AA1091" s="807">
        <f>+K1091/1000</f>
        <v>4.1670000000000001E-6</v>
      </c>
      <c r="AB1091" s="256">
        <v>-0.25</v>
      </c>
      <c r="AC1091" s="688">
        <v>-0.25</v>
      </c>
      <c r="AD1091" s="164"/>
      <c r="AE1091" s="164"/>
      <c r="AF1091" s="25"/>
      <c r="AG1091" s="26"/>
      <c r="AH1091" s="275"/>
      <c r="AI1091" s="52"/>
      <c r="AJ1091" s="35"/>
      <c r="AK1091" s="289"/>
      <c r="AL1091" s="290"/>
      <c r="AM1091" s="211"/>
      <c r="AN1091" s="164"/>
      <c r="AO1091" s="594"/>
      <c r="AP1091" s="595"/>
      <c r="AQ1091" s="275"/>
      <c r="AR1091" s="52"/>
      <c r="AS1091" s="596"/>
      <c r="AT1091" s="79"/>
      <c r="AU1091" s="212"/>
      <c r="AV1091" s="164"/>
      <c r="AW1091" s="164"/>
      <c r="AX1091" s="76"/>
      <c r="AY1091" s="44"/>
      <c r="AZ1091" s="275"/>
      <c r="BA1091" s="52"/>
      <c r="BB1091" s="35"/>
      <c r="BC1091" s="79"/>
      <c r="BD1091" s="230"/>
      <c r="BE1091" s="211"/>
      <c r="BF1091" s="164"/>
      <c r="BG1091" s="76"/>
      <c r="BH1091" s="44"/>
      <c r="BI1091" s="275"/>
      <c r="BJ1091" s="52"/>
      <c r="BK1091" s="35"/>
      <c r="BL1091" s="79"/>
      <c r="BM1091" s="230"/>
      <c r="BN1091" s="211"/>
      <c r="BO1091" s="164"/>
      <c r="BP1091" s="726"/>
      <c r="BQ1091" s="727"/>
      <c r="BR1091" s="299"/>
      <c r="BS1091" s="35"/>
      <c r="BT1091" s="596"/>
      <c r="BU1091" s="79"/>
      <c r="BV1091" s="212"/>
      <c r="BW1091" s="304"/>
      <c r="BX1091" s="313"/>
      <c r="BY1091" s="138"/>
    </row>
    <row r="1092" spans="1:77" ht="15" customHeight="1" outlineLevel="1" x14ac:dyDescent="0.2">
      <c r="A1092" s="57" t="s">
        <v>24</v>
      </c>
      <c r="B1092" s="583" t="s">
        <v>477</v>
      </c>
      <c r="C1092" s="583" t="s">
        <v>1539</v>
      </c>
      <c r="D1092" s="546">
        <v>0.72199999999999998</v>
      </c>
      <c r="E1092" s="162" t="s">
        <v>631</v>
      </c>
      <c r="F1092" s="358"/>
      <c r="G1092" s="65"/>
      <c r="H1092" s="73"/>
      <c r="I1092" s="90"/>
      <c r="J1092" s="73"/>
      <c r="K1092" s="790">
        <v>2.97E-3</v>
      </c>
      <c r="L1092" s="717"/>
      <c r="M1092" s="73"/>
      <c r="N1092" s="359"/>
      <c r="O1092" s="1041"/>
      <c r="P1092" s="73"/>
      <c r="Q1092" s="359"/>
      <c r="R1092" s="1041"/>
      <c r="S1092" s="73"/>
      <c r="T1092" s="359"/>
      <c r="U1092" s="73"/>
      <c r="V1092" s="66"/>
      <c r="W1092" s="788">
        <f t="shared" ref="W1092" si="768">AA1092*(1+AB1092)</f>
        <v>8.019E-7</v>
      </c>
      <c r="X1092" s="789">
        <f t="shared" ref="X1092" si="769">AA1092*(1+AC1092)</f>
        <v>8.019E-7</v>
      </c>
      <c r="Y1092" s="52">
        <v>2005</v>
      </c>
      <c r="Z1092" s="52"/>
      <c r="AA1092" s="787">
        <f t="shared" ref="AA1092" si="770">+K1092/1000</f>
        <v>2.9699999999999999E-6</v>
      </c>
      <c r="AB1092" s="256">
        <v>-0.73</v>
      </c>
      <c r="AC1092" s="688">
        <f t="shared" ref="AC1092" si="771">AB1092</f>
        <v>-0.73</v>
      </c>
      <c r="AD1092" s="164"/>
      <c r="AE1092" s="164"/>
      <c r="AF1092" s="25"/>
      <c r="AG1092" s="26"/>
      <c r="AH1092" s="275"/>
      <c r="AI1092" s="52"/>
      <c r="AJ1092" s="35"/>
      <c r="AK1092" s="289"/>
      <c r="AL1092" s="290"/>
      <c r="AM1092" s="211"/>
      <c r="AN1092" s="164"/>
      <c r="AO1092" s="594"/>
      <c r="AP1092" s="595"/>
      <c r="AQ1092" s="275"/>
      <c r="AR1092" s="52"/>
      <c r="AS1092" s="596"/>
      <c r="AT1092" s="79"/>
      <c r="AU1092" s="212"/>
      <c r="AV1092" s="164"/>
      <c r="AW1092" s="164"/>
      <c r="AX1092" s="76"/>
      <c r="AY1092" s="44"/>
      <c r="AZ1092" s="275"/>
      <c r="BA1092" s="52"/>
      <c r="BB1092" s="35"/>
      <c r="BC1092" s="79"/>
      <c r="BD1092" s="230"/>
      <c r="BE1092" s="211"/>
      <c r="BF1092" s="164"/>
      <c r="BG1092" s="76"/>
      <c r="BH1092" s="44"/>
      <c r="BI1092" s="275"/>
      <c r="BJ1092" s="52"/>
      <c r="BK1092" s="35"/>
      <c r="BL1092" s="79"/>
      <c r="BM1092" s="230"/>
      <c r="BN1092" s="211"/>
      <c r="BO1092" s="164"/>
      <c r="BP1092" s="726"/>
      <c r="BQ1092" s="727"/>
      <c r="BR1092" s="299"/>
      <c r="BS1092" s="35"/>
      <c r="BT1092" s="596"/>
      <c r="BU1092" s="79"/>
      <c r="BV1092" s="212"/>
      <c r="BW1092" s="304"/>
      <c r="BX1092" s="313"/>
      <c r="BY1092" s="138"/>
    </row>
    <row r="1093" spans="1:77" ht="15" customHeight="1" outlineLevel="1" x14ac:dyDescent="0.2">
      <c r="A1093" s="57" t="s">
        <v>24</v>
      </c>
      <c r="B1093" s="583" t="s">
        <v>477</v>
      </c>
      <c r="C1093" s="583" t="s">
        <v>1346</v>
      </c>
      <c r="D1093" s="546">
        <v>14.5</v>
      </c>
      <c r="E1093" s="162" t="s">
        <v>631</v>
      </c>
      <c r="F1093" s="358"/>
      <c r="G1093" s="65"/>
      <c r="H1093" s="73"/>
      <c r="I1093" s="90"/>
      <c r="J1093" s="73"/>
      <c r="K1093" s="734">
        <v>6.3438999999999995E-2</v>
      </c>
      <c r="L1093" s="717"/>
      <c r="M1093" s="73"/>
      <c r="N1093" s="359"/>
      <c r="O1093" s="1041"/>
      <c r="P1093" s="73"/>
      <c r="Q1093" s="359"/>
      <c r="R1093" s="1041"/>
      <c r="S1093" s="73"/>
      <c r="T1093" s="359"/>
      <c r="U1093" s="73"/>
      <c r="V1093" s="66"/>
      <c r="W1093" s="740">
        <f t="shared" ref="W1093" si="772">AA1093*(1+AB1093)</f>
        <v>4.4407299999999997E-5</v>
      </c>
      <c r="X1093" s="741">
        <f t="shared" ref="X1093" si="773">AA1093*(1+AC1093)</f>
        <v>4.4407299999999997E-5</v>
      </c>
      <c r="Y1093" s="52">
        <v>2005</v>
      </c>
      <c r="Z1093" s="52"/>
      <c r="AA1093" s="739">
        <f t="shared" ref="AA1093" si="774">+K1093/1000</f>
        <v>6.3439E-5</v>
      </c>
      <c r="AB1093" s="256">
        <v>-0.3</v>
      </c>
      <c r="AC1093" s="688">
        <f t="shared" si="763"/>
        <v>-0.3</v>
      </c>
      <c r="AD1093" s="164"/>
      <c r="AE1093" s="164"/>
      <c r="AF1093" s="25"/>
      <c r="AG1093" s="26"/>
      <c r="AH1093" s="275"/>
      <c r="AI1093" s="52"/>
      <c r="AJ1093" s="35"/>
      <c r="AK1093" s="289"/>
      <c r="AL1093" s="290"/>
      <c r="AM1093" s="211"/>
      <c r="AN1093" s="164"/>
      <c r="AO1093" s="594"/>
      <c r="AP1093" s="595"/>
      <c r="AQ1093" s="275"/>
      <c r="AR1093" s="52"/>
      <c r="AS1093" s="596"/>
      <c r="AT1093" s="79"/>
      <c r="AU1093" s="212"/>
      <c r="AV1093" s="164"/>
      <c r="AW1093" s="164"/>
      <c r="AX1093" s="76"/>
      <c r="AY1093" s="44"/>
      <c r="AZ1093" s="275"/>
      <c r="BA1093" s="52"/>
      <c r="BB1093" s="35"/>
      <c r="BC1093" s="79"/>
      <c r="BD1093" s="230"/>
      <c r="BE1093" s="211"/>
      <c r="BF1093" s="164"/>
      <c r="BG1093" s="76"/>
      <c r="BH1093" s="44"/>
      <c r="BI1093" s="275"/>
      <c r="BJ1093" s="52"/>
      <c r="BK1093" s="35"/>
      <c r="BL1093" s="79"/>
      <c r="BM1093" s="230"/>
      <c r="BN1093" s="211"/>
      <c r="BO1093" s="164"/>
      <c r="BP1093" s="726"/>
      <c r="BQ1093" s="727"/>
      <c r="BR1093" s="299"/>
      <c r="BS1093" s="35"/>
      <c r="BT1093" s="596"/>
      <c r="BU1093" s="79"/>
      <c r="BV1093" s="212"/>
      <c r="BW1093" s="304"/>
      <c r="BX1093" s="313"/>
      <c r="BY1093" s="138"/>
    </row>
    <row r="1094" spans="1:77" ht="15" customHeight="1" outlineLevel="1" x14ac:dyDescent="0.2">
      <c r="A1094" s="57" t="s">
        <v>24</v>
      </c>
      <c r="B1094" s="583" t="s">
        <v>477</v>
      </c>
      <c r="C1094" s="583" t="s">
        <v>1496</v>
      </c>
      <c r="D1094" s="546">
        <v>3.6080000000000001</v>
      </c>
      <c r="E1094" s="162" t="s">
        <v>631</v>
      </c>
      <c r="F1094" s="358"/>
      <c r="G1094" s="65"/>
      <c r="H1094" s="73"/>
      <c r="I1094" s="90"/>
      <c r="J1094" s="73"/>
      <c r="K1094" s="734">
        <v>1.2251E-2</v>
      </c>
      <c r="L1094" s="717"/>
      <c r="M1094" s="73"/>
      <c r="N1094" s="359"/>
      <c r="O1094" s="1041"/>
      <c r="P1094" s="73"/>
      <c r="Q1094" s="359"/>
      <c r="R1094" s="1041"/>
      <c r="S1094" s="73"/>
      <c r="T1094" s="359"/>
      <c r="U1094" s="73"/>
      <c r="V1094" s="66"/>
      <c r="W1094" s="740">
        <f t="shared" ref="W1094" si="775">AA1094*(1+AB1094)</f>
        <v>8.2081699999999984E-6</v>
      </c>
      <c r="X1094" s="741">
        <f t="shared" ref="X1094" si="776">AA1094*(1+AC1094)</f>
        <v>8.2081699999999984E-6</v>
      </c>
      <c r="Y1094" s="52">
        <v>2005</v>
      </c>
      <c r="Z1094" s="52"/>
      <c r="AA1094" s="739">
        <f t="shared" ref="AA1094" si="777">+K1094/1000</f>
        <v>1.2251E-5</v>
      </c>
      <c r="AB1094" s="256">
        <v>-0.33</v>
      </c>
      <c r="AC1094" s="688">
        <f t="shared" si="763"/>
        <v>-0.33</v>
      </c>
      <c r="AD1094" s="164"/>
      <c r="AE1094" s="164"/>
      <c r="AF1094" s="25"/>
      <c r="AG1094" s="26"/>
      <c r="AH1094" s="275"/>
      <c r="AI1094" s="52"/>
      <c r="AJ1094" s="35"/>
      <c r="AK1094" s="289"/>
      <c r="AL1094" s="290"/>
      <c r="AM1094" s="211"/>
      <c r="AN1094" s="164"/>
      <c r="AO1094" s="594"/>
      <c r="AP1094" s="595"/>
      <c r="AQ1094" s="275"/>
      <c r="AR1094" s="52"/>
      <c r="AS1094" s="596"/>
      <c r="AT1094" s="79"/>
      <c r="AU1094" s="212"/>
      <c r="AV1094" s="164"/>
      <c r="AW1094" s="164"/>
      <c r="AX1094" s="76"/>
      <c r="AY1094" s="44"/>
      <c r="AZ1094" s="275"/>
      <c r="BA1094" s="52"/>
      <c r="BB1094" s="35"/>
      <c r="BC1094" s="79"/>
      <c r="BD1094" s="230"/>
      <c r="BE1094" s="211"/>
      <c r="BF1094" s="164"/>
      <c r="BG1094" s="76"/>
      <c r="BH1094" s="44"/>
      <c r="BI1094" s="275"/>
      <c r="BJ1094" s="52"/>
      <c r="BK1094" s="35"/>
      <c r="BL1094" s="79"/>
      <c r="BM1094" s="230"/>
      <c r="BN1094" s="211"/>
      <c r="BO1094" s="164"/>
      <c r="BP1094" s="726"/>
      <c r="BQ1094" s="727"/>
      <c r="BR1094" s="299"/>
      <c r="BS1094" s="35"/>
      <c r="BT1094" s="596"/>
      <c r="BU1094" s="79"/>
      <c r="BV1094" s="212"/>
      <c r="BW1094" s="304"/>
      <c r="BX1094" s="313"/>
      <c r="BY1094" s="138"/>
    </row>
    <row r="1095" spans="1:77" ht="15" customHeight="1" outlineLevel="1" x14ac:dyDescent="0.2">
      <c r="A1095" s="57" t="s">
        <v>24</v>
      </c>
      <c r="B1095" s="583" t="s">
        <v>477</v>
      </c>
      <c r="C1095" s="583" t="s">
        <v>1508</v>
      </c>
      <c r="D1095" s="818">
        <v>0.19600000000000001</v>
      </c>
      <c r="E1095" s="162" t="s">
        <v>631</v>
      </c>
      <c r="F1095" s="358"/>
      <c r="G1095" s="65"/>
      <c r="H1095" s="73"/>
      <c r="I1095" s="90"/>
      <c r="J1095" s="73"/>
      <c r="K1095" s="734">
        <v>1.2251E-2</v>
      </c>
      <c r="L1095" s="717"/>
      <c r="M1095" s="73"/>
      <c r="N1095" s="359"/>
      <c r="O1095" s="1041"/>
      <c r="P1095" s="73"/>
      <c r="Q1095" s="359"/>
      <c r="R1095" s="1041"/>
      <c r="S1095" s="73"/>
      <c r="T1095" s="359"/>
      <c r="U1095" s="73"/>
      <c r="V1095" s="66"/>
      <c r="W1095" s="808">
        <f t="shared" ref="W1095" si="778">AA1095*(1+AB1095)</f>
        <v>3.6753000000000033E-7</v>
      </c>
      <c r="X1095" s="809">
        <f t="shared" ref="X1095" si="779">AA1095*(1+AC1095)</f>
        <v>3.6753000000000033E-7</v>
      </c>
      <c r="Y1095" s="52">
        <v>2005</v>
      </c>
      <c r="Z1095" s="52"/>
      <c r="AA1095" s="739">
        <f t="shared" ref="AA1095" si="780">+K1095/1000</f>
        <v>1.2251E-5</v>
      </c>
      <c r="AB1095" s="256">
        <v>-0.97</v>
      </c>
      <c r="AC1095" s="688">
        <f t="shared" ref="AC1095:AC1096" si="781">AB1095</f>
        <v>-0.97</v>
      </c>
      <c r="AD1095" s="164"/>
      <c r="AE1095" s="164"/>
      <c r="AF1095" s="25"/>
      <c r="AG1095" s="26"/>
      <c r="AH1095" s="275"/>
      <c r="AI1095" s="52"/>
      <c r="AJ1095" s="35"/>
      <c r="AK1095" s="289"/>
      <c r="AL1095" s="290"/>
      <c r="AM1095" s="211"/>
      <c r="AN1095" s="164"/>
      <c r="AO1095" s="594"/>
      <c r="AP1095" s="595"/>
      <c r="AQ1095" s="275"/>
      <c r="AR1095" s="52"/>
      <c r="AS1095" s="596"/>
      <c r="AT1095" s="79"/>
      <c r="AU1095" s="212"/>
      <c r="AV1095" s="164"/>
      <c r="AW1095" s="164"/>
      <c r="AX1095" s="76"/>
      <c r="AY1095" s="44"/>
      <c r="AZ1095" s="275"/>
      <c r="BA1095" s="52"/>
      <c r="BB1095" s="35"/>
      <c r="BC1095" s="79"/>
      <c r="BD1095" s="230"/>
      <c r="BE1095" s="211"/>
      <c r="BF1095" s="164"/>
      <c r="BG1095" s="76"/>
      <c r="BH1095" s="44"/>
      <c r="BI1095" s="275"/>
      <c r="BJ1095" s="52"/>
      <c r="BK1095" s="35"/>
      <c r="BL1095" s="79"/>
      <c r="BM1095" s="230"/>
      <c r="BN1095" s="211"/>
      <c r="BO1095" s="164"/>
      <c r="BP1095" s="726"/>
      <c r="BQ1095" s="727"/>
      <c r="BR1095" s="299"/>
      <c r="BS1095" s="35"/>
      <c r="BT1095" s="596"/>
      <c r="BU1095" s="79"/>
      <c r="BV1095" s="212"/>
      <c r="BW1095" s="304"/>
      <c r="BX1095" s="313"/>
      <c r="BY1095" s="138"/>
    </row>
    <row r="1096" spans="1:77" ht="15" customHeight="1" outlineLevel="1" x14ac:dyDescent="0.2">
      <c r="A1096" s="57" t="s">
        <v>24</v>
      </c>
      <c r="B1096" s="583" t="s">
        <v>477</v>
      </c>
      <c r="C1096" s="583" t="s">
        <v>1728</v>
      </c>
      <c r="D1096" s="818">
        <v>0.74399999999999999</v>
      </c>
      <c r="E1096" s="162" t="s">
        <v>631</v>
      </c>
      <c r="F1096" s="358"/>
      <c r="G1096" s="65"/>
      <c r="H1096" s="73"/>
      <c r="I1096" s="90"/>
      <c r="J1096" s="73"/>
      <c r="K1096" s="734">
        <v>3.0270000000000002E-3</v>
      </c>
      <c r="L1096" s="717"/>
      <c r="M1096" s="73"/>
      <c r="N1096" s="359"/>
      <c r="O1096" s="1041"/>
      <c r="P1096" s="73"/>
      <c r="Q1096" s="359"/>
      <c r="R1096" s="1041"/>
      <c r="S1096" s="73"/>
      <c r="T1096" s="359"/>
      <c r="U1096" s="73"/>
      <c r="V1096" s="66"/>
      <c r="W1096" s="808">
        <f t="shared" ref="W1096" si="782">AA1096*(1+AB1096)</f>
        <v>2.27025E-6</v>
      </c>
      <c r="X1096" s="809">
        <f t="shared" ref="X1096" si="783">AA1096*(1+AC1096)</f>
        <v>2.27025E-6</v>
      </c>
      <c r="Y1096" s="52">
        <v>2005</v>
      </c>
      <c r="Z1096" s="52"/>
      <c r="AA1096" s="807">
        <f>+K1096/1000</f>
        <v>3.027E-6</v>
      </c>
      <c r="AB1096" s="256">
        <v>-0.25</v>
      </c>
      <c r="AC1096" s="688">
        <f t="shared" si="781"/>
        <v>-0.25</v>
      </c>
      <c r="AD1096" s="164"/>
      <c r="AE1096" s="164"/>
      <c r="AF1096" s="25"/>
      <c r="AG1096" s="26"/>
      <c r="AH1096" s="275"/>
      <c r="AI1096" s="52"/>
      <c r="AJ1096" s="35"/>
      <c r="AK1096" s="289"/>
      <c r="AL1096" s="290"/>
      <c r="AM1096" s="211"/>
      <c r="AN1096" s="164"/>
      <c r="AO1096" s="594"/>
      <c r="AP1096" s="595"/>
      <c r="AQ1096" s="275"/>
      <c r="AR1096" s="52"/>
      <c r="AS1096" s="596"/>
      <c r="AT1096" s="79"/>
      <c r="AU1096" s="212"/>
      <c r="AV1096" s="164"/>
      <c r="AW1096" s="164"/>
      <c r="AX1096" s="76"/>
      <c r="AY1096" s="44"/>
      <c r="AZ1096" s="275"/>
      <c r="BA1096" s="52"/>
      <c r="BB1096" s="35"/>
      <c r="BC1096" s="79"/>
      <c r="BD1096" s="230"/>
      <c r="BE1096" s="211"/>
      <c r="BF1096" s="164"/>
      <c r="BG1096" s="76"/>
      <c r="BH1096" s="44"/>
      <c r="BI1096" s="275"/>
      <c r="BJ1096" s="52"/>
      <c r="BK1096" s="35"/>
      <c r="BL1096" s="79"/>
      <c r="BM1096" s="230"/>
      <c r="BN1096" s="211"/>
      <c r="BO1096" s="164"/>
      <c r="BP1096" s="726"/>
      <c r="BQ1096" s="727"/>
      <c r="BR1096" s="299"/>
      <c r="BS1096" s="35"/>
      <c r="BT1096" s="596"/>
      <c r="BU1096" s="79"/>
      <c r="BV1096" s="212"/>
      <c r="BW1096" s="304"/>
      <c r="BX1096" s="313"/>
      <c r="BY1096" s="138"/>
    </row>
    <row r="1097" spans="1:77" ht="15" customHeight="1" outlineLevel="1" x14ac:dyDescent="0.2">
      <c r="A1097" s="57" t="s">
        <v>24</v>
      </c>
      <c r="B1097" s="583" t="s">
        <v>477</v>
      </c>
      <c r="C1097" s="583" t="s">
        <v>1352</v>
      </c>
      <c r="D1097" s="546">
        <v>3.069</v>
      </c>
      <c r="E1097" s="162" t="s">
        <v>631</v>
      </c>
      <c r="F1097" s="358"/>
      <c r="G1097" s="65"/>
      <c r="H1097" s="73"/>
      <c r="I1097" s="90"/>
      <c r="J1097" s="73"/>
      <c r="K1097" s="734">
        <v>7.4960000000000001E-3</v>
      </c>
      <c r="L1097" s="717"/>
      <c r="M1097" s="73"/>
      <c r="N1097" s="359"/>
      <c r="O1097" s="1041"/>
      <c r="P1097" s="73"/>
      <c r="Q1097" s="359"/>
      <c r="R1097" s="1041"/>
      <c r="S1097" s="73"/>
      <c r="T1097" s="359"/>
      <c r="U1097" s="73"/>
      <c r="V1097" s="66"/>
      <c r="W1097" s="788">
        <f t="shared" ref="W1097" si="784">AA1097*(1+AB1097)</f>
        <v>4.9473599999999992E-6</v>
      </c>
      <c r="X1097" s="789">
        <f t="shared" ref="X1097" si="785">AA1097*(1+AC1097)</f>
        <v>4.9473599999999992E-6</v>
      </c>
      <c r="Y1097" s="52">
        <v>2005</v>
      </c>
      <c r="Z1097" s="52"/>
      <c r="AA1097" s="739">
        <f t="shared" ref="AA1097:AA1103" si="786">+K1097/1000</f>
        <v>7.4959999999999999E-6</v>
      </c>
      <c r="AB1097" s="256">
        <v>-0.34</v>
      </c>
      <c r="AC1097" s="688">
        <f t="shared" si="763"/>
        <v>-0.34</v>
      </c>
      <c r="AD1097" s="164"/>
      <c r="AE1097" s="164"/>
      <c r="AF1097" s="25"/>
      <c r="AG1097" s="26"/>
      <c r="AH1097" s="275"/>
      <c r="AI1097" s="52"/>
      <c r="AJ1097" s="35"/>
      <c r="AK1097" s="289"/>
      <c r="AL1097" s="290"/>
      <c r="AM1097" s="211"/>
      <c r="AN1097" s="164"/>
      <c r="AO1097" s="594"/>
      <c r="AP1097" s="595"/>
      <c r="AQ1097" s="275"/>
      <c r="AR1097" s="52"/>
      <c r="AS1097" s="596"/>
      <c r="AT1097" s="79"/>
      <c r="AU1097" s="212"/>
      <c r="AV1097" s="164"/>
      <c r="AW1097" s="164"/>
      <c r="AX1097" s="76"/>
      <c r="AY1097" s="44"/>
      <c r="AZ1097" s="275"/>
      <c r="BA1097" s="52"/>
      <c r="BB1097" s="35"/>
      <c r="BC1097" s="79"/>
      <c r="BD1097" s="230"/>
      <c r="BE1097" s="211"/>
      <c r="BF1097" s="164"/>
      <c r="BG1097" s="76"/>
      <c r="BH1097" s="44"/>
      <c r="BI1097" s="275"/>
      <c r="BJ1097" s="52"/>
      <c r="BK1097" s="35"/>
      <c r="BL1097" s="79"/>
      <c r="BM1097" s="230"/>
      <c r="BN1097" s="211"/>
      <c r="BO1097" s="164"/>
      <c r="BP1097" s="726"/>
      <c r="BQ1097" s="727"/>
      <c r="BR1097" s="299"/>
      <c r="BS1097" s="35"/>
      <c r="BT1097" s="596"/>
      <c r="BU1097" s="79"/>
      <c r="BV1097" s="212"/>
      <c r="BW1097" s="304"/>
      <c r="BX1097" s="313"/>
      <c r="BY1097" s="138"/>
    </row>
    <row r="1098" spans="1:77" ht="15" customHeight="1" outlineLevel="1" x14ac:dyDescent="0.2">
      <c r="A1098" s="57" t="s">
        <v>24</v>
      </c>
      <c r="B1098" s="583" t="s">
        <v>477</v>
      </c>
      <c r="C1098" s="583" t="s">
        <v>1850</v>
      </c>
      <c r="D1098" s="546">
        <v>0.437</v>
      </c>
      <c r="E1098" s="162" t="s">
        <v>631</v>
      </c>
      <c r="F1098" s="358"/>
      <c r="G1098" s="65"/>
      <c r="H1098" s="73"/>
      <c r="I1098" s="90"/>
      <c r="J1098" s="73"/>
      <c r="K1098" s="734">
        <v>3.1399999999999999E-4</v>
      </c>
      <c r="L1098" s="717"/>
      <c r="M1098" s="73"/>
      <c r="N1098" s="359"/>
      <c r="O1098" s="1041"/>
      <c r="P1098" s="73"/>
      <c r="Q1098" s="359"/>
      <c r="R1098" s="1041"/>
      <c r="S1098" s="73"/>
      <c r="T1098" s="359"/>
      <c r="U1098" s="73"/>
      <c r="V1098" s="66"/>
      <c r="W1098" s="906">
        <f t="shared" ref="W1098" si="787">AA1098*(1+AB1098)</f>
        <v>2.3235999999999997E-7</v>
      </c>
      <c r="X1098" s="907">
        <f t="shared" ref="X1098" si="788">AA1098*(1+AC1098)</f>
        <v>2.3235999999999997E-7</v>
      </c>
      <c r="Y1098" s="52">
        <v>2005</v>
      </c>
      <c r="Z1098" s="52"/>
      <c r="AA1098" s="908">
        <f>+K1098/1000</f>
        <v>3.1399999999999998E-7</v>
      </c>
      <c r="AB1098" s="256">
        <v>-0.26</v>
      </c>
      <c r="AC1098" s="688">
        <f t="shared" si="763"/>
        <v>-0.26</v>
      </c>
      <c r="AD1098" s="164"/>
      <c r="AE1098" s="164"/>
      <c r="AF1098" s="25"/>
      <c r="AG1098" s="26"/>
      <c r="AH1098" s="275"/>
      <c r="AI1098" s="52"/>
      <c r="AJ1098" s="35"/>
      <c r="AK1098" s="289"/>
      <c r="AL1098" s="290"/>
      <c r="AM1098" s="211"/>
      <c r="AN1098" s="164"/>
      <c r="AO1098" s="594"/>
      <c r="AP1098" s="595"/>
      <c r="AQ1098" s="275"/>
      <c r="AR1098" s="52"/>
      <c r="AS1098" s="596"/>
      <c r="AT1098" s="79"/>
      <c r="AU1098" s="212"/>
      <c r="AV1098" s="164"/>
      <c r="AW1098" s="164"/>
      <c r="AX1098" s="76"/>
      <c r="AY1098" s="44"/>
      <c r="AZ1098" s="275"/>
      <c r="BA1098" s="52"/>
      <c r="BB1098" s="35"/>
      <c r="BC1098" s="79"/>
      <c r="BD1098" s="230"/>
      <c r="BE1098" s="211"/>
      <c r="BF1098" s="164"/>
      <c r="BG1098" s="76"/>
      <c r="BH1098" s="44"/>
      <c r="BI1098" s="275"/>
      <c r="BJ1098" s="52"/>
      <c r="BK1098" s="35"/>
      <c r="BL1098" s="79"/>
      <c r="BM1098" s="230"/>
      <c r="BN1098" s="211"/>
      <c r="BO1098" s="164"/>
      <c r="BP1098" s="726"/>
      <c r="BQ1098" s="727"/>
      <c r="BR1098" s="299"/>
      <c r="BS1098" s="35"/>
      <c r="BT1098" s="596"/>
      <c r="BU1098" s="79"/>
      <c r="BV1098" s="212"/>
      <c r="BW1098" s="304"/>
      <c r="BX1098" s="313"/>
      <c r="BY1098" s="138"/>
    </row>
    <row r="1099" spans="1:77" ht="15" customHeight="1" outlineLevel="1" x14ac:dyDescent="0.2">
      <c r="A1099" s="57" t="s">
        <v>24</v>
      </c>
      <c r="B1099" s="583" t="s">
        <v>477</v>
      </c>
      <c r="C1099" s="583" t="s">
        <v>1886</v>
      </c>
      <c r="D1099" s="546">
        <v>4.1900000000000004</v>
      </c>
      <c r="E1099" s="162" t="s">
        <v>631</v>
      </c>
      <c r="F1099" s="358"/>
      <c r="G1099" s="65"/>
      <c r="H1099" s="73"/>
      <c r="I1099" s="90"/>
      <c r="J1099" s="73"/>
      <c r="K1099" s="734">
        <v>1.8651999999999998E-2</v>
      </c>
      <c r="L1099" s="717"/>
      <c r="M1099" s="73"/>
      <c r="N1099" s="359"/>
      <c r="O1099" s="1041"/>
      <c r="P1099" s="73"/>
      <c r="Q1099" s="359"/>
      <c r="R1099" s="1041"/>
      <c r="S1099" s="73"/>
      <c r="T1099" s="359"/>
      <c r="U1099" s="73"/>
      <c r="V1099" s="66"/>
      <c r="W1099" s="788">
        <f t="shared" ref="W1099" si="789">AA1099*(1+AB1099)</f>
        <v>1.3802479999999997E-5</v>
      </c>
      <c r="X1099" s="789">
        <f t="shared" ref="X1099" si="790">AA1099*(1+AC1099)</f>
        <v>1.3802479999999997E-5</v>
      </c>
      <c r="Y1099" s="52">
        <v>2005</v>
      </c>
      <c r="Z1099" s="52"/>
      <c r="AA1099" s="787">
        <f>+K1099/1000</f>
        <v>1.8651999999999997E-5</v>
      </c>
      <c r="AB1099" s="256">
        <v>-0.26</v>
      </c>
      <c r="AC1099" s="688">
        <f t="shared" si="763"/>
        <v>-0.26</v>
      </c>
      <c r="AD1099" s="164"/>
      <c r="AE1099" s="164"/>
      <c r="AF1099" s="25"/>
      <c r="AG1099" s="26"/>
      <c r="AH1099" s="275"/>
      <c r="AI1099" s="52"/>
      <c r="AJ1099" s="35"/>
      <c r="AK1099" s="289"/>
      <c r="AL1099" s="290"/>
      <c r="AM1099" s="211"/>
      <c r="AN1099" s="164"/>
      <c r="AO1099" s="594"/>
      <c r="AP1099" s="595"/>
      <c r="AQ1099" s="275"/>
      <c r="AR1099" s="52"/>
      <c r="AS1099" s="596"/>
      <c r="AT1099" s="79"/>
      <c r="AU1099" s="212"/>
      <c r="AV1099" s="164"/>
      <c r="AW1099" s="164"/>
      <c r="AX1099" s="76"/>
      <c r="AY1099" s="44"/>
      <c r="AZ1099" s="275"/>
      <c r="BA1099" s="52"/>
      <c r="BB1099" s="35"/>
      <c r="BC1099" s="79"/>
      <c r="BD1099" s="230"/>
      <c r="BE1099" s="211"/>
      <c r="BF1099" s="164"/>
      <c r="BG1099" s="76"/>
      <c r="BH1099" s="44"/>
      <c r="BI1099" s="275"/>
      <c r="BJ1099" s="52"/>
      <c r="BK1099" s="35"/>
      <c r="BL1099" s="79"/>
      <c r="BM1099" s="230"/>
      <c r="BN1099" s="211"/>
      <c r="BO1099" s="164"/>
      <c r="BP1099" s="726"/>
      <c r="BQ1099" s="727"/>
      <c r="BR1099" s="299"/>
      <c r="BS1099" s="35"/>
      <c r="BT1099" s="596"/>
      <c r="BU1099" s="79"/>
      <c r="BV1099" s="212"/>
      <c r="BW1099" s="304"/>
      <c r="BX1099" s="313"/>
      <c r="BY1099" s="138"/>
    </row>
    <row r="1100" spans="1:77" ht="15" customHeight="1" outlineLevel="1" x14ac:dyDescent="0.2">
      <c r="A1100" s="57" t="s">
        <v>24</v>
      </c>
      <c r="B1100" s="583" t="s">
        <v>477</v>
      </c>
      <c r="C1100" s="583" t="s">
        <v>2070</v>
      </c>
      <c r="D1100" s="546">
        <v>3.96</v>
      </c>
      <c r="E1100" s="162" t="s">
        <v>631</v>
      </c>
      <c r="F1100" s="358"/>
      <c r="G1100" s="65"/>
      <c r="H1100" s="73"/>
      <c r="I1100" s="90">
        <v>2007</v>
      </c>
      <c r="J1100" s="73"/>
      <c r="K1100" s="734">
        <v>1.5657999999999998E-2</v>
      </c>
      <c r="L1100" s="717"/>
      <c r="M1100" s="73"/>
      <c r="N1100" s="359"/>
      <c r="O1100" s="1041"/>
      <c r="P1100" s="73"/>
      <c r="Q1100" s="359"/>
      <c r="R1100" s="1041"/>
      <c r="S1100" s="73"/>
      <c r="T1100" s="359"/>
      <c r="U1100" s="73"/>
      <c r="V1100" s="66"/>
      <c r="W1100" s="788">
        <f t="shared" ref="W1100" si="791">AA1100*(1+AB1100)</f>
        <v>1.1117179999999998E-5</v>
      </c>
      <c r="X1100" s="789">
        <f t="shared" ref="X1100" si="792">AA1100*(1+AC1100)</f>
        <v>1.1117179999999998E-5</v>
      </c>
      <c r="Y1100" s="52">
        <v>2007</v>
      </c>
      <c r="Z1100" s="52"/>
      <c r="AA1100" s="787">
        <f>+K1100/1000</f>
        <v>1.5657999999999998E-5</v>
      </c>
      <c r="AB1100" s="256">
        <v>-0.28999999999999998</v>
      </c>
      <c r="AC1100" s="688">
        <f t="shared" si="763"/>
        <v>-0.28999999999999998</v>
      </c>
      <c r="AD1100" s="164"/>
      <c r="AE1100" s="164"/>
      <c r="AF1100" s="25"/>
      <c r="AG1100" s="26"/>
      <c r="AH1100" s="275"/>
      <c r="AI1100" s="52"/>
      <c r="AJ1100" s="35"/>
      <c r="AK1100" s="289"/>
      <c r="AL1100" s="290"/>
      <c r="AM1100" s="211"/>
      <c r="AN1100" s="164"/>
      <c r="AO1100" s="594"/>
      <c r="AP1100" s="595"/>
      <c r="AQ1100" s="275"/>
      <c r="AR1100" s="52"/>
      <c r="AS1100" s="596"/>
      <c r="AT1100" s="79"/>
      <c r="AU1100" s="212"/>
      <c r="AV1100" s="164"/>
      <c r="AW1100" s="164"/>
      <c r="AX1100" s="76"/>
      <c r="AY1100" s="44"/>
      <c r="AZ1100" s="275"/>
      <c r="BA1100" s="52"/>
      <c r="BB1100" s="35"/>
      <c r="BC1100" s="79"/>
      <c r="BD1100" s="230"/>
      <c r="BE1100" s="211"/>
      <c r="BF1100" s="164"/>
      <c r="BG1100" s="76"/>
      <c r="BH1100" s="44"/>
      <c r="BI1100" s="275"/>
      <c r="BJ1100" s="52"/>
      <c r="BK1100" s="35"/>
      <c r="BL1100" s="79"/>
      <c r="BM1100" s="230"/>
      <c r="BN1100" s="211"/>
      <c r="BO1100" s="164"/>
      <c r="BP1100" s="726"/>
      <c r="BQ1100" s="727"/>
      <c r="BR1100" s="299"/>
      <c r="BS1100" s="35"/>
      <c r="BT1100" s="596"/>
      <c r="BU1100" s="79"/>
      <c r="BV1100" s="212"/>
      <c r="BW1100" s="304"/>
      <c r="BX1100" s="313"/>
      <c r="BY1100" s="138"/>
    </row>
    <row r="1101" spans="1:77" ht="15" customHeight="1" outlineLevel="1" x14ac:dyDescent="0.2">
      <c r="A1101" s="57" t="s">
        <v>24</v>
      </c>
      <c r="B1101" s="583" t="s">
        <v>477</v>
      </c>
      <c r="C1101" s="583" t="s">
        <v>1999</v>
      </c>
      <c r="D1101" s="546">
        <v>1.694</v>
      </c>
      <c r="E1101" s="162" t="s">
        <v>631</v>
      </c>
      <c r="F1101" s="358"/>
      <c r="G1101" s="65"/>
      <c r="H1101" s="73"/>
      <c r="I1101" s="90"/>
      <c r="J1101" s="73"/>
      <c r="K1101" s="734">
        <v>8.0770000000000008E-3</v>
      </c>
      <c r="L1101" s="717"/>
      <c r="M1101" s="73"/>
      <c r="N1101" s="359"/>
      <c r="O1101" s="1041"/>
      <c r="P1101" s="73"/>
      <c r="Q1101" s="359"/>
      <c r="R1101" s="1041"/>
      <c r="S1101" s="73"/>
      <c r="T1101" s="359"/>
      <c r="U1101" s="73"/>
      <c r="V1101" s="66"/>
      <c r="W1101" s="788">
        <f t="shared" ref="W1101" si="793">AA1101*(1+AB1101)</f>
        <v>5.8154400000000005E-6</v>
      </c>
      <c r="X1101" s="789">
        <f t="shared" ref="X1101" si="794">AA1101*(1+AC1101)</f>
        <v>5.8154400000000005E-6</v>
      </c>
      <c r="Y1101" s="52">
        <v>2005</v>
      </c>
      <c r="Z1101" s="52"/>
      <c r="AA1101" s="787">
        <f>+K1101/1000</f>
        <v>8.0770000000000008E-6</v>
      </c>
      <c r="AB1101" s="256">
        <v>-0.28000000000000003</v>
      </c>
      <c r="AC1101" s="688">
        <f t="shared" si="763"/>
        <v>-0.28000000000000003</v>
      </c>
      <c r="AD1101" s="164"/>
      <c r="AE1101" s="164"/>
      <c r="AF1101" s="25"/>
      <c r="AG1101" s="26"/>
      <c r="AH1101" s="275"/>
      <c r="AI1101" s="52"/>
      <c r="AJ1101" s="35"/>
      <c r="AK1101" s="289"/>
      <c r="AL1101" s="290"/>
      <c r="AM1101" s="211"/>
      <c r="AN1101" s="164"/>
      <c r="AO1101" s="594"/>
      <c r="AP1101" s="595"/>
      <c r="AQ1101" s="275"/>
      <c r="AR1101" s="52"/>
      <c r="AS1101" s="596"/>
      <c r="AT1101" s="79"/>
      <c r="AU1101" s="212"/>
      <c r="AV1101" s="164"/>
      <c r="AW1101" s="164"/>
      <c r="AX1101" s="76"/>
      <c r="AY1101" s="44"/>
      <c r="AZ1101" s="275"/>
      <c r="BA1101" s="52"/>
      <c r="BB1101" s="35"/>
      <c r="BC1101" s="79"/>
      <c r="BD1101" s="230"/>
      <c r="BE1101" s="211"/>
      <c r="BF1101" s="164"/>
      <c r="BG1101" s="76"/>
      <c r="BH1101" s="44"/>
      <c r="BI1101" s="275"/>
      <c r="BJ1101" s="52"/>
      <c r="BK1101" s="35"/>
      <c r="BL1101" s="79"/>
      <c r="BM1101" s="230"/>
      <c r="BN1101" s="211"/>
      <c r="BO1101" s="164"/>
      <c r="BP1101" s="726"/>
      <c r="BQ1101" s="727"/>
      <c r="BR1101" s="299"/>
      <c r="BS1101" s="35"/>
      <c r="BT1101" s="596"/>
      <c r="BU1101" s="79"/>
      <c r="BV1101" s="212"/>
      <c r="BW1101" s="304"/>
      <c r="BX1101" s="313"/>
      <c r="BY1101" s="138"/>
    </row>
    <row r="1102" spans="1:77" ht="15" customHeight="1" outlineLevel="1" x14ac:dyDescent="0.2">
      <c r="A1102" s="57" t="s">
        <v>24</v>
      </c>
      <c r="B1102" s="583" t="s">
        <v>477</v>
      </c>
      <c r="C1102" s="583" t="s">
        <v>1955</v>
      </c>
      <c r="D1102" s="546">
        <v>17.157</v>
      </c>
      <c r="E1102" s="162" t="s">
        <v>631</v>
      </c>
      <c r="F1102" s="358"/>
      <c r="G1102" s="65"/>
      <c r="H1102" s="73"/>
      <c r="I1102" s="90"/>
      <c r="J1102" s="73"/>
      <c r="K1102" s="734"/>
      <c r="L1102" s="717"/>
      <c r="M1102" s="73"/>
      <c r="N1102" s="359"/>
      <c r="O1102" s="1041"/>
      <c r="P1102" s="73"/>
      <c r="Q1102" s="359"/>
      <c r="R1102" s="1041"/>
      <c r="S1102" s="73"/>
      <c r="T1102" s="359"/>
      <c r="U1102" s="73"/>
      <c r="V1102" s="66"/>
      <c r="W1102" s="788"/>
      <c r="X1102" s="789"/>
      <c r="Y1102" s="52"/>
      <c r="Z1102" s="52"/>
      <c r="AA1102" s="787"/>
      <c r="AB1102" s="256"/>
      <c r="AC1102" s="688"/>
      <c r="AD1102" s="164"/>
      <c r="AE1102" s="164"/>
      <c r="AF1102" s="25"/>
      <c r="AG1102" s="26"/>
      <c r="AH1102" s="275"/>
      <c r="AI1102" s="52"/>
      <c r="AJ1102" s="35"/>
      <c r="AK1102" s="289"/>
      <c r="AL1102" s="290"/>
      <c r="AM1102" s="211"/>
      <c r="AN1102" s="164"/>
      <c r="AO1102" s="594"/>
      <c r="AP1102" s="595"/>
      <c r="AQ1102" s="275"/>
      <c r="AR1102" s="52"/>
      <c r="AS1102" s="596"/>
      <c r="AT1102" s="79"/>
      <c r="AU1102" s="212"/>
      <c r="AV1102" s="164"/>
      <c r="AW1102" s="164"/>
      <c r="AX1102" s="76"/>
      <c r="AY1102" s="44"/>
      <c r="AZ1102" s="275"/>
      <c r="BA1102" s="52"/>
      <c r="BB1102" s="35"/>
      <c r="BC1102" s="79"/>
      <c r="BD1102" s="230"/>
      <c r="BE1102" s="211"/>
      <c r="BF1102" s="164"/>
      <c r="BG1102" s="76"/>
      <c r="BH1102" s="44"/>
      <c r="BI1102" s="275"/>
      <c r="BJ1102" s="52"/>
      <c r="BK1102" s="35"/>
      <c r="BL1102" s="79"/>
      <c r="BM1102" s="230"/>
      <c r="BN1102" s="211"/>
      <c r="BO1102" s="164"/>
      <c r="BP1102" s="726"/>
      <c r="BQ1102" s="727"/>
      <c r="BR1102" s="299"/>
      <c r="BS1102" s="35"/>
      <c r="BT1102" s="596"/>
      <c r="BU1102" s="79"/>
      <c r="BV1102" s="212"/>
      <c r="BW1102" s="304"/>
      <c r="BX1102" s="313"/>
      <c r="BY1102" s="138"/>
    </row>
    <row r="1103" spans="1:77" ht="15" customHeight="1" outlineLevel="1" x14ac:dyDescent="0.2">
      <c r="A1103" s="57" t="s">
        <v>24</v>
      </c>
      <c r="B1103" s="583" t="s">
        <v>477</v>
      </c>
      <c r="C1103" s="583" t="s">
        <v>1772</v>
      </c>
      <c r="D1103" s="546">
        <v>6.399</v>
      </c>
      <c r="E1103" s="162" t="s">
        <v>631</v>
      </c>
      <c r="F1103" s="358"/>
      <c r="G1103" s="65"/>
      <c r="H1103" s="73"/>
      <c r="I1103" s="90"/>
      <c r="J1103" s="73"/>
      <c r="K1103" s="734">
        <v>2.2814000000000001E-2</v>
      </c>
      <c r="L1103" s="717"/>
      <c r="M1103" s="73"/>
      <c r="N1103" s="359"/>
      <c r="O1103" s="1041"/>
      <c r="P1103" s="73"/>
      <c r="Q1103" s="359"/>
      <c r="R1103" s="1041"/>
      <c r="S1103" s="73"/>
      <c r="T1103" s="359"/>
      <c r="U1103" s="73"/>
      <c r="V1103" s="66"/>
      <c r="W1103" s="788">
        <f t="shared" ref="W1103" si="795">AA1103*(1+AB1103)</f>
        <v>1.7110500000000002E-5</v>
      </c>
      <c r="X1103" s="789">
        <f t="shared" ref="X1103" si="796">AA1103*(1+AC1103)</f>
        <v>1.7110500000000002E-5</v>
      </c>
      <c r="Y1103" s="52">
        <v>2005</v>
      </c>
      <c r="Z1103" s="52"/>
      <c r="AA1103" s="739">
        <f t="shared" si="786"/>
        <v>2.2814000000000002E-5</v>
      </c>
      <c r="AB1103" s="256">
        <v>-0.25</v>
      </c>
      <c r="AC1103" s="688">
        <f t="shared" si="763"/>
        <v>-0.25</v>
      </c>
      <c r="AD1103" s="164"/>
      <c r="AE1103" s="164"/>
      <c r="AF1103" s="25"/>
      <c r="AG1103" s="26"/>
      <c r="AH1103" s="275"/>
      <c r="AI1103" s="52"/>
      <c r="AJ1103" s="35"/>
      <c r="AK1103" s="289"/>
      <c r="AL1103" s="290"/>
      <c r="AM1103" s="211"/>
      <c r="AN1103" s="164"/>
      <c r="AO1103" s="594"/>
      <c r="AP1103" s="595"/>
      <c r="AQ1103" s="275"/>
      <c r="AR1103" s="52"/>
      <c r="AS1103" s="596"/>
      <c r="AT1103" s="79"/>
      <c r="AU1103" s="212"/>
      <c r="AV1103" s="164"/>
      <c r="AW1103" s="164"/>
      <c r="AX1103" s="76"/>
      <c r="AY1103" s="44"/>
      <c r="AZ1103" s="275"/>
      <c r="BA1103" s="52"/>
      <c r="BB1103" s="35"/>
      <c r="BC1103" s="79"/>
      <c r="BD1103" s="230"/>
      <c r="BE1103" s="211"/>
      <c r="BF1103" s="164"/>
      <c r="BG1103" s="76"/>
      <c r="BH1103" s="44"/>
      <c r="BI1103" s="275"/>
      <c r="BJ1103" s="52"/>
      <c r="BK1103" s="35"/>
      <c r="BL1103" s="79"/>
      <c r="BM1103" s="230"/>
      <c r="BN1103" s="211"/>
      <c r="BO1103" s="164"/>
      <c r="BP1103" s="726"/>
      <c r="BQ1103" s="727"/>
      <c r="BR1103" s="299"/>
      <c r="BS1103" s="35"/>
      <c r="BT1103" s="596"/>
      <c r="BU1103" s="79"/>
      <c r="BV1103" s="212"/>
      <c r="BW1103" s="304"/>
      <c r="BX1103" s="313"/>
      <c r="BY1103" s="138"/>
    </row>
    <row r="1104" spans="1:77" ht="15" customHeight="1" outlineLevel="1" x14ac:dyDescent="0.2">
      <c r="A1104" s="57" t="s">
        <v>24</v>
      </c>
      <c r="B1104" s="583" t="s">
        <v>477</v>
      </c>
      <c r="C1104" s="583" t="s">
        <v>1292</v>
      </c>
      <c r="D1104" s="546">
        <v>4.2789999999999999</v>
      </c>
      <c r="E1104" s="162" t="s">
        <v>631</v>
      </c>
      <c r="F1104" s="358"/>
      <c r="G1104" s="65"/>
      <c r="H1104" s="73"/>
      <c r="I1104" s="90"/>
      <c r="J1104" s="73"/>
      <c r="K1104" s="734">
        <v>1.3769999999999999E-2</v>
      </c>
      <c r="L1104" s="717"/>
      <c r="M1104" s="73"/>
      <c r="N1104" s="359"/>
      <c r="O1104" s="1041"/>
      <c r="P1104" s="73"/>
      <c r="Q1104" s="359"/>
      <c r="R1104" s="1041"/>
      <c r="S1104" s="73"/>
      <c r="T1104" s="359"/>
      <c r="U1104" s="73"/>
      <c r="V1104" s="66"/>
      <c r="W1104" s="740">
        <f t="shared" si="643"/>
        <v>8.6750999999999993E-6</v>
      </c>
      <c r="X1104" s="741">
        <f t="shared" si="644"/>
        <v>8.6750999999999993E-6</v>
      </c>
      <c r="Y1104" s="52">
        <v>2005</v>
      </c>
      <c r="Z1104" s="52"/>
      <c r="AA1104" s="739">
        <f t="shared" si="732"/>
        <v>1.3769999999999999E-5</v>
      </c>
      <c r="AB1104" s="256">
        <v>-0.37</v>
      </c>
      <c r="AC1104" s="688">
        <f t="shared" si="763"/>
        <v>-0.37</v>
      </c>
      <c r="AD1104" s="164"/>
      <c r="AE1104" s="164"/>
      <c r="AF1104" s="25"/>
      <c r="AG1104" s="26"/>
      <c r="AH1104" s="275"/>
      <c r="AI1104" s="52"/>
      <c r="AJ1104" s="35"/>
      <c r="AK1104" s="289"/>
      <c r="AL1104" s="290"/>
      <c r="AM1104" s="211"/>
      <c r="AN1104" s="164"/>
      <c r="AO1104" s="594"/>
      <c r="AP1104" s="595"/>
      <c r="AQ1104" s="275"/>
      <c r="AR1104" s="52"/>
      <c r="AS1104" s="596"/>
      <c r="AT1104" s="79"/>
      <c r="AU1104" s="212"/>
      <c r="AV1104" s="164"/>
      <c r="AW1104" s="164"/>
      <c r="AX1104" s="76"/>
      <c r="AY1104" s="44"/>
      <c r="AZ1104" s="275"/>
      <c r="BA1104" s="52"/>
      <c r="BB1104" s="35"/>
      <c r="BC1104" s="79"/>
      <c r="BD1104" s="230"/>
      <c r="BE1104" s="211"/>
      <c r="BF1104" s="164"/>
      <c r="BG1104" s="76"/>
      <c r="BH1104" s="44"/>
      <c r="BI1104" s="275"/>
      <c r="BJ1104" s="52"/>
      <c r="BK1104" s="35"/>
      <c r="BL1104" s="79"/>
      <c r="BM1104" s="230"/>
      <c r="BN1104" s="211"/>
      <c r="BO1104" s="164"/>
      <c r="BP1104" s="726"/>
      <c r="BQ1104" s="727"/>
      <c r="BR1104" s="299"/>
      <c r="BS1104" s="35"/>
      <c r="BT1104" s="596"/>
      <c r="BU1104" s="79"/>
      <c r="BV1104" s="212"/>
      <c r="BW1104" s="304"/>
      <c r="BX1104" s="313"/>
      <c r="BY1104" s="138"/>
    </row>
    <row r="1105" spans="1:77" ht="15" customHeight="1" outlineLevel="1" x14ac:dyDescent="0.2">
      <c r="A1105" s="57" t="s">
        <v>24</v>
      </c>
      <c r="B1105" s="583" t="s">
        <v>477</v>
      </c>
      <c r="C1105" s="583" t="s">
        <v>1703</v>
      </c>
      <c r="D1105" s="546">
        <v>15.582000000000001</v>
      </c>
      <c r="E1105" s="162" t="s">
        <v>631</v>
      </c>
      <c r="F1105" s="358"/>
      <c r="G1105" s="65"/>
      <c r="H1105" s="73"/>
      <c r="I1105" s="90"/>
      <c r="J1105" s="73"/>
      <c r="K1105" s="734">
        <v>9.0404999999999999E-2</v>
      </c>
      <c r="L1105" s="717"/>
      <c r="M1105" s="73"/>
      <c r="N1105" s="359"/>
      <c r="O1105" s="1041"/>
      <c r="P1105" s="73"/>
      <c r="Q1105" s="359"/>
      <c r="R1105" s="1041"/>
      <c r="S1105" s="73"/>
      <c r="T1105" s="359"/>
      <c r="U1105" s="73"/>
      <c r="V1105" s="66"/>
      <c r="W1105" s="740">
        <f t="shared" si="643"/>
        <v>6.7803749999999999E-5</v>
      </c>
      <c r="X1105" s="741">
        <f t="shared" si="644"/>
        <v>6.7803749999999999E-5</v>
      </c>
      <c r="Y1105" s="52">
        <v>2005</v>
      </c>
      <c r="Z1105" s="52"/>
      <c r="AA1105" s="739">
        <f t="shared" si="732"/>
        <v>9.0404999999999999E-5</v>
      </c>
      <c r="AB1105" s="256">
        <v>-0.25</v>
      </c>
      <c r="AC1105" s="688">
        <f t="shared" si="763"/>
        <v>-0.25</v>
      </c>
      <c r="AD1105" s="164"/>
      <c r="AE1105" s="164"/>
      <c r="AF1105" s="25"/>
      <c r="AG1105" s="26"/>
      <c r="AH1105" s="275"/>
      <c r="AI1105" s="52"/>
      <c r="AJ1105" s="35"/>
      <c r="AK1105" s="289"/>
      <c r="AL1105" s="290"/>
      <c r="AM1105" s="211"/>
      <c r="AN1105" s="164"/>
      <c r="AO1105" s="594"/>
      <c r="AP1105" s="595"/>
      <c r="AQ1105" s="275"/>
      <c r="AR1105" s="52"/>
      <c r="AS1105" s="596"/>
      <c r="AT1105" s="79"/>
      <c r="AU1105" s="212"/>
      <c r="AV1105" s="164"/>
      <c r="AW1105" s="164"/>
      <c r="AX1105" s="76"/>
      <c r="AY1105" s="44"/>
      <c r="AZ1105" s="275"/>
      <c r="BA1105" s="52"/>
      <c r="BB1105" s="35"/>
      <c r="BC1105" s="79"/>
      <c r="BD1105" s="230"/>
      <c r="BE1105" s="211"/>
      <c r="BF1105" s="164"/>
      <c r="BG1105" s="76"/>
      <c r="BH1105" s="44"/>
      <c r="BI1105" s="275"/>
      <c r="BJ1105" s="52"/>
      <c r="BK1105" s="35"/>
      <c r="BL1105" s="79"/>
      <c r="BM1105" s="230"/>
      <c r="BN1105" s="211"/>
      <c r="BO1105" s="164"/>
      <c r="BP1105" s="726"/>
      <c r="BQ1105" s="727"/>
      <c r="BR1105" s="299"/>
      <c r="BS1105" s="35"/>
      <c r="BT1105" s="596"/>
      <c r="BU1105" s="79"/>
      <c r="BV1105" s="212"/>
      <c r="BW1105" s="304"/>
      <c r="BX1105" s="313"/>
      <c r="BY1105" s="138"/>
    </row>
    <row r="1106" spans="1:77" ht="15" customHeight="1" outlineLevel="1" x14ac:dyDescent="0.2">
      <c r="A1106" s="57" t="s">
        <v>24</v>
      </c>
      <c r="B1106" s="583" t="s">
        <v>477</v>
      </c>
      <c r="C1106" s="583" t="s">
        <v>1713</v>
      </c>
      <c r="D1106" s="546">
        <v>9.1180000000000003</v>
      </c>
      <c r="E1106" s="162" t="s">
        <v>631</v>
      </c>
      <c r="F1106" s="358"/>
      <c r="G1106" s="65"/>
      <c r="H1106" s="73"/>
      <c r="I1106" s="90"/>
      <c r="J1106" s="73"/>
      <c r="K1106" s="734">
        <v>4.8401E-2</v>
      </c>
      <c r="L1106" s="717"/>
      <c r="M1106" s="73"/>
      <c r="N1106" s="359"/>
      <c r="O1106" s="1041"/>
      <c r="P1106" s="73"/>
      <c r="Q1106" s="359"/>
      <c r="R1106" s="1041"/>
      <c r="S1106" s="73"/>
      <c r="T1106" s="359"/>
      <c r="U1106" s="73"/>
      <c r="V1106" s="66"/>
      <c r="W1106" s="740">
        <f t="shared" si="643"/>
        <v>3.630075E-5</v>
      </c>
      <c r="X1106" s="741">
        <f t="shared" si="644"/>
        <v>3.630075E-5</v>
      </c>
      <c r="Y1106" s="52">
        <v>2005</v>
      </c>
      <c r="Z1106" s="52"/>
      <c r="AA1106" s="739">
        <f t="shared" si="732"/>
        <v>4.8401E-5</v>
      </c>
      <c r="AB1106" s="256">
        <v>-0.25</v>
      </c>
      <c r="AC1106" s="688">
        <f t="shared" si="763"/>
        <v>-0.25</v>
      </c>
      <c r="AD1106" s="164"/>
      <c r="AE1106" s="164"/>
      <c r="AF1106" s="25"/>
      <c r="AG1106" s="26"/>
      <c r="AH1106" s="275"/>
      <c r="AI1106" s="52"/>
      <c r="AJ1106" s="35"/>
      <c r="AK1106" s="289"/>
      <c r="AL1106" s="290"/>
      <c r="AM1106" s="211"/>
      <c r="AN1106" s="164"/>
      <c r="AO1106" s="594"/>
      <c r="AP1106" s="595"/>
      <c r="AQ1106" s="275"/>
      <c r="AR1106" s="52"/>
      <c r="AS1106" s="596"/>
      <c r="AT1106" s="79"/>
      <c r="AU1106" s="212"/>
      <c r="AV1106" s="164"/>
      <c r="AW1106" s="164"/>
      <c r="AX1106" s="76"/>
      <c r="AY1106" s="44"/>
      <c r="AZ1106" s="275"/>
      <c r="BA1106" s="52"/>
      <c r="BB1106" s="35"/>
      <c r="BC1106" s="79"/>
      <c r="BD1106" s="230"/>
      <c r="BE1106" s="211"/>
      <c r="BF1106" s="164"/>
      <c r="BG1106" s="76"/>
      <c r="BH1106" s="44"/>
      <c r="BI1106" s="275"/>
      <c r="BJ1106" s="52"/>
      <c r="BK1106" s="35"/>
      <c r="BL1106" s="79"/>
      <c r="BM1106" s="230"/>
      <c r="BN1106" s="211"/>
      <c r="BO1106" s="164"/>
      <c r="BP1106" s="726"/>
      <c r="BQ1106" s="727"/>
      <c r="BR1106" s="299"/>
      <c r="BS1106" s="35"/>
      <c r="BT1106" s="596"/>
      <c r="BU1106" s="79"/>
      <c r="BV1106" s="212"/>
      <c r="BW1106" s="304"/>
      <c r="BX1106" s="313"/>
      <c r="BY1106" s="138"/>
    </row>
    <row r="1107" spans="1:77" ht="15" customHeight="1" outlineLevel="1" x14ac:dyDescent="0.2">
      <c r="A1107" s="57" t="s">
        <v>24</v>
      </c>
      <c r="B1107" s="583" t="s">
        <v>477</v>
      </c>
      <c r="C1107" s="583" t="s">
        <v>1920</v>
      </c>
      <c r="D1107" s="546">
        <v>4.4290000000000003</v>
      </c>
      <c r="E1107" s="162" t="s">
        <v>631</v>
      </c>
      <c r="F1107" s="358"/>
      <c r="G1107" s="65"/>
      <c r="H1107" s="73"/>
      <c r="I1107" s="90"/>
      <c r="J1107" s="73"/>
      <c r="K1107" s="734">
        <v>1.3847999999999999E-2</v>
      </c>
      <c r="L1107" s="717"/>
      <c r="M1107" s="73"/>
      <c r="N1107" s="359"/>
      <c r="O1107" s="1041"/>
      <c r="P1107" s="73"/>
      <c r="Q1107" s="359"/>
      <c r="R1107" s="1041"/>
      <c r="S1107" s="73"/>
      <c r="T1107" s="359"/>
      <c r="U1107" s="73"/>
      <c r="V1107" s="66"/>
      <c r="W1107" s="740">
        <f t="shared" si="643"/>
        <v>1.0109039999999999E-5</v>
      </c>
      <c r="X1107" s="741">
        <f t="shared" si="644"/>
        <v>1.0109039999999999E-5</v>
      </c>
      <c r="Y1107" s="52">
        <v>2005</v>
      </c>
      <c r="Z1107" s="52"/>
      <c r="AA1107" s="739">
        <f t="shared" si="732"/>
        <v>1.3847999999999999E-5</v>
      </c>
      <c r="AB1107" s="256">
        <v>-0.27</v>
      </c>
      <c r="AC1107" s="688">
        <f t="shared" si="763"/>
        <v>-0.27</v>
      </c>
      <c r="AD1107" s="164"/>
      <c r="AE1107" s="164"/>
      <c r="AF1107" s="25"/>
      <c r="AG1107" s="26"/>
      <c r="AH1107" s="275"/>
      <c r="AI1107" s="52"/>
      <c r="AJ1107" s="35"/>
      <c r="AK1107" s="289"/>
      <c r="AL1107" s="290"/>
      <c r="AM1107" s="211"/>
      <c r="AN1107" s="164"/>
      <c r="AO1107" s="594"/>
      <c r="AP1107" s="595"/>
      <c r="AQ1107" s="275"/>
      <c r="AR1107" s="52"/>
      <c r="AS1107" s="596"/>
      <c r="AT1107" s="79"/>
      <c r="AU1107" s="212"/>
      <c r="AV1107" s="164"/>
      <c r="AW1107" s="164"/>
      <c r="AX1107" s="76"/>
      <c r="AY1107" s="44"/>
      <c r="AZ1107" s="275"/>
      <c r="BA1107" s="52"/>
      <c r="BB1107" s="35"/>
      <c r="BC1107" s="79"/>
      <c r="BD1107" s="230"/>
      <c r="BE1107" s="211"/>
      <c r="BF1107" s="164"/>
      <c r="BG1107" s="76"/>
      <c r="BH1107" s="44"/>
      <c r="BI1107" s="275"/>
      <c r="BJ1107" s="52"/>
      <c r="BK1107" s="35"/>
      <c r="BL1107" s="79"/>
      <c r="BM1107" s="230"/>
      <c r="BN1107" s="211"/>
      <c r="BO1107" s="164"/>
      <c r="BP1107" s="726"/>
      <c r="BQ1107" s="727"/>
      <c r="BR1107" s="299"/>
      <c r="BS1107" s="35"/>
      <c r="BT1107" s="596"/>
      <c r="BU1107" s="79"/>
      <c r="BV1107" s="212"/>
      <c r="BW1107" s="304"/>
      <c r="BX1107" s="313"/>
      <c r="BY1107" s="138"/>
    </row>
    <row r="1108" spans="1:77" ht="15" customHeight="1" outlineLevel="1" x14ac:dyDescent="0.2">
      <c r="A1108" s="57" t="s">
        <v>24</v>
      </c>
      <c r="B1108" s="583" t="s">
        <v>477</v>
      </c>
      <c r="C1108" s="583" t="s">
        <v>1523</v>
      </c>
      <c r="D1108" s="818">
        <v>0.09</v>
      </c>
      <c r="E1108" s="162" t="s">
        <v>631</v>
      </c>
      <c r="F1108" s="358"/>
      <c r="G1108" s="65"/>
      <c r="H1108" s="73"/>
      <c r="I1108" s="90"/>
      <c r="J1108" s="73"/>
      <c r="K1108" s="815">
        <v>2.2000000000000001E-4</v>
      </c>
      <c r="L1108" s="717"/>
      <c r="M1108" s="73"/>
      <c r="N1108" s="359"/>
      <c r="O1108" s="1041"/>
      <c r="P1108" s="73"/>
      <c r="Q1108" s="359"/>
      <c r="R1108" s="1041"/>
      <c r="S1108" s="73"/>
      <c r="T1108" s="359"/>
      <c r="U1108" s="73"/>
      <c r="V1108" s="66"/>
      <c r="W1108" s="808">
        <f t="shared" ref="W1108:W1111" si="797">AA1108*(1+AB1108)</f>
        <v>5.0599999999999996E-8</v>
      </c>
      <c r="X1108" s="809">
        <f t="shared" ref="X1108:X1111" si="798">AA1108*(1+AC1108)</f>
        <v>5.0599999999999996E-8</v>
      </c>
      <c r="Y1108" s="52">
        <v>2005</v>
      </c>
      <c r="Z1108" s="52"/>
      <c r="AA1108" s="807">
        <f t="shared" ref="AA1108:AA1111" si="799">+K1108/1000</f>
        <v>2.2000000000000001E-7</v>
      </c>
      <c r="AB1108" s="256">
        <v>-0.77</v>
      </c>
      <c r="AC1108" s="688">
        <f t="shared" ref="AC1108:AC1111" si="800">AB1108</f>
        <v>-0.77</v>
      </c>
      <c r="AD1108" s="164"/>
      <c r="AE1108" s="164"/>
      <c r="AF1108" s="25"/>
      <c r="AG1108" s="26"/>
      <c r="AH1108" s="275"/>
      <c r="AI1108" s="52"/>
      <c r="AJ1108" s="35"/>
      <c r="AK1108" s="289"/>
      <c r="AL1108" s="290"/>
      <c r="AM1108" s="211"/>
      <c r="AN1108" s="164"/>
      <c r="AO1108" s="594"/>
      <c r="AP1108" s="595"/>
      <c r="AQ1108" s="275"/>
      <c r="AR1108" s="52"/>
      <c r="AS1108" s="596"/>
      <c r="AT1108" s="79"/>
      <c r="AU1108" s="212"/>
      <c r="AV1108" s="164"/>
      <c r="AW1108" s="164"/>
      <c r="AX1108" s="76"/>
      <c r="AY1108" s="44"/>
      <c r="AZ1108" s="275"/>
      <c r="BA1108" s="52"/>
      <c r="BB1108" s="35"/>
      <c r="BC1108" s="79"/>
      <c r="BD1108" s="230"/>
      <c r="BE1108" s="211"/>
      <c r="BF1108" s="164"/>
      <c r="BG1108" s="76"/>
      <c r="BH1108" s="44"/>
      <c r="BI1108" s="275"/>
      <c r="BJ1108" s="52"/>
      <c r="BK1108" s="35"/>
      <c r="BL1108" s="79"/>
      <c r="BM1108" s="230"/>
      <c r="BN1108" s="211"/>
      <c r="BO1108" s="164"/>
      <c r="BP1108" s="726"/>
      <c r="BQ1108" s="727"/>
      <c r="BR1108" s="299"/>
      <c r="BS1108" s="35"/>
      <c r="BT1108" s="596"/>
      <c r="BU1108" s="79"/>
      <c r="BV1108" s="212"/>
      <c r="BW1108" s="304"/>
      <c r="BX1108" s="313"/>
      <c r="BY1108" s="138"/>
    </row>
    <row r="1109" spans="1:77" ht="15" customHeight="1" outlineLevel="1" x14ac:dyDescent="0.2">
      <c r="A1109" s="57" t="s">
        <v>24</v>
      </c>
      <c r="B1109" s="583" t="s">
        <v>477</v>
      </c>
      <c r="C1109" s="583" t="s">
        <v>1964</v>
      </c>
      <c r="D1109" s="818">
        <v>5.8479999999999999</v>
      </c>
      <c r="E1109" s="162" t="s">
        <v>631</v>
      </c>
      <c r="F1109" s="358"/>
      <c r="G1109" s="65"/>
      <c r="H1109" s="73"/>
      <c r="I1109" s="90"/>
      <c r="J1109" s="73"/>
      <c r="K1109" s="815"/>
      <c r="L1109" s="717"/>
      <c r="M1109" s="73"/>
      <c r="N1109" s="359"/>
      <c r="O1109" s="1041"/>
      <c r="P1109" s="73"/>
      <c r="Q1109" s="359"/>
      <c r="R1109" s="1041"/>
      <c r="S1109" s="73"/>
      <c r="T1109" s="359"/>
      <c r="U1109" s="73"/>
      <c r="V1109" s="66"/>
      <c r="W1109" s="808"/>
      <c r="X1109" s="809"/>
      <c r="Y1109" s="52"/>
      <c r="Z1109" s="52"/>
      <c r="AA1109" s="807"/>
      <c r="AB1109" s="256"/>
      <c r="AC1109" s="688"/>
      <c r="AD1109" s="164"/>
      <c r="AE1109" s="164"/>
      <c r="AF1109" s="25"/>
      <c r="AG1109" s="26"/>
      <c r="AH1109" s="275"/>
      <c r="AI1109" s="52"/>
      <c r="AJ1109" s="35"/>
      <c r="AK1109" s="289"/>
      <c r="AL1109" s="290"/>
      <c r="AM1109" s="211"/>
      <c r="AN1109" s="164"/>
      <c r="AO1109" s="594"/>
      <c r="AP1109" s="595"/>
      <c r="AQ1109" s="275"/>
      <c r="AR1109" s="52"/>
      <c r="AS1109" s="596"/>
      <c r="AT1109" s="79"/>
      <c r="AU1109" s="212"/>
      <c r="AV1109" s="164"/>
      <c r="AW1109" s="164"/>
      <c r="AX1109" s="76"/>
      <c r="AY1109" s="44"/>
      <c r="AZ1109" s="275"/>
      <c r="BA1109" s="52"/>
      <c r="BB1109" s="35"/>
      <c r="BC1109" s="79"/>
      <c r="BD1109" s="230"/>
      <c r="BE1109" s="211"/>
      <c r="BF1109" s="164"/>
      <c r="BG1109" s="76"/>
      <c r="BH1109" s="44"/>
      <c r="BI1109" s="275"/>
      <c r="BJ1109" s="52"/>
      <c r="BK1109" s="35"/>
      <c r="BL1109" s="79"/>
      <c r="BM1109" s="230"/>
      <c r="BN1109" s="211"/>
      <c r="BO1109" s="164"/>
      <c r="BP1109" s="726"/>
      <c r="BQ1109" s="727"/>
      <c r="BR1109" s="299"/>
      <c r="BS1109" s="35"/>
      <c r="BT1109" s="596"/>
      <c r="BU1109" s="79"/>
      <c r="BV1109" s="212"/>
      <c r="BW1109" s="304"/>
      <c r="BX1109" s="313"/>
      <c r="BY1109" s="138"/>
    </row>
    <row r="1110" spans="1:77" ht="15" customHeight="1" outlineLevel="1" x14ac:dyDescent="0.2">
      <c r="A1110" s="57" t="s">
        <v>24</v>
      </c>
      <c r="B1110" s="583" t="s">
        <v>477</v>
      </c>
      <c r="C1110" s="583" t="s">
        <v>1902</v>
      </c>
      <c r="D1110" s="818">
        <v>1.2030000000000001</v>
      </c>
      <c r="E1110" s="162" t="s">
        <v>631</v>
      </c>
      <c r="F1110" s="358"/>
      <c r="G1110" s="65"/>
      <c r="H1110" s="73"/>
      <c r="I1110" s="90"/>
      <c r="J1110" s="73"/>
      <c r="K1110" s="815">
        <v>4.4120000000000001E-3</v>
      </c>
      <c r="L1110" s="717"/>
      <c r="M1110" s="73"/>
      <c r="N1110" s="359"/>
      <c r="O1110" s="1041"/>
      <c r="P1110" s="73"/>
      <c r="Q1110" s="359"/>
      <c r="R1110" s="1041"/>
      <c r="S1110" s="73"/>
      <c r="T1110" s="359"/>
      <c r="U1110" s="73"/>
      <c r="V1110" s="66"/>
      <c r="W1110" s="808">
        <f t="shared" si="797"/>
        <v>3.2648800000000002E-6</v>
      </c>
      <c r="X1110" s="809">
        <f t="shared" si="798"/>
        <v>3.2648800000000002E-6</v>
      </c>
      <c r="Y1110" s="52">
        <v>2005</v>
      </c>
      <c r="Z1110" s="52"/>
      <c r="AA1110" s="807">
        <f t="shared" si="799"/>
        <v>4.4120000000000003E-6</v>
      </c>
      <c r="AB1110" s="256">
        <v>-0.26</v>
      </c>
      <c r="AC1110" s="688">
        <f t="shared" si="800"/>
        <v>-0.26</v>
      </c>
      <c r="AD1110" s="164"/>
      <c r="AE1110" s="164"/>
      <c r="AF1110" s="25"/>
      <c r="AG1110" s="26"/>
      <c r="AH1110" s="275"/>
      <c r="AI1110" s="52"/>
      <c r="AJ1110" s="35"/>
      <c r="AK1110" s="289"/>
      <c r="AL1110" s="290"/>
      <c r="AM1110" s="211"/>
      <c r="AN1110" s="164"/>
      <c r="AO1110" s="594"/>
      <c r="AP1110" s="595"/>
      <c r="AQ1110" s="275"/>
      <c r="AR1110" s="52"/>
      <c r="AS1110" s="596"/>
      <c r="AT1110" s="79"/>
      <c r="AU1110" s="212"/>
      <c r="AV1110" s="164"/>
      <c r="AW1110" s="164"/>
      <c r="AX1110" s="76"/>
      <c r="AY1110" s="44"/>
      <c r="AZ1110" s="275"/>
      <c r="BA1110" s="52"/>
      <c r="BB1110" s="35"/>
      <c r="BC1110" s="79"/>
      <c r="BD1110" s="230"/>
      <c r="BE1110" s="211"/>
      <c r="BF1110" s="164"/>
      <c r="BG1110" s="76"/>
      <c r="BH1110" s="44"/>
      <c r="BI1110" s="275"/>
      <c r="BJ1110" s="52"/>
      <c r="BK1110" s="35"/>
      <c r="BL1110" s="79"/>
      <c r="BM1110" s="230"/>
      <c r="BN1110" s="211"/>
      <c r="BO1110" s="164"/>
      <c r="BP1110" s="726"/>
      <c r="BQ1110" s="727"/>
      <c r="BR1110" s="299"/>
      <c r="BS1110" s="35"/>
      <c r="BT1110" s="596"/>
      <c r="BU1110" s="79"/>
      <c r="BV1110" s="212"/>
      <c r="BW1110" s="304"/>
      <c r="BX1110" s="313"/>
      <c r="BY1110" s="138"/>
    </row>
    <row r="1111" spans="1:77" ht="15" customHeight="1" outlineLevel="1" x14ac:dyDescent="0.2">
      <c r="A1111" s="57" t="s">
        <v>24</v>
      </c>
      <c r="B1111" s="583" t="s">
        <v>477</v>
      </c>
      <c r="C1111" s="583" t="s">
        <v>1893</v>
      </c>
      <c r="D1111" s="818">
        <v>4.75</v>
      </c>
      <c r="E1111" s="162" t="s">
        <v>631</v>
      </c>
      <c r="F1111" s="358"/>
      <c r="G1111" s="65"/>
      <c r="H1111" s="73"/>
      <c r="I1111" s="90"/>
      <c r="J1111" s="73"/>
      <c r="K1111" s="790">
        <v>2.4E-2</v>
      </c>
      <c r="L1111" s="717"/>
      <c r="M1111" s="73"/>
      <c r="N1111" s="359"/>
      <c r="O1111" s="1041"/>
      <c r="P1111" s="73"/>
      <c r="Q1111" s="359"/>
      <c r="R1111" s="1041"/>
      <c r="S1111" s="73"/>
      <c r="T1111" s="359"/>
      <c r="U1111" s="73"/>
      <c r="V1111" s="66"/>
      <c r="W1111" s="788">
        <f t="shared" si="797"/>
        <v>1.7759999999999999E-5</v>
      </c>
      <c r="X1111" s="789">
        <f t="shared" si="798"/>
        <v>1.7759999999999999E-5</v>
      </c>
      <c r="Y1111" s="52">
        <v>2005</v>
      </c>
      <c r="Z1111" s="52"/>
      <c r="AA1111" s="787">
        <f t="shared" si="799"/>
        <v>2.4000000000000001E-5</v>
      </c>
      <c r="AB1111" s="256">
        <v>-0.26</v>
      </c>
      <c r="AC1111" s="688">
        <f t="shared" si="800"/>
        <v>-0.26</v>
      </c>
      <c r="AD1111" s="164"/>
      <c r="AE1111" s="164"/>
      <c r="AF1111" s="25"/>
      <c r="AG1111" s="26"/>
      <c r="AH1111" s="275"/>
      <c r="AI1111" s="52"/>
      <c r="AJ1111" s="35"/>
      <c r="AK1111" s="289"/>
      <c r="AL1111" s="290"/>
      <c r="AM1111" s="211"/>
      <c r="AN1111" s="164"/>
      <c r="AO1111" s="594"/>
      <c r="AP1111" s="595"/>
      <c r="AQ1111" s="275"/>
      <c r="AR1111" s="52"/>
      <c r="AS1111" s="596"/>
      <c r="AT1111" s="79"/>
      <c r="AU1111" s="212"/>
      <c r="AV1111" s="164"/>
      <c r="AW1111" s="164"/>
      <c r="AX1111" s="76"/>
      <c r="AY1111" s="44"/>
      <c r="AZ1111" s="275"/>
      <c r="BA1111" s="52"/>
      <c r="BB1111" s="35"/>
      <c r="BC1111" s="79"/>
      <c r="BD1111" s="230"/>
      <c r="BE1111" s="211"/>
      <c r="BF1111" s="164"/>
      <c r="BG1111" s="76"/>
      <c r="BH1111" s="44"/>
      <c r="BI1111" s="275"/>
      <c r="BJ1111" s="52"/>
      <c r="BK1111" s="35"/>
      <c r="BL1111" s="79"/>
      <c r="BM1111" s="230"/>
      <c r="BN1111" s="211"/>
      <c r="BO1111" s="164"/>
      <c r="BP1111" s="726"/>
      <c r="BQ1111" s="727"/>
      <c r="BR1111" s="299"/>
      <c r="BS1111" s="35"/>
      <c r="BT1111" s="596"/>
      <c r="BU1111" s="79"/>
      <c r="BV1111" s="212"/>
      <c r="BW1111" s="304"/>
      <c r="BX1111" s="313"/>
      <c r="BY1111" s="138"/>
    </row>
    <row r="1112" spans="1:77" ht="15" customHeight="1" outlineLevel="1" x14ac:dyDescent="0.2">
      <c r="A1112" s="57" t="s">
        <v>24</v>
      </c>
      <c r="B1112" s="583" t="s">
        <v>477</v>
      </c>
      <c r="C1112" s="583" t="s">
        <v>1345</v>
      </c>
      <c r="D1112" s="546">
        <v>3.5630000000000002</v>
      </c>
      <c r="E1112" s="162" t="s">
        <v>631</v>
      </c>
      <c r="F1112" s="358"/>
      <c r="G1112" s="65"/>
      <c r="H1112" s="73"/>
      <c r="I1112" s="90"/>
      <c r="J1112" s="73"/>
      <c r="K1112" s="734">
        <v>2.9599E-2</v>
      </c>
      <c r="L1112" s="717"/>
      <c r="M1112" s="73"/>
      <c r="N1112" s="359"/>
      <c r="O1112" s="1041"/>
      <c r="P1112" s="73"/>
      <c r="Q1112" s="359"/>
      <c r="R1112" s="1041"/>
      <c r="S1112" s="73"/>
      <c r="T1112" s="359"/>
      <c r="U1112" s="73"/>
      <c r="V1112" s="66"/>
      <c r="W1112" s="740">
        <f t="shared" ref="W1112" si="801">AA1112*(1+AB1112)</f>
        <v>2.0719299999999997E-5</v>
      </c>
      <c r="X1112" s="741">
        <f t="shared" ref="X1112" si="802">AA1112*(1+AC1112)</f>
        <v>2.0719299999999997E-5</v>
      </c>
      <c r="Y1112" s="52">
        <v>2005</v>
      </c>
      <c r="Z1112" s="52"/>
      <c r="AA1112" s="739">
        <f t="shared" ref="AA1112" si="803">+K1112/1000</f>
        <v>2.9598999999999999E-5</v>
      </c>
      <c r="AB1112" s="256">
        <v>-0.3</v>
      </c>
      <c r="AC1112" s="688">
        <f t="shared" si="763"/>
        <v>-0.3</v>
      </c>
      <c r="AD1112" s="164"/>
      <c r="AE1112" s="164"/>
      <c r="AF1112" s="25"/>
      <c r="AG1112" s="26"/>
      <c r="AH1112" s="275"/>
      <c r="AI1112" s="52"/>
      <c r="AJ1112" s="35"/>
      <c r="AK1112" s="289"/>
      <c r="AL1112" s="290"/>
      <c r="AM1112" s="211"/>
      <c r="AN1112" s="164"/>
      <c r="AO1112" s="594"/>
      <c r="AP1112" s="595"/>
      <c r="AQ1112" s="275"/>
      <c r="AR1112" s="52"/>
      <c r="AS1112" s="596"/>
      <c r="AT1112" s="79"/>
      <c r="AU1112" s="212"/>
      <c r="AV1112" s="164"/>
      <c r="AW1112" s="164"/>
      <c r="AX1112" s="76"/>
      <c r="AY1112" s="44"/>
      <c r="AZ1112" s="275"/>
      <c r="BA1112" s="52"/>
      <c r="BB1112" s="35"/>
      <c r="BC1112" s="79"/>
      <c r="BD1112" s="230"/>
      <c r="BE1112" s="211"/>
      <c r="BF1112" s="164"/>
      <c r="BG1112" s="76"/>
      <c r="BH1112" s="44"/>
      <c r="BI1112" s="275"/>
      <c r="BJ1112" s="52"/>
      <c r="BK1112" s="35"/>
      <c r="BL1112" s="79"/>
      <c r="BM1112" s="230"/>
      <c r="BN1112" s="211"/>
      <c r="BO1112" s="164"/>
      <c r="BP1112" s="726"/>
      <c r="BQ1112" s="727"/>
      <c r="BR1112" s="299"/>
      <c r="BS1112" s="35"/>
      <c r="BT1112" s="596"/>
      <c r="BU1112" s="79"/>
      <c r="BV1112" s="212"/>
      <c r="BW1112" s="304"/>
      <c r="BX1112" s="313"/>
      <c r="BY1112" s="138"/>
    </row>
    <row r="1113" spans="1:77" ht="15" customHeight="1" outlineLevel="1" x14ac:dyDescent="0.2">
      <c r="A1113" s="57" t="s">
        <v>24</v>
      </c>
      <c r="B1113" s="583" t="s">
        <v>477</v>
      </c>
      <c r="C1113" s="583" t="s">
        <v>1537</v>
      </c>
      <c r="D1113" s="546">
        <v>2.67</v>
      </c>
      <c r="E1113" s="162" t="s">
        <v>631</v>
      </c>
      <c r="F1113" s="358"/>
      <c r="G1113" s="65"/>
      <c r="H1113" s="73"/>
      <c r="I1113" s="90"/>
      <c r="J1113" s="73"/>
      <c r="K1113" s="734">
        <v>1.3298000000000001E-2</v>
      </c>
      <c r="L1113" s="717"/>
      <c r="M1113" s="73"/>
      <c r="N1113" s="359"/>
      <c r="O1113" s="1041"/>
      <c r="P1113" s="73"/>
      <c r="Q1113" s="359"/>
      <c r="R1113" s="1041"/>
      <c r="S1113" s="73"/>
      <c r="T1113" s="359"/>
      <c r="U1113" s="73"/>
      <c r="V1113" s="66"/>
      <c r="W1113" s="740">
        <f t="shared" ref="W1113:W1115" si="804">AA1113*(1+AB1113)</f>
        <v>9.0426399999999999E-6</v>
      </c>
      <c r="X1113" s="741">
        <f t="shared" ref="X1113:X1115" si="805">AA1113*(1+AC1113)</f>
        <v>9.0426399999999999E-6</v>
      </c>
      <c r="Y1113" s="52">
        <v>2005</v>
      </c>
      <c r="Z1113" s="52"/>
      <c r="AA1113" s="739">
        <f t="shared" ref="AA1113:AA1115" si="806">+K1113/1000</f>
        <v>1.3298E-5</v>
      </c>
      <c r="AB1113" s="256">
        <v>-0.32</v>
      </c>
      <c r="AC1113" s="688">
        <f t="shared" ref="AC1113:AC1115" si="807">AB1113</f>
        <v>-0.32</v>
      </c>
      <c r="AD1113" s="164"/>
      <c r="AE1113" s="164"/>
      <c r="AF1113" s="25"/>
      <c r="AG1113" s="26"/>
      <c r="AH1113" s="275"/>
      <c r="AI1113" s="52"/>
      <c r="AJ1113" s="35"/>
      <c r="AK1113" s="289"/>
      <c r="AL1113" s="290"/>
      <c r="AM1113" s="211"/>
      <c r="AN1113" s="164"/>
      <c r="AO1113" s="594"/>
      <c r="AP1113" s="595"/>
      <c r="AQ1113" s="275"/>
      <c r="AR1113" s="52"/>
      <c r="AS1113" s="596"/>
      <c r="AT1113" s="79"/>
      <c r="AU1113" s="212"/>
      <c r="AV1113" s="164"/>
      <c r="AW1113" s="164"/>
      <c r="AX1113" s="76"/>
      <c r="AY1113" s="44"/>
      <c r="AZ1113" s="275"/>
      <c r="BA1113" s="52"/>
      <c r="BB1113" s="35"/>
      <c r="BC1113" s="79"/>
      <c r="BD1113" s="230"/>
      <c r="BE1113" s="211"/>
      <c r="BF1113" s="164"/>
      <c r="BG1113" s="76"/>
      <c r="BH1113" s="44"/>
      <c r="BI1113" s="275"/>
      <c r="BJ1113" s="52"/>
      <c r="BK1113" s="35"/>
      <c r="BL1113" s="79"/>
      <c r="BM1113" s="230"/>
      <c r="BN1113" s="211"/>
      <c r="BO1113" s="164"/>
      <c r="BP1113" s="726"/>
      <c r="BQ1113" s="727"/>
      <c r="BR1113" s="299"/>
      <c r="BS1113" s="35"/>
      <c r="BT1113" s="596"/>
      <c r="BU1113" s="79"/>
      <c r="BV1113" s="212"/>
      <c r="BW1113" s="304"/>
      <c r="BX1113" s="313"/>
      <c r="BY1113" s="138"/>
    </row>
    <row r="1114" spans="1:77" ht="15" customHeight="1" outlineLevel="1" x14ac:dyDescent="0.2">
      <c r="A1114" s="57" t="s">
        <v>24</v>
      </c>
      <c r="B1114" s="583" t="s">
        <v>477</v>
      </c>
      <c r="C1114" s="583" t="s">
        <v>1776</v>
      </c>
      <c r="D1114" s="546">
        <v>2.27</v>
      </c>
      <c r="E1114" s="162" t="s">
        <v>631</v>
      </c>
      <c r="F1114" s="358"/>
      <c r="G1114" s="65"/>
      <c r="H1114" s="73"/>
      <c r="I1114" s="90">
        <v>2007</v>
      </c>
      <c r="J1114" s="73"/>
      <c r="K1114" s="734">
        <v>8.1460000000000005E-3</v>
      </c>
      <c r="L1114" s="717"/>
      <c r="M1114" s="73"/>
      <c r="N1114" s="359"/>
      <c r="O1114" s="1041"/>
      <c r="P1114" s="73"/>
      <c r="Q1114" s="359"/>
      <c r="R1114" s="1041"/>
      <c r="S1114" s="73"/>
      <c r="T1114" s="359"/>
      <c r="U1114" s="73"/>
      <c r="V1114" s="66"/>
      <c r="W1114" s="740">
        <f t="shared" si="804"/>
        <v>6.1095000000000014E-6</v>
      </c>
      <c r="X1114" s="741">
        <f t="shared" si="805"/>
        <v>6.1095000000000014E-6</v>
      </c>
      <c r="Y1114" s="52">
        <v>2007</v>
      </c>
      <c r="Z1114" s="52"/>
      <c r="AA1114" s="739">
        <f t="shared" si="806"/>
        <v>8.1460000000000013E-6</v>
      </c>
      <c r="AB1114" s="256">
        <v>-0.25</v>
      </c>
      <c r="AC1114" s="688">
        <f t="shared" si="807"/>
        <v>-0.25</v>
      </c>
      <c r="AD1114" s="164"/>
      <c r="AE1114" s="164"/>
      <c r="AF1114" s="25"/>
      <c r="AG1114" s="26"/>
      <c r="AH1114" s="275"/>
      <c r="AI1114" s="52"/>
      <c r="AJ1114" s="35"/>
      <c r="AK1114" s="289"/>
      <c r="AL1114" s="290"/>
      <c r="AM1114" s="211"/>
      <c r="AN1114" s="164"/>
      <c r="AO1114" s="594"/>
      <c r="AP1114" s="595"/>
      <c r="AQ1114" s="275"/>
      <c r="AR1114" s="52"/>
      <c r="AS1114" s="596"/>
      <c r="AT1114" s="79"/>
      <c r="AU1114" s="212"/>
      <c r="AV1114" s="164"/>
      <c r="AW1114" s="164"/>
      <c r="AX1114" s="76"/>
      <c r="AY1114" s="44"/>
      <c r="AZ1114" s="275"/>
      <c r="BA1114" s="52"/>
      <c r="BB1114" s="35"/>
      <c r="BC1114" s="79"/>
      <c r="BD1114" s="230"/>
      <c r="BE1114" s="211"/>
      <c r="BF1114" s="164"/>
      <c r="BG1114" s="76"/>
      <c r="BH1114" s="44"/>
      <c r="BI1114" s="275"/>
      <c r="BJ1114" s="52"/>
      <c r="BK1114" s="35"/>
      <c r="BL1114" s="79"/>
      <c r="BM1114" s="230"/>
      <c r="BN1114" s="211"/>
      <c r="BO1114" s="164"/>
      <c r="BP1114" s="726"/>
      <c r="BQ1114" s="727"/>
      <c r="BR1114" s="299"/>
      <c r="BS1114" s="35"/>
      <c r="BT1114" s="596"/>
      <c r="BU1114" s="79"/>
      <c r="BV1114" s="212"/>
      <c r="BW1114" s="304"/>
      <c r="BX1114" s="313"/>
      <c r="BY1114" s="138"/>
    </row>
    <row r="1115" spans="1:77" ht="15" customHeight="1" outlineLevel="1" x14ac:dyDescent="0.2">
      <c r="A1115" s="583" t="s">
        <v>24</v>
      </c>
      <c r="B1115" s="583" t="s">
        <v>477</v>
      </c>
      <c r="C1115" s="583" t="s">
        <v>1771</v>
      </c>
      <c r="D1115" s="546">
        <v>16.564</v>
      </c>
      <c r="E1115" s="162" t="s">
        <v>631</v>
      </c>
      <c r="F1115" s="358"/>
      <c r="G1115" s="65"/>
      <c r="H1115" s="73"/>
      <c r="I1115" s="90"/>
      <c r="J1115" s="73"/>
      <c r="K1115" s="734">
        <v>4.8436E-2</v>
      </c>
      <c r="L1115" s="717"/>
      <c r="M1115" s="73"/>
      <c r="N1115" s="359"/>
      <c r="O1115" s="1041"/>
      <c r="P1115" s="73"/>
      <c r="Q1115" s="359"/>
      <c r="R1115" s="1041"/>
      <c r="S1115" s="73"/>
      <c r="T1115" s="359"/>
      <c r="U1115" s="73"/>
      <c r="V1115" s="66"/>
      <c r="W1115" s="740">
        <f t="shared" si="804"/>
        <v>3.6327E-5</v>
      </c>
      <c r="X1115" s="741">
        <f t="shared" si="805"/>
        <v>3.6327E-5</v>
      </c>
      <c r="Y1115" s="52">
        <v>2005</v>
      </c>
      <c r="Z1115" s="52"/>
      <c r="AA1115" s="739">
        <f t="shared" si="806"/>
        <v>4.8436000000000002E-5</v>
      </c>
      <c r="AB1115" s="256">
        <v>-0.25</v>
      </c>
      <c r="AC1115" s="688">
        <f t="shared" si="807"/>
        <v>-0.25</v>
      </c>
      <c r="AD1115" s="164"/>
      <c r="AE1115" s="164"/>
      <c r="AF1115" s="25"/>
      <c r="AG1115" s="26"/>
      <c r="AH1115" s="275"/>
      <c r="AI1115" s="52"/>
      <c r="AJ1115" s="35"/>
      <c r="AK1115" s="289"/>
      <c r="AL1115" s="290"/>
      <c r="AM1115" s="211"/>
      <c r="AN1115" s="164"/>
      <c r="AO1115" s="594"/>
      <c r="AP1115" s="595"/>
      <c r="AQ1115" s="275"/>
      <c r="AR1115" s="52"/>
      <c r="AS1115" s="596"/>
      <c r="AT1115" s="79"/>
      <c r="AU1115" s="212"/>
      <c r="AV1115" s="164"/>
      <c r="AW1115" s="164"/>
      <c r="AX1115" s="76"/>
      <c r="AY1115" s="44"/>
      <c r="AZ1115" s="275"/>
      <c r="BA1115" s="52"/>
      <c r="BB1115" s="35"/>
      <c r="BC1115" s="79"/>
      <c r="BD1115" s="230"/>
      <c r="BE1115" s="211"/>
      <c r="BF1115" s="164"/>
      <c r="BG1115" s="76"/>
      <c r="BH1115" s="44"/>
      <c r="BI1115" s="275"/>
      <c r="BJ1115" s="52"/>
      <c r="BK1115" s="35"/>
      <c r="BL1115" s="79"/>
      <c r="BM1115" s="230"/>
      <c r="BN1115" s="211"/>
      <c r="BO1115" s="164"/>
      <c r="BP1115" s="726"/>
      <c r="BQ1115" s="727"/>
      <c r="BR1115" s="299"/>
      <c r="BS1115" s="35"/>
      <c r="BT1115" s="596"/>
      <c r="BU1115" s="79"/>
      <c r="BV1115" s="212"/>
      <c r="BW1115" s="304"/>
      <c r="BX1115" s="313"/>
      <c r="BY1115" s="138"/>
    </row>
    <row r="1116" spans="1:77" ht="15" customHeight="1" outlineLevel="1" x14ac:dyDescent="0.2">
      <c r="A1116" s="57" t="s">
        <v>24</v>
      </c>
      <c r="B1116" s="583" t="s">
        <v>477</v>
      </c>
      <c r="C1116" s="583" t="s">
        <v>1527</v>
      </c>
      <c r="D1116" s="546">
        <v>0.755</v>
      </c>
      <c r="E1116" s="162" t="s">
        <v>631</v>
      </c>
      <c r="F1116" s="358"/>
      <c r="G1116" s="65"/>
      <c r="H1116" s="73"/>
      <c r="I1116" s="90"/>
      <c r="J1116" s="73"/>
      <c r="K1116" s="790">
        <v>3.2299999999999998E-3</v>
      </c>
      <c r="L1116" s="717"/>
      <c r="M1116" s="73"/>
      <c r="N1116" s="359"/>
      <c r="O1116" s="1041"/>
      <c r="P1116" s="73"/>
      <c r="Q1116" s="359"/>
      <c r="R1116" s="1041"/>
      <c r="S1116" s="73"/>
      <c r="T1116" s="359"/>
      <c r="U1116" s="73"/>
      <c r="V1116" s="66"/>
      <c r="W1116" s="788">
        <f t="shared" ref="W1116" si="808">AA1116*(1+AB1116)</f>
        <v>4.1989999999999999E-7</v>
      </c>
      <c r="X1116" s="789">
        <f t="shared" ref="X1116" si="809">AA1116*(1+AC1116)</f>
        <v>4.1989999999999999E-7</v>
      </c>
      <c r="Y1116" s="52">
        <v>2005</v>
      </c>
      <c r="Z1116" s="52"/>
      <c r="AA1116" s="787">
        <f t="shared" ref="AA1116" si="810">+K1116/1000</f>
        <v>3.23E-6</v>
      </c>
      <c r="AB1116" s="256">
        <v>-0.87</v>
      </c>
      <c r="AC1116" s="688">
        <f t="shared" ref="AC1116" si="811">AB1116</f>
        <v>-0.87</v>
      </c>
      <c r="AD1116" s="164"/>
      <c r="AE1116" s="164"/>
      <c r="AF1116" s="25"/>
      <c r="AG1116" s="26"/>
      <c r="AH1116" s="275"/>
      <c r="AI1116" s="52"/>
      <c r="AJ1116" s="35"/>
      <c r="AK1116" s="289"/>
      <c r="AL1116" s="290"/>
      <c r="AM1116" s="211"/>
      <c r="AN1116" s="164"/>
      <c r="AO1116" s="594"/>
      <c r="AP1116" s="595"/>
      <c r="AQ1116" s="275"/>
      <c r="AR1116" s="52"/>
      <c r="AS1116" s="596"/>
      <c r="AT1116" s="79"/>
      <c r="AU1116" s="212"/>
      <c r="AV1116" s="164"/>
      <c r="AW1116" s="164"/>
      <c r="AX1116" s="76"/>
      <c r="AY1116" s="44"/>
      <c r="AZ1116" s="275"/>
      <c r="BA1116" s="52"/>
      <c r="BB1116" s="35"/>
      <c r="BC1116" s="79"/>
      <c r="BD1116" s="230"/>
      <c r="BE1116" s="211"/>
      <c r="BF1116" s="164"/>
      <c r="BG1116" s="76"/>
      <c r="BH1116" s="44"/>
      <c r="BI1116" s="275"/>
      <c r="BJ1116" s="52"/>
      <c r="BK1116" s="35"/>
      <c r="BL1116" s="79"/>
      <c r="BM1116" s="230"/>
      <c r="BN1116" s="211"/>
      <c r="BO1116" s="164"/>
      <c r="BP1116" s="726"/>
      <c r="BQ1116" s="727"/>
      <c r="BR1116" s="299"/>
      <c r="BS1116" s="35"/>
      <c r="BT1116" s="596"/>
      <c r="BU1116" s="79"/>
      <c r="BV1116" s="212"/>
      <c r="BW1116" s="304"/>
      <c r="BX1116" s="313"/>
      <c r="BY1116" s="138"/>
    </row>
    <row r="1117" spans="1:77" ht="15" customHeight="1" outlineLevel="1" x14ac:dyDescent="0.2">
      <c r="A1117" s="57" t="s">
        <v>24</v>
      </c>
      <c r="B1117" s="583" t="s">
        <v>477</v>
      </c>
      <c r="C1117" s="583" t="s">
        <v>1538</v>
      </c>
      <c r="D1117" s="546">
        <v>0.73099999999999998</v>
      </c>
      <c r="E1117" s="162" t="s">
        <v>631</v>
      </c>
      <c r="F1117" s="358"/>
      <c r="G1117" s="65"/>
      <c r="H1117" s="73"/>
      <c r="I1117" s="90"/>
      <c r="J1117" s="73"/>
      <c r="K1117" s="790">
        <v>5.7210000000000004E-3</v>
      </c>
      <c r="L1117" s="717"/>
      <c r="M1117" s="73"/>
      <c r="N1117" s="359"/>
      <c r="O1117" s="1041"/>
      <c r="P1117" s="73"/>
      <c r="Q1117" s="359"/>
      <c r="R1117" s="1041"/>
      <c r="S1117" s="73"/>
      <c r="T1117" s="359"/>
      <c r="U1117" s="73"/>
      <c r="V1117" s="66"/>
      <c r="W1117" s="788">
        <f t="shared" ref="W1117" si="812">AA1117*(1+AB1117)</f>
        <v>2.9749200000000006E-6</v>
      </c>
      <c r="X1117" s="789">
        <f t="shared" ref="X1117" si="813">AA1117*(1+AC1117)</f>
        <v>2.9749200000000006E-6</v>
      </c>
      <c r="Y1117" s="52">
        <v>2005</v>
      </c>
      <c r="Z1117" s="52"/>
      <c r="AA1117" s="787">
        <f t="shared" ref="AA1117:AA1118" si="814">+K1117/1000</f>
        <v>5.7210000000000008E-6</v>
      </c>
      <c r="AB1117" s="256">
        <v>-0.48</v>
      </c>
      <c r="AC1117" s="688">
        <f t="shared" ref="AC1117:AC1118" si="815">AB1117</f>
        <v>-0.48</v>
      </c>
      <c r="AD1117" s="164"/>
      <c r="AE1117" s="164"/>
      <c r="AF1117" s="25"/>
      <c r="AG1117" s="26"/>
      <c r="AH1117" s="275"/>
      <c r="AI1117" s="52"/>
      <c r="AJ1117" s="35"/>
      <c r="AK1117" s="289"/>
      <c r="AL1117" s="290"/>
      <c r="AM1117" s="211"/>
      <c r="AN1117" s="164"/>
      <c r="AO1117" s="594"/>
      <c r="AP1117" s="595"/>
      <c r="AQ1117" s="275"/>
      <c r="AR1117" s="52"/>
      <c r="AS1117" s="596"/>
      <c r="AT1117" s="79"/>
      <c r="AU1117" s="212"/>
      <c r="AV1117" s="164"/>
      <c r="AW1117" s="164"/>
      <c r="AX1117" s="76"/>
      <c r="AY1117" s="44"/>
      <c r="AZ1117" s="275"/>
      <c r="BA1117" s="52"/>
      <c r="BB1117" s="35"/>
      <c r="BC1117" s="79"/>
      <c r="BD1117" s="230"/>
      <c r="BE1117" s="211"/>
      <c r="BF1117" s="164"/>
      <c r="BG1117" s="76"/>
      <c r="BH1117" s="44"/>
      <c r="BI1117" s="275"/>
      <c r="BJ1117" s="52"/>
      <c r="BK1117" s="35"/>
      <c r="BL1117" s="79"/>
      <c r="BM1117" s="230"/>
      <c r="BN1117" s="211"/>
      <c r="BO1117" s="164"/>
      <c r="BP1117" s="726"/>
      <c r="BQ1117" s="727"/>
      <c r="BR1117" s="299"/>
      <c r="BS1117" s="35"/>
      <c r="BT1117" s="596"/>
      <c r="BU1117" s="79"/>
      <c r="BV1117" s="212"/>
      <c r="BW1117" s="304"/>
      <c r="BX1117" s="313"/>
      <c r="BY1117" s="138"/>
    </row>
    <row r="1118" spans="1:77" ht="15" customHeight="1" outlineLevel="1" x14ac:dyDescent="0.2">
      <c r="A1118" s="57" t="s">
        <v>24</v>
      </c>
      <c r="B1118" s="583" t="s">
        <v>477</v>
      </c>
      <c r="C1118" s="583" t="s">
        <v>1725</v>
      </c>
      <c r="D1118" s="546">
        <v>3.36</v>
      </c>
      <c r="E1118" s="162" t="s">
        <v>631</v>
      </c>
      <c r="F1118" s="358"/>
      <c r="G1118" s="65"/>
      <c r="H1118" s="73"/>
      <c r="I1118" s="90"/>
      <c r="J1118" s="73"/>
      <c r="K1118" s="790">
        <v>1.6175999999999999E-2</v>
      </c>
      <c r="L1118" s="717"/>
      <c r="M1118" s="73"/>
      <c r="N1118" s="359"/>
      <c r="O1118" s="1041"/>
      <c r="P1118" s="73"/>
      <c r="Q1118" s="359"/>
      <c r="R1118" s="1041"/>
      <c r="S1118" s="73"/>
      <c r="T1118" s="359"/>
      <c r="U1118" s="73"/>
      <c r="V1118" s="66"/>
      <c r="W1118" s="788">
        <f t="shared" ref="W1118" si="816">AA1118*(1+AB1118)</f>
        <v>1.2131999999999998E-5</v>
      </c>
      <c r="X1118" s="789">
        <f t="shared" ref="X1118" si="817">AA1118*(1+AC1118)</f>
        <v>1.2131999999999998E-5</v>
      </c>
      <c r="Y1118" s="52">
        <v>2005</v>
      </c>
      <c r="Z1118" s="52"/>
      <c r="AA1118" s="787">
        <f t="shared" si="814"/>
        <v>1.6175999999999999E-5</v>
      </c>
      <c r="AB1118" s="256">
        <v>-0.25</v>
      </c>
      <c r="AC1118" s="688">
        <f t="shared" si="815"/>
        <v>-0.25</v>
      </c>
      <c r="AD1118" s="164"/>
      <c r="AE1118" s="164"/>
      <c r="AF1118" s="25"/>
      <c r="AG1118" s="26"/>
      <c r="AH1118" s="275"/>
      <c r="AI1118" s="52"/>
      <c r="AJ1118" s="35"/>
      <c r="AK1118" s="289"/>
      <c r="AL1118" s="290"/>
      <c r="AM1118" s="211"/>
      <c r="AN1118" s="164"/>
      <c r="AO1118" s="594"/>
      <c r="AP1118" s="595"/>
      <c r="AQ1118" s="275"/>
      <c r="AR1118" s="52"/>
      <c r="AS1118" s="596"/>
      <c r="AT1118" s="79"/>
      <c r="AU1118" s="212"/>
      <c r="AV1118" s="164"/>
      <c r="AW1118" s="164"/>
      <c r="AX1118" s="76"/>
      <c r="AY1118" s="44"/>
      <c r="AZ1118" s="275"/>
      <c r="BA1118" s="52"/>
      <c r="BB1118" s="35"/>
      <c r="BC1118" s="79"/>
      <c r="BD1118" s="230"/>
      <c r="BE1118" s="211"/>
      <c r="BF1118" s="164"/>
      <c r="BG1118" s="76"/>
      <c r="BH1118" s="44"/>
      <c r="BI1118" s="275"/>
      <c r="BJ1118" s="52"/>
      <c r="BK1118" s="35"/>
      <c r="BL1118" s="79"/>
      <c r="BM1118" s="230"/>
      <c r="BN1118" s="211"/>
      <c r="BO1118" s="164"/>
      <c r="BP1118" s="726"/>
      <c r="BQ1118" s="727"/>
      <c r="BR1118" s="299"/>
      <c r="BS1118" s="35"/>
      <c r="BT1118" s="596"/>
      <c r="BU1118" s="79"/>
      <c r="BV1118" s="212"/>
      <c r="BW1118" s="304"/>
      <c r="BX1118" s="313"/>
      <c r="BY1118" s="138"/>
    </row>
    <row r="1119" spans="1:77" ht="15" customHeight="1" outlineLevel="1" x14ac:dyDescent="0.2">
      <c r="A1119" s="57" t="s">
        <v>24</v>
      </c>
      <c r="B1119" s="583" t="s">
        <v>477</v>
      </c>
      <c r="C1119" s="583" t="s">
        <v>1410</v>
      </c>
      <c r="D1119" s="546">
        <v>0.84199999999999997</v>
      </c>
      <c r="E1119" s="162" t="s">
        <v>631</v>
      </c>
      <c r="F1119" s="358"/>
      <c r="G1119" s="65"/>
      <c r="H1119" s="73"/>
      <c r="I1119" s="90"/>
      <c r="J1119" s="73"/>
      <c r="K1119" s="790">
        <v>2.3649999999999999E-3</v>
      </c>
      <c r="L1119" s="717"/>
      <c r="M1119" s="73"/>
      <c r="N1119" s="359"/>
      <c r="O1119" s="1041"/>
      <c r="P1119" s="73"/>
      <c r="Q1119" s="359"/>
      <c r="R1119" s="1041"/>
      <c r="S1119" s="73"/>
      <c r="T1119" s="359"/>
      <c r="U1119" s="73"/>
      <c r="V1119" s="66"/>
      <c r="W1119" s="788">
        <f t="shared" ref="W1119" si="818">AA1119*(1+AB1119)</f>
        <v>1.6554999999999999E-6</v>
      </c>
      <c r="X1119" s="789">
        <f t="shared" ref="X1119" si="819">AA1119*(1+AC1119)</f>
        <v>1.6554999999999999E-6</v>
      </c>
      <c r="Y1119" s="52">
        <v>2005</v>
      </c>
      <c r="Z1119" s="52"/>
      <c r="AA1119" s="787">
        <f t="shared" ref="AA1119" si="820">+K1119/1000</f>
        <v>2.3649999999999998E-6</v>
      </c>
      <c r="AB1119" s="256">
        <v>-0.3</v>
      </c>
      <c r="AC1119" s="688">
        <f t="shared" si="763"/>
        <v>-0.3</v>
      </c>
      <c r="AD1119" s="164"/>
      <c r="AE1119" s="164"/>
      <c r="AF1119" s="25"/>
      <c r="AG1119" s="26"/>
      <c r="AH1119" s="275"/>
      <c r="AI1119" s="52"/>
      <c r="AJ1119" s="35"/>
      <c r="AK1119" s="289"/>
      <c r="AL1119" s="290"/>
      <c r="AM1119" s="211"/>
      <c r="AN1119" s="164"/>
      <c r="AO1119" s="594"/>
      <c r="AP1119" s="595"/>
      <c r="AQ1119" s="275"/>
      <c r="AR1119" s="52"/>
      <c r="AS1119" s="596"/>
      <c r="AT1119" s="79"/>
      <c r="AU1119" s="212"/>
      <c r="AV1119" s="164"/>
      <c r="AW1119" s="164"/>
      <c r="AX1119" s="76"/>
      <c r="AY1119" s="44"/>
      <c r="AZ1119" s="275"/>
      <c r="BA1119" s="52"/>
      <c r="BB1119" s="35"/>
      <c r="BC1119" s="79"/>
      <c r="BD1119" s="230"/>
      <c r="BE1119" s="211"/>
      <c r="BF1119" s="164"/>
      <c r="BG1119" s="76"/>
      <c r="BH1119" s="44"/>
      <c r="BI1119" s="275"/>
      <c r="BJ1119" s="52"/>
      <c r="BK1119" s="35"/>
      <c r="BL1119" s="79"/>
      <c r="BM1119" s="230"/>
      <c r="BN1119" s="211"/>
      <c r="BO1119" s="164"/>
      <c r="BP1119" s="726"/>
      <c r="BQ1119" s="727"/>
      <c r="BR1119" s="299"/>
      <c r="BS1119" s="35"/>
      <c r="BT1119" s="596"/>
      <c r="BU1119" s="79"/>
      <c r="BV1119" s="212"/>
      <c r="BW1119" s="304"/>
      <c r="BX1119" s="313"/>
      <c r="BY1119" s="138"/>
    </row>
    <row r="1120" spans="1:77" ht="15" customHeight="1" outlineLevel="1" x14ac:dyDescent="0.2">
      <c r="A1120" s="57" t="s">
        <v>24</v>
      </c>
      <c r="B1120" s="583" t="s">
        <v>477</v>
      </c>
      <c r="C1120" s="583" t="s">
        <v>428</v>
      </c>
      <c r="D1120" s="546">
        <v>0.879</v>
      </c>
      <c r="E1120" s="162" t="s">
        <v>631</v>
      </c>
      <c r="F1120" s="358"/>
      <c r="G1120" s="65"/>
      <c r="H1120" s="73"/>
      <c r="I1120" s="90"/>
      <c r="J1120" s="73"/>
      <c r="K1120" s="790">
        <v>3.0170000000000002E-3</v>
      </c>
      <c r="L1120" s="717"/>
      <c r="M1120" s="73"/>
      <c r="N1120" s="359"/>
      <c r="O1120" s="1041"/>
      <c r="P1120" s="73"/>
      <c r="Q1120" s="359"/>
      <c r="R1120" s="1041"/>
      <c r="S1120" s="73"/>
      <c r="T1120" s="359"/>
      <c r="U1120" s="73"/>
      <c r="V1120" s="66"/>
      <c r="W1120" s="788">
        <f t="shared" ref="W1120" si="821">AA1120*(1+AB1120)</f>
        <v>1.5085E-6</v>
      </c>
      <c r="X1120" s="789">
        <f t="shared" ref="X1120" si="822">AA1120*(1+AC1120)</f>
        <v>1.5085E-6</v>
      </c>
      <c r="Y1120" s="52">
        <v>2005</v>
      </c>
      <c r="Z1120" s="52"/>
      <c r="AA1120" s="787">
        <f t="shared" ref="AA1120" si="823">+K1120/1000</f>
        <v>3.0170000000000001E-6</v>
      </c>
      <c r="AB1120" s="256">
        <v>-0.5</v>
      </c>
      <c r="AC1120" s="688">
        <f t="shared" si="763"/>
        <v>-0.5</v>
      </c>
      <c r="AD1120" s="164"/>
      <c r="AE1120" s="164"/>
      <c r="AF1120" s="25"/>
      <c r="AG1120" s="26"/>
      <c r="AH1120" s="275"/>
      <c r="AI1120" s="52"/>
      <c r="AJ1120" s="35"/>
      <c r="AK1120" s="289"/>
      <c r="AL1120" s="290"/>
      <c r="AM1120" s="211"/>
      <c r="AN1120" s="164"/>
      <c r="AO1120" s="594"/>
      <c r="AP1120" s="595"/>
      <c r="AQ1120" s="275"/>
      <c r="AR1120" s="52"/>
      <c r="AS1120" s="596"/>
      <c r="AT1120" s="79"/>
      <c r="AU1120" s="212"/>
      <c r="AV1120" s="164"/>
      <c r="AW1120" s="164"/>
      <c r="AX1120" s="76"/>
      <c r="AY1120" s="44"/>
      <c r="AZ1120" s="275"/>
      <c r="BA1120" s="52"/>
      <c r="BB1120" s="35"/>
      <c r="BC1120" s="79"/>
      <c r="BD1120" s="230"/>
      <c r="BE1120" s="211"/>
      <c r="BF1120" s="164"/>
      <c r="BG1120" s="76"/>
      <c r="BH1120" s="44"/>
      <c r="BI1120" s="275"/>
      <c r="BJ1120" s="52"/>
      <c r="BK1120" s="35"/>
      <c r="BL1120" s="79"/>
      <c r="BM1120" s="230"/>
      <c r="BN1120" s="211"/>
      <c r="BO1120" s="164"/>
      <c r="BP1120" s="726"/>
      <c r="BQ1120" s="727"/>
      <c r="BR1120" s="299"/>
      <c r="BS1120" s="35"/>
      <c r="BT1120" s="596"/>
      <c r="BU1120" s="79"/>
      <c r="BV1120" s="212"/>
      <c r="BW1120" s="304"/>
      <c r="BX1120" s="313"/>
      <c r="BY1120" s="138"/>
    </row>
    <row r="1121" spans="1:77" ht="15" customHeight="1" outlineLevel="1" x14ac:dyDescent="0.2">
      <c r="A1121" s="57" t="s">
        <v>24</v>
      </c>
      <c r="B1121" s="583" t="s">
        <v>477</v>
      </c>
      <c r="C1121" s="583" t="s">
        <v>1709</v>
      </c>
      <c r="D1121" s="546">
        <v>3.1429999999999998</v>
      </c>
      <c r="E1121" s="162" t="s">
        <v>631</v>
      </c>
      <c r="F1121" s="358"/>
      <c r="G1121" s="65"/>
      <c r="H1121" s="73"/>
      <c r="I1121" s="90"/>
      <c r="J1121" s="73"/>
      <c r="K1121" s="790"/>
      <c r="L1121" s="717">
        <v>2009</v>
      </c>
      <c r="M1121" s="73"/>
      <c r="N1121" s="786">
        <v>8.5380000000000005E-3</v>
      </c>
      <c r="O1121" s="1041"/>
      <c r="P1121" s="73"/>
      <c r="Q1121" s="786"/>
      <c r="R1121" s="1041"/>
      <c r="S1121" s="73"/>
      <c r="T1121" s="786"/>
      <c r="U1121" s="73"/>
      <c r="V1121" s="66"/>
      <c r="W1121" s="788">
        <f t="shared" ref="W1121" si="824">AA1121*(1+AB1121)</f>
        <v>6.4035000000000006E-6</v>
      </c>
      <c r="X1121" s="789">
        <f t="shared" ref="X1121" si="825">AA1121*(1+AC1121)</f>
        <v>6.4035000000000006E-6</v>
      </c>
      <c r="Y1121" s="52">
        <v>2009</v>
      </c>
      <c r="Z1121" s="52"/>
      <c r="AA1121" s="787">
        <f>+N1121/1000</f>
        <v>8.5380000000000002E-6</v>
      </c>
      <c r="AB1121" s="256">
        <v>-0.25</v>
      </c>
      <c r="AC1121" s="688">
        <f t="shared" si="763"/>
        <v>-0.25</v>
      </c>
      <c r="AD1121" s="164"/>
      <c r="AE1121" s="164"/>
      <c r="AF1121" s="25"/>
      <c r="AG1121" s="26"/>
      <c r="AH1121" s="275"/>
      <c r="AI1121" s="52"/>
      <c r="AJ1121" s="35"/>
      <c r="AK1121" s="289"/>
      <c r="AL1121" s="290"/>
      <c r="AM1121" s="211"/>
      <c r="AN1121" s="164"/>
      <c r="AO1121" s="594"/>
      <c r="AP1121" s="595"/>
      <c r="AQ1121" s="275"/>
      <c r="AR1121" s="52"/>
      <c r="AS1121" s="596"/>
      <c r="AT1121" s="79"/>
      <c r="AU1121" s="212"/>
      <c r="AV1121" s="164"/>
      <c r="AW1121" s="164"/>
      <c r="AX1121" s="76"/>
      <c r="AY1121" s="44"/>
      <c r="AZ1121" s="275"/>
      <c r="BA1121" s="52"/>
      <c r="BB1121" s="35"/>
      <c r="BC1121" s="79"/>
      <c r="BD1121" s="230"/>
      <c r="BE1121" s="211"/>
      <c r="BF1121" s="164"/>
      <c r="BG1121" s="76"/>
      <c r="BH1121" s="44"/>
      <c r="BI1121" s="275"/>
      <c r="BJ1121" s="52"/>
      <c r="BK1121" s="35"/>
      <c r="BL1121" s="79"/>
      <c r="BM1121" s="230"/>
      <c r="BN1121" s="211"/>
      <c r="BO1121" s="164"/>
      <c r="BP1121" s="726"/>
      <c r="BQ1121" s="727"/>
      <c r="BR1121" s="299"/>
      <c r="BS1121" s="35"/>
      <c r="BT1121" s="596"/>
      <c r="BU1121" s="79"/>
      <c r="BV1121" s="212"/>
      <c r="BW1121" s="304"/>
      <c r="BX1121" s="313"/>
      <c r="BY1121" s="138"/>
    </row>
    <row r="1122" spans="1:77" ht="15" customHeight="1" outlineLevel="1" x14ac:dyDescent="0.2">
      <c r="A1122" s="57" t="s">
        <v>24</v>
      </c>
      <c r="B1122" s="583" t="s">
        <v>477</v>
      </c>
      <c r="C1122" s="583" t="s">
        <v>1792</v>
      </c>
      <c r="D1122" s="546">
        <v>4.25</v>
      </c>
      <c r="E1122" s="162" t="s">
        <v>631</v>
      </c>
      <c r="F1122" s="358"/>
      <c r="G1122" s="65"/>
      <c r="H1122" s="73"/>
      <c r="I1122" s="90"/>
      <c r="J1122" s="73"/>
      <c r="K1122" s="790">
        <v>2.0133000000000002E-2</v>
      </c>
      <c r="L1122" s="717"/>
      <c r="M1122" s="73"/>
      <c r="N1122" s="786"/>
      <c r="O1122" s="1041"/>
      <c r="P1122" s="73"/>
      <c r="Q1122" s="786"/>
      <c r="R1122" s="1041"/>
      <c r="S1122" s="73"/>
      <c r="T1122" s="786"/>
      <c r="U1122" s="73"/>
      <c r="V1122" s="66"/>
      <c r="W1122" s="788">
        <f t="shared" ref="W1122" si="826">AA1122*(1+AB1122)</f>
        <v>1.5099750000000001E-5</v>
      </c>
      <c r="X1122" s="789">
        <f t="shared" ref="X1122" si="827">AA1122*(1+AC1122)</f>
        <v>1.5099750000000001E-5</v>
      </c>
      <c r="Y1122" s="52">
        <v>2005</v>
      </c>
      <c r="Z1122" s="52"/>
      <c r="AA1122" s="787">
        <f>+K1122/1000</f>
        <v>2.0133000000000002E-5</v>
      </c>
      <c r="AB1122" s="256">
        <v>-0.25</v>
      </c>
      <c r="AC1122" s="688">
        <f t="shared" si="763"/>
        <v>-0.25</v>
      </c>
      <c r="AD1122" s="164"/>
      <c r="AE1122" s="164"/>
      <c r="AF1122" s="25"/>
      <c r="AG1122" s="26"/>
      <c r="AH1122" s="275"/>
      <c r="AI1122" s="52"/>
      <c r="AJ1122" s="35"/>
      <c r="AK1122" s="289"/>
      <c r="AL1122" s="290"/>
      <c r="AM1122" s="211"/>
      <c r="AN1122" s="164"/>
      <c r="AO1122" s="594"/>
      <c r="AP1122" s="595"/>
      <c r="AQ1122" s="275"/>
      <c r="AR1122" s="52"/>
      <c r="AS1122" s="596"/>
      <c r="AT1122" s="79"/>
      <c r="AU1122" s="212"/>
      <c r="AV1122" s="164"/>
      <c r="AW1122" s="164"/>
      <c r="AX1122" s="76"/>
      <c r="AY1122" s="44"/>
      <c r="AZ1122" s="275"/>
      <c r="BA1122" s="52"/>
      <c r="BB1122" s="35"/>
      <c r="BC1122" s="79"/>
      <c r="BD1122" s="230"/>
      <c r="BE1122" s="211"/>
      <c r="BF1122" s="164"/>
      <c r="BG1122" s="76"/>
      <c r="BH1122" s="44"/>
      <c r="BI1122" s="275"/>
      <c r="BJ1122" s="52"/>
      <c r="BK1122" s="35"/>
      <c r="BL1122" s="79"/>
      <c r="BM1122" s="230"/>
      <c r="BN1122" s="211"/>
      <c r="BO1122" s="164"/>
      <c r="BP1122" s="726"/>
      <c r="BQ1122" s="727"/>
      <c r="BR1122" s="299"/>
      <c r="BS1122" s="35"/>
      <c r="BT1122" s="596"/>
      <c r="BU1122" s="79"/>
      <c r="BV1122" s="212"/>
      <c r="BW1122" s="304"/>
      <c r="BX1122" s="313"/>
      <c r="BY1122" s="138"/>
    </row>
    <row r="1123" spans="1:77" ht="15" customHeight="1" outlineLevel="1" x14ac:dyDescent="0.2">
      <c r="A1123" s="57" t="s">
        <v>24</v>
      </c>
      <c r="B1123" s="583" t="s">
        <v>477</v>
      </c>
      <c r="C1123" s="583" t="s">
        <v>2014</v>
      </c>
      <c r="D1123" s="546">
        <v>13.752000000000001</v>
      </c>
      <c r="E1123" s="162" t="s">
        <v>631</v>
      </c>
      <c r="F1123" s="358"/>
      <c r="G1123" s="65"/>
      <c r="H1123" s="73"/>
      <c r="I1123" s="90"/>
      <c r="J1123" s="73"/>
      <c r="K1123" s="790"/>
      <c r="L1123" s="717"/>
      <c r="M1123" s="73"/>
      <c r="N1123" s="786">
        <v>5.3524000000000002E-2</v>
      </c>
      <c r="O1123" s="1041"/>
      <c r="P1123" s="73"/>
      <c r="Q1123" s="786"/>
      <c r="R1123" s="1041"/>
      <c r="S1123" s="73"/>
      <c r="T1123" s="786"/>
      <c r="U1123" s="73"/>
      <c r="V1123" s="66"/>
      <c r="W1123" s="788">
        <f t="shared" ref="W1123" si="828">AA1123*(1+AB1123)</f>
        <v>3.853728E-5</v>
      </c>
      <c r="X1123" s="789">
        <f t="shared" ref="X1123" si="829">AA1123*(1+AC1123)</f>
        <v>3.853728E-5</v>
      </c>
      <c r="Y1123" s="52">
        <v>2010</v>
      </c>
      <c r="Z1123" s="52"/>
      <c r="AA1123" s="787">
        <f>+N1123/1000</f>
        <v>5.3524000000000005E-5</v>
      </c>
      <c r="AB1123" s="256">
        <v>-0.28000000000000003</v>
      </c>
      <c r="AC1123" s="688">
        <f t="shared" si="763"/>
        <v>-0.28000000000000003</v>
      </c>
      <c r="AD1123" s="164"/>
      <c r="AE1123" s="164"/>
      <c r="AF1123" s="25"/>
      <c r="AG1123" s="26"/>
      <c r="AH1123" s="275"/>
      <c r="AI1123" s="52"/>
      <c r="AJ1123" s="35"/>
      <c r="AK1123" s="289"/>
      <c r="AL1123" s="290"/>
      <c r="AM1123" s="211"/>
      <c r="AN1123" s="164"/>
      <c r="AO1123" s="594"/>
      <c r="AP1123" s="595"/>
      <c r="AQ1123" s="275"/>
      <c r="AR1123" s="52"/>
      <c r="AS1123" s="596"/>
      <c r="AT1123" s="79"/>
      <c r="AU1123" s="212"/>
      <c r="AV1123" s="164"/>
      <c r="AW1123" s="164"/>
      <c r="AX1123" s="76"/>
      <c r="AY1123" s="44"/>
      <c r="AZ1123" s="275"/>
      <c r="BA1123" s="52"/>
      <c r="BB1123" s="35"/>
      <c r="BC1123" s="79"/>
      <c r="BD1123" s="230"/>
      <c r="BE1123" s="211"/>
      <c r="BF1123" s="164"/>
      <c r="BG1123" s="76"/>
      <c r="BH1123" s="44"/>
      <c r="BI1123" s="275"/>
      <c r="BJ1123" s="52"/>
      <c r="BK1123" s="35"/>
      <c r="BL1123" s="79"/>
      <c r="BM1123" s="230"/>
      <c r="BN1123" s="211"/>
      <c r="BO1123" s="164"/>
      <c r="BP1123" s="726"/>
      <c r="BQ1123" s="727"/>
      <c r="BR1123" s="299"/>
      <c r="BS1123" s="35"/>
      <c r="BT1123" s="596"/>
      <c r="BU1123" s="79"/>
      <c r="BV1123" s="212"/>
      <c r="BW1123" s="304"/>
      <c r="BX1123" s="313"/>
      <c r="BY1123" s="138"/>
    </row>
    <row r="1124" spans="1:77" ht="15" customHeight="1" outlineLevel="1" x14ac:dyDescent="0.2">
      <c r="A1124" s="57" t="s">
        <v>24</v>
      </c>
      <c r="B1124" s="583" t="s">
        <v>477</v>
      </c>
      <c r="C1124" s="583" t="s">
        <v>1403</v>
      </c>
      <c r="D1124" s="546">
        <v>1.7789999999999999</v>
      </c>
      <c r="E1124" s="162" t="s">
        <v>631</v>
      </c>
      <c r="F1124" s="358"/>
      <c r="G1124" s="65"/>
      <c r="H1124" s="73"/>
      <c r="I1124" s="90"/>
      <c r="J1124" s="73"/>
      <c r="K1124" s="734">
        <v>1.7507000000000002E-2</v>
      </c>
      <c r="L1124" s="717"/>
      <c r="M1124" s="73"/>
      <c r="N1124" s="359"/>
      <c r="O1124" s="1041"/>
      <c r="P1124" s="73"/>
      <c r="Q1124" s="359"/>
      <c r="R1124" s="1041"/>
      <c r="S1124" s="73"/>
      <c r="T1124" s="359"/>
      <c r="U1124" s="73"/>
      <c r="V1124" s="66"/>
      <c r="W1124" s="740">
        <f t="shared" ref="W1124" si="830">AA1124*(1+AB1124)</f>
        <v>1.22549E-5</v>
      </c>
      <c r="X1124" s="741">
        <f t="shared" ref="X1124" si="831">AA1124*(1+AC1124)</f>
        <v>1.22549E-5</v>
      </c>
      <c r="Y1124" s="52">
        <v>2005</v>
      </c>
      <c r="Z1124" s="52"/>
      <c r="AA1124" s="739">
        <f t="shared" ref="AA1124" si="832">+K1124/1000</f>
        <v>1.7507E-5</v>
      </c>
      <c r="AB1124" s="256">
        <v>-0.3</v>
      </c>
      <c r="AC1124" s="688">
        <f t="shared" si="763"/>
        <v>-0.3</v>
      </c>
      <c r="AD1124" s="164"/>
      <c r="AE1124" s="164"/>
      <c r="AF1124" s="25"/>
      <c r="AG1124" s="26"/>
      <c r="AH1124" s="275"/>
      <c r="AI1124" s="52"/>
      <c r="AJ1124" s="35"/>
      <c r="AK1124" s="289"/>
      <c r="AL1124" s="290"/>
      <c r="AM1124" s="211"/>
      <c r="AN1124" s="164"/>
      <c r="AO1124" s="594"/>
      <c r="AP1124" s="595"/>
      <c r="AQ1124" s="275"/>
      <c r="AR1124" s="52"/>
      <c r="AS1124" s="596"/>
      <c r="AT1124" s="79"/>
      <c r="AU1124" s="212"/>
      <c r="AV1124" s="164"/>
      <c r="AW1124" s="164"/>
      <c r="AX1124" s="76"/>
      <c r="AY1124" s="44"/>
      <c r="AZ1124" s="275"/>
      <c r="BA1124" s="52"/>
      <c r="BB1124" s="35"/>
      <c r="BC1124" s="79"/>
      <c r="BD1124" s="230"/>
      <c r="BE1124" s="211"/>
      <c r="BF1124" s="164"/>
      <c r="BG1124" s="76"/>
      <c r="BH1124" s="44"/>
      <c r="BI1124" s="275"/>
      <c r="BJ1124" s="52"/>
      <c r="BK1124" s="35"/>
      <c r="BL1124" s="79"/>
      <c r="BM1124" s="230"/>
      <c r="BN1124" s="211"/>
      <c r="BO1124" s="164"/>
      <c r="BP1124" s="726"/>
      <c r="BQ1124" s="727"/>
      <c r="BR1124" s="299"/>
      <c r="BS1124" s="35"/>
      <c r="BT1124" s="596"/>
      <c r="BU1124" s="79"/>
      <c r="BV1124" s="212"/>
      <c r="BW1124" s="304"/>
      <c r="BX1124" s="313"/>
      <c r="BY1124" s="138"/>
    </row>
    <row r="1125" spans="1:77" ht="15" customHeight="1" outlineLevel="1" x14ac:dyDescent="0.2">
      <c r="A1125" s="57" t="s">
        <v>24</v>
      </c>
      <c r="B1125" s="583" t="s">
        <v>477</v>
      </c>
      <c r="C1125" s="583" t="s">
        <v>1343</v>
      </c>
      <c r="D1125" s="546">
        <v>0.65700000000000003</v>
      </c>
      <c r="E1125" s="162" t="s">
        <v>631</v>
      </c>
      <c r="F1125" s="358"/>
      <c r="G1125" s="65"/>
      <c r="H1125" s="73"/>
      <c r="I1125" s="90"/>
      <c r="J1125" s="73"/>
      <c r="K1125" s="790">
        <v>3.7079999999999999E-3</v>
      </c>
      <c r="L1125" s="717"/>
      <c r="M1125" s="73"/>
      <c r="N1125" s="359"/>
      <c r="O1125" s="1041"/>
      <c r="P1125" s="73"/>
      <c r="Q1125" s="359"/>
      <c r="R1125" s="1041"/>
      <c r="S1125" s="73"/>
      <c r="T1125" s="359"/>
      <c r="U1125" s="73"/>
      <c r="V1125" s="66"/>
      <c r="W1125" s="788">
        <f t="shared" ref="W1125:W1129" si="833">AA1125*(1+AB1125)</f>
        <v>2.2247999999999999E-6</v>
      </c>
      <c r="X1125" s="789">
        <f t="shared" ref="X1125:X1129" si="834">AA1125*(1+AC1125)</f>
        <v>2.2247999999999999E-6</v>
      </c>
      <c r="Y1125" s="52">
        <v>2005</v>
      </c>
      <c r="Z1125" s="52"/>
      <c r="AA1125" s="787">
        <f t="shared" ref="AA1125" si="835">+K1125/1000</f>
        <v>3.7079999999999999E-6</v>
      </c>
      <c r="AB1125" s="256">
        <v>-0.4</v>
      </c>
      <c r="AC1125" s="688">
        <f t="shared" si="763"/>
        <v>-0.4</v>
      </c>
      <c r="AD1125" s="164"/>
      <c r="AE1125" s="164"/>
      <c r="AF1125" s="25"/>
      <c r="AG1125" s="26"/>
      <c r="AH1125" s="275"/>
      <c r="AI1125" s="52"/>
      <c r="AJ1125" s="35"/>
      <c r="AK1125" s="289"/>
      <c r="AL1125" s="290"/>
      <c r="AM1125" s="211"/>
      <c r="AN1125" s="164"/>
      <c r="AO1125" s="594"/>
      <c r="AP1125" s="595"/>
      <c r="AQ1125" s="275"/>
      <c r="AR1125" s="52"/>
      <c r="AS1125" s="596"/>
      <c r="AT1125" s="79"/>
      <c r="AU1125" s="212"/>
      <c r="AV1125" s="164"/>
      <c r="AW1125" s="164"/>
      <c r="AX1125" s="76"/>
      <c r="AY1125" s="44"/>
      <c r="AZ1125" s="275"/>
      <c r="BA1125" s="52"/>
      <c r="BB1125" s="35"/>
      <c r="BC1125" s="79"/>
      <c r="BD1125" s="230"/>
      <c r="BE1125" s="211"/>
      <c r="BF1125" s="164"/>
      <c r="BG1125" s="76"/>
      <c r="BH1125" s="44"/>
      <c r="BI1125" s="275"/>
      <c r="BJ1125" s="52"/>
      <c r="BK1125" s="35"/>
      <c r="BL1125" s="79"/>
      <c r="BM1125" s="230"/>
      <c r="BN1125" s="211"/>
      <c r="BO1125" s="164"/>
      <c r="BP1125" s="726"/>
      <c r="BQ1125" s="727"/>
      <c r="BR1125" s="299"/>
      <c r="BS1125" s="35"/>
      <c r="BT1125" s="596"/>
      <c r="BU1125" s="79"/>
      <c r="BV1125" s="212"/>
      <c r="BW1125" s="304"/>
      <c r="BX1125" s="313"/>
      <c r="BY1125" s="138"/>
    </row>
    <row r="1126" spans="1:77" ht="15" customHeight="1" outlineLevel="1" x14ac:dyDescent="0.2">
      <c r="A1126" s="57" t="s">
        <v>24</v>
      </c>
      <c r="B1126" s="583" t="s">
        <v>477</v>
      </c>
      <c r="C1126" s="583" t="s">
        <v>1542</v>
      </c>
      <c r="D1126" s="546">
        <v>0.624</v>
      </c>
      <c r="E1126" s="162" t="s">
        <v>631</v>
      </c>
      <c r="F1126" s="358"/>
      <c r="G1126" s="65"/>
      <c r="H1126" s="73"/>
      <c r="I1126" s="90"/>
      <c r="J1126" s="73"/>
      <c r="K1126" s="790">
        <v>2.843E-3</v>
      </c>
      <c r="L1126" s="717"/>
      <c r="M1126" s="73"/>
      <c r="N1126" s="359"/>
      <c r="O1126" s="1041"/>
      <c r="P1126" s="73"/>
      <c r="Q1126" s="359"/>
      <c r="R1126" s="1041"/>
      <c r="S1126" s="73"/>
      <c r="T1126" s="359"/>
      <c r="U1126" s="73"/>
      <c r="V1126" s="66"/>
      <c r="W1126" s="788">
        <f t="shared" ref="W1126" si="836">AA1126*(1+AB1126)</f>
        <v>1.9900999999999998E-6</v>
      </c>
      <c r="X1126" s="789">
        <f t="shared" ref="X1126" si="837">AA1126*(1+AC1126)</f>
        <v>1.9900999999999998E-6</v>
      </c>
      <c r="Y1126" s="52">
        <v>2005</v>
      </c>
      <c r="Z1126" s="52"/>
      <c r="AA1126" s="787">
        <f t="shared" ref="AA1126" si="838">+K1126/1000</f>
        <v>2.8430000000000001E-6</v>
      </c>
      <c r="AB1126" s="256">
        <v>-0.3</v>
      </c>
      <c r="AC1126" s="688">
        <f t="shared" ref="AC1126:AC1127" si="839">AB1126</f>
        <v>-0.3</v>
      </c>
      <c r="AD1126" s="164"/>
      <c r="AE1126" s="164"/>
      <c r="AF1126" s="25"/>
      <c r="AG1126" s="26"/>
      <c r="AH1126" s="275"/>
      <c r="AI1126" s="52"/>
      <c r="AJ1126" s="35"/>
      <c r="AK1126" s="289"/>
      <c r="AL1126" s="290"/>
      <c r="AM1126" s="211"/>
      <c r="AN1126" s="164"/>
      <c r="AO1126" s="594"/>
      <c r="AP1126" s="595"/>
      <c r="AQ1126" s="275"/>
      <c r="AR1126" s="52"/>
      <c r="AS1126" s="596"/>
      <c r="AT1126" s="79"/>
      <c r="AU1126" s="212"/>
      <c r="AV1126" s="164"/>
      <c r="AW1126" s="164"/>
      <c r="AX1126" s="76"/>
      <c r="AY1126" s="44"/>
      <c r="AZ1126" s="275"/>
      <c r="BA1126" s="52"/>
      <c r="BB1126" s="35"/>
      <c r="BC1126" s="79"/>
      <c r="BD1126" s="230"/>
      <c r="BE1126" s="211"/>
      <c r="BF1126" s="164"/>
      <c r="BG1126" s="76"/>
      <c r="BH1126" s="44"/>
      <c r="BI1126" s="275"/>
      <c r="BJ1126" s="52"/>
      <c r="BK1126" s="35"/>
      <c r="BL1126" s="79"/>
      <c r="BM1126" s="230"/>
      <c r="BN1126" s="211"/>
      <c r="BO1126" s="164"/>
      <c r="BP1126" s="726"/>
      <c r="BQ1126" s="727"/>
      <c r="BR1126" s="299"/>
      <c r="BS1126" s="35"/>
      <c r="BT1126" s="596"/>
      <c r="BU1126" s="79"/>
      <c r="BV1126" s="212"/>
      <c r="BW1126" s="304"/>
      <c r="BX1126" s="313"/>
      <c r="BY1126" s="138"/>
    </row>
    <row r="1127" spans="1:77" ht="15" customHeight="1" outlineLevel="1" x14ac:dyDescent="0.2">
      <c r="A1127" s="57" t="s">
        <v>24</v>
      </c>
      <c r="B1127" s="583" t="s">
        <v>477</v>
      </c>
      <c r="C1127" s="583" t="s">
        <v>2073</v>
      </c>
      <c r="D1127" s="546">
        <v>4.2290000000000001</v>
      </c>
      <c r="E1127" s="162" t="s">
        <v>631</v>
      </c>
      <c r="F1127" s="358"/>
      <c r="G1127" s="65"/>
      <c r="H1127" s="73"/>
      <c r="I1127" s="90"/>
      <c r="J1127" s="73"/>
      <c r="K1127" s="790"/>
      <c r="L1127" s="717">
        <v>2012</v>
      </c>
      <c r="M1127" s="73"/>
      <c r="N1127" s="359">
        <v>0.20982000000000001</v>
      </c>
      <c r="O1127" s="1041"/>
      <c r="P1127" s="73"/>
      <c r="Q1127" s="359"/>
      <c r="R1127" s="1041"/>
      <c r="S1127" s="73"/>
      <c r="T1127" s="359"/>
      <c r="U1127" s="73"/>
      <c r="V1127" s="66"/>
      <c r="W1127" s="788">
        <f t="shared" ref="W1127" si="840">AA1127*(1+AB1127)</f>
        <v>1.489722E-4</v>
      </c>
      <c r="X1127" s="789">
        <f t="shared" ref="X1127" si="841">AA1127*(1+AC1127)</f>
        <v>1.489722E-4</v>
      </c>
      <c r="Y1127" s="52">
        <v>2012</v>
      </c>
      <c r="Z1127" s="52"/>
      <c r="AA1127" s="787">
        <f>+N1127/1000</f>
        <v>2.0981999999999999E-4</v>
      </c>
      <c r="AB1127" s="256">
        <v>-0.28999999999999998</v>
      </c>
      <c r="AC1127" s="688">
        <f t="shared" si="839"/>
        <v>-0.28999999999999998</v>
      </c>
      <c r="AD1127" s="164"/>
      <c r="AE1127" s="164"/>
      <c r="AF1127" s="25"/>
      <c r="AG1127" s="26"/>
      <c r="AH1127" s="275"/>
      <c r="AI1127" s="52"/>
      <c r="AJ1127" s="35"/>
      <c r="AK1127" s="289"/>
      <c r="AL1127" s="290"/>
      <c r="AM1127" s="211"/>
      <c r="AN1127" s="164"/>
      <c r="AO1127" s="594"/>
      <c r="AP1127" s="595"/>
      <c r="AQ1127" s="275"/>
      <c r="AR1127" s="52"/>
      <c r="AS1127" s="596"/>
      <c r="AT1127" s="79"/>
      <c r="AU1127" s="212"/>
      <c r="AV1127" s="164"/>
      <c r="AW1127" s="164"/>
      <c r="AX1127" s="76"/>
      <c r="AY1127" s="44"/>
      <c r="AZ1127" s="275"/>
      <c r="BA1127" s="52"/>
      <c r="BB1127" s="35"/>
      <c r="BC1127" s="79"/>
      <c r="BD1127" s="230"/>
      <c r="BE1127" s="211"/>
      <c r="BF1127" s="164"/>
      <c r="BG1127" s="76"/>
      <c r="BH1127" s="44"/>
      <c r="BI1127" s="275"/>
      <c r="BJ1127" s="52"/>
      <c r="BK1127" s="35"/>
      <c r="BL1127" s="79"/>
      <c r="BM1127" s="230"/>
      <c r="BN1127" s="211"/>
      <c r="BO1127" s="164"/>
      <c r="BP1127" s="726"/>
      <c r="BQ1127" s="727"/>
      <c r="BR1127" s="299"/>
      <c r="BS1127" s="35"/>
      <c r="BT1127" s="596"/>
      <c r="BU1127" s="79"/>
      <c r="BV1127" s="212"/>
      <c r="BW1127" s="304"/>
      <c r="BX1127" s="313"/>
      <c r="BY1127" s="138"/>
    </row>
    <row r="1128" spans="1:77" ht="15" customHeight="1" outlineLevel="1" x14ac:dyDescent="0.2">
      <c r="A1128" s="57" t="s">
        <v>24</v>
      </c>
      <c r="B1128" s="583" t="s">
        <v>477</v>
      </c>
      <c r="C1128" s="583" t="s">
        <v>1380</v>
      </c>
      <c r="D1128" s="546">
        <v>4.5659999999999998</v>
      </c>
      <c r="E1128" s="162" t="s">
        <v>631</v>
      </c>
      <c r="F1128" s="358"/>
      <c r="G1128" s="65"/>
      <c r="H1128" s="73"/>
      <c r="I1128" s="90"/>
      <c r="J1128" s="73"/>
      <c r="K1128" s="734"/>
      <c r="L1128" s="717">
        <v>2010</v>
      </c>
      <c r="M1128" s="73"/>
      <c r="N1128" s="738">
        <v>1.2555E-2</v>
      </c>
      <c r="O1128" s="1041"/>
      <c r="P1128" s="73"/>
      <c r="Q1128" s="738"/>
      <c r="R1128" s="1041"/>
      <c r="S1128" s="73"/>
      <c r="T1128" s="738"/>
      <c r="U1128" s="73"/>
      <c r="V1128" s="66"/>
      <c r="W1128" s="740">
        <f t="shared" si="833"/>
        <v>8.7885000000000006E-6</v>
      </c>
      <c r="X1128" s="741">
        <f t="shared" si="834"/>
        <v>8.7885000000000006E-6</v>
      </c>
      <c r="Y1128" s="52">
        <v>2010</v>
      </c>
      <c r="Z1128" s="52"/>
      <c r="AA1128" s="739">
        <f>+N1128/1000</f>
        <v>1.2555000000000001E-5</v>
      </c>
      <c r="AB1128" s="256">
        <v>-0.3</v>
      </c>
      <c r="AC1128" s="688">
        <f t="shared" ref="AC1128" si="842">AB1128</f>
        <v>-0.3</v>
      </c>
      <c r="AD1128" s="164"/>
      <c r="AE1128" s="164"/>
      <c r="AF1128" s="25"/>
      <c r="AG1128" s="26"/>
      <c r="AH1128" s="275"/>
      <c r="AI1128" s="52"/>
      <c r="AJ1128" s="35"/>
      <c r="AK1128" s="289"/>
      <c r="AL1128" s="290"/>
      <c r="AM1128" s="211"/>
      <c r="AN1128" s="164"/>
      <c r="AO1128" s="594"/>
      <c r="AP1128" s="595"/>
      <c r="AQ1128" s="275"/>
      <c r="AR1128" s="52"/>
      <c r="AS1128" s="596"/>
      <c r="AT1128" s="79"/>
      <c r="AU1128" s="212"/>
      <c r="AV1128" s="164"/>
      <c r="AW1128" s="164"/>
      <c r="AX1128" s="76"/>
      <c r="AY1128" s="44"/>
      <c r="AZ1128" s="275"/>
      <c r="BA1128" s="52"/>
      <c r="BB1128" s="35"/>
      <c r="BC1128" s="79"/>
      <c r="BD1128" s="230"/>
      <c r="BE1128" s="211"/>
      <c r="BF1128" s="164"/>
      <c r="BG1128" s="76"/>
      <c r="BH1128" s="44"/>
      <c r="BI1128" s="275"/>
      <c r="BJ1128" s="52"/>
      <c r="BK1128" s="35"/>
      <c r="BL1128" s="79"/>
      <c r="BM1128" s="230"/>
      <c r="BN1128" s="211"/>
      <c r="BO1128" s="164"/>
      <c r="BP1128" s="726"/>
      <c r="BQ1128" s="727"/>
      <c r="BR1128" s="299"/>
      <c r="BS1128" s="35"/>
      <c r="BT1128" s="596"/>
      <c r="BU1128" s="79"/>
      <c r="BV1128" s="212"/>
      <c r="BW1128" s="304"/>
      <c r="BX1128" s="313"/>
      <c r="BY1128" s="138"/>
    </row>
    <row r="1129" spans="1:77" ht="15" customHeight="1" outlineLevel="1" x14ac:dyDescent="0.2">
      <c r="A1129" s="57" t="s">
        <v>24</v>
      </c>
      <c r="B1129" s="583" t="s">
        <v>477</v>
      </c>
      <c r="C1129" s="583" t="s">
        <v>1405</v>
      </c>
      <c r="D1129" s="546">
        <v>0.59</v>
      </c>
      <c r="E1129" s="162" t="s">
        <v>631</v>
      </c>
      <c r="F1129" s="358"/>
      <c r="G1129" s="65"/>
      <c r="H1129" s="73"/>
      <c r="I1129" s="90"/>
      <c r="J1129" s="73"/>
      <c r="K1129" s="790">
        <v>4.8069999999999996E-3</v>
      </c>
      <c r="L1129" s="717"/>
      <c r="M1129" s="73"/>
      <c r="N1129" s="359"/>
      <c r="O1129" s="1041"/>
      <c r="P1129" s="73"/>
      <c r="Q1129" s="359"/>
      <c r="R1129" s="1041"/>
      <c r="S1129" s="73"/>
      <c r="T1129" s="359"/>
      <c r="U1129" s="73"/>
      <c r="V1129" s="66"/>
      <c r="W1129" s="788">
        <f t="shared" si="833"/>
        <v>2.8841999999999998E-6</v>
      </c>
      <c r="X1129" s="789">
        <f t="shared" si="834"/>
        <v>2.8841999999999998E-6</v>
      </c>
      <c r="Y1129" s="52">
        <v>2005</v>
      </c>
      <c r="Z1129" s="52"/>
      <c r="AA1129" s="787">
        <f t="shared" ref="AA1129" si="843">+K1129/1000</f>
        <v>4.8069999999999999E-6</v>
      </c>
      <c r="AB1129" s="256">
        <v>-0.4</v>
      </c>
      <c r="AC1129" s="688">
        <f t="shared" ref="AC1129:AC1135" si="844">AB1129</f>
        <v>-0.4</v>
      </c>
      <c r="AD1129" s="164"/>
      <c r="AE1129" s="164"/>
      <c r="AF1129" s="25"/>
      <c r="AG1129" s="26"/>
      <c r="AH1129" s="275"/>
      <c r="AI1129" s="52"/>
      <c r="AJ1129" s="35"/>
      <c r="AK1129" s="289"/>
      <c r="AL1129" s="290"/>
      <c r="AM1129" s="211"/>
      <c r="AN1129" s="164"/>
      <c r="AO1129" s="594"/>
      <c r="AP1129" s="595"/>
      <c r="AQ1129" s="275"/>
      <c r="AR1129" s="52"/>
      <c r="AS1129" s="596"/>
      <c r="AT1129" s="79"/>
      <c r="AU1129" s="212"/>
      <c r="AV1129" s="164"/>
      <c r="AW1129" s="164"/>
      <c r="AX1129" s="76"/>
      <c r="AY1129" s="44"/>
      <c r="AZ1129" s="275"/>
      <c r="BA1129" s="52"/>
      <c r="BB1129" s="35"/>
      <c r="BC1129" s="79"/>
      <c r="BD1129" s="230"/>
      <c r="BE1129" s="211"/>
      <c r="BF1129" s="164"/>
      <c r="BG1129" s="76"/>
      <c r="BH1129" s="44"/>
      <c r="BI1129" s="275"/>
      <c r="BJ1129" s="52"/>
      <c r="BK1129" s="35"/>
      <c r="BL1129" s="79"/>
      <c r="BM1129" s="230"/>
      <c r="BN1129" s="211"/>
      <c r="BO1129" s="164"/>
      <c r="BP1129" s="726"/>
      <c r="BQ1129" s="727"/>
      <c r="BR1129" s="299"/>
      <c r="BS1129" s="35"/>
      <c r="BT1129" s="596"/>
      <c r="BU1129" s="79"/>
      <c r="BV1129" s="212"/>
      <c r="BW1129" s="304"/>
      <c r="BX1129" s="313"/>
      <c r="BY1129" s="138"/>
    </row>
    <row r="1130" spans="1:77" ht="15" customHeight="1" outlineLevel="1" x14ac:dyDescent="0.2">
      <c r="A1130" s="57" t="s">
        <v>24</v>
      </c>
      <c r="B1130" s="583" t="s">
        <v>477</v>
      </c>
      <c r="C1130" s="583" t="s">
        <v>1274</v>
      </c>
      <c r="D1130" s="546">
        <v>1.2</v>
      </c>
      <c r="E1130" s="162" t="s">
        <v>631</v>
      </c>
      <c r="F1130" s="358"/>
      <c r="G1130" s="65"/>
      <c r="H1130" s="73"/>
      <c r="I1130" s="90"/>
      <c r="J1130" s="73"/>
      <c r="K1130" s="734">
        <v>5.3039999999999997E-3</v>
      </c>
      <c r="L1130" s="717"/>
      <c r="M1130" s="73"/>
      <c r="N1130" s="359"/>
      <c r="O1130" s="1041"/>
      <c r="P1130" s="73"/>
      <c r="Q1130" s="359"/>
      <c r="R1130" s="1041"/>
      <c r="S1130" s="73"/>
      <c r="T1130" s="359"/>
      <c r="U1130" s="73"/>
      <c r="V1130" s="66"/>
      <c r="W1130" s="788">
        <f t="shared" si="643"/>
        <v>3.3415199999999998E-6</v>
      </c>
      <c r="X1130" s="789">
        <f t="shared" si="644"/>
        <v>3.3415199999999998E-6</v>
      </c>
      <c r="Y1130" s="52">
        <v>2005</v>
      </c>
      <c r="Z1130" s="52"/>
      <c r="AA1130" s="739">
        <f t="shared" si="732"/>
        <v>5.3039999999999995E-6</v>
      </c>
      <c r="AB1130" s="256">
        <v>-0.37</v>
      </c>
      <c r="AC1130" s="688">
        <f t="shared" si="844"/>
        <v>-0.37</v>
      </c>
      <c r="AD1130" s="164"/>
      <c r="AE1130" s="164"/>
      <c r="AF1130" s="25"/>
      <c r="AG1130" s="26"/>
      <c r="AH1130" s="275"/>
      <c r="AI1130" s="52"/>
      <c r="AJ1130" s="35"/>
      <c r="AK1130" s="289"/>
      <c r="AL1130" s="290"/>
      <c r="AM1130" s="211"/>
      <c r="AN1130" s="164"/>
      <c r="AO1130" s="594"/>
      <c r="AP1130" s="595"/>
      <c r="AQ1130" s="275"/>
      <c r="AR1130" s="52"/>
      <c r="AS1130" s="596"/>
      <c r="AT1130" s="79"/>
      <c r="AU1130" s="212"/>
      <c r="AV1130" s="164"/>
      <c r="AW1130" s="164"/>
      <c r="AX1130" s="76"/>
      <c r="AY1130" s="44"/>
      <c r="AZ1130" s="275"/>
      <c r="BA1130" s="52"/>
      <c r="BB1130" s="35"/>
      <c r="BC1130" s="79"/>
      <c r="BD1130" s="230"/>
      <c r="BE1130" s="211"/>
      <c r="BF1130" s="164"/>
      <c r="BG1130" s="76"/>
      <c r="BH1130" s="44"/>
      <c r="BI1130" s="275"/>
      <c r="BJ1130" s="52"/>
      <c r="BK1130" s="35"/>
      <c r="BL1130" s="79"/>
      <c r="BM1130" s="230"/>
      <c r="BN1130" s="211"/>
      <c r="BO1130" s="164"/>
      <c r="BP1130" s="726"/>
      <c r="BQ1130" s="727"/>
      <c r="BR1130" s="299"/>
      <c r="BS1130" s="35"/>
      <c r="BT1130" s="596"/>
      <c r="BU1130" s="79"/>
      <c r="BV1130" s="212"/>
      <c r="BW1130" s="304"/>
      <c r="BX1130" s="313"/>
      <c r="BY1130" s="138"/>
    </row>
    <row r="1131" spans="1:77" ht="15" customHeight="1" outlineLevel="1" x14ac:dyDescent="0.2">
      <c r="A1131" s="57" t="s">
        <v>24</v>
      </c>
      <c r="B1131" s="583" t="s">
        <v>477</v>
      </c>
      <c r="C1131" s="583" t="s">
        <v>1344</v>
      </c>
      <c r="D1131" s="546">
        <v>2.8940000000000001</v>
      </c>
      <c r="E1131" s="162" t="s">
        <v>631</v>
      </c>
      <c r="F1131" s="358"/>
      <c r="G1131" s="65"/>
      <c r="H1131" s="73"/>
      <c r="I1131" s="90"/>
      <c r="J1131" s="73"/>
      <c r="K1131" s="734">
        <v>1.2999999999999999E-2</v>
      </c>
      <c r="L1131" s="717"/>
      <c r="M1131" s="73"/>
      <c r="N1131" s="359"/>
      <c r="O1131" s="1041"/>
      <c r="P1131" s="73"/>
      <c r="Q1131" s="359"/>
      <c r="R1131" s="1041"/>
      <c r="S1131" s="73"/>
      <c r="T1131" s="359"/>
      <c r="U1131" s="73"/>
      <c r="V1131" s="66"/>
      <c r="W1131" s="788">
        <f t="shared" ref="W1131:W1137" si="845">AA1131*(1+AB1131)</f>
        <v>9.0999999999999993E-6</v>
      </c>
      <c r="X1131" s="789">
        <f t="shared" ref="X1131:X1137" si="846">AA1131*(1+AC1131)</f>
        <v>9.0999999999999993E-6</v>
      </c>
      <c r="Y1131" s="52">
        <v>2005</v>
      </c>
      <c r="Z1131" s="52"/>
      <c r="AA1131" s="739">
        <f t="shared" ref="AA1131" si="847">+K1131/1000</f>
        <v>1.2999999999999999E-5</v>
      </c>
      <c r="AB1131" s="256">
        <v>-0.3</v>
      </c>
      <c r="AC1131" s="688">
        <f t="shared" si="844"/>
        <v>-0.3</v>
      </c>
      <c r="AD1131" s="164"/>
      <c r="AE1131" s="164"/>
      <c r="AF1131" s="25"/>
      <c r="AG1131" s="26"/>
      <c r="AH1131" s="275"/>
      <c r="AI1131" s="52"/>
      <c r="AJ1131" s="35"/>
      <c r="AK1131" s="289"/>
      <c r="AL1131" s="290"/>
      <c r="AM1131" s="211"/>
      <c r="AN1131" s="164"/>
      <c r="AO1131" s="594"/>
      <c r="AP1131" s="595"/>
      <c r="AQ1131" s="275"/>
      <c r="AR1131" s="52"/>
      <c r="AS1131" s="596"/>
      <c r="AT1131" s="79"/>
      <c r="AU1131" s="212"/>
      <c r="AV1131" s="164"/>
      <c r="AW1131" s="164"/>
      <c r="AX1131" s="76"/>
      <c r="AY1131" s="44"/>
      <c r="AZ1131" s="275"/>
      <c r="BA1131" s="52"/>
      <c r="BB1131" s="35"/>
      <c r="BC1131" s="79"/>
      <c r="BD1131" s="230"/>
      <c r="BE1131" s="211"/>
      <c r="BF1131" s="164"/>
      <c r="BG1131" s="76"/>
      <c r="BH1131" s="44"/>
      <c r="BI1131" s="275"/>
      <c r="BJ1131" s="52"/>
      <c r="BK1131" s="35"/>
      <c r="BL1131" s="79"/>
      <c r="BM1131" s="230"/>
      <c r="BN1131" s="211"/>
      <c r="BO1131" s="164"/>
      <c r="BP1131" s="726"/>
      <c r="BQ1131" s="727"/>
      <c r="BR1131" s="299"/>
      <c r="BS1131" s="35"/>
      <c r="BT1131" s="596"/>
      <c r="BU1131" s="79"/>
      <c r="BV1131" s="212"/>
      <c r="BW1131" s="304"/>
      <c r="BX1131" s="313"/>
      <c r="BY1131" s="138"/>
    </row>
    <row r="1132" spans="1:77" ht="15" customHeight="1" outlineLevel="1" x14ac:dyDescent="0.2">
      <c r="A1132" s="57" t="s">
        <v>24</v>
      </c>
      <c r="B1132" s="583" t="s">
        <v>477</v>
      </c>
      <c r="C1132" s="583" t="s">
        <v>1362</v>
      </c>
      <c r="D1132" s="546">
        <v>0.55200000000000005</v>
      </c>
      <c r="E1132" s="162" t="s">
        <v>631</v>
      </c>
      <c r="F1132" s="358"/>
      <c r="G1132" s="65"/>
      <c r="H1132" s="73"/>
      <c r="I1132" s="90"/>
      <c r="J1132" s="73"/>
      <c r="K1132" s="790">
        <v>1.725E-3</v>
      </c>
      <c r="L1132" s="717"/>
      <c r="M1132" s="73"/>
      <c r="N1132" s="359"/>
      <c r="O1132" s="1041"/>
      <c r="P1132" s="73"/>
      <c r="Q1132" s="359"/>
      <c r="R1132" s="1041"/>
      <c r="S1132" s="73"/>
      <c r="T1132" s="359"/>
      <c r="U1132" s="73"/>
      <c r="V1132" s="66"/>
      <c r="W1132" s="788">
        <f t="shared" ref="W1132:W1134" si="848">AA1132*(1+AB1132)</f>
        <v>1.2074999999999999E-6</v>
      </c>
      <c r="X1132" s="789">
        <f t="shared" ref="X1132:X1134" si="849">AA1132*(1+AC1132)</f>
        <v>1.2074999999999999E-6</v>
      </c>
      <c r="Y1132" s="52">
        <v>2005</v>
      </c>
      <c r="Z1132" s="52"/>
      <c r="AA1132" s="787">
        <f t="shared" ref="AA1132:AA1134" si="850">+K1132/1000</f>
        <v>1.725E-6</v>
      </c>
      <c r="AB1132" s="256">
        <v>-0.3</v>
      </c>
      <c r="AC1132" s="688">
        <f t="shared" si="844"/>
        <v>-0.3</v>
      </c>
      <c r="AD1132" s="164"/>
      <c r="AE1132" s="164"/>
      <c r="AF1132" s="25"/>
      <c r="AG1132" s="26"/>
      <c r="AH1132" s="275"/>
      <c r="AI1132" s="52"/>
      <c r="AJ1132" s="35"/>
      <c r="AK1132" s="289"/>
      <c r="AL1132" s="290"/>
      <c r="AM1132" s="211"/>
      <c r="AN1132" s="164"/>
      <c r="AO1132" s="594"/>
      <c r="AP1132" s="595"/>
      <c r="AQ1132" s="275"/>
      <c r="AR1132" s="52"/>
      <c r="AS1132" s="596"/>
      <c r="AT1132" s="79"/>
      <c r="AU1132" s="212"/>
      <c r="AV1132" s="164"/>
      <c r="AW1132" s="164"/>
      <c r="AX1132" s="76"/>
      <c r="AY1132" s="44"/>
      <c r="AZ1132" s="275"/>
      <c r="BA1132" s="52"/>
      <c r="BB1132" s="35"/>
      <c r="BC1132" s="79"/>
      <c r="BD1132" s="230"/>
      <c r="BE1132" s="211"/>
      <c r="BF1132" s="164"/>
      <c r="BG1132" s="76"/>
      <c r="BH1132" s="44"/>
      <c r="BI1132" s="275"/>
      <c r="BJ1132" s="52"/>
      <c r="BK1132" s="35"/>
      <c r="BL1132" s="79"/>
      <c r="BM1132" s="230"/>
      <c r="BN1132" s="211"/>
      <c r="BO1132" s="164"/>
      <c r="BP1132" s="726"/>
      <c r="BQ1132" s="727"/>
      <c r="BR1132" s="299"/>
      <c r="BS1132" s="35"/>
      <c r="BT1132" s="596"/>
      <c r="BU1132" s="79"/>
      <c r="BV1132" s="212"/>
      <c r="BW1132" s="304"/>
      <c r="BX1132" s="313"/>
      <c r="BY1132" s="138"/>
    </row>
    <row r="1133" spans="1:77" ht="15" customHeight="1" outlineLevel="1" x14ac:dyDescent="0.2">
      <c r="A1133" s="57" t="s">
        <v>24</v>
      </c>
      <c r="B1133" s="583" t="s">
        <v>477</v>
      </c>
      <c r="C1133" s="583" t="s">
        <v>1726</v>
      </c>
      <c r="D1133" s="546">
        <v>1.681</v>
      </c>
      <c r="E1133" s="162" t="s">
        <v>631</v>
      </c>
      <c r="F1133" s="358"/>
      <c r="G1133" s="65"/>
      <c r="H1133" s="73"/>
      <c r="I1133" s="90"/>
      <c r="J1133" s="73"/>
      <c r="K1133" s="790">
        <v>9.9109999999999997E-3</v>
      </c>
      <c r="L1133" s="717"/>
      <c r="M1133" s="73"/>
      <c r="N1133" s="359"/>
      <c r="O1133" s="1041"/>
      <c r="P1133" s="73"/>
      <c r="Q1133" s="359"/>
      <c r="R1133" s="1041"/>
      <c r="S1133" s="73"/>
      <c r="T1133" s="359"/>
      <c r="U1133" s="73"/>
      <c r="V1133" s="66"/>
      <c r="W1133" s="788">
        <f t="shared" si="848"/>
        <v>7.4332500000000004E-6</v>
      </c>
      <c r="X1133" s="789">
        <f t="shared" si="849"/>
        <v>7.4332500000000004E-6</v>
      </c>
      <c r="Y1133" s="52">
        <v>2005</v>
      </c>
      <c r="Z1133" s="52"/>
      <c r="AA1133" s="787">
        <f t="shared" si="850"/>
        <v>9.9110000000000005E-6</v>
      </c>
      <c r="AB1133" s="256">
        <v>-0.25</v>
      </c>
      <c r="AC1133" s="688">
        <f t="shared" si="844"/>
        <v>-0.25</v>
      </c>
      <c r="AD1133" s="164"/>
      <c r="AE1133" s="164"/>
      <c r="AF1133" s="25"/>
      <c r="AG1133" s="26"/>
      <c r="AH1133" s="275"/>
      <c r="AI1133" s="52"/>
      <c r="AJ1133" s="35"/>
      <c r="AK1133" s="289"/>
      <c r="AL1133" s="290"/>
      <c r="AM1133" s="211"/>
      <c r="AN1133" s="164"/>
      <c r="AO1133" s="594"/>
      <c r="AP1133" s="595"/>
      <c r="AQ1133" s="275"/>
      <c r="AR1133" s="52"/>
      <c r="AS1133" s="596"/>
      <c r="AT1133" s="79"/>
      <c r="AU1133" s="212"/>
      <c r="AV1133" s="164"/>
      <c r="AW1133" s="164"/>
      <c r="AX1133" s="76"/>
      <c r="AY1133" s="44"/>
      <c r="AZ1133" s="275"/>
      <c r="BA1133" s="52"/>
      <c r="BB1133" s="35"/>
      <c r="BC1133" s="79"/>
      <c r="BD1133" s="230"/>
      <c r="BE1133" s="211"/>
      <c r="BF1133" s="164"/>
      <c r="BG1133" s="76"/>
      <c r="BH1133" s="44"/>
      <c r="BI1133" s="275"/>
      <c r="BJ1133" s="52"/>
      <c r="BK1133" s="35"/>
      <c r="BL1133" s="79"/>
      <c r="BM1133" s="230"/>
      <c r="BN1133" s="211"/>
      <c r="BO1133" s="164"/>
      <c r="BP1133" s="726"/>
      <c r="BQ1133" s="727"/>
      <c r="BR1133" s="299"/>
      <c r="BS1133" s="35"/>
      <c r="BT1133" s="596"/>
      <c r="BU1133" s="79"/>
      <c r="BV1133" s="212"/>
      <c r="BW1133" s="304"/>
      <c r="BX1133" s="313"/>
      <c r="BY1133" s="138"/>
    </row>
    <row r="1134" spans="1:77" ht="15" customHeight="1" outlineLevel="1" x14ac:dyDescent="0.2">
      <c r="A1134" s="57" t="s">
        <v>24</v>
      </c>
      <c r="B1134" s="583" t="s">
        <v>477</v>
      </c>
      <c r="C1134" s="583" t="s">
        <v>2087</v>
      </c>
      <c r="D1134" s="546">
        <v>5.3339999999999996</v>
      </c>
      <c r="E1134" s="162" t="s">
        <v>631</v>
      </c>
      <c r="F1134" s="358"/>
      <c r="G1134" s="65"/>
      <c r="H1134" s="73"/>
      <c r="I1134" s="90"/>
      <c r="J1134" s="73"/>
      <c r="K1134" s="790">
        <v>2.2345E-2</v>
      </c>
      <c r="L1134" s="717"/>
      <c r="M1134" s="73"/>
      <c r="N1134" s="359"/>
      <c r="O1134" s="1041"/>
      <c r="P1134" s="73"/>
      <c r="Q1134" s="359"/>
      <c r="R1134" s="1041"/>
      <c r="S1134" s="73"/>
      <c r="T1134" s="359"/>
      <c r="U1134" s="73"/>
      <c r="V1134" s="66"/>
      <c r="W1134" s="788">
        <f t="shared" si="848"/>
        <v>1.6758749999999999E-5</v>
      </c>
      <c r="X1134" s="789">
        <f t="shared" si="849"/>
        <v>1.6758749999999999E-5</v>
      </c>
      <c r="Y1134" s="52">
        <v>2005</v>
      </c>
      <c r="Z1134" s="52"/>
      <c r="AA1134" s="787">
        <f t="shared" si="850"/>
        <v>2.2345E-5</v>
      </c>
      <c r="AB1134" s="256">
        <v>-0.25</v>
      </c>
      <c r="AC1134" s="688">
        <f t="shared" si="844"/>
        <v>-0.25</v>
      </c>
      <c r="AD1134" s="164"/>
      <c r="AE1134" s="164"/>
      <c r="AF1134" s="25"/>
      <c r="AG1134" s="26"/>
      <c r="AH1134" s="275"/>
      <c r="AI1134" s="52"/>
      <c r="AJ1134" s="35"/>
      <c r="AK1134" s="289"/>
      <c r="AL1134" s="290"/>
      <c r="AM1134" s="211"/>
      <c r="AN1134" s="164"/>
      <c r="AO1134" s="594"/>
      <c r="AP1134" s="595"/>
      <c r="AQ1134" s="275"/>
      <c r="AR1134" s="52"/>
      <c r="AS1134" s="596"/>
      <c r="AT1134" s="79"/>
      <c r="AU1134" s="212"/>
      <c r="AV1134" s="164"/>
      <c r="AW1134" s="164"/>
      <c r="AX1134" s="76"/>
      <c r="AY1134" s="44"/>
      <c r="AZ1134" s="275"/>
      <c r="BA1134" s="52"/>
      <c r="BB1134" s="35"/>
      <c r="BC1134" s="79"/>
      <c r="BD1134" s="230"/>
      <c r="BE1134" s="211"/>
      <c r="BF1134" s="164"/>
      <c r="BG1134" s="76"/>
      <c r="BH1134" s="44"/>
      <c r="BI1134" s="275"/>
      <c r="BJ1134" s="52"/>
      <c r="BK1134" s="35"/>
      <c r="BL1134" s="79"/>
      <c r="BM1134" s="230"/>
      <c r="BN1134" s="211"/>
      <c r="BO1134" s="164"/>
      <c r="BP1134" s="726"/>
      <c r="BQ1134" s="727"/>
      <c r="BR1134" s="299"/>
      <c r="BS1134" s="35"/>
      <c r="BT1134" s="596"/>
      <c r="BU1134" s="79"/>
      <c r="BV1134" s="212"/>
      <c r="BW1134" s="304"/>
      <c r="BX1134" s="313"/>
      <c r="BY1134" s="138"/>
    </row>
    <row r="1135" spans="1:77" ht="15" customHeight="1" outlineLevel="1" x14ac:dyDescent="0.2">
      <c r="A1135" s="57" t="s">
        <v>24</v>
      </c>
      <c r="B1135" s="583" t="s">
        <v>477</v>
      </c>
      <c r="C1135" s="583" t="s">
        <v>1446</v>
      </c>
      <c r="D1135" s="546">
        <v>4.633</v>
      </c>
      <c r="E1135" s="162" t="s">
        <v>631</v>
      </c>
      <c r="F1135" s="358"/>
      <c r="G1135" s="65"/>
      <c r="H1135" s="73"/>
      <c r="I1135" s="90"/>
      <c r="J1135" s="73"/>
      <c r="K1135" s="734">
        <v>2.5659999999999999E-2</v>
      </c>
      <c r="L1135" s="717"/>
      <c r="M1135" s="73"/>
      <c r="N1135" s="359"/>
      <c r="O1135" s="1041"/>
      <c r="P1135" s="73"/>
      <c r="Q1135" s="359"/>
      <c r="R1135" s="1041"/>
      <c r="S1135" s="73"/>
      <c r="T1135" s="359"/>
      <c r="U1135" s="73"/>
      <c r="V1135" s="66"/>
      <c r="W1135" s="740">
        <f t="shared" ref="W1135" si="851">AA1135*(1+AB1135)</f>
        <v>1.59092E-5</v>
      </c>
      <c r="X1135" s="741">
        <f t="shared" ref="X1135" si="852">AA1135*(1+AC1135)</f>
        <v>1.59092E-5</v>
      </c>
      <c r="Y1135" s="52">
        <v>2005</v>
      </c>
      <c r="Z1135" s="52"/>
      <c r="AA1135" s="739">
        <f t="shared" ref="AA1135" si="853">+K1135/1000</f>
        <v>2.5659999999999998E-5</v>
      </c>
      <c r="AB1135" s="256">
        <v>-0.38</v>
      </c>
      <c r="AC1135" s="688">
        <f t="shared" si="844"/>
        <v>-0.38</v>
      </c>
      <c r="AD1135" s="164"/>
      <c r="AE1135" s="164"/>
      <c r="AF1135" s="25"/>
      <c r="AG1135" s="26"/>
      <c r="AH1135" s="275"/>
      <c r="AI1135" s="52"/>
      <c r="AJ1135" s="35"/>
      <c r="AK1135" s="289"/>
      <c r="AL1135" s="290"/>
      <c r="AM1135" s="211"/>
      <c r="AN1135" s="164"/>
      <c r="AO1135" s="594"/>
      <c r="AP1135" s="595"/>
      <c r="AQ1135" s="275"/>
      <c r="AR1135" s="52"/>
      <c r="AS1135" s="596"/>
      <c r="AT1135" s="79"/>
      <c r="AU1135" s="212"/>
      <c r="AV1135" s="164"/>
      <c r="AW1135" s="164"/>
      <c r="AX1135" s="76"/>
      <c r="AY1135" s="44"/>
      <c r="AZ1135" s="275"/>
      <c r="BA1135" s="52"/>
      <c r="BB1135" s="35"/>
      <c r="BC1135" s="79"/>
      <c r="BD1135" s="230"/>
      <c r="BE1135" s="211"/>
      <c r="BF1135" s="164"/>
      <c r="BG1135" s="76"/>
      <c r="BH1135" s="44"/>
      <c r="BI1135" s="275"/>
      <c r="BJ1135" s="52"/>
      <c r="BK1135" s="35"/>
      <c r="BL1135" s="79"/>
      <c r="BM1135" s="230"/>
      <c r="BN1135" s="211"/>
      <c r="BO1135" s="164"/>
      <c r="BP1135" s="726"/>
      <c r="BQ1135" s="727"/>
      <c r="BR1135" s="299"/>
      <c r="BS1135" s="35"/>
      <c r="BT1135" s="596"/>
      <c r="BU1135" s="79"/>
      <c r="BV1135" s="212"/>
      <c r="BW1135" s="304"/>
      <c r="BX1135" s="313"/>
      <c r="BY1135" s="138"/>
    </row>
    <row r="1136" spans="1:77" ht="15" customHeight="1" outlineLevel="1" x14ac:dyDescent="0.2">
      <c r="A1136" s="57" t="s">
        <v>24</v>
      </c>
      <c r="B1136" s="583" t="s">
        <v>477</v>
      </c>
      <c r="C1136" s="583" t="s">
        <v>1359</v>
      </c>
      <c r="D1136" s="546">
        <v>18.788</v>
      </c>
      <c r="E1136" s="162" t="s">
        <v>631</v>
      </c>
      <c r="F1136" s="358"/>
      <c r="G1136" s="65"/>
      <c r="H1136" s="73"/>
      <c r="I1136" s="90"/>
      <c r="J1136" s="73"/>
      <c r="K1136" s="734"/>
      <c r="L1136" s="717">
        <v>2011</v>
      </c>
      <c r="M1136" s="73"/>
      <c r="N1136" s="738">
        <v>4.4885000000000001E-2</v>
      </c>
      <c r="O1136" s="1041"/>
      <c r="P1136" s="73"/>
      <c r="Q1136" s="738"/>
      <c r="R1136" s="1041"/>
      <c r="S1136" s="73"/>
      <c r="T1136" s="738"/>
      <c r="U1136" s="73"/>
      <c r="V1136" s="66"/>
      <c r="W1136" s="740">
        <f t="shared" si="845"/>
        <v>3.0970650000000001E-5</v>
      </c>
      <c r="X1136" s="741">
        <f t="shared" si="846"/>
        <v>3.0970650000000001E-5</v>
      </c>
      <c r="Y1136" s="52">
        <v>2011</v>
      </c>
      <c r="Z1136" s="52"/>
      <c r="AA1136" s="739">
        <f>+N1136/1000</f>
        <v>4.4885000000000001E-5</v>
      </c>
      <c r="AB1136" s="256">
        <v>-0.31</v>
      </c>
      <c r="AC1136" s="688">
        <f t="shared" ref="AC1136:AC1138" si="854">AB1136</f>
        <v>-0.31</v>
      </c>
      <c r="AD1136" s="164"/>
      <c r="AE1136" s="164"/>
      <c r="AF1136" s="25"/>
      <c r="AG1136" s="26"/>
      <c r="AH1136" s="275"/>
      <c r="AI1136" s="52"/>
      <c r="AJ1136" s="35"/>
      <c r="AK1136" s="289"/>
      <c r="AL1136" s="290"/>
      <c r="AM1136" s="211"/>
      <c r="AN1136" s="164"/>
      <c r="AO1136" s="594"/>
      <c r="AP1136" s="595"/>
      <c r="AQ1136" s="275"/>
      <c r="AR1136" s="52"/>
      <c r="AS1136" s="596"/>
      <c r="AT1136" s="79"/>
      <c r="AU1136" s="212"/>
      <c r="AV1136" s="164"/>
      <c r="AW1136" s="164"/>
      <c r="AX1136" s="76"/>
      <c r="AY1136" s="44"/>
      <c r="AZ1136" s="275"/>
      <c r="BA1136" s="52"/>
      <c r="BB1136" s="35"/>
      <c r="BC1136" s="79"/>
      <c r="BD1136" s="230"/>
      <c r="BE1136" s="211"/>
      <c r="BF1136" s="164"/>
      <c r="BG1136" s="76"/>
      <c r="BH1136" s="44"/>
      <c r="BI1136" s="275"/>
      <c r="BJ1136" s="52"/>
      <c r="BK1136" s="35"/>
      <c r="BL1136" s="79"/>
      <c r="BM1136" s="230"/>
      <c r="BN1136" s="211"/>
      <c r="BO1136" s="164"/>
      <c r="BP1136" s="726"/>
      <c r="BQ1136" s="727"/>
      <c r="BR1136" s="299"/>
      <c r="BS1136" s="35"/>
      <c r="BT1136" s="596"/>
      <c r="BU1136" s="79"/>
      <c r="BV1136" s="212"/>
      <c r="BW1136" s="304"/>
      <c r="BX1136" s="313"/>
      <c r="BY1136" s="138"/>
    </row>
    <row r="1137" spans="1:77" ht="15" customHeight="1" outlineLevel="1" x14ac:dyDescent="0.2">
      <c r="A1137" s="57" t="s">
        <v>24</v>
      </c>
      <c r="B1137" s="583" t="s">
        <v>477</v>
      </c>
      <c r="C1137" s="583" t="s">
        <v>1524</v>
      </c>
      <c r="D1137" s="818">
        <v>0.12</v>
      </c>
      <c r="E1137" s="162" t="s">
        <v>631</v>
      </c>
      <c r="F1137" s="358"/>
      <c r="G1137" s="65"/>
      <c r="H1137" s="73"/>
      <c r="I1137" s="90"/>
      <c r="J1137" s="73"/>
      <c r="K1137" s="815">
        <v>3.5E-4</v>
      </c>
      <c r="L1137" s="717"/>
      <c r="M1137" s="73"/>
      <c r="N1137" s="359"/>
      <c r="O1137" s="1041"/>
      <c r="P1137" s="73"/>
      <c r="Q1137" s="359"/>
      <c r="R1137" s="1041"/>
      <c r="S1137" s="73"/>
      <c r="T1137" s="359"/>
      <c r="U1137" s="73"/>
      <c r="V1137" s="66"/>
      <c r="W1137" s="808">
        <f t="shared" si="845"/>
        <v>7.349999999999999E-8</v>
      </c>
      <c r="X1137" s="809">
        <f t="shared" si="846"/>
        <v>7.349999999999999E-8</v>
      </c>
      <c r="Y1137" s="52">
        <v>2005</v>
      </c>
      <c r="Z1137" s="52"/>
      <c r="AA1137" s="807">
        <f t="shared" ref="AA1137:AA1138" si="855">+K1137/1000</f>
        <v>3.4999999999999998E-7</v>
      </c>
      <c r="AB1137" s="256">
        <v>-0.79</v>
      </c>
      <c r="AC1137" s="688">
        <f t="shared" si="854"/>
        <v>-0.79</v>
      </c>
      <c r="AD1137" s="164"/>
      <c r="AE1137" s="164"/>
      <c r="AF1137" s="25"/>
      <c r="AG1137" s="26"/>
      <c r="AH1137" s="275"/>
      <c r="AI1137" s="52"/>
      <c r="AJ1137" s="35"/>
      <c r="AK1137" s="289"/>
      <c r="AL1137" s="290"/>
      <c r="AM1137" s="211"/>
      <c r="AN1137" s="164"/>
      <c r="AO1137" s="594"/>
      <c r="AP1137" s="595"/>
      <c r="AQ1137" s="275"/>
      <c r="AR1137" s="52"/>
      <c r="AS1137" s="596"/>
      <c r="AT1137" s="79"/>
      <c r="AU1137" s="212"/>
      <c r="AV1137" s="164"/>
      <c r="AW1137" s="164"/>
      <c r="AX1137" s="76"/>
      <c r="AY1137" s="44"/>
      <c r="AZ1137" s="275"/>
      <c r="BA1137" s="52"/>
      <c r="BB1137" s="35"/>
      <c r="BC1137" s="79"/>
      <c r="BD1137" s="230"/>
      <c r="BE1137" s="211"/>
      <c r="BF1137" s="164"/>
      <c r="BG1137" s="76"/>
      <c r="BH1137" s="44"/>
      <c r="BI1137" s="275"/>
      <c r="BJ1137" s="52"/>
      <c r="BK1137" s="35"/>
      <c r="BL1137" s="79"/>
      <c r="BM1137" s="230"/>
      <c r="BN1137" s="211"/>
      <c r="BO1137" s="164"/>
      <c r="BP1137" s="726"/>
      <c r="BQ1137" s="727"/>
      <c r="BR1137" s="299"/>
      <c r="BS1137" s="35"/>
      <c r="BT1137" s="596"/>
      <c r="BU1137" s="79"/>
      <c r="BV1137" s="212"/>
      <c r="BW1137" s="304"/>
      <c r="BX1137" s="313"/>
      <c r="BY1137" s="138"/>
    </row>
    <row r="1138" spans="1:77" ht="15" customHeight="1" outlineLevel="1" x14ac:dyDescent="0.2">
      <c r="A1138" s="57" t="s">
        <v>24</v>
      </c>
      <c r="B1138" s="583" t="s">
        <v>477</v>
      </c>
      <c r="C1138" s="583" t="s">
        <v>1849</v>
      </c>
      <c r="D1138" s="818">
        <v>3.2519999999999998</v>
      </c>
      <c r="E1138" s="162" t="s">
        <v>631</v>
      </c>
      <c r="F1138" s="358"/>
      <c r="G1138" s="65"/>
      <c r="H1138" s="73"/>
      <c r="I1138" s="90"/>
      <c r="J1138" s="73"/>
      <c r="K1138" s="815">
        <v>1.7610000000000001E-2</v>
      </c>
      <c r="L1138" s="717"/>
      <c r="M1138" s="73"/>
      <c r="N1138" s="359"/>
      <c r="O1138" s="1041"/>
      <c r="P1138" s="73"/>
      <c r="Q1138" s="359"/>
      <c r="R1138" s="1041"/>
      <c r="S1138" s="73"/>
      <c r="T1138" s="359"/>
      <c r="U1138" s="73"/>
      <c r="V1138" s="66"/>
      <c r="W1138" s="808">
        <f t="shared" ref="W1138" si="856">AA1138*(1+AB1138)</f>
        <v>1.3031399999999999E-5</v>
      </c>
      <c r="X1138" s="809">
        <f t="shared" ref="X1138" si="857">AA1138*(1+AC1138)</f>
        <v>1.3031399999999999E-5</v>
      </c>
      <c r="Y1138" s="52">
        <v>2005</v>
      </c>
      <c r="Z1138" s="52"/>
      <c r="AA1138" s="807">
        <f t="shared" si="855"/>
        <v>1.7609999999999999E-5</v>
      </c>
      <c r="AB1138" s="256">
        <v>-0.26</v>
      </c>
      <c r="AC1138" s="688">
        <f t="shared" si="854"/>
        <v>-0.26</v>
      </c>
      <c r="AD1138" s="164"/>
      <c r="AE1138" s="164"/>
      <c r="AF1138" s="25"/>
      <c r="AG1138" s="26"/>
      <c r="AH1138" s="275"/>
      <c r="AI1138" s="52"/>
      <c r="AJ1138" s="35"/>
      <c r="AK1138" s="289"/>
      <c r="AL1138" s="290"/>
      <c r="AM1138" s="211"/>
      <c r="AN1138" s="164"/>
      <c r="AO1138" s="594"/>
      <c r="AP1138" s="595"/>
      <c r="AQ1138" s="275"/>
      <c r="AR1138" s="52"/>
      <c r="AS1138" s="596"/>
      <c r="AT1138" s="79"/>
      <c r="AU1138" s="212"/>
      <c r="AV1138" s="164"/>
      <c r="AW1138" s="164"/>
      <c r="AX1138" s="76"/>
      <c r="AY1138" s="44"/>
      <c r="AZ1138" s="275"/>
      <c r="BA1138" s="52"/>
      <c r="BB1138" s="35"/>
      <c r="BC1138" s="79"/>
      <c r="BD1138" s="230"/>
      <c r="BE1138" s="211"/>
      <c r="BF1138" s="164"/>
      <c r="BG1138" s="76"/>
      <c r="BH1138" s="44"/>
      <c r="BI1138" s="275"/>
      <c r="BJ1138" s="52"/>
      <c r="BK1138" s="35"/>
      <c r="BL1138" s="79"/>
      <c r="BM1138" s="230"/>
      <c r="BN1138" s="211"/>
      <c r="BO1138" s="164"/>
      <c r="BP1138" s="726"/>
      <c r="BQ1138" s="727"/>
      <c r="BR1138" s="299"/>
      <c r="BS1138" s="35"/>
      <c r="BT1138" s="596"/>
      <c r="BU1138" s="79"/>
      <c r="BV1138" s="212"/>
      <c r="BW1138" s="304"/>
      <c r="BX1138" s="313"/>
      <c r="BY1138" s="138"/>
    </row>
    <row r="1139" spans="1:77" ht="15" customHeight="1" outlineLevel="1" x14ac:dyDescent="0.2">
      <c r="A1139" s="57" t="s">
        <v>24</v>
      </c>
      <c r="B1139" s="583" t="s">
        <v>477</v>
      </c>
      <c r="C1139" s="583" t="s">
        <v>1338</v>
      </c>
      <c r="D1139" s="546">
        <v>7.1159999999999997</v>
      </c>
      <c r="E1139" s="162" t="s">
        <v>631</v>
      </c>
      <c r="F1139" s="358"/>
      <c r="G1139" s="65"/>
      <c r="H1139" s="73"/>
      <c r="I1139" s="90"/>
      <c r="J1139" s="73"/>
      <c r="K1139" s="734">
        <v>3.1944E-2</v>
      </c>
      <c r="L1139" s="717"/>
      <c r="M1139" s="73"/>
      <c r="N1139" s="359"/>
      <c r="O1139" s="1041"/>
      <c r="P1139" s="73"/>
      <c r="Q1139" s="359"/>
      <c r="R1139" s="1041"/>
      <c r="S1139" s="73"/>
      <c r="T1139" s="359"/>
      <c r="U1139" s="73"/>
      <c r="V1139" s="66"/>
      <c r="W1139" s="740">
        <f t="shared" ref="W1139:W1141" si="858">AA1139*(1+AB1139)</f>
        <v>2.2360799999999998E-5</v>
      </c>
      <c r="X1139" s="741">
        <f t="shared" ref="X1139:X1141" si="859">AA1139*(1+AC1139)</f>
        <v>2.2360799999999998E-5</v>
      </c>
      <c r="Y1139" s="52">
        <v>2005</v>
      </c>
      <c r="Z1139" s="52"/>
      <c r="AA1139" s="739">
        <f t="shared" ref="AA1139:AA1141" si="860">+K1139/1000</f>
        <v>3.1943999999999998E-5</v>
      </c>
      <c r="AB1139" s="256">
        <v>-0.3</v>
      </c>
      <c r="AC1139" s="688">
        <f t="shared" ref="AC1139:AC1203" si="861">AB1139</f>
        <v>-0.3</v>
      </c>
      <c r="AD1139" s="164"/>
      <c r="AE1139" s="164"/>
      <c r="AF1139" s="25"/>
      <c r="AG1139" s="26"/>
      <c r="AH1139" s="275"/>
      <c r="AI1139" s="52"/>
      <c r="AJ1139" s="35"/>
      <c r="AK1139" s="289"/>
      <c r="AL1139" s="290"/>
      <c r="AM1139" s="211"/>
      <c r="AN1139" s="164"/>
      <c r="AO1139" s="594"/>
      <c r="AP1139" s="595"/>
      <c r="AQ1139" s="275"/>
      <c r="AR1139" s="52"/>
      <c r="AS1139" s="596"/>
      <c r="AT1139" s="79"/>
      <c r="AU1139" s="212"/>
      <c r="AV1139" s="164"/>
      <c r="AW1139" s="164"/>
      <c r="AX1139" s="76"/>
      <c r="AY1139" s="44"/>
      <c r="AZ1139" s="275"/>
      <c r="BA1139" s="52"/>
      <c r="BB1139" s="35"/>
      <c r="BC1139" s="79"/>
      <c r="BD1139" s="230"/>
      <c r="BE1139" s="211"/>
      <c r="BF1139" s="164"/>
      <c r="BG1139" s="76"/>
      <c r="BH1139" s="44"/>
      <c r="BI1139" s="275"/>
      <c r="BJ1139" s="52"/>
      <c r="BK1139" s="35"/>
      <c r="BL1139" s="79"/>
      <c r="BM1139" s="230"/>
      <c r="BN1139" s="211"/>
      <c r="BO1139" s="164"/>
      <c r="BP1139" s="726"/>
      <c r="BQ1139" s="727"/>
      <c r="BR1139" s="299"/>
      <c r="BS1139" s="35"/>
      <c r="BT1139" s="596"/>
      <c r="BU1139" s="79"/>
      <c r="BV1139" s="212"/>
      <c r="BW1139" s="304"/>
      <c r="BX1139" s="313"/>
      <c r="BY1139" s="138"/>
    </row>
    <row r="1140" spans="1:77" ht="15" customHeight="1" outlineLevel="1" x14ac:dyDescent="0.2">
      <c r="A1140" s="57" t="s">
        <v>24</v>
      </c>
      <c r="B1140" s="583" t="s">
        <v>477</v>
      </c>
      <c r="C1140" s="583" t="s">
        <v>1779</v>
      </c>
      <c r="D1140" s="546">
        <v>8.1020000000000003</v>
      </c>
      <c r="E1140" s="162" t="s">
        <v>631</v>
      </c>
      <c r="F1140" s="358"/>
      <c r="G1140" s="65"/>
      <c r="H1140" s="73"/>
      <c r="I1140" s="90"/>
      <c r="J1140" s="73"/>
      <c r="K1140" s="734"/>
      <c r="L1140" s="717">
        <v>2009</v>
      </c>
      <c r="M1140" s="73"/>
      <c r="N1140" s="786">
        <v>2.0003E-2</v>
      </c>
      <c r="O1140" s="1041"/>
      <c r="P1140" s="73"/>
      <c r="Q1140" s="786"/>
      <c r="R1140" s="1041"/>
      <c r="S1140" s="73"/>
      <c r="T1140" s="786"/>
      <c r="U1140" s="73"/>
      <c r="V1140" s="66"/>
      <c r="W1140" s="740">
        <f t="shared" ref="W1140" si="862">AA1140*(1+AB1140)</f>
        <v>1.500225E-5</v>
      </c>
      <c r="X1140" s="741">
        <f t="shared" ref="X1140" si="863">AA1140*(1+AC1140)</f>
        <v>1.500225E-5</v>
      </c>
      <c r="Y1140" s="52">
        <v>2009</v>
      </c>
      <c r="Z1140" s="52"/>
      <c r="AA1140" s="739">
        <f>+N1140/1000</f>
        <v>2.0003000000000001E-5</v>
      </c>
      <c r="AB1140" s="256">
        <v>-0.25</v>
      </c>
      <c r="AC1140" s="688">
        <f t="shared" si="861"/>
        <v>-0.25</v>
      </c>
      <c r="AD1140" s="164"/>
      <c r="AE1140" s="164"/>
      <c r="AF1140" s="25"/>
      <c r="AG1140" s="26"/>
      <c r="AH1140" s="275"/>
      <c r="AI1140" s="52"/>
      <c r="AJ1140" s="35"/>
      <c r="AK1140" s="289"/>
      <c r="AL1140" s="290"/>
      <c r="AM1140" s="211"/>
      <c r="AN1140" s="164"/>
      <c r="AO1140" s="594"/>
      <c r="AP1140" s="595"/>
      <c r="AQ1140" s="275"/>
      <c r="AR1140" s="52"/>
      <c r="AS1140" s="596"/>
      <c r="AT1140" s="79"/>
      <c r="AU1140" s="212"/>
      <c r="AV1140" s="164"/>
      <c r="AW1140" s="164"/>
      <c r="AX1140" s="76"/>
      <c r="AY1140" s="44"/>
      <c r="AZ1140" s="275"/>
      <c r="BA1140" s="52"/>
      <c r="BB1140" s="35"/>
      <c r="BC1140" s="79"/>
      <c r="BD1140" s="230"/>
      <c r="BE1140" s="211"/>
      <c r="BF1140" s="164"/>
      <c r="BG1140" s="76"/>
      <c r="BH1140" s="44"/>
      <c r="BI1140" s="275"/>
      <c r="BJ1140" s="52"/>
      <c r="BK1140" s="35"/>
      <c r="BL1140" s="79"/>
      <c r="BM1140" s="230"/>
      <c r="BN1140" s="211"/>
      <c r="BO1140" s="164"/>
      <c r="BP1140" s="726"/>
      <c r="BQ1140" s="727"/>
      <c r="BR1140" s="299"/>
      <c r="BS1140" s="35"/>
      <c r="BT1140" s="596"/>
      <c r="BU1140" s="79"/>
      <c r="BV1140" s="212"/>
      <c r="BW1140" s="304"/>
      <c r="BX1140" s="313"/>
      <c r="BY1140" s="138"/>
    </row>
    <row r="1141" spans="1:77" ht="15" customHeight="1" outlineLevel="1" x14ac:dyDescent="0.2">
      <c r="A1141" s="57" t="s">
        <v>24</v>
      </c>
      <c r="B1141" s="583" t="s">
        <v>477</v>
      </c>
      <c r="C1141" s="583" t="s">
        <v>1705</v>
      </c>
      <c r="D1141" s="546">
        <v>9.6029999999999998</v>
      </c>
      <c r="E1141" s="162" t="s">
        <v>631</v>
      </c>
      <c r="F1141" s="358"/>
      <c r="G1141" s="65"/>
      <c r="H1141" s="73"/>
      <c r="I1141" s="90"/>
      <c r="J1141" s="73"/>
      <c r="K1141" s="734">
        <v>4.8953999999999998E-2</v>
      </c>
      <c r="L1141" s="717"/>
      <c r="M1141" s="73"/>
      <c r="N1141" s="359"/>
      <c r="O1141" s="1041"/>
      <c r="P1141" s="73"/>
      <c r="Q1141" s="359"/>
      <c r="R1141" s="1041"/>
      <c r="S1141" s="73"/>
      <c r="T1141" s="359"/>
      <c r="U1141" s="73"/>
      <c r="V1141" s="66"/>
      <c r="W1141" s="740">
        <f t="shared" si="858"/>
        <v>3.6715499999999998E-5</v>
      </c>
      <c r="X1141" s="741">
        <f t="shared" si="859"/>
        <v>3.6715499999999998E-5</v>
      </c>
      <c r="Y1141" s="52">
        <v>2005</v>
      </c>
      <c r="Z1141" s="52"/>
      <c r="AA1141" s="739">
        <f t="shared" si="860"/>
        <v>4.8953999999999999E-5</v>
      </c>
      <c r="AB1141" s="256">
        <v>-0.25</v>
      </c>
      <c r="AC1141" s="688">
        <f t="shared" si="861"/>
        <v>-0.25</v>
      </c>
      <c r="AD1141" s="164"/>
      <c r="AE1141" s="164"/>
      <c r="AF1141" s="25"/>
      <c r="AG1141" s="26"/>
      <c r="AH1141" s="275"/>
      <c r="AI1141" s="52"/>
      <c r="AJ1141" s="35"/>
      <c r="AK1141" s="289"/>
      <c r="AL1141" s="290"/>
      <c r="AM1141" s="211"/>
      <c r="AN1141" s="164"/>
      <c r="AO1141" s="594"/>
      <c r="AP1141" s="595"/>
      <c r="AQ1141" s="275"/>
      <c r="AR1141" s="52"/>
      <c r="AS1141" s="596"/>
      <c r="AT1141" s="79"/>
      <c r="AU1141" s="212"/>
      <c r="AV1141" s="164"/>
      <c r="AW1141" s="164"/>
      <c r="AX1141" s="76"/>
      <c r="AY1141" s="44"/>
      <c r="AZ1141" s="275"/>
      <c r="BA1141" s="52"/>
      <c r="BB1141" s="35"/>
      <c r="BC1141" s="79"/>
      <c r="BD1141" s="230"/>
      <c r="BE1141" s="211"/>
      <c r="BF1141" s="164"/>
      <c r="BG1141" s="76"/>
      <c r="BH1141" s="44"/>
      <c r="BI1141" s="275"/>
      <c r="BJ1141" s="52"/>
      <c r="BK1141" s="35"/>
      <c r="BL1141" s="79"/>
      <c r="BM1141" s="230"/>
      <c r="BN1141" s="211"/>
      <c r="BO1141" s="164"/>
      <c r="BP1141" s="726"/>
      <c r="BQ1141" s="727"/>
      <c r="BR1141" s="299"/>
      <c r="BS1141" s="35"/>
      <c r="BT1141" s="596"/>
      <c r="BU1141" s="79"/>
      <c r="BV1141" s="212"/>
      <c r="BW1141" s="304"/>
      <c r="BX1141" s="313"/>
      <c r="BY1141" s="138"/>
    </row>
    <row r="1142" spans="1:77" ht="15" customHeight="1" outlineLevel="1" x14ac:dyDescent="0.2">
      <c r="A1142" s="57" t="s">
        <v>24</v>
      </c>
      <c r="B1142" s="583" t="s">
        <v>477</v>
      </c>
      <c r="C1142" s="583" t="s">
        <v>1341</v>
      </c>
      <c r="D1142" s="546">
        <v>1.073</v>
      </c>
      <c r="E1142" s="162" t="s">
        <v>631</v>
      </c>
      <c r="F1142" s="358"/>
      <c r="G1142" s="65"/>
      <c r="H1142" s="73"/>
      <c r="I1142" s="90"/>
      <c r="J1142" s="73"/>
      <c r="K1142" s="790">
        <v>4.2100000000000002E-3</v>
      </c>
      <c r="L1142" s="717"/>
      <c r="M1142" s="73"/>
      <c r="N1142" s="359"/>
      <c r="O1142" s="1041"/>
      <c r="P1142" s="73"/>
      <c r="Q1142" s="359"/>
      <c r="R1142" s="1041"/>
      <c r="S1142" s="73"/>
      <c r="T1142" s="359"/>
      <c r="U1142" s="73"/>
      <c r="V1142" s="66"/>
      <c r="W1142" s="788">
        <f t="shared" ref="W1142" si="864">AA1142*(1+AB1142)</f>
        <v>2.9469999999999999E-6</v>
      </c>
      <c r="X1142" s="789">
        <f t="shared" ref="X1142" si="865">AA1142*(1+AC1142)</f>
        <v>2.9469999999999999E-6</v>
      </c>
      <c r="Y1142" s="52">
        <v>2005</v>
      </c>
      <c r="Z1142" s="52"/>
      <c r="AA1142" s="787">
        <f t="shared" ref="AA1142" si="866">+K1142/1000</f>
        <v>4.2100000000000003E-6</v>
      </c>
      <c r="AB1142" s="256">
        <v>-0.3</v>
      </c>
      <c r="AC1142" s="688">
        <f t="shared" si="861"/>
        <v>-0.3</v>
      </c>
      <c r="AD1142" s="164"/>
      <c r="AE1142" s="164"/>
      <c r="AF1142" s="25"/>
      <c r="AG1142" s="26"/>
      <c r="AH1142" s="275"/>
      <c r="AI1142" s="52"/>
      <c r="AJ1142" s="35"/>
      <c r="AK1142" s="289"/>
      <c r="AL1142" s="290"/>
      <c r="AM1142" s="211"/>
      <c r="AN1142" s="164"/>
      <c r="AO1142" s="594"/>
      <c r="AP1142" s="595"/>
      <c r="AQ1142" s="275"/>
      <c r="AR1142" s="52"/>
      <c r="AS1142" s="596"/>
      <c r="AT1142" s="79"/>
      <c r="AU1142" s="212"/>
      <c r="AV1142" s="164"/>
      <c r="AW1142" s="164"/>
      <c r="AX1142" s="76"/>
      <c r="AY1142" s="44"/>
      <c r="AZ1142" s="275"/>
      <c r="BA1142" s="52"/>
      <c r="BB1142" s="35"/>
      <c r="BC1142" s="79"/>
      <c r="BD1142" s="230"/>
      <c r="BE1142" s="211"/>
      <c r="BF1142" s="164"/>
      <c r="BG1142" s="76"/>
      <c r="BH1142" s="44"/>
      <c r="BI1142" s="275"/>
      <c r="BJ1142" s="52"/>
      <c r="BK1142" s="35"/>
      <c r="BL1142" s="79"/>
      <c r="BM1142" s="230"/>
      <c r="BN1142" s="211"/>
      <c r="BO1142" s="164"/>
      <c r="BP1142" s="726"/>
      <c r="BQ1142" s="727"/>
      <c r="BR1142" s="299"/>
      <c r="BS1142" s="35"/>
      <c r="BT1142" s="596"/>
      <c r="BU1142" s="79"/>
      <c r="BV1142" s="212"/>
      <c r="BW1142" s="304"/>
      <c r="BX1142" s="313"/>
      <c r="BY1142" s="138"/>
    </row>
    <row r="1143" spans="1:77" ht="15" customHeight="1" outlineLevel="1" x14ac:dyDescent="0.2">
      <c r="A1143" s="57" t="s">
        <v>24</v>
      </c>
      <c r="B1143" s="583" t="s">
        <v>477</v>
      </c>
      <c r="C1143" s="583" t="s">
        <v>1494</v>
      </c>
      <c r="D1143" s="546">
        <v>5.7759999999999998</v>
      </c>
      <c r="E1143" s="162" t="s">
        <v>631</v>
      </c>
      <c r="F1143" s="358"/>
      <c r="G1143" s="65"/>
      <c r="H1143" s="73"/>
      <c r="I1143" s="90"/>
      <c r="J1143" s="73"/>
      <c r="K1143" s="734">
        <v>3.4782E-2</v>
      </c>
      <c r="L1143" s="717"/>
      <c r="M1143" s="73"/>
      <c r="N1143" s="359"/>
      <c r="O1143" s="1041"/>
      <c r="P1143" s="73"/>
      <c r="Q1143" s="359"/>
      <c r="R1143" s="1041"/>
      <c r="S1143" s="73"/>
      <c r="T1143" s="359"/>
      <c r="U1143" s="73"/>
      <c r="V1143" s="66"/>
      <c r="W1143" s="740">
        <f t="shared" ref="W1143" si="867">AA1143*(1+AB1143)</f>
        <v>2.3651759999999997E-5</v>
      </c>
      <c r="X1143" s="741">
        <f t="shared" ref="X1143" si="868">AA1143*(1+AC1143)</f>
        <v>2.3651759999999997E-5</v>
      </c>
      <c r="Y1143" s="52">
        <v>2005</v>
      </c>
      <c r="Z1143" s="52"/>
      <c r="AA1143" s="739">
        <f t="shared" ref="AA1143" si="869">+K1143/1000</f>
        <v>3.4782E-5</v>
      </c>
      <c r="AB1143" s="256">
        <v>-0.32</v>
      </c>
      <c r="AC1143" s="688">
        <f t="shared" si="861"/>
        <v>-0.32</v>
      </c>
      <c r="AD1143" s="164"/>
      <c r="AE1143" s="164"/>
      <c r="AF1143" s="25"/>
      <c r="AG1143" s="26"/>
      <c r="AH1143" s="275"/>
      <c r="AI1143" s="52"/>
      <c r="AJ1143" s="35"/>
      <c r="AK1143" s="289"/>
      <c r="AL1143" s="290"/>
      <c r="AM1143" s="211"/>
      <c r="AN1143" s="164"/>
      <c r="AO1143" s="594"/>
      <c r="AP1143" s="595"/>
      <c r="AQ1143" s="275"/>
      <c r="AR1143" s="52"/>
      <c r="AS1143" s="596"/>
      <c r="AT1143" s="79"/>
      <c r="AU1143" s="212"/>
      <c r="AV1143" s="164"/>
      <c r="AW1143" s="164"/>
      <c r="AX1143" s="76"/>
      <c r="AY1143" s="44"/>
      <c r="AZ1143" s="275"/>
      <c r="BA1143" s="52"/>
      <c r="BB1143" s="35"/>
      <c r="BC1143" s="79"/>
      <c r="BD1143" s="230"/>
      <c r="BE1143" s="211"/>
      <c r="BF1143" s="164"/>
      <c r="BG1143" s="76"/>
      <c r="BH1143" s="44"/>
      <c r="BI1143" s="275"/>
      <c r="BJ1143" s="52"/>
      <c r="BK1143" s="35"/>
      <c r="BL1143" s="79"/>
      <c r="BM1143" s="230"/>
      <c r="BN1143" s="211"/>
      <c r="BO1143" s="164"/>
      <c r="BP1143" s="726"/>
      <c r="BQ1143" s="727"/>
      <c r="BR1143" s="299"/>
      <c r="BS1143" s="35"/>
      <c r="BT1143" s="596"/>
      <c r="BU1143" s="79"/>
      <c r="BV1143" s="212"/>
      <c r="BW1143" s="304"/>
      <c r="BX1143" s="313"/>
      <c r="BY1143" s="138"/>
    </row>
    <row r="1144" spans="1:77" ht="15" customHeight="1" outlineLevel="1" x14ac:dyDescent="0.2">
      <c r="A1144" s="57" t="s">
        <v>24</v>
      </c>
      <c r="B1144" s="583" t="s">
        <v>477</v>
      </c>
      <c r="C1144" s="583" t="s">
        <v>1400</v>
      </c>
      <c r="D1144" s="818">
        <v>0.33300000000000002</v>
      </c>
      <c r="E1144" s="162" t="s">
        <v>631</v>
      </c>
      <c r="F1144" s="358"/>
      <c r="G1144" s="65"/>
      <c r="H1144" s="73"/>
      <c r="I1144" s="90"/>
      <c r="J1144" s="73"/>
      <c r="K1144" s="790">
        <v>3.9649999999999998E-3</v>
      </c>
      <c r="L1144" s="717"/>
      <c r="M1144" s="73"/>
      <c r="N1144" s="359"/>
      <c r="O1144" s="1041"/>
      <c r="P1144" s="73"/>
      <c r="Q1144" s="359"/>
      <c r="R1144" s="1041"/>
      <c r="S1144" s="73"/>
      <c r="T1144" s="359"/>
      <c r="U1144" s="73"/>
      <c r="V1144" s="66"/>
      <c r="W1144" s="788">
        <f t="shared" ref="W1144" si="870">AA1144*(1+AB1144)</f>
        <v>2.5772500000000002E-6</v>
      </c>
      <c r="X1144" s="789">
        <f t="shared" ref="X1144" si="871">AA1144*(1+AC1144)</f>
        <v>2.5772500000000002E-6</v>
      </c>
      <c r="Y1144" s="52">
        <v>2005</v>
      </c>
      <c r="Z1144" s="52"/>
      <c r="AA1144" s="787">
        <f t="shared" ref="AA1144" si="872">+K1144/1000</f>
        <v>3.9650000000000002E-6</v>
      </c>
      <c r="AB1144" s="256">
        <v>-0.35</v>
      </c>
      <c r="AC1144" s="688">
        <f t="shared" si="861"/>
        <v>-0.35</v>
      </c>
      <c r="AD1144" s="164"/>
      <c r="AE1144" s="164"/>
      <c r="AF1144" s="25"/>
      <c r="AG1144" s="26"/>
      <c r="AH1144" s="275"/>
      <c r="AI1144" s="52"/>
      <c r="AJ1144" s="35"/>
      <c r="AK1144" s="289"/>
      <c r="AL1144" s="290"/>
      <c r="AM1144" s="211"/>
      <c r="AN1144" s="164"/>
      <c r="AO1144" s="594"/>
      <c r="AP1144" s="595"/>
      <c r="AQ1144" s="275"/>
      <c r="AR1144" s="52"/>
      <c r="AS1144" s="596"/>
      <c r="AT1144" s="79"/>
      <c r="AU1144" s="212"/>
      <c r="AV1144" s="164"/>
      <c r="AW1144" s="164"/>
      <c r="AX1144" s="76"/>
      <c r="AY1144" s="44"/>
      <c r="AZ1144" s="275"/>
      <c r="BA1144" s="52"/>
      <c r="BB1144" s="35"/>
      <c r="BC1144" s="79"/>
      <c r="BD1144" s="230"/>
      <c r="BE1144" s="211"/>
      <c r="BF1144" s="164"/>
      <c r="BG1144" s="76"/>
      <c r="BH1144" s="44"/>
      <c r="BI1144" s="275"/>
      <c r="BJ1144" s="52"/>
      <c r="BK1144" s="35"/>
      <c r="BL1144" s="79"/>
      <c r="BM1144" s="230"/>
      <c r="BN1144" s="211"/>
      <c r="BO1144" s="164"/>
      <c r="BP1144" s="726"/>
      <c r="BQ1144" s="727"/>
      <c r="BR1144" s="299"/>
      <c r="BS1144" s="35"/>
      <c r="BT1144" s="596"/>
      <c r="BU1144" s="79"/>
      <c r="BV1144" s="212"/>
      <c r="BW1144" s="304"/>
      <c r="BX1144" s="313"/>
      <c r="BY1144" s="138"/>
    </row>
    <row r="1145" spans="1:77" ht="15" customHeight="1" outlineLevel="1" x14ac:dyDescent="0.2">
      <c r="A1145" s="57" t="s">
        <v>24</v>
      </c>
      <c r="B1145" s="583" t="s">
        <v>477</v>
      </c>
      <c r="C1145" s="583" t="s">
        <v>1479</v>
      </c>
      <c r="D1145" s="819">
        <v>1.913</v>
      </c>
      <c r="E1145" s="162" t="s">
        <v>631</v>
      </c>
      <c r="F1145" s="358"/>
      <c r="G1145" s="65"/>
      <c r="H1145" s="73"/>
      <c r="I1145" s="90">
        <v>2007</v>
      </c>
      <c r="J1145" s="73"/>
      <c r="K1145" s="790">
        <v>7.2240000000000004E-3</v>
      </c>
      <c r="L1145" s="717"/>
      <c r="M1145" s="73"/>
      <c r="N1145" s="359"/>
      <c r="O1145" s="1041"/>
      <c r="P1145" s="73"/>
      <c r="Q1145" s="359"/>
      <c r="R1145" s="1041"/>
      <c r="S1145" s="73"/>
      <c r="T1145" s="359"/>
      <c r="U1145" s="73"/>
      <c r="V1145" s="66"/>
      <c r="W1145" s="788">
        <f t="shared" ref="W1145:W1150" si="873">AA1145*(1+AB1145)</f>
        <v>4.4788800000000007E-6</v>
      </c>
      <c r="X1145" s="789">
        <f t="shared" ref="X1145:X1150" si="874">AA1145*(1+AC1145)</f>
        <v>4.4788800000000007E-6</v>
      </c>
      <c r="Y1145" s="52">
        <v>2007</v>
      </c>
      <c r="Z1145" s="52"/>
      <c r="AA1145" s="787">
        <f t="shared" ref="AA1145:AA1149" si="875">+K1145/1000</f>
        <v>7.2240000000000006E-6</v>
      </c>
      <c r="AB1145" s="256">
        <v>-0.38</v>
      </c>
      <c r="AC1145" s="688">
        <f t="shared" si="861"/>
        <v>-0.38</v>
      </c>
      <c r="AD1145" s="164"/>
      <c r="AE1145" s="164"/>
      <c r="AF1145" s="25"/>
      <c r="AG1145" s="26"/>
      <c r="AH1145" s="275"/>
      <c r="AI1145" s="52"/>
      <c r="AJ1145" s="35"/>
      <c r="AK1145" s="289"/>
      <c r="AL1145" s="290"/>
      <c r="AM1145" s="211"/>
      <c r="AN1145" s="164"/>
      <c r="AO1145" s="594"/>
      <c r="AP1145" s="595"/>
      <c r="AQ1145" s="275"/>
      <c r="AR1145" s="52"/>
      <c r="AS1145" s="596"/>
      <c r="AT1145" s="79"/>
      <c r="AU1145" s="212"/>
      <c r="AV1145" s="164"/>
      <c r="AW1145" s="164"/>
      <c r="AX1145" s="76"/>
      <c r="AY1145" s="44"/>
      <c r="AZ1145" s="275"/>
      <c r="BA1145" s="52"/>
      <c r="BB1145" s="35"/>
      <c r="BC1145" s="79"/>
      <c r="BD1145" s="230"/>
      <c r="BE1145" s="211"/>
      <c r="BF1145" s="164"/>
      <c r="BG1145" s="76"/>
      <c r="BH1145" s="44"/>
      <c r="BI1145" s="275"/>
      <c r="BJ1145" s="52"/>
      <c r="BK1145" s="35"/>
      <c r="BL1145" s="79"/>
      <c r="BM1145" s="230"/>
      <c r="BN1145" s="211"/>
      <c r="BO1145" s="164"/>
      <c r="BP1145" s="726"/>
      <c r="BQ1145" s="727"/>
      <c r="BR1145" s="299"/>
      <c r="BS1145" s="35"/>
      <c r="BT1145" s="596"/>
      <c r="BU1145" s="79"/>
      <c r="BV1145" s="212"/>
      <c r="BW1145" s="304"/>
      <c r="BX1145" s="313"/>
      <c r="BY1145" s="138"/>
    </row>
    <row r="1146" spans="1:77" ht="15" customHeight="1" outlineLevel="1" x14ac:dyDescent="0.2">
      <c r="A1146" s="57" t="s">
        <v>24</v>
      </c>
      <c r="B1146" s="583" t="s">
        <v>477</v>
      </c>
      <c r="C1146" s="583" t="s">
        <v>1788</v>
      </c>
      <c r="D1146" s="819">
        <v>6.8070000000000004</v>
      </c>
      <c r="E1146" s="162" t="s">
        <v>631</v>
      </c>
      <c r="F1146" s="358"/>
      <c r="G1146" s="65"/>
      <c r="H1146" s="73"/>
      <c r="I1146" s="90"/>
      <c r="J1146" s="73"/>
      <c r="K1146" s="790">
        <v>2.1446E-2</v>
      </c>
      <c r="L1146" s="717"/>
      <c r="M1146" s="73"/>
      <c r="N1146" s="359"/>
      <c r="O1146" s="1041"/>
      <c r="P1146" s="73"/>
      <c r="Q1146" s="359"/>
      <c r="R1146" s="1041"/>
      <c r="S1146" s="73"/>
      <c r="T1146" s="359"/>
      <c r="U1146" s="73"/>
      <c r="V1146" s="66"/>
      <c r="W1146" s="788">
        <f t="shared" si="873"/>
        <v>1.6084500000000002E-5</v>
      </c>
      <c r="X1146" s="789">
        <f t="shared" si="874"/>
        <v>1.6084500000000002E-5</v>
      </c>
      <c r="Y1146" s="52">
        <v>2005</v>
      </c>
      <c r="Z1146" s="52"/>
      <c r="AA1146" s="787">
        <f t="shared" si="875"/>
        <v>2.1446000000000001E-5</v>
      </c>
      <c r="AB1146" s="256">
        <v>-0.25</v>
      </c>
      <c r="AC1146" s="688">
        <f t="shared" si="861"/>
        <v>-0.25</v>
      </c>
      <c r="AD1146" s="164"/>
      <c r="AE1146" s="164"/>
      <c r="AF1146" s="25"/>
      <c r="AG1146" s="26"/>
      <c r="AH1146" s="275"/>
      <c r="AI1146" s="52"/>
      <c r="AJ1146" s="35"/>
      <c r="AK1146" s="289"/>
      <c r="AL1146" s="290"/>
      <c r="AM1146" s="211"/>
      <c r="AN1146" s="164"/>
      <c r="AO1146" s="594"/>
      <c r="AP1146" s="595"/>
      <c r="AQ1146" s="275"/>
      <c r="AR1146" s="52"/>
      <c r="AS1146" s="596"/>
      <c r="AT1146" s="79"/>
      <c r="AU1146" s="212"/>
      <c r="AV1146" s="164"/>
      <c r="AW1146" s="164"/>
      <c r="AX1146" s="76"/>
      <c r="AY1146" s="44"/>
      <c r="AZ1146" s="275"/>
      <c r="BA1146" s="52"/>
      <c r="BB1146" s="35"/>
      <c r="BC1146" s="79"/>
      <c r="BD1146" s="230"/>
      <c r="BE1146" s="211"/>
      <c r="BF1146" s="164"/>
      <c r="BG1146" s="76"/>
      <c r="BH1146" s="44"/>
      <c r="BI1146" s="275"/>
      <c r="BJ1146" s="52"/>
      <c r="BK1146" s="35"/>
      <c r="BL1146" s="79"/>
      <c r="BM1146" s="230"/>
      <c r="BN1146" s="211"/>
      <c r="BO1146" s="164"/>
      <c r="BP1146" s="726"/>
      <c r="BQ1146" s="727"/>
      <c r="BR1146" s="299"/>
      <c r="BS1146" s="35"/>
      <c r="BT1146" s="596"/>
      <c r="BU1146" s="79"/>
      <c r="BV1146" s="212"/>
      <c r="BW1146" s="304"/>
      <c r="BX1146" s="313"/>
      <c r="BY1146" s="138"/>
    </row>
    <row r="1147" spans="1:77" ht="15" customHeight="1" outlineLevel="1" x14ac:dyDescent="0.2">
      <c r="A1147" s="57" t="s">
        <v>24</v>
      </c>
      <c r="B1147" s="583" t="s">
        <v>477</v>
      </c>
      <c r="C1147" s="583" t="s">
        <v>1875</v>
      </c>
      <c r="D1147" s="819">
        <v>3.5369999999999999</v>
      </c>
      <c r="E1147" s="162" t="s">
        <v>631</v>
      </c>
      <c r="F1147" s="358"/>
      <c r="G1147" s="65"/>
      <c r="H1147" s="73"/>
      <c r="I1147" s="90"/>
      <c r="J1147" s="73"/>
      <c r="K1147" s="790">
        <v>0.21992999999999999</v>
      </c>
      <c r="L1147" s="717"/>
      <c r="M1147" s="73"/>
      <c r="N1147" s="359"/>
      <c r="O1147" s="1041"/>
      <c r="P1147" s="73"/>
      <c r="Q1147" s="359"/>
      <c r="R1147" s="1041"/>
      <c r="S1147" s="73"/>
      <c r="T1147" s="359"/>
      <c r="U1147" s="73"/>
      <c r="V1147" s="66"/>
      <c r="W1147" s="788">
        <f t="shared" si="873"/>
        <v>1.6274819999999998E-4</v>
      </c>
      <c r="X1147" s="789">
        <f t="shared" si="874"/>
        <v>1.6274819999999998E-4</v>
      </c>
      <c r="Y1147" s="52">
        <v>2005</v>
      </c>
      <c r="Z1147" s="52"/>
      <c r="AA1147" s="787">
        <f t="shared" si="875"/>
        <v>2.1992999999999999E-4</v>
      </c>
      <c r="AB1147" s="256">
        <v>-0.26</v>
      </c>
      <c r="AC1147" s="688">
        <f t="shared" si="861"/>
        <v>-0.26</v>
      </c>
      <c r="AD1147" s="164"/>
      <c r="AE1147" s="164"/>
      <c r="AF1147" s="25"/>
      <c r="AG1147" s="26"/>
      <c r="AH1147" s="275"/>
      <c r="AI1147" s="52"/>
      <c r="AJ1147" s="35"/>
      <c r="AK1147" s="289"/>
      <c r="AL1147" s="290"/>
      <c r="AM1147" s="211"/>
      <c r="AN1147" s="164"/>
      <c r="AO1147" s="594"/>
      <c r="AP1147" s="595"/>
      <c r="AQ1147" s="275"/>
      <c r="AR1147" s="52"/>
      <c r="AS1147" s="596"/>
      <c r="AT1147" s="79"/>
      <c r="AU1147" s="212"/>
      <c r="AV1147" s="164"/>
      <c r="AW1147" s="164"/>
      <c r="AX1147" s="76"/>
      <c r="AY1147" s="44"/>
      <c r="AZ1147" s="275"/>
      <c r="BA1147" s="52"/>
      <c r="BB1147" s="35"/>
      <c r="BC1147" s="79"/>
      <c r="BD1147" s="230"/>
      <c r="BE1147" s="211"/>
      <c r="BF1147" s="164"/>
      <c r="BG1147" s="76"/>
      <c r="BH1147" s="44"/>
      <c r="BI1147" s="275"/>
      <c r="BJ1147" s="52"/>
      <c r="BK1147" s="35"/>
      <c r="BL1147" s="79"/>
      <c r="BM1147" s="230"/>
      <c r="BN1147" s="211"/>
      <c r="BO1147" s="164"/>
      <c r="BP1147" s="726"/>
      <c r="BQ1147" s="727"/>
      <c r="BR1147" s="299"/>
      <c r="BS1147" s="35"/>
      <c r="BT1147" s="596"/>
      <c r="BU1147" s="79"/>
      <c r="BV1147" s="212"/>
      <c r="BW1147" s="304"/>
      <c r="BX1147" s="313"/>
      <c r="BY1147" s="138"/>
    </row>
    <row r="1148" spans="1:77" ht="15" customHeight="1" outlineLevel="1" x14ac:dyDescent="0.2">
      <c r="A1148" s="57" t="s">
        <v>24</v>
      </c>
      <c r="B1148" s="583" t="s">
        <v>477</v>
      </c>
      <c r="C1148" s="583" t="s">
        <v>1701</v>
      </c>
      <c r="D1148" s="819">
        <v>0.76900000000000002</v>
      </c>
      <c r="E1148" s="162" t="s">
        <v>631</v>
      </c>
      <c r="F1148" s="358"/>
      <c r="G1148" s="65"/>
      <c r="H1148" s="73"/>
      <c r="I1148" s="90"/>
      <c r="J1148" s="73"/>
      <c r="K1148" s="790">
        <v>3.3990000000000001E-3</v>
      </c>
      <c r="L1148" s="717"/>
      <c r="M1148" s="73"/>
      <c r="N1148" s="359"/>
      <c r="O1148" s="1041"/>
      <c r="P1148" s="73"/>
      <c r="Q1148" s="359"/>
      <c r="R1148" s="1041"/>
      <c r="S1148" s="73"/>
      <c r="T1148" s="359"/>
      <c r="U1148" s="73"/>
      <c r="V1148" s="66"/>
      <c r="W1148" s="788">
        <f t="shared" si="873"/>
        <v>2.5492500000000002E-6</v>
      </c>
      <c r="X1148" s="789">
        <f t="shared" si="874"/>
        <v>2.5492500000000002E-6</v>
      </c>
      <c r="Y1148" s="52">
        <v>2005</v>
      </c>
      <c r="Z1148" s="52"/>
      <c r="AA1148" s="787">
        <f t="shared" si="875"/>
        <v>3.399E-6</v>
      </c>
      <c r="AB1148" s="256">
        <v>-0.25</v>
      </c>
      <c r="AC1148" s="688">
        <f t="shared" si="861"/>
        <v>-0.25</v>
      </c>
      <c r="AD1148" s="164"/>
      <c r="AE1148" s="164"/>
      <c r="AF1148" s="25"/>
      <c r="AG1148" s="26"/>
      <c r="AH1148" s="275"/>
      <c r="AI1148" s="52"/>
      <c r="AJ1148" s="35"/>
      <c r="AK1148" s="289"/>
      <c r="AL1148" s="290"/>
      <c r="AM1148" s="211"/>
      <c r="AN1148" s="164"/>
      <c r="AO1148" s="594"/>
      <c r="AP1148" s="595"/>
      <c r="AQ1148" s="275"/>
      <c r="AR1148" s="52"/>
      <c r="AS1148" s="596"/>
      <c r="AT1148" s="79"/>
      <c r="AU1148" s="212"/>
      <c r="AV1148" s="164"/>
      <c r="AW1148" s="164"/>
      <c r="AX1148" s="76"/>
      <c r="AY1148" s="44"/>
      <c r="AZ1148" s="275"/>
      <c r="BA1148" s="52"/>
      <c r="BB1148" s="35"/>
      <c r="BC1148" s="79"/>
      <c r="BD1148" s="230"/>
      <c r="BE1148" s="211"/>
      <c r="BF1148" s="164"/>
      <c r="BG1148" s="76"/>
      <c r="BH1148" s="44"/>
      <c r="BI1148" s="275"/>
      <c r="BJ1148" s="52"/>
      <c r="BK1148" s="35"/>
      <c r="BL1148" s="79"/>
      <c r="BM1148" s="230"/>
      <c r="BN1148" s="211"/>
      <c r="BO1148" s="164"/>
      <c r="BP1148" s="726"/>
      <c r="BQ1148" s="727"/>
      <c r="BR1148" s="299"/>
      <c r="BS1148" s="35"/>
      <c r="BT1148" s="596"/>
      <c r="BU1148" s="79"/>
      <c r="BV1148" s="212"/>
      <c r="BW1148" s="304"/>
      <c r="BX1148" s="313"/>
      <c r="BY1148" s="138"/>
    </row>
    <row r="1149" spans="1:77" ht="15" customHeight="1" outlineLevel="1" x14ac:dyDescent="0.2">
      <c r="A1149" s="57" t="s">
        <v>24</v>
      </c>
      <c r="B1149" s="583" t="s">
        <v>477</v>
      </c>
      <c r="C1149" s="583" t="s">
        <v>1491</v>
      </c>
      <c r="D1149" s="819">
        <v>2.1190000000000002</v>
      </c>
      <c r="E1149" s="162" t="s">
        <v>631</v>
      </c>
      <c r="F1149" s="358"/>
      <c r="G1149" s="65"/>
      <c r="H1149" s="73"/>
      <c r="I1149" s="90"/>
      <c r="J1149" s="73"/>
      <c r="K1149" s="790">
        <v>4.9820000000000003E-3</v>
      </c>
      <c r="L1149" s="717"/>
      <c r="M1149" s="73"/>
      <c r="N1149" s="359"/>
      <c r="O1149" s="1041"/>
      <c r="P1149" s="73"/>
      <c r="Q1149" s="359"/>
      <c r="R1149" s="1041"/>
      <c r="S1149" s="73"/>
      <c r="T1149" s="359"/>
      <c r="U1149" s="73"/>
      <c r="V1149" s="66"/>
      <c r="W1149" s="788">
        <f t="shared" si="873"/>
        <v>3.0390199999999997E-6</v>
      </c>
      <c r="X1149" s="789">
        <f t="shared" si="874"/>
        <v>3.0390199999999997E-6</v>
      </c>
      <c r="Y1149" s="52">
        <v>2005</v>
      </c>
      <c r="Z1149" s="52"/>
      <c r="AA1149" s="787">
        <f t="shared" si="875"/>
        <v>4.9819999999999999E-6</v>
      </c>
      <c r="AB1149" s="256">
        <v>-0.39</v>
      </c>
      <c r="AC1149" s="688">
        <f t="shared" si="861"/>
        <v>-0.39</v>
      </c>
      <c r="AD1149" s="164"/>
      <c r="AE1149" s="164"/>
      <c r="AF1149" s="25"/>
      <c r="AG1149" s="26"/>
      <c r="AH1149" s="275"/>
      <c r="AI1149" s="52"/>
      <c r="AJ1149" s="35"/>
      <c r="AK1149" s="289"/>
      <c r="AL1149" s="290"/>
      <c r="AM1149" s="211"/>
      <c r="AN1149" s="164"/>
      <c r="AO1149" s="594"/>
      <c r="AP1149" s="595"/>
      <c r="AQ1149" s="275"/>
      <c r="AR1149" s="52"/>
      <c r="AS1149" s="596"/>
      <c r="AT1149" s="79"/>
      <c r="AU1149" s="212"/>
      <c r="AV1149" s="164"/>
      <c r="AW1149" s="164"/>
      <c r="AX1149" s="76"/>
      <c r="AY1149" s="44"/>
      <c r="AZ1149" s="275"/>
      <c r="BA1149" s="52"/>
      <c r="BB1149" s="35"/>
      <c r="BC1149" s="79"/>
      <c r="BD1149" s="230"/>
      <c r="BE1149" s="211"/>
      <c r="BF1149" s="164"/>
      <c r="BG1149" s="76"/>
      <c r="BH1149" s="44"/>
      <c r="BI1149" s="275"/>
      <c r="BJ1149" s="52"/>
      <c r="BK1149" s="35"/>
      <c r="BL1149" s="79"/>
      <c r="BM1149" s="230"/>
      <c r="BN1149" s="211"/>
      <c r="BO1149" s="164"/>
      <c r="BP1149" s="726"/>
      <c r="BQ1149" s="727"/>
      <c r="BR1149" s="299"/>
      <c r="BS1149" s="35"/>
      <c r="BT1149" s="596"/>
      <c r="BU1149" s="79"/>
      <c r="BV1149" s="212"/>
      <c r="BW1149" s="304"/>
      <c r="BX1149" s="313"/>
      <c r="BY1149" s="138"/>
    </row>
    <row r="1150" spans="1:77" ht="15" customHeight="1" outlineLevel="1" x14ac:dyDescent="0.2">
      <c r="A1150" s="57" t="s">
        <v>24</v>
      </c>
      <c r="B1150" s="583" t="s">
        <v>477</v>
      </c>
      <c r="C1150" s="583" t="s">
        <v>1490</v>
      </c>
      <c r="D1150" s="819">
        <v>23.776</v>
      </c>
      <c r="E1150" s="162" t="s">
        <v>631</v>
      </c>
      <c r="F1150" s="358"/>
      <c r="G1150" s="65"/>
      <c r="H1150" s="73"/>
      <c r="I1150" s="90"/>
      <c r="J1150" s="73"/>
      <c r="K1150" s="790"/>
      <c r="L1150" s="717">
        <v>2010</v>
      </c>
      <c r="M1150" s="73"/>
      <c r="N1150" s="738">
        <v>9.0485999999999997E-2</v>
      </c>
      <c r="O1150" s="1041"/>
      <c r="P1150" s="73"/>
      <c r="Q1150" s="738"/>
      <c r="R1150" s="1041"/>
      <c r="S1150" s="73"/>
      <c r="T1150" s="738"/>
      <c r="U1150" s="73"/>
      <c r="V1150" s="66"/>
      <c r="W1150" s="740">
        <f t="shared" si="873"/>
        <v>5.3386740000000004E-5</v>
      </c>
      <c r="X1150" s="741">
        <f t="shared" si="874"/>
        <v>5.3386740000000004E-5</v>
      </c>
      <c r="Y1150" s="52">
        <v>2010</v>
      </c>
      <c r="Z1150" s="52"/>
      <c r="AA1150" s="739">
        <f>+N1150/1000</f>
        <v>9.0486000000000001E-5</v>
      </c>
      <c r="AB1150" s="256">
        <v>-0.41</v>
      </c>
      <c r="AC1150" s="688">
        <f t="shared" si="861"/>
        <v>-0.41</v>
      </c>
      <c r="AD1150" s="164"/>
      <c r="AE1150" s="164"/>
      <c r="AF1150" s="25"/>
      <c r="AG1150" s="26"/>
      <c r="AH1150" s="275"/>
      <c r="AI1150" s="52"/>
      <c r="AJ1150" s="35"/>
      <c r="AK1150" s="289"/>
      <c r="AL1150" s="290"/>
      <c r="AM1150" s="211"/>
      <c r="AN1150" s="164"/>
      <c r="AO1150" s="594"/>
      <c r="AP1150" s="595"/>
      <c r="AQ1150" s="275"/>
      <c r="AR1150" s="52"/>
      <c r="AS1150" s="596"/>
      <c r="AT1150" s="79"/>
      <c r="AU1150" s="212"/>
      <c r="AV1150" s="164"/>
      <c r="AW1150" s="164"/>
      <c r="AX1150" s="76"/>
      <c r="AY1150" s="44"/>
      <c r="AZ1150" s="275"/>
      <c r="BA1150" s="52"/>
      <c r="BB1150" s="35"/>
      <c r="BC1150" s="79"/>
      <c r="BD1150" s="230"/>
      <c r="BE1150" s="211"/>
      <c r="BF1150" s="164"/>
      <c r="BG1150" s="76"/>
      <c r="BH1150" s="44"/>
      <c r="BI1150" s="275"/>
      <c r="BJ1150" s="52"/>
      <c r="BK1150" s="35"/>
      <c r="BL1150" s="79"/>
      <c r="BM1150" s="230"/>
      <c r="BN1150" s="211"/>
      <c r="BO1150" s="164"/>
      <c r="BP1150" s="726"/>
      <c r="BQ1150" s="727"/>
      <c r="BR1150" s="299"/>
      <c r="BS1150" s="35"/>
      <c r="BT1150" s="596"/>
      <c r="BU1150" s="79"/>
      <c r="BV1150" s="212"/>
      <c r="BW1150" s="304"/>
      <c r="BX1150" s="313"/>
      <c r="BY1150" s="138"/>
    </row>
    <row r="1151" spans="1:77" ht="15" customHeight="1" outlineLevel="1" x14ac:dyDescent="0.2">
      <c r="A1151" s="57" t="s">
        <v>24</v>
      </c>
      <c r="B1151" s="583" t="s">
        <v>477</v>
      </c>
      <c r="C1151" s="583" t="s">
        <v>1469</v>
      </c>
      <c r="D1151" s="819">
        <v>0.94899999999999995</v>
      </c>
      <c r="E1151" s="162" t="s">
        <v>631</v>
      </c>
      <c r="F1151" s="358"/>
      <c r="G1151" s="65"/>
      <c r="H1151" s="73"/>
      <c r="I1151" s="90"/>
      <c r="J1151" s="73"/>
      <c r="K1151" s="790">
        <v>4.1970000000000002E-3</v>
      </c>
      <c r="L1151" s="717"/>
      <c r="M1151" s="73"/>
      <c r="N1151" s="359"/>
      <c r="O1151" s="1041"/>
      <c r="P1151" s="73"/>
      <c r="Q1151" s="359"/>
      <c r="R1151" s="1041"/>
      <c r="S1151" s="73"/>
      <c r="T1151" s="359"/>
      <c r="U1151" s="73"/>
      <c r="V1151" s="66"/>
      <c r="W1151" s="788">
        <f t="shared" ref="W1151" si="876">AA1151*(1+AB1151)</f>
        <v>1.5948599999999999E-6</v>
      </c>
      <c r="X1151" s="789">
        <f t="shared" ref="X1151" si="877">AA1151*(1+AC1151)</f>
        <v>1.5948599999999999E-6</v>
      </c>
      <c r="Y1151" s="52">
        <v>2005</v>
      </c>
      <c r="Z1151" s="52"/>
      <c r="AA1151" s="787">
        <f t="shared" ref="AA1151" si="878">+K1151/1000</f>
        <v>4.1969999999999998E-6</v>
      </c>
      <c r="AB1151" s="256">
        <v>-0.62</v>
      </c>
      <c r="AC1151" s="688">
        <f t="shared" si="861"/>
        <v>-0.62</v>
      </c>
      <c r="AD1151" s="164"/>
      <c r="AE1151" s="164"/>
      <c r="AF1151" s="25"/>
      <c r="AG1151" s="26"/>
      <c r="AH1151" s="275"/>
      <c r="AI1151" s="52"/>
      <c r="AJ1151" s="35"/>
      <c r="AK1151" s="289"/>
      <c r="AL1151" s="290"/>
      <c r="AM1151" s="211"/>
      <c r="AN1151" s="164"/>
      <c r="AO1151" s="594"/>
      <c r="AP1151" s="595"/>
      <c r="AQ1151" s="275"/>
      <c r="AR1151" s="52"/>
      <c r="AS1151" s="596"/>
      <c r="AT1151" s="79"/>
      <c r="AU1151" s="212"/>
      <c r="AV1151" s="164"/>
      <c r="AW1151" s="164"/>
      <c r="AX1151" s="76"/>
      <c r="AY1151" s="44"/>
      <c r="AZ1151" s="275"/>
      <c r="BA1151" s="52"/>
      <c r="BB1151" s="35"/>
      <c r="BC1151" s="79"/>
      <c r="BD1151" s="230"/>
      <c r="BE1151" s="211"/>
      <c r="BF1151" s="164"/>
      <c r="BG1151" s="76"/>
      <c r="BH1151" s="44"/>
      <c r="BI1151" s="275"/>
      <c r="BJ1151" s="52"/>
      <c r="BK1151" s="35"/>
      <c r="BL1151" s="79"/>
      <c r="BM1151" s="230"/>
      <c r="BN1151" s="211"/>
      <c r="BO1151" s="164"/>
      <c r="BP1151" s="726"/>
      <c r="BQ1151" s="727"/>
      <c r="BR1151" s="299"/>
      <c r="BS1151" s="35"/>
      <c r="BT1151" s="596"/>
      <c r="BU1151" s="79"/>
      <c r="BV1151" s="212"/>
      <c r="BW1151" s="304"/>
      <c r="BX1151" s="313"/>
      <c r="BY1151" s="138"/>
    </row>
    <row r="1152" spans="1:77" ht="15" customHeight="1" outlineLevel="1" x14ac:dyDescent="0.2">
      <c r="A1152" s="57" t="s">
        <v>24</v>
      </c>
      <c r="B1152" s="583" t="s">
        <v>477</v>
      </c>
      <c r="C1152" s="583" t="s">
        <v>1456</v>
      </c>
      <c r="D1152" s="819">
        <v>0.57899999999999996</v>
      </c>
      <c r="E1152" s="162" t="s">
        <v>631</v>
      </c>
      <c r="F1152" s="358"/>
      <c r="G1152" s="65"/>
      <c r="H1152" s="73"/>
      <c r="I1152" s="90"/>
      <c r="J1152" s="73"/>
      <c r="K1152" s="790">
        <v>2.4380000000000001E-3</v>
      </c>
      <c r="L1152" s="717"/>
      <c r="M1152" s="73"/>
      <c r="N1152" s="359"/>
      <c r="O1152" s="1041"/>
      <c r="P1152" s="73"/>
      <c r="Q1152" s="359"/>
      <c r="R1152" s="1041"/>
      <c r="S1152" s="73"/>
      <c r="T1152" s="359"/>
      <c r="U1152" s="73"/>
      <c r="V1152" s="66"/>
      <c r="W1152" s="788">
        <f t="shared" ref="W1152:W1165" si="879">AA1152*(1+AB1152)</f>
        <v>1.1946200000000001E-6</v>
      </c>
      <c r="X1152" s="789">
        <f t="shared" ref="X1152:X1165" si="880">AA1152*(1+AC1152)</f>
        <v>1.1946200000000001E-6</v>
      </c>
      <c r="Y1152" s="52">
        <v>2005</v>
      </c>
      <c r="Z1152" s="52"/>
      <c r="AA1152" s="787">
        <f t="shared" ref="AA1152:AA1165" si="881">+K1152/1000</f>
        <v>2.4380000000000002E-6</v>
      </c>
      <c r="AB1152" s="256">
        <v>-0.51</v>
      </c>
      <c r="AC1152" s="688">
        <f t="shared" si="861"/>
        <v>-0.51</v>
      </c>
      <c r="AD1152" s="164"/>
      <c r="AE1152" s="164"/>
      <c r="AF1152" s="25"/>
      <c r="AG1152" s="26"/>
      <c r="AH1152" s="275"/>
      <c r="AI1152" s="52"/>
      <c r="AJ1152" s="35"/>
      <c r="AK1152" s="289"/>
      <c r="AL1152" s="290"/>
      <c r="AM1152" s="211"/>
      <c r="AN1152" s="164"/>
      <c r="AO1152" s="594"/>
      <c r="AP1152" s="595"/>
      <c r="AQ1152" s="275"/>
      <c r="AR1152" s="52"/>
      <c r="AS1152" s="596"/>
      <c r="AT1152" s="79"/>
      <c r="AU1152" s="212"/>
      <c r="AV1152" s="164"/>
      <c r="AW1152" s="164"/>
      <c r="AX1152" s="76"/>
      <c r="AY1152" s="44"/>
      <c r="AZ1152" s="275"/>
      <c r="BA1152" s="52"/>
      <c r="BB1152" s="35"/>
      <c r="BC1152" s="79"/>
      <c r="BD1152" s="230"/>
      <c r="BE1152" s="211"/>
      <c r="BF1152" s="164"/>
      <c r="BG1152" s="76"/>
      <c r="BH1152" s="44"/>
      <c r="BI1152" s="275"/>
      <c r="BJ1152" s="52"/>
      <c r="BK1152" s="35"/>
      <c r="BL1152" s="79"/>
      <c r="BM1152" s="230"/>
      <c r="BN1152" s="211"/>
      <c r="BO1152" s="164"/>
      <c r="BP1152" s="726"/>
      <c r="BQ1152" s="727"/>
      <c r="BR1152" s="299"/>
      <c r="BS1152" s="35"/>
      <c r="BT1152" s="596"/>
      <c r="BU1152" s="79"/>
      <c r="BV1152" s="212"/>
      <c r="BW1152" s="304"/>
      <c r="BX1152" s="313"/>
      <c r="BY1152" s="138"/>
    </row>
    <row r="1153" spans="1:77" ht="15" customHeight="1" outlineLevel="1" x14ac:dyDescent="0.2">
      <c r="A1153" s="57" t="s">
        <v>24</v>
      </c>
      <c r="B1153" s="583" t="s">
        <v>477</v>
      </c>
      <c r="C1153" s="583" t="s">
        <v>1750</v>
      </c>
      <c r="D1153" s="819">
        <v>4.0119999999999996</v>
      </c>
      <c r="E1153" s="162" t="s">
        <v>631</v>
      </c>
      <c r="F1153" s="358"/>
      <c r="G1153" s="65"/>
      <c r="H1153" s="73"/>
      <c r="I1153" s="90"/>
      <c r="J1153" s="73"/>
      <c r="K1153" s="790">
        <v>1.7129999999999999E-2</v>
      </c>
      <c r="L1153" s="717"/>
      <c r="M1153" s="73"/>
      <c r="N1153" s="359"/>
      <c r="O1153" s="1041"/>
      <c r="P1153" s="73"/>
      <c r="Q1153" s="359"/>
      <c r="R1153" s="1041"/>
      <c r="S1153" s="73"/>
      <c r="T1153" s="359"/>
      <c r="U1153" s="73"/>
      <c r="V1153" s="66"/>
      <c r="W1153" s="788">
        <f t="shared" si="879"/>
        <v>1.28475E-5</v>
      </c>
      <c r="X1153" s="789">
        <f t="shared" si="880"/>
        <v>1.28475E-5</v>
      </c>
      <c r="Y1153" s="52">
        <v>2005</v>
      </c>
      <c r="Z1153" s="52"/>
      <c r="AA1153" s="787">
        <f t="shared" si="881"/>
        <v>1.713E-5</v>
      </c>
      <c r="AB1153" s="256">
        <v>-0.25</v>
      </c>
      <c r="AC1153" s="688">
        <f t="shared" si="861"/>
        <v>-0.25</v>
      </c>
      <c r="AD1153" s="164"/>
      <c r="AE1153" s="164"/>
      <c r="AF1153" s="25"/>
      <c r="AG1153" s="26"/>
      <c r="AH1153" s="275"/>
      <c r="AI1153" s="52"/>
      <c r="AJ1153" s="35"/>
      <c r="AK1153" s="289"/>
      <c r="AL1153" s="290"/>
      <c r="AM1153" s="211"/>
      <c r="AN1153" s="164"/>
      <c r="AO1153" s="594"/>
      <c r="AP1153" s="595"/>
      <c r="AQ1153" s="275"/>
      <c r="AR1153" s="52"/>
      <c r="AS1153" s="596"/>
      <c r="AT1153" s="79"/>
      <c r="AU1153" s="212"/>
      <c r="AV1153" s="164"/>
      <c r="AW1153" s="164"/>
      <c r="AX1153" s="76"/>
      <c r="AY1153" s="44"/>
      <c r="AZ1153" s="275"/>
      <c r="BA1153" s="52"/>
      <c r="BB1153" s="35"/>
      <c r="BC1153" s="79"/>
      <c r="BD1153" s="230"/>
      <c r="BE1153" s="211"/>
      <c r="BF1153" s="164"/>
      <c r="BG1153" s="76"/>
      <c r="BH1153" s="44"/>
      <c r="BI1153" s="275"/>
      <c r="BJ1153" s="52"/>
      <c r="BK1153" s="35"/>
      <c r="BL1153" s="79"/>
      <c r="BM1153" s="230"/>
      <c r="BN1153" s="211"/>
      <c r="BO1153" s="164"/>
      <c r="BP1153" s="726"/>
      <c r="BQ1153" s="727"/>
      <c r="BR1153" s="299"/>
      <c r="BS1153" s="35"/>
      <c r="BT1153" s="596"/>
      <c r="BU1153" s="79"/>
      <c r="BV1153" s="212"/>
      <c r="BW1153" s="304"/>
      <c r="BX1153" s="313"/>
      <c r="BY1153" s="138"/>
    </row>
    <row r="1154" spans="1:77" ht="15" customHeight="1" outlineLevel="1" x14ac:dyDescent="0.2">
      <c r="A1154" s="57" t="s">
        <v>24</v>
      </c>
      <c r="B1154" s="583" t="s">
        <v>477</v>
      </c>
      <c r="C1154" s="583" t="s">
        <v>1879</v>
      </c>
      <c r="D1154" s="819">
        <v>7.5609999999999999</v>
      </c>
      <c r="E1154" s="162" t="s">
        <v>631</v>
      </c>
      <c r="F1154" s="358"/>
      <c r="G1154" s="65"/>
      <c r="H1154" s="73"/>
      <c r="I1154" s="90"/>
      <c r="J1154" s="73"/>
      <c r="K1154" s="790">
        <v>2.5106E-2</v>
      </c>
      <c r="L1154" s="717"/>
      <c r="M1154" s="73"/>
      <c r="N1154" s="359"/>
      <c r="O1154" s="1041"/>
      <c r="P1154" s="73"/>
      <c r="Q1154" s="359"/>
      <c r="R1154" s="1041"/>
      <c r="S1154" s="73"/>
      <c r="T1154" s="359"/>
      <c r="U1154" s="73"/>
      <c r="V1154" s="66"/>
      <c r="W1154" s="788">
        <f t="shared" si="879"/>
        <v>1.8578440000000001E-5</v>
      </c>
      <c r="X1154" s="789">
        <f t="shared" si="880"/>
        <v>1.8578440000000001E-5</v>
      </c>
      <c r="Y1154" s="52">
        <v>2005</v>
      </c>
      <c r="Z1154" s="52"/>
      <c r="AA1154" s="787">
        <f t="shared" si="881"/>
        <v>2.5106E-5</v>
      </c>
      <c r="AB1154" s="256">
        <v>-0.26</v>
      </c>
      <c r="AC1154" s="688">
        <f t="shared" si="861"/>
        <v>-0.26</v>
      </c>
      <c r="AD1154" s="164"/>
      <c r="AE1154" s="164"/>
      <c r="AF1154" s="25"/>
      <c r="AG1154" s="26"/>
      <c r="AH1154" s="275"/>
      <c r="AI1154" s="52"/>
      <c r="AJ1154" s="35"/>
      <c r="AK1154" s="289"/>
      <c r="AL1154" s="290"/>
      <c r="AM1154" s="211"/>
      <c r="AN1154" s="164"/>
      <c r="AO1154" s="594"/>
      <c r="AP1154" s="595"/>
      <c r="AQ1154" s="275"/>
      <c r="AR1154" s="52"/>
      <c r="AS1154" s="596"/>
      <c r="AT1154" s="79"/>
      <c r="AU1154" s="212"/>
      <c r="AV1154" s="164"/>
      <c r="AW1154" s="164"/>
      <c r="AX1154" s="76"/>
      <c r="AY1154" s="44"/>
      <c r="AZ1154" s="275"/>
      <c r="BA1154" s="52"/>
      <c r="BB1154" s="35"/>
      <c r="BC1154" s="79"/>
      <c r="BD1154" s="230"/>
      <c r="BE1154" s="211"/>
      <c r="BF1154" s="164"/>
      <c r="BG1154" s="76"/>
      <c r="BH1154" s="44"/>
      <c r="BI1154" s="275"/>
      <c r="BJ1154" s="52"/>
      <c r="BK1154" s="35"/>
      <c r="BL1154" s="79"/>
      <c r="BM1154" s="230"/>
      <c r="BN1154" s="211"/>
      <c r="BO1154" s="164"/>
      <c r="BP1154" s="726"/>
      <c r="BQ1154" s="727"/>
      <c r="BR1154" s="299"/>
      <c r="BS1154" s="35"/>
      <c r="BT1154" s="596"/>
      <c r="BU1154" s="79"/>
      <c r="BV1154" s="212"/>
      <c r="BW1154" s="304"/>
      <c r="BX1154" s="313"/>
      <c r="BY1154" s="138"/>
    </row>
    <row r="1155" spans="1:77" ht="15" customHeight="1" outlineLevel="1" x14ac:dyDescent="0.2">
      <c r="A1155" s="57" t="s">
        <v>24</v>
      </c>
      <c r="B1155" s="583" t="s">
        <v>477</v>
      </c>
      <c r="C1155" s="583" t="s">
        <v>1487</v>
      </c>
      <c r="D1155" s="819">
        <v>1.181</v>
      </c>
      <c r="E1155" s="162" t="s">
        <v>631</v>
      </c>
      <c r="F1155" s="358"/>
      <c r="G1155" s="65"/>
      <c r="H1155" s="73"/>
      <c r="I1155" s="90"/>
      <c r="J1155" s="73"/>
      <c r="K1155" s="790">
        <v>7.8740000000000008E-3</v>
      </c>
      <c r="L1155" s="717"/>
      <c r="M1155" s="73"/>
      <c r="N1155" s="359"/>
      <c r="O1155" s="1041"/>
      <c r="P1155" s="73"/>
      <c r="Q1155" s="359"/>
      <c r="R1155" s="1041"/>
      <c r="S1155" s="73"/>
      <c r="T1155" s="359"/>
      <c r="U1155" s="73"/>
      <c r="V1155" s="66"/>
      <c r="W1155" s="788">
        <f t="shared" ref="W1155" si="882">AA1155*(1+AB1155)</f>
        <v>5.5118000000000003E-6</v>
      </c>
      <c r="X1155" s="789">
        <f t="shared" ref="X1155" si="883">AA1155*(1+AC1155)</f>
        <v>5.5118000000000003E-6</v>
      </c>
      <c r="Y1155" s="52">
        <v>2005</v>
      </c>
      <c r="Z1155" s="52"/>
      <c r="AA1155" s="787">
        <f t="shared" ref="AA1155" si="884">+K1155/1000</f>
        <v>7.8740000000000012E-6</v>
      </c>
      <c r="AB1155" s="256">
        <v>-0.3</v>
      </c>
      <c r="AC1155" s="688">
        <f t="shared" si="861"/>
        <v>-0.3</v>
      </c>
      <c r="AD1155" s="164"/>
      <c r="AE1155" s="164"/>
      <c r="AF1155" s="25"/>
      <c r="AG1155" s="26"/>
      <c r="AH1155" s="275"/>
      <c r="AI1155" s="52"/>
      <c r="AJ1155" s="35"/>
      <c r="AK1155" s="289"/>
      <c r="AL1155" s="290"/>
      <c r="AM1155" s="211"/>
      <c r="AN1155" s="164"/>
      <c r="AO1155" s="594"/>
      <c r="AP1155" s="595"/>
      <c r="AQ1155" s="275"/>
      <c r="AR1155" s="52"/>
      <c r="AS1155" s="596"/>
      <c r="AT1155" s="79"/>
      <c r="AU1155" s="212"/>
      <c r="AV1155" s="164"/>
      <c r="AW1155" s="164"/>
      <c r="AX1155" s="76"/>
      <c r="AY1155" s="44"/>
      <c r="AZ1155" s="275"/>
      <c r="BA1155" s="52"/>
      <c r="BB1155" s="35"/>
      <c r="BC1155" s="79"/>
      <c r="BD1155" s="230"/>
      <c r="BE1155" s="211"/>
      <c r="BF1155" s="164"/>
      <c r="BG1155" s="76"/>
      <c r="BH1155" s="44"/>
      <c r="BI1155" s="275"/>
      <c r="BJ1155" s="52"/>
      <c r="BK1155" s="35"/>
      <c r="BL1155" s="79"/>
      <c r="BM1155" s="230"/>
      <c r="BN1155" s="211"/>
      <c r="BO1155" s="164"/>
      <c r="BP1155" s="726"/>
      <c r="BQ1155" s="727"/>
      <c r="BR1155" s="299"/>
      <c r="BS1155" s="35"/>
      <c r="BT1155" s="596"/>
      <c r="BU1155" s="79"/>
      <c r="BV1155" s="212"/>
      <c r="BW1155" s="304"/>
      <c r="BX1155" s="313"/>
      <c r="BY1155" s="138"/>
    </row>
    <row r="1156" spans="1:77" ht="15" customHeight="1" outlineLevel="1" x14ac:dyDescent="0.2">
      <c r="A1156" s="57" t="s">
        <v>24</v>
      </c>
      <c r="B1156" s="583" t="s">
        <v>477</v>
      </c>
      <c r="C1156" s="583" t="s">
        <v>1502</v>
      </c>
      <c r="D1156" s="818">
        <v>0.3</v>
      </c>
      <c r="E1156" s="162" t="s">
        <v>631</v>
      </c>
      <c r="F1156" s="358"/>
      <c r="G1156" s="65"/>
      <c r="H1156" s="73"/>
      <c r="I1156" s="90"/>
      <c r="J1156" s="73"/>
      <c r="K1156" s="790">
        <v>3.13E-3</v>
      </c>
      <c r="L1156" s="717"/>
      <c r="M1156" s="73"/>
      <c r="N1156" s="359"/>
      <c r="O1156" s="1041"/>
      <c r="P1156" s="73"/>
      <c r="Q1156" s="359"/>
      <c r="R1156" s="1041"/>
      <c r="S1156" s="73"/>
      <c r="T1156" s="359"/>
      <c r="U1156" s="73"/>
      <c r="V1156" s="66"/>
      <c r="W1156" s="788">
        <f t="shared" ref="W1156:W1157" si="885">AA1156*(1+AB1156)</f>
        <v>1.7528000000000002E-6</v>
      </c>
      <c r="X1156" s="789">
        <f t="shared" ref="X1156:X1157" si="886">AA1156*(1+AC1156)</f>
        <v>1.7528000000000002E-6</v>
      </c>
      <c r="Y1156" s="52">
        <v>2005</v>
      </c>
      <c r="Z1156" s="52"/>
      <c r="AA1156" s="787">
        <f t="shared" ref="AA1156:AA1157" si="887">+K1156/1000</f>
        <v>3.1300000000000001E-6</v>
      </c>
      <c r="AB1156" s="256">
        <v>-0.44</v>
      </c>
      <c r="AC1156" s="688">
        <f t="shared" si="861"/>
        <v>-0.44</v>
      </c>
      <c r="AD1156" s="164"/>
      <c r="AE1156" s="164"/>
      <c r="AF1156" s="25"/>
      <c r="AG1156" s="26"/>
      <c r="AH1156" s="275"/>
      <c r="AI1156" s="52"/>
      <c r="AJ1156" s="35"/>
      <c r="AK1156" s="289"/>
      <c r="AL1156" s="290"/>
      <c r="AM1156" s="211"/>
      <c r="AN1156" s="164"/>
      <c r="AO1156" s="594"/>
      <c r="AP1156" s="595"/>
      <c r="AQ1156" s="275"/>
      <c r="AR1156" s="52"/>
      <c r="AS1156" s="596"/>
      <c r="AT1156" s="79"/>
      <c r="AU1156" s="212"/>
      <c r="AV1156" s="164"/>
      <c r="AW1156" s="164"/>
      <c r="AX1156" s="76"/>
      <c r="AY1156" s="44"/>
      <c r="AZ1156" s="275"/>
      <c r="BA1156" s="52"/>
      <c r="BB1156" s="35"/>
      <c r="BC1156" s="79"/>
      <c r="BD1156" s="230"/>
      <c r="BE1156" s="211"/>
      <c r="BF1156" s="164"/>
      <c r="BG1156" s="76"/>
      <c r="BH1156" s="44"/>
      <c r="BI1156" s="275"/>
      <c r="BJ1156" s="52"/>
      <c r="BK1156" s="35"/>
      <c r="BL1156" s="79"/>
      <c r="BM1156" s="230"/>
      <c r="BN1156" s="211"/>
      <c r="BO1156" s="164"/>
      <c r="BP1156" s="726"/>
      <c r="BQ1156" s="727"/>
      <c r="BR1156" s="299"/>
      <c r="BS1156" s="35"/>
      <c r="BT1156" s="596"/>
      <c r="BU1156" s="79"/>
      <c r="BV1156" s="212"/>
      <c r="BW1156" s="304"/>
      <c r="BX1156" s="313"/>
      <c r="BY1156" s="138"/>
    </row>
    <row r="1157" spans="1:77" ht="15" customHeight="1" outlineLevel="1" x14ac:dyDescent="0.2">
      <c r="A1157" s="57" t="s">
        <v>24</v>
      </c>
      <c r="B1157" s="583" t="s">
        <v>477</v>
      </c>
      <c r="C1157" s="583" t="s">
        <v>1706</v>
      </c>
      <c r="D1157" s="818">
        <v>2.8809999999999998</v>
      </c>
      <c r="E1157" s="162" t="s">
        <v>631</v>
      </c>
      <c r="F1157" s="358"/>
      <c r="G1157" s="65"/>
      <c r="H1157" s="73"/>
      <c r="I1157" s="90"/>
      <c r="J1157" s="73"/>
      <c r="K1157" s="790">
        <v>9.9080000000000001E-3</v>
      </c>
      <c r="L1157" s="717"/>
      <c r="M1157" s="73"/>
      <c r="N1157" s="359"/>
      <c r="O1157" s="1041"/>
      <c r="P1157" s="73"/>
      <c r="Q1157" s="359"/>
      <c r="R1157" s="1041"/>
      <c r="S1157" s="73"/>
      <c r="T1157" s="359"/>
      <c r="U1157" s="73"/>
      <c r="V1157" s="66"/>
      <c r="W1157" s="788">
        <f t="shared" si="885"/>
        <v>7.4310000000000005E-6</v>
      </c>
      <c r="X1157" s="789">
        <f t="shared" si="886"/>
        <v>7.4310000000000005E-6</v>
      </c>
      <c r="Y1157" s="52">
        <v>2005</v>
      </c>
      <c r="Z1157" s="52"/>
      <c r="AA1157" s="787">
        <f t="shared" si="887"/>
        <v>9.9080000000000007E-6</v>
      </c>
      <c r="AB1157" s="256">
        <v>-0.25</v>
      </c>
      <c r="AC1157" s="688">
        <f t="shared" si="861"/>
        <v>-0.25</v>
      </c>
      <c r="AD1157" s="164"/>
      <c r="AE1157" s="164"/>
      <c r="AF1157" s="25"/>
      <c r="AG1157" s="26"/>
      <c r="AH1157" s="275"/>
      <c r="AI1157" s="52"/>
      <c r="AJ1157" s="35"/>
      <c r="AK1157" s="289"/>
      <c r="AL1157" s="290"/>
      <c r="AM1157" s="211"/>
      <c r="AN1157" s="164"/>
      <c r="AO1157" s="594"/>
      <c r="AP1157" s="595"/>
      <c r="AQ1157" s="275"/>
      <c r="AR1157" s="52"/>
      <c r="AS1157" s="596"/>
      <c r="AT1157" s="79"/>
      <c r="AU1157" s="212"/>
      <c r="AV1157" s="164"/>
      <c r="AW1157" s="164"/>
      <c r="AX1157" s="76"/>
      <c r="AY1157" s="44"/>
      <c r="AZ1157" s="275"/>
      <c r="BA1157" s="52"/>
      <c r="BB1157" s="35"/>
      <c r="BC1157" s="79"/>
      <c r="BD1157" s="230"/>
      <c r="BE1157" s="211"/>
      <c r="BF1157" s="164"/>
      <c r="BG1157" s="76"/>
      <c r="BH1157" s="44"/>
      <c r="BI1157" s="275"/>
      <c r="BJ1157" s="52"/>
      <c r="BK1157" s="35"/>
      <c r="BL1157" s="79"/>
      <c r="BM1157" s="230"/>
      <c r="BN1157" s="211"/>
      <c r="BO1157" s="164"/>
      <c r="BP1157" s="726"/>
      <c r="BQ1157" s="727"/>
      <c r="BR1157" s="299"/>
      <c r="BS1157" s="35"/>
      <c r="BT1157" s="596"/>
      <c r="BU1157" s="79"/>
      <c r="BV1157" s="212"/>
      <c r="BW1157" s="304"/>
      <c r="BX1157" s="313"/>
      <c r="BY1157" s="138"/>
    </row>
    <row r="1158" spans="1:77" ht="15" customHeight="1" outlineLevel="1" x14ac:dyDescent="0.2">
      <c r="A1158" s="57" t="s">
        <v>24</v>
      </c>
      <c r="B1158" s="583" t="s">
        <v>477</v>
      </c>
      <c r="C1158" s="583" t="s">
        <v>1484</v>
      </c>
      <c r="D1158" s="819">
        <v>0.98</v>
      </c>
      <c r="E1158" s="162" t="s">
        <v>631</v>
      </c>
      <c r="F1158" s="358"/>
      <c r="G1158" s="65"/>
      <c r="H1158" s="73"/>
      <c r="I1158" s="90">
        <v>2007</v>
      </c>
      <c r="J1158" s="73"/>
      <c r="K1158" s="790">
        <v>3.163E-3</v>
      </c>
      <c r="L1158" s="717"/>
      <c r="M1158" s="73"/>
      <c r="N1158" s="359"/>
      <c r="O1158" s="1041"/>
      <c r="P1158" s="73"/>
      <c r="Q1158" s="359"/>
      <c r="R1158" s="1041"/>
      <c r="S1158" s="73"/>
      <c r="T1158" s="359"/>
      <c r="U1158" s="73"/>
      <c r="V1158" s="66"/>
      <c r="W1158" s="788">
        <f t="shared" si="879"/>
        <v>2.2140999999999997E-6</v>
      </c>
      <c r="X1158" s="789">
        <f t="shared" si="880"/>
        <v>2.2140999999999997E-6</v>
      </c>
      <c r="Y1158" s="52">
        <v>2007</v>
      </c>
      <c r="Z1158" s="52"/>
      <c r="AA1158" s="787">
        <f t="shared" si="881"/>
        <v>3.163E-6</v>
      </c>
      <c r="AB1158" s="256">
        <v>-0.3</v>
      </c>
      <c r="AC1158" s="688">
        <f t="shared" si="861"/>
        <v>-0.3</v>
      </c>
      <c r="AD1158" s="164"/>
      <c r="AE1158" s="164"/>
      <c r="AF1158" s="25"/>
      <c r="AG1158" s="26"/>
      <c r="AH1158" s="275"/>
      <c r="AI1158" s="52"/>
      <c r="AJ1158" s="35"/>
      <c r="AK1158" s="289"/>
      <c r="AL1158" s="290"/>
      <c r="AM1158" s="211"/>
      <c r="AN1158" s="164"/>
      <c r="AO1158" s="594"/>
      <c r="AP1158" s="595"/>
      <c r="AQ1158" s="275"/>
      <c r="AR1158" s="52"/>
      <c r="AS1158" s="596"/>
      <c r="AT1158" s="79"/>
      <c r="AU1158" s="212"/>
      <c r="AV1158" s="164"/>
      <c r="AW1158" s="164"/>
      <c r="AX1158" s="76"/>
      <c r="AY1158" s="44"/>
      <c r="AZ1158" s="275"/>
      <c r="BA1158" s="52"/>
      <c r="BB1158" s="35"/>
      <c r="BC1158" s="79"/>
      <c r="BD1158" s="230"/>
      <c r="BE1158" s="211"/>
      <c r="BF1158" s="164"/>
      <c r="BG1158" s="76"/>
      <c r="BH1158" s="44"/>
      <c r="BI1158" s="275"/>
      <c r="BJ1158" s="52"/>
      <c r="BK1158" s="35"/>
      <c r="BL1158" s="79"/>
      <c r="BM1158" s="230"/>
      <c r="BN1158" s="211"/>
      <c r="BO1158" s="164"/>
      <c r="BP1158" s="726"/>
      <c r="BQ1158" s="727"/>
      <c r="BR1158" s="299"/>
      <c r="BS1158" s="35"/>
      <c r="BT1158" s="596"/>
      <c r="BU1158" s="79"/>
      <c r="BV1158" s="212"/>
      <c r="BW1158" s="304"/>
      <c r="BX1158" s="313"/>
      <c r="BY1158" s="138"/>
    </row>
    <row r="1159" spans="1:77" ht="15" customHeight="1" outlineLevel="1" x14ac:dyDescent="0.2">
      <c r="A1159" s="57" t="s">
        <v>24</v>
      </c>
      <c r="B1159" s="583" t="s">
        <v>477</v>
      </c>
      <c r="C1159" s="583" t="s">
        <v>1530</v>
      </c>
      <c r="D1159" s="819">
        <v>0.91400000000000003</v>
      </c>
      <c r="E1159" s="162" t="s">
        <v>631</v>
      </c>
      <c r="F1159" s="358"/>
      <c r="G1159" s="65"/>
      <c r="H1159" s="73"/>
      <c r="I1159" s="90"/>
      <c r="J1159" s="73"/>
      <c r="K1159" s="814">
        <v>4.4050000000000001E-3</v>
      </c>
      <c r="L1159" s="717"/>
      <c r="M1159" s="73"/>
      <c r="N1159" s="359"/>
      <c r="O1159" s="1041"/>
      <c r="P1159" s="73"/>
      <c r="Q1159" s="359"/>
      <c r="R1159" s="1041"/>
      <c r="S1159" s="73"/>
      <c r="T1159" s="359"/>
      <c r="U1159" s="73"/>
      <c r="V1159" s="66"/>
      <c r="W1159" s="788">
        <f t="shared" si="879"/>
        <v>1.2334000000000001E-6</v>
      </c>
      <c r="X1159" s="789">
        <f t="shared" si="880"/>
        <v>1.2334000000000001E-6</v>
      </c>
      <c r="Y1159" s="52">
        <v>2005</v>
      </c>
      <c r="Z1159" s="52"/>
      <c r="AA1159" s="787">
        <f t="shared" si="881"/>
        <v>4.4050000000000002E-6</v>
      </c>
      <c r="AB1159" s="256">
        <v>-0.72</v>
      </c>
      <c r="AC1159" s="688">
        <f t="shared" si="861"/>
        <v>-0.72</v>
      </c>
      <c r="AD1159" s="164"/>
      <c r="AE1159" s="164"/>
      <c r="AF1159" s="25"/>
      <c r="AG1159" s="26"/>
      <c r="AH1159" s="275"/>
      <c r="AI1159" s="52"/>
      <c r="AJ1159" s="35"/>
      <c r="AK1159" s="289"/>
      <c r="AL1159" s="290"/>
      <c r="AM1159" s="211"/>
      <c r="AN1159" s="164"/>
      <c r="AO1159" s="594"/>
      <c r="AP1159" s="595"/>
      <c r="AQ1159" s="275"/>
      <c r="AR1159" s="52"/>
      <c r="AS1159" s="596"/>
      <c r="AT1159" s="79"/>
      <c r="AU1159" s="212"/>
      <c r="AV1159" s="164"/>
      <c r="AW1159" s="164"/>
      <c r="AX1159" s="76"/>
      <c r="AY1159" s="44"/>
      <c r="AZ1159" s="275"/>
      <c r="BA1159" s="52"/>
      <c r="BB1159" s="35"/>
      <c r="BC1159" s="79"/>
      <c r="BD1159" s="230"/>
      <c r="BE1159" s="211"/>
      <c r="BF1159" s="164"/>
      <c r="BG1159" s="76"/>
      <c r="BH1159" s="44"/>
      <c r="BI1159" s="275"/>
      <c r="BJ1159" s="52"/>
      <c r="BK1159" s="35"/>
      <c r="BL1159" s="79"/>
      <c r="BM1159" s="230"/>
      <c r="BN1159" s="211"/>
      <c r="BO1159" s="164"/>
      <c r="BP1159" s="726"/>
      <c r="BQ1159" s="727"/>
      <c r="BR1159" s="299"/>
      <c r="BS1159" s="35"/>
      <c r="BT1159" s="596"/>
      <c r="BU1159" s="79"/>
      <c r="BV1159" s="212"/>
      <c r="BW1159" s="304"/>
      <c r="BX1159" s="313"/>
      <c r="BY1159" s="138"/>
    </row>
    <row r="1160" spans="1:77" ht="15" customHeight="1" outlineLevel="1" x14ac:dyDescent="0.2">
      <c r="A1160" s="57" t="s">
        <v>24</v>
      </c>
      <c r="B1160" s="583" t="s">
        <v>477</v>
      </c>
      <c r="C1160" s="583" t="s">
        <v>1843</v>
      </c>
      <c r="D1160" s="819">
        <v>0.372</v>
      </c>
      <c r="E1160" s="162" t="s">
        <v>631</v>
      </c>
      <c r="F1160" s="358"/>
      <c r="G1160" s="65"/>
      <c r="H1160" s="73"/>
      <c r="I1160" s="90"/>
      <c r="J1160" s="73"/>
      <c r="K1160" s="814">
        <v>1.5330000000000001E-3</v>
      </c>
      <c r="L1160" s="717"/>
      <c r="M1160" s="73"/>
      <c r="N1160" s="359"/>
      <c r="O1160" s="1041"/>
      <c r="P1160" s="73"/>
      <c r="Q1160" s="359"/>
      <c r="R1160" s="1041"/>
      <c r="S1160" s="73"/>
      <c r="T1160" s="359"/>
      <c r="U1160" s="73"/>
      <c r="V1160" s="66"/>
      <c r="W1160" s="788">
        <f t="shared" si="879"/>
        <v>1.13442E-6</v>
      </c>
      <c r="X1160" s="789">
        <f t="shared" si="880"/>
        <v>1.13442E-6</v>
      </c>
      <c r="Y1160" s="52">
        <v>2005</v>
      </c>
      <c r="Z1160" s="52"/>
      <c r="AA1160" s="787">
        <f t="shared" si="881"/>
        <v>1.533E-6</v>
      </c>
      <c r="AB1160" s="256">
        <v>-0.26</v>
      </c>
      <c r="AC1160" s="688">
        <f t="shared" si="861"/>
        <v>-0.26</v>
      </c>
      <c r="AD1160" s="164"/>
      <c r="AE1160" s="164"/>
      <c r="AF1160" s="25"/>
      <c r="AG1160" s="26"/>
      <c r="AH1160" s="275"/>
      <c r="AI1160" s="52"/>
      <c r="AJ1160" s="35"/>
      <c r="AK1160" s="289"/>
      <c r="AL1160" s="290"/>
      <c r="AM1160" s="211"/>
      <c r="AN1160" s="164"/>
      <c r="AO1160" s="594"/>
      <c r="AP1160" s="595"/>
      <c r="AQ1160" s="275"/>
      <c r="AR1160" s="52"/>
      <c r="AS1160" s="596"/>
      <c r="AT1160" s="79"/>
      <c r="AU1160" s="212"/>
      <c r="AV1160" s="164"/>
      <c r="AW1160" s="164"/>
      <c r="AX1160" s="76"/>
      <c r="AY1160" s="44"/>
      <c r="AZ1160" s="275"/>
      <c r="BA1160" s="52"/>
      <c r="BB1160" s="35"/>
      <c r="BC1160" s="79"/>
      <c r="BD1160" s="230"/>
      <c r="BE1160" s="211"/>
      <c r="BF1160" s="164"/>
      <c r="BG1160" s="76"/>
      <c r="BH1160" s="44"/>
      <c r="BI1160" s="275"/>
      <c r="BJ1160" s="52"/>
      <c r="BK1160" s="35"/>
      <c r="BL1160" s="79"/>
      <c r="BM1160" s="230"/>
      <c r="BN1160" s="211"/>
      <c r="BO1160" s="164"/>
      <c r="BP1160" s="726"/>
      <c r="BQ1160" s="727"/>
      <c r="BR1160" s="299"/>
      <c r="BS1160" s="35"/>
      <c r="BT1160" s="596"/>
      <c r="BU1160" s="79"/>
      <c r="BV1160" s="212"/>
      <c r="BW1160" s="304"/>
      <c r="BX1160" s="313"/>
      <c r="BY1160" s="138"/>
    </row>
    <row r="1161" spans="1:77" ht="15" customHeight="1" outlineLevel="1" x14ac:dyDescent="0.2">
      <c r="A1161" s="57" t="s">
        <v>24</v>
      </c>
      <c r="B1161" s="583" t="s">
        <v>477</v>
      </c>
      <c r="C1161" s="583" t="s">
        <v>2011</v>
      </c>
      <c r="D1161" s="819">
        <v>1.2150000000000001</v>
      </c>
      <c r="E1161" s="162" t="s">
        <v>631</v>
      </c>
      <c r="F1161" s="358"/>
      <c r="G1161" s="65"/>
      <c r="H1161" s="73"/>
      <c r="I1161" s="90"/>
      <c r="J1161" s="73"/>
      <c r="K1161" s="814">
        <v>7.0280000000000004E-3</v>
      </c>
      <c r="L1161" s="717"/>
      <c r="M1161" s="73"/>
      <c r="N1161" s="359"/>
      <c r="O1161" s="1041"/>
      <c r="P1161" s="73"/>
      <c r="Q1161" s="359"/>
      <c r="R1161" s="1041"/>
      <c r="S1161" s="73"/>
      <c r="T1161" s="359"/>
      <c r="U1161" s="73"/>
      <c r="V1161" s="66"/>
      <c r="W1161" s="788">
        <f t="shared" si="879"/>
        <v>5.06016E-6</v>
      </c>
      <c r="X1161" s="789">
        <f t="shared" si="880"/>
        <v>5.06016E-6</v>
      </c>
      <c r="Y1161" s="52">
        <v>2005</v>
      </c>
      <c r="Z1161" s="52"/>
      <c r="AA1161" s="787">
        <f t="shared" si="881"/>
        <v>7.0280000000000003E-6</v>
      </c>
      <c r="AB1161" s="256">
        <v>-0.28000000000000003</v>
      </c>
      <c r="AC1161" s="688">
        <f t="shared" si="861"/>
        <v>-0.28000000000000003</v>
      </c>
      <c r="AD1161" s="164"/>
      <c r="AE1161" s="164"/>
      <c r="AF1161" s="25"/>
      <c r="AG1161" s="26"/>
      <c r="AH1161" s="275"/>
      <c r="AI1161" s="52"/>
      <c r="AJ1161" s="35"/>
      <c r="AK1161" s="289"/>
      <c r="AL1161" s="290"/>
      <c r="AM1161" s="211"/>
      <c r="AN1161" s="164"/>
      <c r="AO1161" s="594"/>
      <c r="AP1161" s="595"/>
      <c r="AQ1161" s="275"/>
      <c r="AR1161" s="52"/>
      <c r="AS1161" s="596"/>
      <c r="AT1161" s="79"/>
      <c r="AU1161" s="212"/>
      <c r="AV1161" s="164"/>
      <c r="AW1161" s="164"/>
      <c r="AX1161" s="76"/>
      <c r="AY1161" s="44"/>
      <c r="AZ1161" s="275"/>
      <c r="BA1161" s="52"/>
      <c r="BB1161" s="35"/>
      <c r="BC1161" s="79"/>
      <c r="BD1161" s="230"/>
      <c r="BE1161" s="211"/>
      <c r="BF1161" s="164"/>
      <c r="BG1161" s="76"/>
      <c r="BH1161" s="44"/>
      <c r="BI1161" s="275"/>
      <c r="BJ1161" s="52"/>
      <c r="BK1161" s="35"/>
      <c r="BL1161" s="79"/>
      <c r="BM1161" s="230"/>
      <c r="BN1161" s="211"/>
      <c r="BO1161" s="164"/>
      <c r="BP1161" s="726"/>
      <c r="BQ1161" s="727"/>
      <c r="BR1161" s="299"/>
      <c r="BS1161" s="35"/>
      <c r="BT1161" s="596"/>
      <c r="BU1161" s="79"/>
      <c r="BV1161" s="212"/>
      <c r="BW1161" s="304"/>
      <c r="BX1161" s="313"/>
      <c r="BY1161" s="138"/>
    </row>
    <row r="1162" spans="1:77" ht="15" customHeight="1" outlineLevel="1" x14ac:dyDescent="0.2">
      <c r="A1162" s="57" t="s">
        <v>24</v>
      </c>
      <c r="B1162" s="583" t="s">
        <v>477</v>
      </c>
      <c r="C1162" s="583" t="s">
        <v>1848</v>
      </c>
      <c r="D1162" s="819">
        <v>3.4209999999999998</v>
      </c>
      <c r="E1162" s="162" t="s">
        <v>631</v>
      </c>
      <c r="F1162" s="358"/>
      <c r="G1162" s="65"/>
      <c r="H1162" s="73"/>
      <c r="I1162" s="90"/>
      <c r="J1162" s="73"/>
      <c r="K1162" s="814">
        <v>1.7180999999999998E-2</v>
      </c>
      <c r="L1162" s="717"/>
      <c r="M1162" s="73"/>
      <c r="N1162" s="359"/>
      <c r="O1162" s="1041"/>
      <c r="P1162" s="73"/>
      <c r="Q1162" s="359"/>
      <c r="R1162" s="1041"/>
      <c r="S1162" s="73"/>
      <c r="T1162" s="359"/>
      <c r="U1162" s="73"/>
      <c r="V1162" s="66"/>
      <c r="W1162" s="788">
        <f t="shared" si="879"/>
        <v>1.2713939999999998E-5</v>
      </c>
      <c r="X1162" s="789">
        <f t="shared" si="880"/>
        <v>1.2713939999999998E-5</v>
      </c>
      <c r="Y1162" s="52">
        <v>2005</v>
      </c>
      <c r="Z1162" s="52"/>
      <c r="AA1162" s="787">
        <f t="shared" si="881"/>
        <v>1.7180999999999997E-5</v>
      </c>
      <c r="AB1162" s="256">
        <v>-0.26</v>
      </c>
      <c r="AC1162" s="688">
        <f t="shared" si="861"/>
        <v>-0.26</v>
      </c>
      <c r="AD1162" s="164"/>
      <c r="AE1162" s="164"/>
      <c r="AF1162" s="25"/>
      <c r="AG1162" s="26"/>
      <c r="AH1162" s="275"/>
      <c r="AI1162" s="52"/>
      <c r="AJ1162" s="35"/>
      <c r="AK1162" s="289"/>
      <c r="AL1162" s="290"/>
      <c r="AM1162" s="211"/>
      <c r="AN1162" s="164"/>
      <c r="AO1162" s="594"/>
      <c r="AP1162" s="595"/>
      <c r="AQ1162" s="275"/>
      <c r="AR1162" s="52"/>
      <c r="AS1162" s="596"/>
      <c r="AT1162" s="79"/>
      <c r="AU1162" s="212"/>
      <c r="AV1162" s="164"/>
      <c r="AW1162" s="164"/>
      <c r="AX1162" s="76"/>
      <c r="AY1162" s="44"/>
      <c r="AZ1162" s="275"/>
      <c r="BA1162" s="52"/>
      <c r="BB1162" s="35"/>
      <c r="BC1162" s="79"/>
      <c r="BD1162" s="230"/>
      <c r="BE1162" s="211"/>
      <c r="BF1162" s="164"/>
      <c r="BG1162" s="76"/>
      <c r="BH1162" s="44"/>
      <c r="BI1162" s="275"/>
      <c r="BJ1162" s="52"/>
      <c r="BK1162" s="35"/>
      <c r="BL1162" s="79"/>
      <c r="BM1162" s="230"/>
      <c r="BN1162" s="211"/>
      <c r="BO1162" s="164"/>
      <c r="BP1162" s="726"/>
      <c r="BQ1162" s="727"/>
      <c r="BR1162" s="299"/>
      <c r="BS1162" s="35"/>
      <c r="BT1162" s="596"/>
      <c r="BU1162" s="79"/>
      <c r="BV1162" s="212"/>
      <c r="BW1162" s="304"/>
      <c r="BX1162" s="313"/>
      <c r="BY1162" s="138"/>
    </row>
    <row r="1163" spans="1:77" ht="15" customHeight="1" outlineLevel="1" x14ac:dyDescent="0.2">
      <c r="A1163" s="57" t="s">
        <v>24</v>
      </c>
      <c r="B1163" s="583" t="s">
        <v>477</v>
      </c>
      <c r="C1163" s="583" t="s">
        <v>1520</v>
      </c>
      <c r="D1163" s="819">
        <v>0.27400000000000002</v>
      </c>
      <c r="E1163" s="162" t="s">
        <v>631</v>
      </c>
      <c r="F1163" s="358"/>
      <c r="G1163" s="65"/>
      <c r="H1163" s="73"/>
      <c r="I1163" s="90"/>
      <c r="J1163" s="73"/>
      <c r="K1163" s="790">
        <v>1.0499999999999999E-3</v>
      </c>
      <c r="L1163" s="717"/>
      <c r="M1163" s="73"/>
      <c r="N1163" s="359"/>
      <c r="O1163" s="1041"/>
      <c r="P1163" s="73"/>
      <c r="Q1163" s="359"/>
      <c r="R1163" s="1041"/>
      <c r="S1163" s="73"/>
      <c r="T1163" s="359"/>
      <c r="U1163" s="73"/>
      <c r="V1163" s="66"/>
      <c r="W1163" s="808">
        <f t="shared" ref="W1163" si="888">AA1163*(1+AB1163)</f>
        <v>3.4649999999999993E-7</v>
      </c>
      <c r="X1163" s="809">
        <f t="shared" ref="X1163" si="889">AA1163*(1+AC1163)</f>
        <v>3.4649999999999993E-7</v>
      </c>
      <c r="Y1163" s="52">
        <v>2007</v>
      </c>
      <c r="Z1163" s="52"/>
      <c r="AA1163" s="787">
        <f t="shared" ref="AA1163" si="890">+K1163/1000</f>
        <v>1.0499999999999999E-6</v>
      </c>
      <c r="AB1163" s="256">
        <v>-0.67</v>
      </c>
      <c r="AC1163" s="688">
        <f t="shared" ref="AC1163" si="891">AB1163</f>
        <v>-0.67</v>
      </c>
      <c r="AD1163" s="164"/>
      <c r="AE1163" s="164"/>
      <c r="AF1163" s="25"/>
      <c r="AG1163" s="26"/>
      <c r="AH1163" s="275"/>
      <c r="AI1163" s="52"/>
      <c r="AJ1163" s="35"/>
      <c r="AK1163" s="289"/>
      <c r="AL1163" s="290"/>
      <c r="AM1163" s="211"/>
      <c r="AN1163" s="164"/>
      <c r="AO1163" s="594"/>
      <c r="AP1163" s="595"/>
      <c r="AQ1163" s="275"/>
      <c r="AR1163" s="52"/>
      <c r="AS1163" s="596"/>
      <c r="AT1163" s="79"/>
      <c r="AU1163" s="212"/>
      <c r="AV1163" s="164"/>
      <c r="AW1163" s="164"/>
      <c r="AX1163" s="76"/>
      <c r="AY1163" s="44"/>
      <c r="AZ1163" s="275"/>
      <c r="BA1163" s="52"/>
      <c r="BB1163" s="35"/>
      <c r="BC1163" s="79"/>
      <c r="BD1163" s="230"/>
      <c r="BE1163" s="211"/>
      <c r="BF1163" s="164"/>
      <c r="BG1163" s="76"/>
      <c r="BH1163" s="44"/>
      <c r="BI1163" s="275"/>
      <c r="BJ1163" s="52"/>
      <c r="BK1163" s="35"/>
      <c r="BL1163" s="79"/>
      <c r="BM1163" s="230"/>
      <c r="BN1163" s="211"/>
      <c r="BO1163" s="164"/>
      <c r="BP1163" s="726"/>
      <c r="BQ1163" s="727"/>
      <c r="BR1163" s="299"/>
      <c r="BS1163" s="35"/>
      <c r="BT1163" s="596"/>
      <c r="BU1163" s="79"/>
      <c r="BV1163" s="212"/>
      <c r="BW1163" s="304"/>
      <c r="BX1163" s="313"/>
      <c r="BY1163" s="138"/>
    </row>
    <row r="1164" spans="1:77" ht="15" customHeight="1" outlineLevel="1" x14ac:dyDescent="0.2">
      <c r="A1164" s="57" t="s">
        <v>24</v>
      </c>
      <c r="B1164" s="583" t="s">
        <v>477</v>
      </c>
      <c r="C1164" s="583" t="s">
        <v>1497</v>
      </c>
      <c r="D1164" s="819">
        <v>4.58</v>
      </c>
      <c r="E1164" s="162" t="s">
        <v>631</v>
      </c>
      <c r="F1164" s="358"/>
      <c r="G1164" s="65"/>
      <c r="H1164" s="73"/>
      <c r="I1164" s="90"/>
      <c r="J1164" s="73"/>
      <c r="K1164" s="734">
        <v>2.0316000000000001E-2</v>
      </c>
      <c r="L1164" s="717"/>
      <c r="M1164" s="73"/>
      <c r="N1164" s="359"/>
      <c r="O1164" s="1041"/>
      <c r="P1164" s="73"/>
      <c r="Q1164" s="359"/>
      <c r="R1164" s="1041"/>
      <c r="S1164" s="73"/>
      <c r="T1164" s="359"/>
      <c r="U1164" s="73"/>
      <c r="V1164" s="66"/>
      <c r="W1164" s="740">
        <f t="shared" si="879"/>
        <v>1.4221199999999999E-5</v>
      </c>
      <c r="X1164" s="741">
        <f t="shared" si="880"/>
        <v>1.4221199999999999E-5</v>
      </c>
      <c r="Y1164" s="52">
        <v>2005</v>
      </c>
      <c r="Z1164" s="52"/>
      <c r="AA1164" s="739">
        <f t="shared" si="881"/>
        <v>2.0316E-5</v>
      </c>
      <c r="AB1164" s="256">
        <v>-0.3</v>
      </c>
      <c r="AC1164" s="688">
        <f t="shared" si="861"/>
        <v>-0.3</v>
      </c>
      <c r="AD1164" s="164"/>
      <c r="AE1164" s="164"/>
      <c r="AF1164" s="25"/>
      <c r="AG1164" s="26"/>
      <c r="AH1164" s="275"/>
      <c r="AI1164" s="52"/>
      <c r="AJ1164" s="35"/>
      <c r="AK1164" s="289"/>
      <c r="AL1164" s="290"/>
      <c r="AM1164" s="211"/>
      <c r="AN1164" s="164"/>
      <c r="AO1164" s="594"/>
      <c r="AP1164" s="595"/>
      <c r="AQ1164" s="275"/>
      <c r="AR1164" s="52"/>
      <c r="AS1164" s="596"/>
      <c r="AT1164" s="79"/>
      <c r="AU1164" s="212"/>
      <c r="AV1164" s="164"/>
      <c r="AW1164" s="164"/>
      <c r="AX1164" s="76"/>
      <c r="AY1164" s="44"/>
      <c r="AZ1164" s="275"/>
      <c r="BA1164" s="52"/>
      <c r="BB1164" s="35"/>
      <c r="BC1164" s="79"/>
      <c r="BD1164" s="230"/>
      <c r="BE1164" s="211"/>
      <c r="BF1164" s="164"/>
      <c r="BG1164" s="76"/>
      <c r="BH1164" s="44"/>
      <c r="BI1164" s="275"/>
      <c r="BJ1164" s="52"/>
      <c r="BK1164" s="35"/>
      <c r="BL1164" s="79"/>
      <c r="BM1164" s="230"/>
      <c r="BN1164" s="211"/>
      <c r="BO1164" s="164"/>
      <c r="BP1164" s="726"/>
      <c r="BQ1164" s="727"/>
      <c r="BR1164" s="299"/>
      <c r="BS1164" s="35"/>
      <c r="BT1164" s="596"/>
      <c r="BU1164" s="79"/>
      <c r="BV1164" s="212"/>
      <c r="BW1164" s="304"/>
      <c r="BX1164" s="313"/>
      <c r="BY1164" s="138"/>
    </row>
    <row r="1165" spans="1:77" ht="15" customHeight="1" outlineLevel="1" x14ac:dyDescent="0.2">
      <c r="A1165" s="57" t="s">
        <v>24</v>
      </c>
      <c r="B1165" s="583" t="s">
        <v>477</v>
      </c>
      <c r="C1165" s="583" t="s">
        <v>2069</v>
      </c>
      <c r="D1165" s="819">
        <v>0.33500000000000002</v>
      </c>
      <c r="E1165" s="162" t="s">
        <v>631</v>
      </c>
      <c r="F1165" s="358"/>
      <c r="G1165" s="65"/>
      <c r="H1165" s="73"/>
      <c r="I1165" s="90"/>
      <c r="J1165" s="73"/>
      <c r="K1165" s="815">
        <v>1.2160000000000001E-3</v>
      </c>
      <c r="L1165" s="717"/>
      <c r="M1165" s="73"/>
      <c r="N1165" s="359"/>
      <c r="O1165" s="1041"/>
      <c r="P1165" s="73"/>
      <c r="Q1165" s="359"/>
      <c r="R1165" s="1041"/>
      <c r="S1165" s="73"/>
      <c r="T1165" s="359"/>
      <c r="U1165" s="73"/>
      <c r="V1165" s="66"/>
      <c r="W1165" s="740">
        <f t="shared" si="879"/>
        <v>8.6336000000000002E-7</v>
      </c>
      <c r="X1165" s="741">
        <f t="shared" si="880"/>
        <v>8.6336000000000002E-7</v>
      </c>
      <c r="Y1165" s="52">
        <v>2005</v>
      </c>
      <c r="Z1165" s="52"/>
      <c r="AA1165" s="739">
        <f t="shared" si="881"/>
        <v>1.2160000000000001E-6</v>
      </c>
      <c r="AB1165" s="256">
        <v>-0.28999999999999998</v>
      </c>
      <c r="AC1165" s="688">
        <f t="shared" si="861"/>
        <v>-0.28999999999999998</v>
      </c>
      <c r="AD1165" s="164"/>
      <c r="AE1165" s="164"/>
      <c r="AF1165" s="25"/>
      <c r="AG1165" s="26"/>
      <c r="AH1165" s="275"/>
      <c r="AI1165" s="52"/>
      <c r="AJ1165" s="35"/>
      <c r="AK1165" s="289"/>
      <c r="AL1165" s="290"/>
      <c r="AM1165" s="211"/>
      <c r="AN1165" s="164"/>
      <c r="AO1165" s="594"/>
      <c r="AP1165" s="595"/>
      <c r="AQ1165" s="275"/>
      <c r="AR1165" s="52"/>
      <c r="AS1165" s="596"/>
      <c r="AT1165" s="79"/>
      <c r="AU1165" s="212"/>
      <c r="AV1165" s="164"/>
      <c r="AW1165" s="164"/>
      <c r="AX1165" s="76"/>
      <c r="AY1165" s="44"/>
      <c r="AZ1165" s="275"/>
      <c r="BA1165" s="52"/>
      <c r="BB1165" s="35"/>
      <c r="BC1165" s="79"/>
      <c r="BD1165" s="230"/>
      <c r="BE1165" s="211"/>
      <c r="BF1165" s="164"/>
      <c r="BG1165" s="76"/>
      <c r="BH1165" s="44"/>
      <c r="BI1165" s="275"/>
      <c r="BJ1165" s="52"/>
      <c r="BK1165" s="35"/>
      <c r="BL1165" s="79"/>
      <c r="BM1165" s="230"/>
      <c r="BN1165" s="211"/>
      <c r="BO1165" s="164"/>
      <c r="BP1165" s="726"/>
      <c r="BQ1165" s="727"/>
      <c r="BR1165" s="299"/>
      <c r="BS1165" s="35"/>
      <c r="BT1165" s="596"/>
      <c r="BU1165" s="79"/>
      <c r="BV1165" s="212"/>
      <c r="BW1165" s="304"/>
      <c r="BX1165" s="313"/>
      <c r="BY1165" s="138"/>
    </row>
    <row r="1166" spans="1:77" ht="15" customHeight="1" outlineLevel="1" x14ac:dyDescent="0.2">
      <c r="A1166" s="57" t="s">
        <v>24</v>
      </c>
      <c r="B1166" s="583" t="s">
        <v>477</v>
      </c>
      <c r="C1166" s="583" t="s">
        <v>1394</v>
      </c>
      <c r="D1166" s="546">
        <v>3.4489999999999998</v>
      </c>
      <c r="E1166" s="162" t="s">
        <v>631</v>
      </c>
      <c r="F1166" s="358"/>
      <c r="G1166" s="65"/>
      <c r="H1166" s="73"/>
      <c r="I1166" s="90"/>
      <c r="J1166" s="73"/>
      <c r="K1166" s="790">
        <v>3.4489999999999998E-3</v>
      </c>
      <c r="L1166" s="717"/>
      <c r="M1166" s="73"/>
      <c r="N1166" s="359"/>
      <c r="O1166" s="1041"/>
      <c r="P1166" s="73"/>
      <c r="Q1166" s="359"/>
      <c r="R1166" s="1041"/>
      <c r="S1166" s="73"/>
      <c r="T1166" s="359"/>
      <c r="U1166" s="73"/>
      <c r="V1166" s="66"/>
      <c r="W1166" s="788">
        <f t="shared" ref="W1166" si="892">AA1166*(1+AB1166)</f>
        <v>2.3453199999999999E-6</v>
      </c>
      <c r="X1166" s="789">
        <f t="shared" ref="X1166" si="893">AA1166*(1+AC1166)</f>
        <v>2.3453199999999999E-6</v>
      </c>
      <c r="Y1166" s="52">
        <v>2005</v>
      </c>
      <c r="Z1166" s="52"/>
      <c r="AA1166" s="787">
        <f t="shared" ref="AA1166" si="894">+K1166/1000</f>
        <v>3.4489999999999999E-6</v>
      </c>
      <c r="AB1166" s="256">
        <v>-0.32</v>
      </c>
      <c r="AC1166" s="688">
        <f t="shared" si="861"/>
        <v>-0.32</v>
      </c>
      <c r="AD1166" s="164"/>
      <c r="AE1166" s="164"/>
      <c r="AF1166" s="25"/>
      <c r="AG1166" s="26"/>
      <c r="AH1166" s="275"/>
      <c r="AI1166" s="52"/>
      <c r="AJ1166" s="35"/>
      <c r="AK1166" s="289"/>
      <c r="AL1166" s="290"/>
      <c r="AM1166" s="211"/>
      <c r="AN1166" s="164"/>
      <c r="AO1166" s="594"/>
      <c r="AP1166" s="595"/>
      <c r="AQ1166" s="275"/>
      <c r="AR1166" s="52"/>
      <c r="AS1166" s="596"/>
      <c r="AT1166" s="79"/>
      <c r="AU1166" s="212"/>
      <c r="AV1166" s="164"/>
      <c r="AW1166" s="164"/>
      <c r="AX1166" s="76"/>
      <c r="AY1166" s="44"/>
      <c r="AZ1166" s="275"/>
      <c r="BA1166" s="52"/>
      <c r="BB1166" s="35"/>
      <c r="BC1166" s="79"/>
      <c r="BD1166" s="230"/>
      <c r="BE1166" s="211"/>
      <c r="BF1166" s="164"/>
      <c r="BG1166" s="76"/>
      <c r="BH1166" s="44"/>
      <c r="BI1166" s="275"/>
      <c r="BJ1166" s="52"/>
      <c r="BK1166" s="35"/>
      <c r="BL1166" s="79"/>
      <c r="BM1166" s="230"/>
      <c r="BN1166" s="211"/>
      <c r="BO1166" s="164"/>
      <c r="BP1166" s="726"/>
      <c r="BQ1166" s="727"/>
      <c r="BR1166" s="299"/>
      <c r="BS1166" s="35"/>
      <c r="BT1166" s="596"/>
      <c r="BU1166" s="79"/>
      <c r="BV1166" s="212"/>
      <c r="BW1166" s="304"/>
      <c r="BX1166" s="313"/>
      <c r="BY1166" s="138"/>
    </row>
    <row r="1167" spans="1:77" ht="15" customHeight="1" outlineLevel="1" x14ac:dyDescent="0.2">
      <c r="A1167" s="57" t="s">
        <v>24</v>
      </c>
      <c r="B1167" s="583" t="s">
        <v>477</v>
      </c>
      <c r="C1167" s="583" t="s">
        <v>1483</v>
      </c>
      <c r="D1167" s="546">
        <v>5.3840000000000003</v>
      </c>
      <c r="E1167" s="162" t="s">
        <v>631</v>
      </c>
      <c r="F1167" s="358"/>
      <c r="G1167" s="65"/>
      <c r="H1167" s="73"/>
      <c r="I1167" s="90"/>
      <c r="J1167" s="73"/>
      <c r="K1167" s="734">
        <v>2.5583000000000002E-2</v>
      </c>
      <c r="L1167" s="717"/>
      <c r="M1167" s="73"/>
      <c r="N1167" s="359"/>
      <c r="O1167" s="1041"/>
      <c r="P1167" s="73"/>
      <c r="Q1167" s="359"/>
      <c r="R1167" s="1041"/>
      <c r="S1167" s="73"/>
      <c r="T1167" s="359"/>
      <c r="U1167" s="73"/>
      <c r="V1167" s="66"/>
      <c r="W1167" s="740">
        <f t="shared" ref="W1167" si="895">AA1167*(1+AB1167)</f>
        <v>1.7908099999999999E-5</v>
      </c>
      <c r="X1167" s="741">
        <f t="shared" ref="X1167" si="896">AA1167*(1+AC1167)</f>
        <v>1.7908099999999999E-5</v>
      </c>
      <c r="Y1167" s="52">
        <v>2005</v>
      </c>
      <c r="Z1167" s="52"/>
      <c r="AA1167" s="739">
        <f t="shared" ref="AA1167:AA1169" si="897">+K1167/1000</f>
        <v>2.5583000000000002E-5</v>
      </c>
      <c r="AB1167" s="256">
        <v>-0.3</v>
      </c>
      <c r="AC1167" s="688">
        <f t="shared" si="861"/>
        <v>-0.3</v>
      </c>
      <c r="AD1167" s="164"/>
      <c r="AE1167" s="164"/>
      <c r="AF1167" s="25"/>
      <c r="AG1167" s="26"/>
      <c r="AH1167" s="275"/>
      <c r="AI1167" s="52"/>
      <c r="AJ1167" s="35"/>
      <c r="AK1167" s="289"/>
      <c r="AL1167" s="290"/>
      <c r="AM1167" s="211"/>
      <c r="AN1167" s="164"/>
      <c r="AO1167" s="594"/>
      <c r="AP1167" s="595"/>
      <c r="AQ1167" s="275"/>
      <c r="AR1167" s="52"/>
      <c r="AS1167" s="596"/>
      <c r="AT1167" s="79"/>
      <c r="AU1167" s="212"/>
      <c r="AV1167" s="164"/>
      <c r="AW1167" s="164"/>
      <c r="AX1167" s="76"/>
      <c r="AY1167" s="44"/>
      <c r="AZ1167" s="275"/>
      <c r="BA1167" s="52"/>
      <c r="BB1167" s="35"/>
      <c r="BC1167" s="79"/>
      <c r="BD1167" s="230"/>
      <c r="BE1167" s="211"/>
      <c r="BF1167" s="164"/>
      <c r="BG1167" s="76"/>
      <c r="BH1167" s="44"/>
      <c r="BI1167" s="275"/>
      <c r="BJ1167" s="52"/>
      <c r="BK1167" s="35"/>
      <c r="BL1167" s="79"/>
      <c r="BM1167" s="230"/>
      <c r="BN1167" s="211"/>
      <c r="BO1167" s="164"/>
      <c r="BP1167" s="726"/>
      <c r="BQ1167" s="727"/>
      <c r="BR1167" s="299"/>
      <c r="BS1167" s="35"/>
      <c r="BT1167" s="596"/>
      <c r="BU1167" s="79"/>
      <c r="BV1167" s="212"/>
      <c r="BW1167" s="304"/>
      <c r="BX1167" s="313"/>
      <c r="BY1167" s="138"/>
    </row>
    <row r="1168" spans="1:77" ht="15" customHeight="1" outlineLevel="1" x14ac:dyDescent="0.2">
      <c r="A1168" s="57" t="s">
        <v>24</v>
      </c>
      <c r="B1168" s="583" t="s">
        <v>477</v>
      </c>
      <c r="C1168" s="583" t="s">
        <v>1740</v>
      </c>
      <c r="D1168" s="546">
        <v>5.8380000000000001</v>
      </c>
      <c r="E1168" s="162" t="s">
        <v>631</v>
      </c>
      <c r="F1168" s="358"/>
      <c r="G1168" s="65"/>
      <c r="H1168" s="73"/>
      <c r="I1168" s="90"/>
      <c r="J1168" s="73"/>
      <c r="K1168" s="790">
        <v>1.7880000000000001E-3</v>
      </c>
      <c r="L1168" s="717"/>
      <c r="M1168" s="73"/>
      <c r="N1168" s="359"/>
      <c r="O1168" s="1041"/>
      <c r="P1168" s="73"/>
      <c r="Q1168" s="359"/>
      <c r="R1168" s="1041"/>
      <c r="S1168" s="73"/>
      <c r="T1168" s="359"/>
      <c r="U1168" s="73"/>
      <c r="V1168" s="66"/>
      <c r="W1168" s="788">
        <f t="shared" ref="W1168" si="898">AA1168*(1+AB1168)</f>
        <v>1.341E-6</v>
      </c>
      <c r="X1168" s="789">
        <f t="shared" ref="X1168" si="899">AA1168*(1+AC1168)</f>
        <v>1.341E-6</v>
      </c>
      <c r="Y1168" s="52">
        <v>2005</v>
      </c>
      <c r="Z1168" s="52"/>
      <c r="AA1168" s="787">
        <f>+K1168/1000</f>
        <v>1.7880000000000001E-6</v>
      </c>
      <c r="AB1168" s="256">
        <v>-0.25</v>
      </c>
      <c r="AC1168" s="688">
        <f t="shared" si="861"/>
        <v>-0.25</v>
      </c>
      <c r="AD1168" s="164"/>
      <c r="AE1168" s="164"/>
      <c r="AF1168" s="25"/>
      <c r="AG1168" s="26"/>
      <c r="AH1168" s="275"/>
      <c r="AI1168" s="52"/>
      <c r="AJ1168" s="35"/>
      <c r="AK1168" s="289"/>
      <c r="AL1168" s="290"/>
      <c r="AM1168" s="211"/>
      <c r="AN1168" s="164"/>
      <c r="AO1168" s="594"/>
      <c r="AP1168" s="595"/>
      <c r="AQ1168" s="275"/>
      <c r="AR1168" s="52"/>
      <c r="AS1168" s="596"/>
      <c r="AT1168" s="79"/>
      <c r="AU1168" s="212"/>
      <c r="AV1168" s="164"/>
      <c r="AW1168" s="164"/>
      <c r="AX1168" s="76"/>
      <c r="AY1168" s="44"/>
      <c r="AZ1168" s="275"/>
      <c r="BA1168" s="52"/>
      <c r="BB1168" s="35"/>
      <c r="BC1168" s="79"/>
      <c r="BD1168" s="230"/>
      <c r="BE1168" s="211"/>
      <c r="BF1168" s="164"/>
      <c r="BG1168" s="76"/>
      <c r="BH1168" s="44"/>
      <c r="BI1168" s="275"/>
      <c r="BJ1168" s="52"/>
      <c r="BK1168" s="35"/>
      <c r="BL1168" s="79"/>
      <c r="BM1168" s="230"/>
      <c r="BN1168" s="211"/>
      <c r="BO1168" s="164"/>
      <c r="BP1168" s="726"/>
      <c r="BQ1168" s="727"/>
      <c r="BR1168" s="299"/>
      <c r="BS1168" s="35"/>
      <c r="BT1168" s="596"/>
      <c r="BU1168" s="79"/>
      <c r="BV1168" s="212"/>
      <c r="BW1168" s="304"/>
      <c r="BX1168" s="313"/>
      <c r="BY1168" s="138"/>
    </row>
    <row r="1169" spans="1:77" ht="15" customHeight="1" outlineLevel="1" x14ac:dyDescent="0.2">
      <c r="A1169" s="57" t="s">
        <v>24</v>
      </c>
      <c r="B1169" s="583" t="s">
        <v>477</v>
      </c>
      <c r="C1169" s="583" t="s">
        <v>1702</v>
      </c>
      <c r="D1169" s="546">
        <v>1.179</v>
      </c>
      <c r="E1169" s="162" t="s">
        <v>631</v>
      </c>
      <c r="F1169" s="358"/>
      <c r="G1169" s="65"/>
      <c r="H1169" s="73"/>
      <c r="I1169" s="90"/>
      <c r="J1169" s="73"/>
      <c r="K1169" s="734">
        <v>5.653E-3</v>
      </c>
      <c r="L1169" s="717"/>
      <c r="M1169" s="73"/>
      <c r="N1169" s="359"/>
      <c r="O1169" s="1041"/>
      <c r="P1169" s="73"/>
      <c r="Q1169" s="359"/>
      <c r="R1169" s="1041"/>
      <c r="S1169" s="73"/>
      <c r="T1169" s="359"/>
      <c r="U1169" s="73"/>
      <c r="V1169" s="66"/>
      <c r="W1169" s="808">
        <f t="shared" ref="W1169" si="900">AA1169*(1+AB1169)</f>
        <v>4.2397499999999995E-6</v>
      </c>
      <c r="X1169" s="809">
        <f t="shared" ref="X1169" si="901">AA1169*(1+AC1169)</f>
        <v>4.2397499999999995E-6</v>
      </c>
      <c r="Y1169" s="52">
        <v>2005</v>
      </c>
      <c r="Z1169" s="52"/>
      <c r="AA1169" s="807">
        <f t="shared" si="897"/>
        <v>5.6529999999999999E-6</v>
      </c>
      <c r="AB1169" s="256">
        <v>-0.25</v>
      </c>
      <c r="AC1169" s="688">
        <f t="shared" si="861"/>
        <v>-0.25</v>
      </c>
      <c r="AD1169" s="164"/>
      <c r="AE1169" s="164"/>
      <c r="AF1169" s="25"/>
      <c r="AG1169" s="26"/>
      <c r="AH1169" s="275"/>
      <c r="AI1169" s="52"/>
      <c r="AJ1169" s="35"/>
      <c r="AK1169" s="289"/>
      <c r="AL1169" s="290"/>
      <c r="AM1169" s="211"/>
      <c r="AN1169" s="164"/>
      <c r="AO1169" s="594"/>
      <c r="AP1169" s="595"/>
      <c r="AQ1169" s="275"/>
      <c r="AR1169" s="52"/>
      <c r="AS1169" s="596"/>
      <c r="AT1169" s="79"/>
      <c r="AU1169" s="212"/>
      <c r="AV1169" s="164"/>
      <c r="AW1169" s="164"/>
      <c r="AX1169" s="76"/>
      <c r="AY1169" s="44"/>
      <c r="AZ1169" s="275"/>
      <c r="BA1169" s="52"/>
      <c r="BB1169" s="35"/>
      <c r="BC1169" s="79"/>
      <c r="BD1169" s="230"/>
      <c r="BE1169" s="211"/>
      <c r="BF1169" s="164"/>
      <c r="BG1169" s="76"/>
      <c r="BH1169" s="44"/>
      <c r="BI1169" s="275"/>
      <c r="BJ1169" s="52"/>
      <c r="BK1169" s="35"/>
      <c r="BL1169" s="79"/>
      <c r="BM1169" s="230"/>
      <c r="BN1169" s="211"/>
      <c r="BO1169" s="164"/>
      <c r="BP1169" s="726"/>
      <c r="BQ1169" s="727"/>
      <c r="BR1169" s="299"/>
      <c r="BS1169" s="35"/>
      <c r="BT1169" s="596"/>
      <c r="BU1169" s="79"/>
      <c r="BV1169" s="212"/>
      <c r="BW1169" s="304"/>
      <c r="BX1169" s="313"/>
      <c r="BY1169" s="138"/>
    </row>
    <row r="1170" spans="1:77" ht="15" customHeight="1" outlineLevel="1" x14ac:dyDescent="0.2">
      <c r="A1170" s="57" t="s">
        <v>24</v>
      </c>
      <c r="B1170" s="583" t="s">
        <v>477</v>
      </c>
      <c r="C1170" s="583" t="s">
        <v>1532</v>
      </c>
      <c r="D1170" s="818">
        <v>0.21</v>
      </c>
      <c r="E1170" s="162" t="s">
        <v>631</v>
      </c>
      <c r="F1170" s="358"/>
      <c r="G1170" s="65"/>
      <c r="H1170" s="73"/>
      <c r="I1170" s="90"/>
      <c r="J1170" s="73"/>
      <c r="K1170" s="790">
        <v>1.5200000000000001E-3</v>
      </c>
      <c r="L1170" s="717"/>
      <c r="M1170" s="73"/>
      <c r="N1170" s="359"/>
      <c r="O1170" s="1041"/>
      <c r="P1170" s="73"/>
      <c r="Q1170" s="359"/>
      <c r="R1170" s="1041"/>
      <c r="S1170" s="73"/>
      <c r="T1170" s="359"/>
      <c r="U1170" s="73"/>
      <c r="V1170" s="66"/>
      <c r="W1170" s="788">
        <f t="shared" ref="W1170" si="902">AA1170*(1+AB1170)</f>
        <v>8.6640000000000008E-7</v>
      </c>
      <c r="X1170" s="789">
        <f t="shared" ref="X1170" si="903">AA1170*(1+AC1170)</f>
        <v>8.6640000000000008E-7</v>
      </c>
      <c r="Y1170" s="52">
        <v>2005</v>
      </c>
      <c r="Z1170" s="52"/>
      <c r="AA1170" s="787">
        <f t="shared" ref="AA1170" si="904">+K1170/1000</f>
        <v>1.5200000000000001E-6</v>
      </c>
      <c r="AB1170" s="256">
        <v>-0.43</v>
      </c>
      <c r="AC1170" s="688">
        <f t="shared" ref="AC1170" si="905">AB1170</f>
        <v>-0.43</v>
      </c>
      <c r="AD1170" s="164"/>
      <c r="AE1170" s="164"/>
      <c r="AF1170" s="25"/>
      <c r="AG1170" s="26"/>
      <c r="AH1170" s="275"/>
      <c r="AI1170" s="52"/>
      <c r="AJ1170" s="35"/>
      <c r="AK1170" s="289"/>
      <c r="AL1170" s="290"/>
      <c r="AM1170" s="211"/>
      <c r="AN1170" s="164"/>
      <c r="AO1170" s="594"/>
      <c r="AP1170" s="595"/>
      <c r="AQ1170" s="275"/>
      <c r="AR1170" s="52"/>
      <c r="AS1170" s="596"/>
      <c r="AT1170" s="79"/>
      <c r="AU1170" s="212"/>
      <c r="AV1170" s="164"/>
      <c r="AW1170" s="164"/>
      <c r="AX1170" s="76"/>
      <c r="AY1170" s="44"/>
      <c r="AZ1170" s="275"/>
      <c r="BA1170" s="52"/>
      <c r="BB1170" s="35"/>
      <c r="BC1170" s="79"/>
      <c r="BD1170" s="230"/>
      <c r="BE1170" s="211"/>
      <c r="BF1170" s="164"/>
      <c r="BG1170" s="76"/>
      <c r="BH1170" s="44"/>
      <c r="BI1170" s="275"/>
      <c r="BJ1170" s="52"/>
      <c r="BK1170" s="35"/>
      <c r="BL1170" s="79"/>
      <c r="BM1170" s="230"/>
      <c r="BN1170" s="211"/>
      <c r="BO1170" s="164"/>
      <c r="BP1170" s="726"/>
      <c r="BQ1170" s="727"/>
      <c r="BR1170" s="299"/>
      <c r="BS1170" s="35"/>
      <c r="BT1170" s="596"/>
      <c r="BU1170" s="79"/>
      <c r="BV1170" s="212"/>
      <c r="BW1170" s="304"/>
      <c r="BX1170" s="313"/>
      <c r="BY1170" s="138"/>
    </row>
    <row r="1171" spans="1:77" ht="15" customHeight="1" outlineLevel="1" x14ac:dyDescent="0.2">
      <c r="A1171" s="57" t="s">
        <v>24</v>
      </c>
      <c r="B1171" s="583" t="s">
        <v>477</v>
      </c>
      <c r="C1171" s="583" t="s">
        <v>1486</v>
      </c>
      <c r="D1171" s="546">
        <v>1.2410000000000001</v>
      </c>
      <c r="E1171" s="162" t="s">
        <v>631</v>
      </c>
      <c r="F1171" s="358"/>
      <c r="G1171" s="65"/>
      <c r="H1171" s="73"/>
      <c r="I1171" s="90"/>
      <c r="J1171" s="73"/>
      <c r="K1171" s="734">
        <v>4.4799999999999996E-3</v>
      </c>
      <c r="L1171" s="717"/>
      <c r="M1171" s="73"/>
      <c r="N1171" s="359"/>
      <c r="O1171" s="1041"/>
      <c r="P1171" s="73"/>
      <c r="Q1171" s="359"/>
      <c r="R1171" s="1041"/>
      <c r="S1171" s="73"/>
      <c r="T1171" s="359"/>
      <c r="U1171" s="73"/>
      <c r="V1171" s="66"/>
      <c r="W1171" s="788">
        <f t="shared" ref="W1171:W1173" si="906">AA1171*(1+AB1171)</f>
        <v>2.7775999999999995E-6</v>
      </c>
      <c r="X1171" s="789">
        <f t="shared" ref="X1171:X1173" si="907">AA1171*(1+AC1171)</f>
        <v>2.7775999999999995E-6</v>
      </c>
      <c r="Y1171" s="52">
        <v>2005</v>
      </c>
      <c r="Z1171" s="52"/>
      <c r="AA1171" s="787">
        <f t="shared" ref="AA1171:AA1173" si="908">+K1171/1000</f>
        <v>4.4799999999999995E-6</v>
      </c>
      <c r="AB1171" s="256">
        <v>-0.38</v>
      </c>
      <c r="AC1171" s="688">
        <f t="shared" si="861"/>
        <v>-0.38</v>
      </c>
      <c r="AD1171" s="164"/>
      <c r="AE1171" s="164"/>
      <c r="AF1171" s="25"/>
      <c r="AG1171" s="26"/>
      <c r="AH1171" s="275"/>
      <c r="AI1171" s="52"/>
      <c r="AJ1171" s="35"/>
      <c r="AK1171" s="289"/>
      <c r="AL1171" s="290"/>
      <c r="AM1171" s="211"/>
      <c r="AN1171" s="164"/>
      <c r="AO1171" s="594"/>
      <c r="AP1171" s="595"/>
      <c r="AQ1171" s="275"/>
      <c r="AR1171" s="52"/>
      <c r="AS1171" s="596"/>
      <c r="AT1171" s="79"/>
      <c r="AU1171" s="212"/>
      <c r="AV1171" s="164"/>
      <c r="AW1171" s="164"/>
      <c r="AX1171" s="76"/>
      <c r="AY1171" s="44"/>
      <c r="AZ1171" s="275"/>
      <c r="BA1171" s="52"/>
      <c r="BB1171" s="35"/>
      <c r="BC1171" s="79"/>
      <c r="BD1171" s="230"/>
      <c r="BE1171" s="211"/>
      <c r="BF1171" s="164"/>
      <c r="BG1171" s="76"/>
      <c r="BH1171" s="44"/>
      <c r="BI1171" s="275"/>
      <c r="BJ1171" s="52"/>
      <c r="BK1171" s="35"/>
      <c r="BL1171" s="79"/>
      <c r="BM1171" s="230"/>
      <c r="BN1171" s="211"/>
      <c r="BO1171" s="164"/>
      <c r="BP1171" s="726"/>
      <c r="BQ1171" s="727"/>
      <c r="BR1171" s="299"/>
      <c r="BS1171" s="35"/>
      <c r="BT1171" s="596"/>
      <c r="BU1171" s="79"/>
      <c r="BV1171" s="212"/>
      <c r="BW1171" s="304"/>
      <c r="BX1171" s="313"/>
      <c r="BY1171" s="138"/>
    </row>
    <row r="1172" spans="1:77" ht="15" customHeight="1" outlineLevel="1" x14ac:dyDescent="0.2">
      <c r="A1172" s="57" t="s">
        <v>24</v>
      </c>
      <c r="B1172" s="583" t="s">
        <v>477</v>
      </c>
      <c r="C1172" s="583" t="s">
        <v>1903</v>
      </c>
      <c r="D1172" s="546">
        <v>2.028</v>
      </c>
      <c r="E1172" s="162" t="s">
        <v>631</v>
      </c>
      <c r="F1172" s="358"/>
      <c r="G1172" s="65"/>
      <c r="H1172" s="73"/>
      <c r="I1172" s="90"/>
      <c r="J1172" s="73"/>
      <c r="K1172" s="734">
        <v>1.0057999999999999E-2</v>
      </c>
      <c r="L1172" s="717"/>
      <c r="M1172" s="73"/>
      <c r="N1172" s="359"/>
      <c r="O1172" s="1041"/>
      <c r="P1172" s="73"/>
      <c r="Q1172" s="359"/>
      <c r="R1172" s="1041"/>
      <c r="S1172" s="73"/>
      <c r="T1172" s="359"/>
      <c r="U1172" s="73"/>
      <c r="V1172" s="66"/>
      <c r="W1172" s="788">
        <f t="shared" si="906"/>
        <v>7.4429199999999992E-6</v>
      </c>
      <c r="X1172" s="789">
        <f t="shared" si="907"/>
        <v>7.4429199999999992E-6</v>
      </c>
      <c r="Y1172" s="52">
        <v>2005</v>
      </c>
      <c r="Z1172" s="52"/>
      <c r="AA1172" s="787">
        <f t="shared" si="908"/>
        <v>1.0057999999999999E-5</v>
      </c>
      <c r="AB1172" s="256">
        <v>-0.26</v>
      </c>
      <c r="AC1172" s="688">
        <f t="shared" si="861"/>
        <v>-0.26</v>
      </c>
      <c r="AD1172" s="164"/>
      <c r="AE1172" s="164"/>
      <c r="AF1172" s="25"/>
      <c r="AG1172" s="26"/>
      <c r="AH1172" s="275"/>
      <c r="AI1172" s="52"/>
      <c r="AJ1172" s="35"/>
      <c r="AK1172" s="289"/>
      <c r="AL1172" s="290"/>
      <c r="AM1172" s="211"/>
      <c r="AN1172" s="164"/>
      <c r="AO1172" s="594"/>
      <c r="AP1172" s="595"/>
      <c r="AQ1172" s="275"/>
      <c r="AR1172" s="52"/>
      <c r="AS1172" s="596"/>
      <c r="AT1172" s="79"/>
      <c r="AU1172" s="212"/>
      <c r="AV1172" s="164"/>
      <c r="AW1172" s="164"/>
      <c r="AX1172" s="76"/>
      <c r="AY1172" s="44"/>
      <c r="AZ1172" s="275"/>
      <c r="BA1172" s="52"/>
      <c r="BB1172" s="35"/>
      <c r="BC1172" s="79"/>
      <c r="BD1172" s="230"/>
      <c r="BE1172" s="211"/>
      <c r="BF1172" s="164"/>
      <c r="BG1172" s="76"/>
      <c r="BH1172" s="44"/>
      <c r="BI1172" s="275"/>
      <c r="BJ1172" s="52"/>
      <c r="BK1172" s="35"/>
      <c r="BL1172" s="79"/>
      <c r="BM1172" s="230"/>
      <c r="BN1172" s="211"/>
      <c r="BO1172" s="164"/>
      <c r="BP1172" s="726"/>
      <c r="BQ1172" s="727"/>
      <c r="BR1172" s="299"/>
      <c r="BS1172" s="35"/>
      <c r="BT1172" s="596"/>
      <c r="BU1172" s="79"/>
      <c r="BV1172" s="212"/>
      <c r="BW1172" s="304"/>
      <c r="BX1172" s="313"/>
      <c r="BY1172" s="138"/>
    </row>
    <row r="1173" spans="1:77" ht="15" customHeight="1" outlineLevel="1" x14ac:dyDescent="0.2">
      <c r="A1173" s="57" t="s">
        <v>24</v>
      </c>
      <c r="B1173" s="583" t="s">
        <v>477</v>
      </c>
      <c r="C1173" s="583" t="s">
        <v>1969</v>
      </c>
      <c r="D1173" s="546">
        <v>8.36</v>
      </c>
      <c r="E1173" s="162" t="s">
        <v>631</v>
      </c>
      <c r="F1173" s="358"/>
      <c r="G1173" s="65"/>
      <c r="H1173" s="73"/>
      <c r="I1173" s="90"/>
      <c r="J1173" s="73"/>
      <c r="K1173" s="734">
        <v>4.9447999999999999E-2</v>
      </c>
      <c r="L1173" s="717"/>
      <c r="M1173" s="73"/>
      <c r="N1173" s="359"/>
      <c r="O1173" s="1041"/>
      <c r="P1173" s="73"/>
      <c r="Q1173" s="359"/>
      <c r="R1173" s="1041"/>
      <c r="S1173" s="73"/>
      <c r="T1173" s="359"/>
      <c r="U1173" s="73"/>
      <c r="V1173" s="66"/>
      <c r="W1173" s="788">
        <f t="shared" si="906"/>
        <v>3.609704E-5</v>
      </c>
      <c r="X1173" s="789">
        <f t="shared" si="907"/>
        <v>3.609704E-5</v>
      </c>
      <c r="Y1173" s="52">
        <v>2005</v>
      </c>
      <c r="Z1173" s="52"/>
      <c r="AA1173" s="787">
        <f t="shared" si="908"/>
        <v>4.9447999999999998E-5</v>
      </c>
      <c r="AB1173" s="256">
        <v>-0.27</v>
      </c>
      <c r="AC1173" s="688">
        <f t="shared" si="861"/>
        <v>-0.27</v>
      </c>
      <c r="AD1173" s="164"/>
      <c r="AE1173" s="164"/>
      <c r="AF1173" s="25"/>
      <c r="AG1173" s="26"/>
      <c r="AH1173" s="275"/>
      <c r="AI1173" s="52"/>
      <c r="AJ1173" s="35"/>
      <c r="AK1173" s="289"/>
      <c r="AL1173" s="290"/>
      <c r="AM1173" s="211"/>
      <c r="AN1173" s="164"/>
      <c r="AO1173" s="594"/>
      <c r="AP1173" s="595"/>
      <c r="AQ1173" s="275"/>
      <c r="AR1173" s="52"/>
      <c r="AS1173" s="596"/>
      <c r="AT1173" s="79"/>
      <c r="AU1173" s="212"/>
      <c r="AV1173" s="164"/>
      <c r="AW1173" s="164"/>
      <c r="AX1173" s="76"/>
      <c r="AY1173" s="44"/>
      <c r="AZ1173" s="275"/>
      <c r="BA1173" s="52"/>
      <c r="BB1173" s="35"/>
      <c r="BC1173" s="79"/>
      <c r="BD1173" s="230"/>
      <c r="BE1173" s="211"/>
      <c r="BF1173" s="164"/>
      <c r="BG1173" s="76"/>
      <c r="BH1173" s="44"/>
      <c r="BI1173" s="275"/>
      <c r="BJ1173" s="52"/>
      <c r="BK1173" s="35"/>
      <c r="BL1173" s="79"/>
      <c r="BM1173" s="230"/>
      <c r="BN1173" s="211"/>
      <c r="BO1173" s="164"/>
      <c r="BP1173" s="726"/>
      <c r="BQ1173" s="727"/>
      <c r="BR1173" s="299"/>
      <c r="BS1173" s="35"/>
      <c r="BT1173" s="596"/>
      <c r="BU1173" s="79"/>
      <c r="BV1173" s="212"/>
      <c r="BW1173" s="304"/>
      <c r="BX1173" s="313"/>
      <c r="BY1173" s="138"/>
    </row>
    <row r="1174" spans="1:77" ht="15" customHeight="1" outlineLevel="1" x14ac:dyDescent="0.2">
      <c r="A1174" s="57" t="s">
        <v>24</v>
      </c>
      <c r="B1174" s="583" t="s">
        <v>477</v>
      </c>
      <c r="C1174" s="583" t="s">
        <v>1492</v>
      </c>
      <c r="D1174" s="546">
        <v>1.2</v>
      </c>
      <c r="E1174" s="162" t="s">
        <v>631</v>
      </c>
      <c r="F1174" s="358"/>
      <c r="G1174" s="65"/>
      <c r="H1174" s="73"/>
      <c r="I1174" s="90"/>
      <c r="J1174" s="73"/>
      <c r="K1174" s="790">
        <v>2.418E-3</v>
      </c>
      <c r="L1174" s="717"/>
      <c r="M1174" s="73"/>
      <c r="N1174" s="359"/>
      <c r="O1174" s="1041"/>
      <c r="P1174" s="73"/>
      <c r="Q1174" s="359"/>
      <c r="R1174" s="1041"/>
      <c r="S1174" s="73"/>
      <c r="T1174" s="359"/>
      <c r="U1174" s="73"/>
      <c r="V1174" s="66"/>
      <c r="W1174" s="788">
        <f>AA1174*(1+AB1174)</f>
        <v>1.23318E-6</v>
      </c>
      <c r="X1174" s="789">
        <f>AA1174*(1+AC1174)</f>
        <v>1.23318E-6</v>
      </c>
      <c r="Y1174" s="52">
        <v>2005</v>
      </c>
      <c r="Z1174" s="52"/>
      <c r="AA1174" s="787">
        <f>+K1174/1000</f>
        <v>2.418E-6</v>
      </c>
      <c r="AB1174" s="256">
        <v>-0.49</v>
      </c>
      <c r="AC1174" s="688">
        <f>AB1174</f>
        <v>-0.49</v>
      </c>
      <c r="AD1174" s="164"/>
      <c r="AE1174" s="164"/>
      <c r="AF1174" s="25"/>
      <c r="AG1174" s="26"/>
      <c r="AH1174" s="275"/>
      <c r="AI1174" s="52"/>
      <c r="AJ1174" s="35"/>
      <c r="AK1174" s="289"/>
      <c r="AL1174" s="290"/>
      <c r="AM1174" s="211"/>
      <c r="AN1174" s="164"/>
      <c r="AO1174" s="594"/>
      <c r="AP1174" s="595"/>
      <c r="AQ1174" s="275"/>
      <c r="AR1174" s="52"/>
      <c r="AS1174" s="596"/>
      <c r="AT1174" s="79"/>
      <c r="AU1174" s="212"/>
      <c r="AV1174" s="164"/>
      <c r="AW1174" s="164"/>
      <c r="AX1174" s="76"/>
      <c r="AY1174" s="44"/>
      <c r="AZ1174" s="275"/>
      <c r="BA1174" s="52"/>
      <c r="BB1174" s="35"/>
      <c r="BC1174" s="79"/>
      <c r="BD1174" s="230"/>
      <c r="BE1174" s="211"/>
      <c r="BF1174" s="164"/>
      <c r="BG1174" s="76"/>
      <c r="BH1174" s="44"/>
      <c r="BI1174" s="275"/>
      <c r="BJ1174" s="52"/>
      <c r="BK1174" s="35"/>
      <c r="BL1174" s="79"/>
      <c r="BM1174" s="230"/>
      <c r="BN1174" s="211"/>
      <c r="BO1174" s="164"/>
      <c r="BP1174" s="726"/>
      <c r="BQ1174" s="727"/>
      <c r="BR1174" s="299"/>
      <c r="BS1174" s="35"/>
      <c r="BT1174" s="596"/>
      <c r="BU1174" s="79"/>
      <c r="BV1174" s="212"/>
      <c r="BW1174" s="304"/>
      <c r="BX1174" s="313"/>
      <c r="BY1174" s="138"/>
    </row>
    <row r="1175" spans="1:77" ht="15" customHeight="1" outlineLevel="1" x14ac:dyDescent="0.2">
      <c r="A1175" s="57" t="s">
        <v>24</v>
      </c>
      <c r="B1175" s="583" t="s">
        <v>477</v>
      </c>
      <c r="C1175" s="583" t="s">
        <v>1646</v>
      </c>
      <c r="D1175" s="546">
        <v>10.259</v>
      </c>
      <c r="E1175" s="162" t="s">
        <v>631</v>
      </c>
      <c r="F1175" s="358"/>
      <c r="G1175" s="65"/>
      <c r="H1175" s="73"/>
      <c r="I1175" s="90"/>
      <c r="J1175" s="73"/>
      <c r="K1175" s="790">
        <v>5.4270000000000004E-3</v>
      </c>
      <c r="L1175" s="717"/>
      <c r="M1175" s="73"/>
      <c r="N1175" s="359"/>
      <c r="O1175" s="1041"/>
      <c r="P1175" s="73"/>
      <c r="Q1175" s="359"/>
      <c r="R1175" s="1041"/>
      <c r="S1175" s="73"/>
      <c r="T1175" s="359"/>
      <c r="U1175" s="73"/>
      <c r="V1175" s="66"/>
      <c r="W1175" s="788">
        <f>AA1175*(1+AB1175)</f>
        <v>4.0702500000000005E-6</v>
      </c>
      <c r="X1175" s="789">
        <f>AA1175*(1+AC1175)</f>
        <v>4.0702500000000005E-6</v>
      </c>
      <c r="Y1175" s="52">
        <v>2005</v>
      </c>
      <c r="Z1175" s="52"/>
      <c r="AA1175" s="787">
        <f>+K1175/1000</f>
        <v>5.4270000000000007E-6</v>
      </c>
      <c r="AB1175" s="256">
        <v>-0.25</v>
      </c>
      <c r="AC1175" s="688">
        <f>AB1175</f>
        <v>-0.25</v>
      </c>
      <c r="AD1175" s="164"/>
      <c r="AE1175" s="164"/>
      <c r="AF1175" s="25"/>
      <c r="AG1175" s="26"/>
      <c r="AH1175" s="275"/>
      <c r="AI1175" s="52"/>
      <c r="AJ1175" s="35"/>
      <c r="AK1175" s="289"/>
      <c r="AL1175" s="290"/>
      <c r="AM1175" s="211"/>
      <c r="AN1175" s="164"/>
      <c r="AO1175" s="594"/>
      <c r="AP1175" s="595"/>
      <c r="AQ1175" s="275"/>
      <c r="AR1175" s="52"/>
      <c r="AS1175" s="596"/>
      <c r="AT1175" s="79"/>
      <c r="AU1175" s="212"/>
      <c r="AV1175" s="164"/>
      <c r="AW1175" s="164"/>
      <c r="AX1175" s="76"/>
      <c r="AY1175" s="44"/>
      <c r="AZ1175" s="275"/>
      <c r="BA1175" s="52"/>
      <c r="BB1175" s="35"/>
      <c r="BC1175" s="79"/>
      <c r="BD1175" s="230"/>
      <c r="BE1175" s="211"/>
      <c r="BF1175" s="164"/>
      <c r="BG1175" s="76"/>
      <c r="BH1175" s="44"/>
      <c r="BI1175" s="275"/>
      <c r="BJ1175" s="52"/>
      <c r="BK1175" s="35"/>
      <c r="BL1175" s="79"/>
      <c r="BM1175" s="230"/>
      <c r="BN1175" s="211"/>
      <c r="BO1175" s="164"/>
      <c r="BP1175" s="726"/>
      <c r="BQ1175" s="727"/>
      <c r="BR1175" s="299"/>
      <c r="BS1175" s="35"/>
      <c r="BT1175" s="596"/>
      <c r="BU1175" s="79"/>
      <c r="BV1175" s="212"/>
      <c r="BW1175" s="304"/>
      <c r="BX1175" s="313"/>
      <c r="BY1175" s="138"/>
    </row>
    <row r="1176" spans="1:77" ht="15" customHeight="1" outlineLevel="1" x14ac:dyDescent="0.2">
      <c r="A1176" s="57" t="s">
        <v>24</v>
      </c>
      <c r="B1176" s="583" t="s">
        <v>477</v>
      </c>
      <c r="C1176" s="583" t="s">
        <v>1968</v>
      </c>
      <c r="D1176" s="546">
        <v>11.983000000000001</v>
      </c>
      <c r="E1176" s="162" t="s">
        <v>631</v>
      </c>
      <c r="F1176" s="358"/>
      <c r="G1176" s="65"/>
      <c r="H1176" s="73"/>
      <c r="I1176" s="90">
        <v>2007</v>
      </c>
      <c r="J1176" s="73"/>
      <c r="K1176" s="790">
        <v>4.4186000000000003E-2</v>
      </c>
      <c r="L1176" s="717"/>
      <c r="M1176" s="73"/>
      <c r="N1176" s="359"/>
      <c r="O1176" s="1041"/>
      <c r="P1176" s="73"/>
      <c r="Q1176" s="359"/>
      <c r="R1176" s="1041"/>
      <c r="S1176" s="73"/>
      <c r="T1176" s="359"/>
      <c r="U1176" s="73"/>
      <c r="V1176" s="66"/>
      <c r="W1176" s="788">
        <f>AA1176*(1+AB1176)</f>
        <v>3.2255780000000002E-5</v>
      </c>
      <c r="X1176" s="789">
        <f>AA1176*(1+AC1176)</f>
        <v>3.2255780000000002E-5</v>
      </c>
      <c r="Y1176" s="52">
        <v>2007</v>
      </c>
      <c r="Z1176" s="52"/>
      <c r="AA1176" s="787">
        <f>+K1176/1000</f>
        <v>4.4186E-5</v>
      </c>
      <c r="AB1176" s="256">
        <v>-0.27</v>
      </c>
      <c r="AC1176" s="688">
        <f>AB1176</f>
        <v>-0.27</v>
      </c>
      <c r="AD1176" s="164"/>
      <c r="AE1176" s="164"/>
      <c r="AF1176" s="25"/>
      <c r="AG1176" s="26"/>
      <c r="AH1176" s="275"/>
      <c r="AI1176" s="52"/>
      <c r="AJ1176" s="35"/>
      <c r="AK1176" s="289"/>
      <c r="AL1176" s="290"/>
      <c r="AM1176" s="211"/>
      <c r="AN1176" s="164"/>
      <c r="AO1176" s="594"/>
      <c r="AP1176" s="595"/>
      <c r="AQ1176" s="275"/>
      <c r="AR1176" s="52"/>
      <c r="AS1176" s="596"/>
      <c r="AT1176" s="79"/>
      <c r="AU1176" s="212"/>
      <c r="AV1176" s="164"/>
      <c r="AW1176" s="164"/>
      <c r="AX1176" s="76"/>
      <c r="AY1176" s="44"/>
      <c r="AZ1176" s="275"/>
      <c r="BA1176" s="52"/>
      <c r="BB1176" s="35"/>
      <c r="BC1176" s="79"/>
      <c r="BD1176" s="230"/>
      <c r="BE1176" s="211"/>
      <c r="BF1176" s="164"/>
      <c r="BG1176" s="76"/>
      <c r="BH1176" s="44"/>
      <c r="BI1176" s="275"/>
      <c r="BJ1176" s="52"/>
      <c r="BK1176" s="35"/>
      <c r="BL1176" s="79"/>
      <c r="BM1176" s="230"/>
      <c r="BN1176" s="211"/>
      <c r="BO1176" s="164"/>
      <c r="BP1176" s="726"/>
      <c r="BQ1176" s="727"/>
      <c r="BR1176" s="299"/>
      <c r="BS1176" s="35"/>
      <c r="BT1176" s="596"/>
      <c r="BU1176" s="79"/>
      <c r="BV1176" s="212"/>
      <c r="BW1176" s="304"/>
      <c r="BX1176" s="313"/>
      <c r="BY1176" s="138"/>
    </row>
    <row r="1177" spans="1:77" ht="15" customHeight="1" outlineLevel="1" x14ac:dyDescent="0.2">
      <c r="A1177" s="57" t="s">
        <v>24</v>
      </c>
      <c r="B1177" s="583" t="s">
        <v>477</v>
      </c>
      <c r="C1177" s="583" t="s">
        <v>1533</v>
      </c>
      <c r="D1177" s="818">
        <v>0.36599999999999999</v>
      </c>
      <c r="E1177" s="162" t="s">
        <v>631</v>
      </c>
      <c r="F1177" s="358"/>
      <c r="G1177" s="65"/>
      <c r="H1177" s="73"/>
      <c r="I1177" s="90"/>
      <c r="J1177" s="73"/>
      <c r="K1177" s="790">
        <v>1.5280000000000001E-3</v>
      </c>
      <c r="L1177" s="717"/>
      <c r="M1177" s="73"/>
      <c r="N1177" s="359"/>
      <c r="O1177" s="1041"/>
      <c r="P1177" s="73"/>
      <c r="Q1177" s="359"/>
      <c r="R1177" s="1041"/>
      <c r="S1177" s="73"/>
      <c r="T1177" s="359"/>
      <c r="U1177" s="73"/>
      <c r="V1177" s="66"/>
      <c r="W1177" s="808">
        <f>AA1177*(1+AB1177)</f>
        <v>1.9864000000000001E-7</v>
      </c>
      <c r="X1177" s="809">
        <f>AA1177*(1+AC1177)</f>
        <v>1.9864000000000001E-7</v>
      </c>
      <c r="Y1177" s="52">
        <v>2005</v>
      </c>
      <c r="Z1177" s="52"/>
      <c r="AA1177" s="787">
        <f>+K1177/1000</f>
        <v>1.528E-6</v>
      </c>
      <c r="AB1177" s="256">
        <v>-0.87</v>
      </c>
      <c r="AC1177" s="688">
        <f>AB1177</f>
        <v>-0.87</v>
      </c>
      <c r="AD1177" s="164"/>
      <c r="AE1177" s="164"/>
      <c r="AF1177" s="25"/>
      <c r="AG1177" s="26"/>
      <c r="AH1177" s="275"/>
      <c r="AI1177" s="52"/>
      <c r="AJ1177" s="35"/>
      <c r="AK1177" s="289"/>
      <c r="AL1177" s="290"/>
      <c r="AM1177" s="211"/>
      <c r="AN1177" s="164"/>
      <c r="AO1177" s="594"/>
      <c r="AP1177" s="595"/>
      <c r="AQ1177" s="275"/>
      <c r="AR1177" s="52"/>
      <c r="AS1177" s="596"/>
      <c r="AT1177" s="79"/>
      <c r="AU1177" s="212"/>
      <c r="AV1177" s="164"/>
      <c r="AW1177" s="164"/>
      <c r="AX1177" s="76"/>
      <c r="AY1177" s="44"/>
      <c r="AZ1177" s="275"/>
      <c r="BA1177" s="52"/>
      <c r="BB1177" s="35"/>
      <c r="BC1177" s="79"/>
      <c r="BD1177" s="230"/>
      <c r="BE1177" s="211"/>
      <c r="BF1177" s="164"/>
      <c r="BG1177" s="76"/>
      <c r="BH1177" s="44"/>
      <c r="BI1177" s="275"/>
      <c r="BJ1177" s="52"/>
      <c r="BK1177" s="35"/>
      <c r="BL1177" s="79"/>
      <c r="BM1177" s="230"/>
      <c r="BN1177" s="211"/>
      <c r="BO1177" s="164"/>
      <c r="BP1177" s="726"/>
      <c r="BQ1177" s="727"/>
      <c r="BR1177" s="299"/>
      <c r="BS1177" s="35"/>
      <c r="BT1177" s="596"/>
      <c r="BU1177" s="79"/>
      <c r="BV1177" s="212"/>
      <c r="BW1177" s="304"/>
      <c r="BX1177" s="313"/>
      <c r="BY1177" s="138"/>
    </row>
    <row r="1178" spans="1:77" ht="15" customHeight="1" outlineLevel="1" x14ac:dyDescent="0.2">
      <c r="A1178" s="57" t="s">
        <v>24</v>
      </c>
      <c r="B1178" s="583" t="s">
        <v>477</v>
      </c>
      <c r="C1178" s="583" t="s">
        <v>1440</v>
      </c>
      <c r="D1178" s="546">
        <v>8.7230000000000008</v>
      </c>
      <c r="E1178" s="162" t="s">
        <v>631</v>
      </c>
      <c r="F1178" s="358"/>
      <c r="G1178" s="65"/>
      <c r="H1178" s="73"/>
      <c r="I1178" s="90"/>
      <c r="J1178" s="73"/>
      <c r="K1178" s="734">
        <v>3.7123000000000003E-2</v>
      </c>
      <c r="L1178" s="717"/>
      <c r="M1178" s="73"/>
      <c r="N1178" s="359"/>
      <c r="O1178" s="1041"/>
      <c r="P1178" s="73"/>
      <c r="Q1178" s="359"/>
      <c r="R1178" s="1041"/>
      <c r="S1178" s="73"/>
      <c r="T1178" s="359"/>
      <c r="U1178" s="73"/>
      <c r="V1178" s="66"/>
      <c r="W1178" s="740">
        <f t="shared" ref="W1178" si="909">AA1178*(1+AB1178)</f>
        <v>2.5986100000000002E-5</v>
      </c>
      <c r="X1178" s="741">
        <f t="shared" ref="X1178" si="910">AA1178*(1+AC1178)</f>
        <v>2.5986100000000002E-5</v>
      </c>
      <c r="Y1178" s="52">
        <v>2005</v>
      </c>
      <c r="Z1178" s="52"/>
      <c r="AA1178" s="739">
        <f t="shared" ref="AA1178" si="911">+K1178/1000</f>
        <v>3.7123000000000004E-5</v>
      </c>
      <c r="AB1178" s="256">
        <v>-0.3</v>
      </c>
      <c r="AC1178" s="688">
        <f t="shared" si="861"/>
        <v>-0.3</v>
      </c>
      <c r="AD1178" s="164"/>
      <c r="AE1178" s="164"/>
      <c r="AF1178" s="25"/>
      <c r="AG1178" s="26"/>
      <c r="AH1178" s="275"/>
      <c r="AI1178" s="52"/>
      <c r="AJ1178" s="35"/>
      <c r="AK1178" s="289"/>
      <c r="AL1178" s="290"/>
      <c r="AM1178" s="211"/>
      <c r="AN1178" s="164"/>
      <c r="AO1178" s="594"/>
      <c r="AP1178" s="595"/>
      <c r="AQ1178" s="275"/>
      <c r="AR1178" s="52"/>
      <c r="AS1178" s="596"/>
      <c r="AT1178" s="79"/>
      <c r="AU1178" s="212"/>
      <c r="AV1178" s="164"/>
      <c r="AW1178" s="164"/>
      <c r="AX1178" s="76"/>
      <c r="AY1178" s="44"/>
      <c r="AZ1178" s="275"/>
      <c r="BA1178" s="52"/>
      <c r="BB1178" s="35"/>
      <c r="BC1178" s="79"/>
      <c r="BD1178" s="230"/>
      <c r="BE1178" s="211"/>
      <c r="BF1178" s="164"/>
      <c r="BG1178" s="76"/>
      <c r="BH1178" s="44"/>
      <c r="BI1178" s="275"/>
      <c r="BJ1178" s="52"/>
      <c r="BK1178" s="35"/>
      <c r="BL1178" s="79"/>
      <c r="BM1178" s="230"/>
      <c r="BN1178" s="211"/>
      <c r="BO1178" s="164"/>
      <c r="BP1178" s="726"/>
      <c r="BQ1178" s="727"/>
      <c r="BR1178" s="299"/>
      <c r="BS1178" s="35"/>
      <c r="BT1178" s="596"/>
      <c r="BU1178" s="79"/>
      <c r="BV1178" s="212"/>
      <c r="BW1178" s="304"/>
      <c r="BX1178" s="313"/>
      <c r="BY1178" s="138"/>
    </row>
    <row r="1179" spans="1:77" ht="15" customHeight="1" outlineLevel="1" x14ac:dyDescent="0.2">
      <c r="A1179" s="57" t="s">
        <v>24</v>
      </c>
      <c r="B1179" s="583" t="s">
        <v>477</v>
      </c>
      <c r="C1179" s="583" t="s">
        <v>1500</v>
      </c>
      <c r="D1179" s="546">
        <v>2.19</v>
      </c>
      <c r="E1179" s="162" t="s">
        <v>631</v>
      </c>
      <c r="F1179" s="358"/>
      <c r="G1179" s="65"/>
      <c r="H1179" s="73"/>
      <c r="I1179" s="90"/>
      <c r="J1179" s="73"/>
      <c r="K1179" s="790">
        <v>7.4640000000000001E-3</v>
      </c>
      <c r="L1179" s="717"/>
      <c r="M1179" s="73"/>
      <c r="N1179" s="359"/>
      <c r="O1179" s="1041"/>
      <c r="P1179" s="73"/>
      <c r="Q1179" s="359"/>
      <c r="R1179" s="1041"/>
      <c r="S1179" s="73"/>
      <c r="T1179" s="359"/>
      <c r="U1179" s="73"/>
      <c r="V1179" s="66"/>
      <c r="W1179" s="788">
        <f>AA1179*(1+AB1179)</f>
        <v>4.6276800000000001E-6</v>
      </c>
      <c r="X1179" s="789">
        <f>AA1179*(1+AC1179)</f>
        <v>4.6276800000000001E-6</v>
      </c>
      <c r="Y1179" s="52">
        <v>2005</v>
      </c>
      <c r="Z1179" s="52"/>
      <c r="AA1179" s="787">
        <f>+K1179/1000</f>
        <v>7.464E-6</v>
      </c>
      <c r="AB1179" s="256">
        <v>-0.38</v>
      </c>
      <c r="AC1179" s="688">
        <f>AB1179</f>
        <v>-0.38</v>
      </c>
      <c r="AD1179" s="164"/>
      <c r="AE1179" s="164"/>
      <c r="AF1179" s="25"/>
      <c r="AG1179" s="26"/>
      <c r="AH1179" s="275"/>
      <c r="AI1179" s="52"/>
      <c r="AJ1179" s="35"/>
      <c r="AK1179" s="289"/>
      <c r="AL1179" s="290"/>
      <c r="AM1179" s="211"/>
      <c r="AN1179" s="164"/>
      <c r="AO1179" s="594"/>
      <c r="AP1179" s="595"/>
      <c r="AQ1179" s="275"/>
      <c r="AR1179" s="52"/>
      <c r="AS1179" s="596"/>
      <c r="AT1179" s="79"/>
      <c r="AU1179" s="212"/>
      <c r="AV1179" s="164"/>
      <c r="AW1179" s="164"/>
      <c r="AX1179" s="76"/>
      <c r="AY1179" s="44"/>
      <c r="AZ1179" s="275"/>
      <c r="BA1179" s="52"/>
      <c r="BB1179" s="35"/>
      <c r="BC1179" s="79"/>
      <c r="BD1179" s="230"/>
      <c r="BE1179" s="211"/>
      <c r="BF1179" s="164"/>
      <c r="BG1179" s="76"/>
      <c r="BH1179" s="44"/>
      <c r="BI1179" s="275"/>
      <c r="BJ1179" s="52"/>
      <c r="BK1179" s="35"/>
      <c r="BL1179" s="79"/>
      <c r="BM1179" s="230"/>
      <c r="BN1179" s="211"/>
      <c r="BO1179" s="164"/>
      <c r="BP1179" s="726"/>
      <c r="BQ1179" s="727"/>
      <c r="BR1179" s="299"/>
      <c r="BS1179" s="35"/>
      <c r="BT1179" s="596"/>
      <c r="BU1179" s="79"/>
      <c r="BV1179" s="212"/>
      <c r="BW1179" s="304"/>
      <c r="BX1179" s="313"/>
      <c r="BY1179" s="138"/>
    </row>
    <row r="1180" spans="1:77" ht="15" customHeight="1" outlineLevel="1" x14ac:dyDescent="0.2">
      <c r="A1180" s="57" t="s">
        <v>24</v>
      </c>
      <c r="B1180" s="583" t="s">
        <v>477</v>
      </c>
      <c r="C1180" s="583" t="s">
        <v>1480</v>
      </c>
      <c r="D1180" s="546">
        <v>2.1440000000000001</v>
      </c>
      <c r="E1180" s="162" t="s">
        <v>631</v>
      </c>
      <c r="F1180" s="358"/>
      <c r="G1180" s="65"/>
      <c r="H1180" s="73"/>
      <c r="I1180" s="90"/>
      <c r="J1180" s="73"/>
      <c r="K1180" s="734"/>
      <c r="L1180" s="717">
        <v>2009</v>
      </c>
      <c r="M1180" s="73"/>
      <c r="N1180" s="786">
        <v>4.8349999999999999E-3</v>
      </c>
      <c r="O1180" s="1041"/>
      <c r="P1180" s="73"/>
      <c r="Q1180" s="786"/>
      <c r="R1180" s="1041"/>
      <c r="S1180" s="73"/>
      <c r="T1180" s="786"/>
      <c r="U1180" s="73"/>
      <c r="V1180" s="66"/>
      <c r="W1180" s="788">
        <f t="shared" ref="W1180" si="912">AA1180*(1+AB1180)</f>
        <v>3.1427500000000001E-6</v>
      </c>
      <c r="X1180" s="789">
        <f t="shared" ref="X1180" si="913">AA1180*(1+AC1180)</f>
        <v>3.1427500000000001E-6</v>
      </c>
      <c r="Y1180" s="52">
        <v>2009</v>
      </c>
      <c r="Z1180" s="52"/>
      <c r="AA1180" s="787">
        <f>+N1180/1000</f>
        <v>4.8350000000000003E-6</v>
      </c>
      <c r="AB1180" s="256">
        <v>-0.35</v>
      </c>
      <c r="AC1180" s="688">
        <f t="shared" si="861"/>
        <v>-0.35</v>
      </c>
      <c r="AD1180" s="164"/>
      <c r="AE1180" s="164"/>
      <c r="AF1180" s="25"/>
      <c r="AG1180" s="26"/>
      <c r="AH1180" s="275"/>
      <c r="AI1180" s="52"/>
      <c r="AJ1180" s="35"/>
      <c r="AK1180" s="289"/>
      <c r="AL1180" s="290"/>
      <c r="AM1180" s="211"/>
      <c r="AN1180" s="164"/>
      <c r="AO1180" s="594"/>
      <c r="AP1180" s="595"/>
      <c r="AQ1180" s="275"/>
      <c r="AR1180" s="52"/>
      <c r="AS1180" s="596"/>
      <c r="AT1180" s="79"/>
      <c r="AU1180" s="212"/>
      <c r="AV1180" s="164"/>
      <c r="AW1180" s="164"/>
      <c r="AX1180" s="76"/>
      <c r="AY1180" s="44"/>
      <c r="AZ1180" s="275"/>
      <c r="BA1180" s="52"/>
      <c r="BB1180" s="35"/>
      <c r="BC1180" s="79"/>
      <c r="BD1180" s="230"/>
      <c r="BE1180" s="211"/>
      <c r="BF1180" s="164"/>
      <c r="BG1180" s="76"/>
      <c r="BH1180" s="44"/>
      <c r="BI1180" s="275"/>
      <c r="BJ1180" s="52"/>
      <c r="BK1180" s="35"/>
      <c r="BL1180" s="79"/>
      <c r="BM1180" s="230"/>
      <c r="BN1180" s="211"/>
      <c r="BO1180" s="164"/>
      <c r="BP1180" s="726"/>
      <c r="BQ1180" s="727"/>
      <c r="BR1180" s="299"/>
      <c r="BS1180" s="35"/>
      <c r="BT1180" s="596"/>
      <c r="BU1180" s="79"/>
      <c r="BV1180" s="212"/>
      <c r="BW1180" s="304"/>
      <c r="BX1180" s="313"/>
      <c r="BY1180" s="138"/>
    </row>
    <row r="1181" spans="1:77" ht="15" customHeight="1" outlineLevel="1" x14ac:dyDescent="0.2">
      <c r="A1181" s="57" t="s">
        <v>24</v>
      </c>
      <c r="B1181" s="583" t="s">
        <v>477</v>
      </c>
      <c r="C1181" s="583" t="s">
        <v>1276</v>
      </c>
      <c r="D1181" s="546">
        <v>0.63300000000000001</v>
      </c>
      <c r="E1181" s="162" t="s">
        <v>631</v>
      </c>
      <c r="F1181" s="358"/>
      <c r="G1181" s="65"/>
      <c r="H1181" s="73"/>
      <c r="I1181" s="90"/>
      <c r="J1181" s="73"/>
      <c r="K1181" s="790">
        <v>3.2789999999999998E-3</v>
      </c>
      <c r="L1181" s="717"/>
      <c r="M1181" s="73"/>
      <c r="N1181" s="359"/>
      <c r="O1181" s="1041"/>
      <c r="P1181" s="73"/>
      <c r="Q1181" s="359"/>
      <c r="R1181" s="1041"/>
      <c r="S1181" s="73"/>
      <c r="T1181" s="359"/>
      <c r="U1181" s="73"/>
      <c r="V1181" s="66"/>
      <c r="W1181" s="788">
        <f t="shared" si="643"/>
        <v>1.3443900000000001E-6</v>
      </c>
      <c r="X1181" s="789">
        <f t="shared" si="644"/>
        <v>1.3443900000000001E-6</v>
      </c>
      <c r="Y1181" s="52">
        <v>2005</v>
      </c>
      <c r="Z1181" s="52"/>
      <c r="AA1181" s="787">
        <f t="shared" si="732"/>
        <v>3.2789999999999999E-6</v>
      </c>
      <c r="AB1181" s="256">
        <v>-0.59</v>
      </c>
      <c r="AC1181" s="688">
        <f t="shared" si="861"/>
        <v>-0.59</v>
      </c>
      <c r="AD1181" s="164"/>
      <c r="AE1181" s="164"/>
      <c r="AF1181" s="25"/>
      <c r="AG1181" s="26"/>
      <c r="AH1181" s="275"/>
      <c r="AI1181" s="52"/>
      <c r="AJ1181" s="35"/>
      <c r="AK1181" s="289"/>
      <c r="AL1181" s="290"/>
      <c r="AM1181" s="211"/>
      <c r="AN1181" s="164"/>
      <c r="AO1181" s="594"/>
      <c r="AP1181" s="595"/>
      <c r="AQ1181" s="275"/>
      <c r="AR1181" s="52"/>
      <c r="AS1181" s="596"/>
      <c r="AT1181" s="79"/>
      <c r="AU1181" s="212"/>
      <c r="AV1181" s="164"/>
      <c r="AW1181" s="164"/>
      <c r="AX1181" s="76"/>
      <c r="AY1181" s="44"/>
      <c r="AZ1181" s="275"/>
      <c r="BA1181" s="52"/>
      <c r="BB1181" s="35"/>
      <c r="BC1181" s="79"/>
      <c r="BD1181" s="230"/>
      <c r="BE1181" s="211"/>
      <c r="BF1181" s="164"/>
      <c r="BG1181" s="76"/>
      <c r="BH1181" s="44"/>
      <c r="BI1181" s="275"/>
      <c r="BJ1181" s="52"/>
      <c r="BK1181" s="35"/>
      <c r="BL1181" s="79"/>
      <c r="BM1181" s="230"/>
      <c r="BN1181" s="211"/>
      <c r="BO1181" s="164"/>
      <c r="BP1181" s="726"/>
      <c r="BQ1181" s="727"/>
      <c r="BR1181" s="299"/>
      <c r="BS1181" s="35"/>
      <c r="BT1181" s="596"/>
      <c r="BU1181" s="79"/>
      <c r="BV1181" s="212"/>
      <c r="BW1181" s="304"/>
      <c r="BX1181" s="313"/>
      <c r="BY1181" s="138"/>
    </row>
    <row r="1182" spans="1:77" ht="15" customHeight="1" outlineLevel="1" x14ac:dyDescent="0.2">
      <c r="A1182" s="57" t="s">
        <v>24</v>
      </c>
      <c r="B1182" s="583" t="s">
        <v>477</v>
      </c>
      <c r="C1182" s="583" t="s">
        <v>1966</v>
      </c>
      <c r="D1182" s="546">
        <v>9.2119999999999997</v>
      </c>
      <c r="E1182" s="162" t="s">
        <v>631</v>
      </c>
      <c r="F1182" s="358"/>
      <c r="G1182" s="65"/>
      <c r="H1182" s="73"/>
      <c r="I1182" s="90"/>
      <c r="J1182" s="73"/>
      <c r="K1182" s="790"/>
      <c r="L1182" s="717">
        <v>2009</v>
      </c>
      <c r="M1182" s="73"/>
      <c r="N1182" s="786">
        <v>2.1076000000000001E-2</v>
      </c>
      <c r="O1182" s="1041"/>
      <c r="P1182" s="73"/>
      <c r="Q1182" s="359"/>
      <c r="R1182" s="1041"/>
      <c r="S1182" s="73"/>
      <c r="T1182" s="359"/>
      <c r="U1182" s="73"/>
      <c r="V1182" s="66"/>
      <c r="W1182" s="788">
        <f t="shared" ref="W1182" si="914">AA1182*(1+AB1182)</f>
        <v>1.5385479999999999E-5</v>
      </c>
      <c r="X1182" s="789">
        <f t="shared" ref="X1182" si="915">AA1182*(1+AC1182)</f>
        <v>1.5385479999999999E-5</v>
      </c>
      <c r="Y1182" s="52">
        <v>2009</v>
      </c>
      <c r="Z1182" s="52"/>
      <c r="AA1182" s="787">
        <f>+N1182/1000</f>
        <v>2.1075999999999999E-5</v>
      </c>
      <c r="AB1182" s="256">
        <v>-0.27</v>
      </c>
      <c r="AC1182" s="688">
        <f t="shared" si="861"/>
        <v>-0.27</v>
      </c>
      <c r="AD1182" s="164"/>
      <c r="AE1182" s="164"/>
      <c r="AF1182" s="25"/>
      <c r="AG1182" s="26"/>
      <c r="AH1182" s="275"/>
      <c r="AI1182" s="52"/>
      <c r="AJ1182" s="35"/>
      <c r="AK1182" s="289"/>
      <c r="AL1182" s="290"/>
      <c r="AM1182" s="211"/>
      <c r="AN1182" s="164"/>
      <c r="AO1182" s="594"/>
      <c r="AP1182" s="595"/>
      <c r="AQ1182" s="275"/>
      <c r="AR1182" s="52"/>
      <c r="AS1182" s="596"/>
      <c r="AT1182" s="79"/>
      <c r="AU1182" s="212"/>
      <c r="AV1182" s="164"/>
      <c r="AW1182" s="164"/>
      <c r="AX1182" s="76"/>
      <c r="AY1182" s="44"/>
      <c r="AZ1182" s="275"/>
      <c r="BA1182" s="52"/>
      <c r="BB1182" s="35"/>
      <c r="BC1182" s="79"/>
      <c r="BD1182" s="230"/>
      <c r="BE1182" s="211"/>
      <c r="BF1182" s="164"/>
      <c r="BG1182" s="76"/>
      <c r="BH1182" s="44"/>
      <c r="BI1182" s="275"/>
      <c r="BJ1182" s="52"/>
      <c r="BK1182" s="35"/>
      <c r="BL1182" s="79"/>
      <c r="BM1182" s="230"/>
      <c r="BN1182" s="211"/>
      <c r="BO1182" s="164"/>
      <c r="BP1182" s="726"/>
      <c r="BQ1182" s="727"/>
      <c r="BR1182" s="299"/>
      <c r="BS1182" s="35"/>
      <c r="BT1182" s="596"/>
      <c r="BU1182" s="79"/>
      <c r="BV1182" s="212"/>
      <c r="BW1182" s="304"/>
      <c r="BX1182" s="313"/>
      <c r="BY1182" s="138"/>
    </row>
    <row r="1183" spans="1:77" ht="15" customHeight="1" outlineLevel="1" x14ac:dyDescent="0.2">
      <c r="A1183" s="57" t="s">
        <v>24</v>
      </c>
      <c r="B1183" s="583" t="s">
        <v>477</v>
      </c>
      <c r="C1183" s="583" t="s">
        <v>1268</v>
      </c>
      <c r="D1183" s="546">
        <v>5.8570000000000002</v>
      </c>
      <c r="E1183" s="162" t="s">
        <v>631</v>
      </c>
      <c r="F1183" s="358"/>
      <c r="G1183" s="65"/>
      <c r="H1183" s="73"/>
      <c r="I1183" s="90"/>
      <c r="J1183" s="73"/>
      <c r="K1183" s="734">
        <v>2.1028000000000002E-2</v>
      </c>
      <c r="L1183" s="717"/>
      <c r="M1183" s="73"/>
      <c r="N1183" s="359"/>
      <c r="O1183" s="1041"/>
      <c r="P1183" s="73"/>
      <c r="Q1183" s="359"/>
      <c r="R1183" s="1041"/>
      <c r="S1183" s="73"/>
      <c r="T1183" s="359"/>
      <c r="U1183" s="73"/>
      <c r="V1183" s="66"/>
      <c r="W1183" s="740">
        <f t="shared" si="643"/>
        <v>1.408876E-5</v>
      </c>
      <c r="X1183" s="741">
        <f t="shared" si="644"/>
        <v>1.408876E-5</v>
      </c>
      <c r="Y1183" s="52">
        <v>2005</v>
      </c>
      <c r="Z1183" s="52"/>
      <c r="AA1183" s="739">
        <f t="shared" si="732"/>
        <v>2.1028000000000003E-5</v>
      </c>
      <c r="AB1183" s="256">
        <v>-0.33</v>
      </c>
      <c r="AC1183" s="688">
        <f t="shared" si="861"/>
        <v>-0.33</v>
      </c>
      <c r="AD1183" s="164"/>
      <c r="AE1183" s="164"/>
      <c r="AF1183" s="25"/>
      <c r="AG1183" s="26"/>
      <c r="AH1183" s="275"/>
      <c r="AI1183" s="52"/>
      <c r="AJ1183" s="35"/>
      <c r="AK1183" s="289"/>
      <c r="AL1183" s="290"/>
      <c r="AM1183" s="211"/>
      <c r="AN1183" s="164"/>
      <c r="AO1183" s="594"/>
      <c r="AP1183" s="595"/>
      <c r="AQ1183" s="275"/>
      <c r="AR1183" s="52"/>
      <c r="AS1183" s="596"/>
      <c r="AT1183" s="79"/>
      <c r="AU1183" s="212"/>
      <c r="AV1183" s="164"/>
      <c r="AW1183" s="164"/>
      <c r="AX1183" s="76"/>
      <c r="AY1183" s="44"/>
      <c r="AZ1183" s="275"/>
      <c r="BA1183" s="52"/>
      <c r="BB1183" s="35"/>
      <c r="BC1183" s="79"/>
      <c r="BD1183" s="230"/>
      <c r="BE1183" s="211"/>
      <c r="BF1183" s="164"/>
      <c r="BG1183" s="76"/>
      <c r="BH1183" s="44"/>
      <c r="BI1183" s="275"/>
      <c r="BJ1183" s="52"/>
      <c r="BK1183" s="35"/>
      <c r="BL1183" s="79"/>
      <c r="BM1183" s="230"/>
      <c r="BN1183" s="211"/>
      <c r="BO1183" s="164"/>
      <c r="BP1183" s="726"/>
      <c r="BQ1183" s="727"/>
      <c r="BR1183" s="299"/>
      <c r="BS1183" s="35"/>
      <c r="BT1183" s="596"/>
      <c r="BU1183" s="79"/>
      <c r="BV1183" s="212"/>
      <c r="BW1183" s="304"/>
      <c r="BX1183" s="313"/>
      <c r="BY1183" s="138"/>
    </row>
    <row r="1184" spans="1:77" ht="15" customHeight="1" outlineLevel="1" x14ac:dyDescent="0.2">
      <c r="A1184" s="57" t="s">
        <v>24</v>
      </c>
      <c r="B1184" s="583" t="s">
        <v>477</v>
      </c>
      <c r="C1184" s="583" t="s">
        <v>1707</v>
      </c>
      <c r="D1184" s="546">
        <v>6.1849999999999996</v>
      </c>
      <c r="E1184" s="162" t="s">
        <v>631</v>
      </c>
      <c r="F1184" s="358"/>
      <c r="G1184" s="65"/>
      <c r="H1184" s="73"/>
      <c r="I1184" s="90"/>
      <c r="J1184" s="73"/>
      <c r="K1184" s="734"/>
      <c r="L1184" s="717"/>
      <c r="M1184" s="73"/>
      <c r="N1184" s="786">
        <v>3.6957999999999998E-2</v>
      </c>
      <c r="O1184" s="1041"/>
      <c r="P1184" s="73"/>
      <c r="Q1184" s="786"/>
      <c r="R1184" s="1041"/>
      <c r="S1184" s="73"/>
      <c r="T1184" s="786"/>
      <c r="U1184" s="73"/>
      <c r="V1184" s="66"/>
      <c r="W1184" s="740">
        <f t="shared" ref="W1184" si="916">AA1184*(1+AB1184)</f>
        <v>2.7718500000000002E-5</v>
      </c>
      <c r="X1184" s="741">
        <f t="shared" ref="X1184" si="917">AA1184*(1+AC1184)</f>
        <v>2.7718500000000002E-5</v>
      </c>
      <c r="Y1184" s="52">
        <v>2010</v>
      </c>
      <c r="Z1184" s="52"/>
      <c r="AA1184" s="739">
        <f>+N1184/1000</f>
        <v>3.6958000000000001E-5</v>
      </c>
      <c r="AB1184" s="256">
        <v>-0.25</v>
      </c>
      <c r="AC1184" s="688">
        <f t="shared" si="861"/>
        <v>-0.25</v>
      </c>
      <c r="AD1184" s="164"/>
      <c r="AE1184" s="164"/>
      <c r="AF1184" s="25"/>
      <c r="AG1184" s="26"/>
      <c r="AH1184" s="275"/>
      <c r="AI1184" s="52"/>
      <c r="AJ1184" s="35"/>
      <c r="AK1184" s="289"/>
      <c r="AL1184" s="290"/>
      <c r="AM1184" s="211"/>
      <c r="AN1184" s="164"/>
      <c r="AO1184" s="594"/>
      <c r="AP1184" s="595"/>
      <c r="AQ1184" s="275"/>
      <c r="AR1184" s="52"/>
      <c r="AS1184" s="596"/>
      <c r="AT1184" s="79"/>
      <c r="AU1184" s="212"/>
      <c r="AV1184" s="164"/>
      <c r="AW1184" s="164"/>
      <c r="AX1184" s="76"/>
      <c r="AY1184" s="44"/>
      <c r="AZ1184" s="275"/>
      <c r="BA1184" s="52"/>
      <c r="BB1184" s="35"/>
      <c r="BC1184" s="79"/>
      <c r="BD1184" s="230"/>
      <c r="BE1184" s="211"/>
      <c r="BF1184" s="164"/>
      <c r="BG1184" s="76"/>
      <c r="BH1184" s="44"/>
      <c r="BI1184" s="275"/>
      <c r="BJ1184" s="52"/>
      <c r="BK1184" s="35"/>
      <c r="BL1184" s="79"/>
      <c r="BM1184" s="230"/>
      <c r="BN1184" s="211"/>
      <c r="BO1184" s="164"/>
      <c r="BP1184" s="726"/>
      <c r="BQ1184" s="727"/>
      <c r="BR1184" s="299"/>
      <c r="BS1184" s="35"/>
      <c r="BT1184" s="596"/>
      <c r="BU1184" s="79"/>
      <c r="BV1184" s="212"/>
      <c r="BW1184" s="304"/>
      <c r="BX1184" s="313"/>
      <c r="BY1184" s="138"/>
    </row>
    <row r="1185" spans="1:77" ht="15" customHeight="1" outlineLevel="1" x14ac:dyDescent="0.2">
      <c r="A1185" s="57" t="s">
        <v>24</v>
      </c>
      <c r="B1185" s="583" t="s">
        <v>477</v>
      </c>
      <c r="C1185" s="583" t="s">
        <v>1744</v>
      </c>
      <c r="D1185" s="546">
        <v>16.405000000000001</v>
      </c>
      <c r="E1185" s="162" t="s">
        <v>631</v>
      </c>
      <c r="F1185" s="358"/>
      <c r="G1185" s="65"/>
      <c r="H1185" s="73"/>
      <c r="I1185" s="90"/>
      <c r="J1185" s="73"/>
      <c r="K1185" s="734"/>
      <c r="L1185" s="717">
        <v>2009</v>
      </c>
      <c r="M1185" s="73"/>
      <c r="N1185" s="786">
        <v>8.9680999999999997E-2</v>
      </c>
      <c r="O1185" s="1041"/>
      <c r="P1185" s="73"/>
      <c r="Q1185" s="786"/>
      <c r="R1185" s="1041"/>
      <c r="S1185" s="73"/>
      <c r="T1185" s="786"/>
      <c r="U1185" s="73"/>
      <c r="V1185" s="66"/>
      <c r="W1185" s="740">
        <f t="shared" ref="W1185" si="918">AA1185*(1+AB1185)</f>
        <v>6.7260750000000001E-5</v>
      </c>
      <c r="X1185" s="741">
        <f t="shared" ref="X1185" si="919">AA1185*(1+AC1185)</f>
        <v>6.7260750000000001E-5</v>
      </c>
      <c r="Y1185" s="52">
        <v>2009</v>
      </c>
      <c r="Z1185" s="52"/>
      <c r="AA1185" s="739">
        <f>+N1185/1000</f>
        <v>8.9680999999999997E-5</v>
      </c>
      <c r="AB1185" s="256">
        <v>-0.25</v>
      </c>
      <c r="AC1185" s="688">
        <f t="shared" si="861"/>
        <v>-0.25</v>
      </c>
      <c r="AD1185" s="164"/>
      <c r="AE1185" s="164"/>
      <c r="AF1185" s="25"/>
      <c r="AG1185" s="26"/>
      <c r="AH1185" s="275"/>
      <c r="AI1185" s="52"/>
      <c r="AJ1185" s="35"/>
      <c r="AK1185" s="289"/>
      <c r="AL1185" s="290"/>
      <c r="AM1185" s="211"/>
      <c r="AN1185" s="164"/>
      <c r="AO1185" s="594"/>
      <c r="AP1185" s="595"/>
      <c r="AQ1185" s="275"/>
      <c r="AR1185" s="52"/>
      <c r="AS1185" s="596"/>
      <c r="AT1185" s="79"/>
      <c r="AU1185" s="212"/>
      <c r="AV1185" s="164"/>
      <c r="AW1185" s="164"/>
      <c r="AX1185" s="76"/>
      <c r="AY1185" s="44"/>
      <c r="AZ1185" s="275"/>
      <c r="BA1185" s="52"/>
      <c r="BB1185" s="35"/>
      <c r="BC1185" s="79"/>
      <c r="BD1185" s="230"/>
      <c r="BE1185" s="211"/>
      <c r="BF1185" s="164"/>
      <c r="BG1185" s="76"/>
      <c r="BH1185" s="44"/>
      <c r="BI1185" s="275"/>
      <c r="BJ1185" s="52"/>
      <c r="BK1185" s="35"/>
      <c r="BL1185" s="79"/>
      <c r="BM1185" s="230"/>
      <c r="BN1185" s="211"/>
      <c r="BO1185" s="164"/>
      <c r="BP1185" s="726"/>
      <c r="BQ1185" s="727"/>
      <c r="BR1185" s="299"/>
      <c r="BS1185" s="35"/>
      <c r="BT1185" s="596"/>
      <c r="BU1185" s="79"/>
      <c r="BV1185" s="212"/>
      <c r="BW1185" s="304"/>
      <c r="BX1185" s="313"/>
      <c r="BY1185" s="138"/>
    </row>
    <row r="1186" spans="1:77" ht="15" customHeight="1" outlineLevel="1" x14ac:dyDescent="0.2">
      <c r="A1186" s="57" t="s">
        <v>24</v>
      </c>
      <c r="B1186" s="583" t="s">
        <v>477</v>
      </c>
      <c r="C1186" s="583" t="s">
        <v>1525</v>
      </c>
      <c r="D1186" s="818">
        <v>0.189</v>
      </c>
      <c r="E1186" s="162" t="s">
        <v>631</v>
      </c>
      <c r="F1186" s="358"/>
      <c r="G1186" s="65"/>
      <c r="H1186" s="73"/>
      <c r="I1186" s="90"/>
      <c r="J1186" s="73"/>
      <c r="K1186" s="790">
        <v>8.4999999999999995E-4</v>
      </c>
      <c r="L1186" s="717"/>
      <c r="M1186" s="73"/>
      <c r="N1186" s="359"/>
      <c r="O1186" s="1041"/>
      <c r="P1186" s="73"/>
      <c r="Q1186" s="359"/>
      <c r="R1186" s="1041"/>
      <c r="S1186" s="73"/>
      <c r="T1186" s="359"/>
      <c r="U1186" s="73"/>
      <c r="V1186" s="66"/>
      <c r="W1186" s="808">
        <f t="shared" ref="W1186:W1187" si="920">AA1186*(1+AB1186)</f>
        <v>9.3499999999999984E-8</v>
      </c>
      <c r="X1186" s="809">
        <f t="shared" ref="X1186:X1187" si="921">AA1186*(1+AC1186)</f>
        <v>9.3499999999999984E-8</v>
      </c>
      <c r="Y1186" s="52">
        <v>2005</v>
      </c>
      <c r="Z1186" s="52"/>
      <c r="AA1186" s="787">
        <f t="shared" ref="AA1186:AA1188" si="922">+K1186/1000</f>
        <v>8.4999999999999991E-7</v>
      </c>
      <c r="AB1186" s="256">
        <v>-0.89</v>
      </c>
      <c r="AC1186" s="688">
        <f t="shared" ref="AC1186:AC1188" si="923">AB1186</f>
        <v>-0.89</v>
      </c>
      <c r="AD1186" s="164"/>
      <c r="AE1186" s="164"/>
      <c r="AF1186" s="25"/>
      <c r="AG1186" s="26"/>
      <c r="AH1186" s="275"/>
      <c r="AI1186" s="52"/>
      <c r="AJ1186" s="35"/>
      <c r="AK1186" s="289"/>
      <c r="AL1186" s="290"/>
      <c r="AM1186" s="211"/>
      <c r="AN1186" s="164"/>
      <c r="AO1186" s="594"/>
      <c r="AP1186" s="595"/>
      <c r="AQ1186" s="275"/>
      <c r="AR1186" s="52"/>
      <c r="AS1186" s="596"/>
      <c r="AT1186" s="79"/>
      <c r="AU1186" s="212"/>
      <c r="AV1186" s="164"/>
      <c r="AW1186" s="164"/>
      <c r="AX1186" s="76"/>
      <c r="AY1186" s="44"/>
      <c r="AZ1186" s="275"/>
      <c r="BA1186" s="52"/>
      <c r="BB1186" s="35"/>
      <c r="BC1186" s="79"/>
      <c r="BD1186" s="230"/>
      <c r="BE1186" s="211"/>
      <c r="BF1186" s="164"/>
      <c r="BG1186" s="76"/>
      <c r="BH1186" s="44"/>
      <c r="BI1186" s="275"/>
      <c r="BJ1186" s="52"/>
      <c r="BK1186" s="35"/>
      <c r="BL1186" s="79"/>
      <c r="BM1186" s="230"/>
      <c r="BN1186" s="211"/>
      <c r="BO1186" s="164"/>
      <c r="BP1186" s="726"/>
      <c r="BQ1186" s="727"/>
      <c r="BR1186" s="299"/>
      <c r="BS1186" s="35"/>
      <c r="BT1186" s="596"/>
      <c r="BU1186" s="79"/>
      <c r="BV1186" s="212"/>
      <c r="BW1186" s="304"/>
      <c r="BX1186" s="313"/>
      <c r="BY1186" s="138"/>
    </row>
    <row r="1187" spans="1:77" ht="15" customHeight="1" outlineLevel="1" x14ac:dyDescent="0.2">
      <c r="A1187" s="57" t="s">
        <v>24</v>
      </c>
      <c r="B1187" s="583" t="s">
        <v>477</v>
      </c>
      <c r="C1187" s="583" t="s">
        <v>1647</v>
      </c>
      <c r="D1187" s="818">
        <v>9.0530000000000008</v>
      </c>
      <c r="E1187" s="162" t="s">
        <v>631</v>
      </c>
      <c r="F1187" s="358"/>
      <c r="G1187" s="65"/>
      <c r="H1187" s="73"/>
      <c r="I1187" s="90"/>
      <c r="J1187" s="73"/>
      <c r="K1187" s="790">
        <v>3.9634000000000003E-2</v>
      </c>
      <c r="L1187" s="717"/>
      <c r="M1187" s="73"/>
      <c r="N1187" s="359"/>
      <c r="O1187" s="1041"/>
      <c r="P1187" s="73"/>
      <c r="Q1187" s="359"/>
      <c r="R1187" s="1041"/>
      <c r="S1187" s="73"/>
      <c r="T1187" s="359"/>
      <c r="U1187" s="73"/>
      <c r="V1187" s="66"/>
      <c r="W1187" s="788">
        <f t="shared" si="920"/>
        <v>2.9725499999999999E-5</v>
      </c>
      <c r="X1187" s="789">
        <f t="shared" si="921"/>
        <v>2.9725499999999999E-5</v>
      </c>
      <c r="Y1187" s="52">
        <v>2005</v>
      </c>
      <c r="Z1187" s="52"/>
      <c r="AA1187" s="787">
        <f t="shared" si="922"/>
        <v>3.9634E-5</v>
      </c>
      <c r="AB1187" s="256">
        <v>-0.25</v>
      </c>
      <c r="AC1187" s="688">
        <f t="shared" si="923"/>
        <v>-0.25</v>
      </c>
      <c r="AD1187" s="164"/>
      <c r="AE1187" s="164"/>
      <c r="AF1187" s="25"/>
      <c r="AG1187" s="26"/>
      <c r="AH1187" s="275"/>
      <c r="AI1187" s="52"/>
      <c r="AJ1187" s="35"/>
      <c r="AK1187" s="289"/>
      <c r="AL1187" s="290"/>
      <c r="AM1187" s="211"/>
      <c r="AN1187" s="164"/>
      <c r="AO1187" s="594"/>
      <c r="AP1187" s="595"/>
      <c r="AQ1187" s="275"/>
      <c r="AR1187" s="52"/>
      <c r="AS1187" s="596"/>
      <c r="AT1187" s="79"/>
      <c r="AU1187" s="212"/>
      <c r="AV1187" s="164"/>
      <c r="AW1187" s="164"/>
      <c r="AX1187" s="76"/>
      <c r="AY1187" s="44"/>
      <c r="AZ1187" s="275"/>
      <c r="BA1187" s="52"/>
      <c r="BB1187" s="35"/>
      <c r="BC1187" s="79"/>
      <c r="BD1187" s="230"/>
      <c r="BE1187" s="211"/>
      <c r="BF1187" s="164"/>
      <c r="BG1187" s="76"/>
      <c r="BH1187" s="44"/>
      <c r="BI1187" s="275"/>
      <c r="BJ1187" s="52"/>
      <c r="BK1187" s="35"/>
      <c r="BL1187" s="79"/>
      <c r="BM1187" s="230"/>
      <c r="BN1187" s="211"/>
      <c r="BO1187" s="164"/>
      <c r="BP1187" s="726"/>
      <c r="BQ1187" s="727"/>
      <c r="BR1187" s="299"/>
      <c r="BS1187" s="35"/>
      <c r="BT1187" s="596"/>
      <c r="BU1187" s="79"/>
      <c r="BV1187" s="212"/>
      <c r="BW1187" s="304"/>
      <c r="BX1187" s="313"/>
      <c r="BY1187" s="138"/>
    </row>
    <row r="1188" spans="1:77" ht="15" customHeight="1" outlineLevel="1" x14ac:dyDescent="0.2">
      <c r="A1188" s="57" t="s">
        <v>24</v>
      </c>
      <c r="B1188" s="583" t="s">
        <v>477</v>
      </c>
      <c r="C1188" s="583" t="s">
        <v>1719</v>
      </c>
      <c r="D1188" s="818">
        <v>3.5</v>
      </c>
      <c r="E1188" s="162" t="s">
        <v>631</v>
      </c>
      <c r="F1188" s="358"/>
      <c r="G1188" s="65"/>
      <c r="H1188" s="73"/>
      <c r="I1188" s="90"/>
      <c r="J1188" s="73"/>
      <c r="K1188" s="790">
        <v>1.9626999999999999E-2</v>
      </c>
      <c r="L1188" s="717"/>
      <c r="M1188" s="73"/>
      <c r="N1188" s="359"/>
      <c r="O1188" s="1041"/>
      <c r="P1188" s="73"/>
      <c r="Q1188" s="359"/>
      <c r="R1188" s="1041"/>
      <c r="S1188" s="73"/>
      <c r="T1188" s="359"/>
      <c r="U1188" s="73"/>
      <c r="V1188" s="66"/>
      <c r="W1188" s="788">
        <f t="shared" ref="W1188" si="924">AA1188*(1+AB1188)</f>
        <v>1.472025E-5</v>
      </c>
      <c r="X1188" s="789">
        <f t="shared" ref="X1188" si="925">AA1188*(1+AC1188)</f>
        <v>1.472025E-5</v>
      </c>
      <c r="Y1188" s="52">
        <v>2005</v>
      </c>
      <c r="Z1188" s="52"/>
      <c r="AA1188" s="787">
        <f t="shared" si="922"/>
        <v>1.9627E-5</v>
      </c>
      <c r="AB1188" s="256">
        <v>-0.25</v>
      </c>
      <c r="AC1188" s="688">
        <f t="shared" si="923"/>
        <v>-0.25</v>
      </c>
      <c r="AD1188" s="164"/>
      <c r="AE1188" s="164"/>
      <c r="AF1188" s="25"/>
      <c r="AG1188" s="26"/>
      <c r="AH1188" s="275"/>
      <c r="AI1188" s="52"/>
      <c r="AJ1188" s="35"/>
      <c r="AK1188" s="289"/>
      <c r="AL1188" s="290"/>
      <c r="AM1188" s="211"/>
      <c r="AN1188" s="164"/>
      <c r="AO1188" s="594"/>
      <c r="AP1188" s="595"/>
      <c r="AQ1188" s="275"/>
      <c r="AR1188" s="52"/>
      <c r="AS1188" s="596"/>
      <c r="AT1188" s="79"/>
      <c r="AU1188" s="212"/>
      <c r="AV1188" s="164"/>
      <c r="AW1188" s="164"/>
      <c r="AX1188" s="76"/>
      <c r="AY1188" s="44"/>
      <c r="AZ1188" s="275"/>
      <c r="BA1188" s="52"/>
      <c r="BB1188" s="35"/>
      <c r="BC1188" s="79"/>
      <c r="BD1188" s="230"/>
      <c r="BE1188" s="211"/>
      <c r="BF1188" s="164"/>
      <c r="BG1188" s="76"/>
      <c r="BH1188" s="44"/>
      <c r="BI1188" s="275"/>
      <c r="BJ1188" s="52"/>
      <c r="BK1188" s="35"/>
      <c r="BL1188" s="79"/>
      <c r="BM1188" s="230"/>
      <c r="BN1188" s="211"/>
      <c r="BO1188" s="164"/>
      <c r="BP1188" s="726"/>
      <c r="BQ1188" s="727"/>
      <c r="BR1188" s="299"/>
      <c r="BS1188" s="35"/>
      <c r="BT1188" s="596"/>
      <c r="BU1188" s="79"/>
      <c r="BV1188" s="212"/>
      <c r="BW1188" s="304"/>
      <c r="BX1188" s="313"/>
      <c r="BY1188" s="138"/>
    </row>
    <row r="1189" spans="1:77" ht="15" customHeight="1" outlineLevel="1" x14ac:dyDescent="0.2">
      <c r="A1189" s="57" t="s">
        <v>24</v>
      </c>
      <c r="B1189" s="583" t="s">
        <v>477</v>
      </c>
      <c r="C1189" s="583" t="s">
        <v>1514</v>
      </c>
      <c r="D1189" s="546">
        <v>0.65400000000000003</v>
      </c>
      <c r="E1189" s="162" t="s">
        <v>631</v>
      </c>
      <c r="F1189" s="358"/>
      <c r="G1189" s="65"/>
      <c r="H1189" s="73"/>
      <c r="I1189" s="90"/>
      <c r="J1189" s="73"/>
      <c r="K1189" s="734">
        <v>8.4799999999999997E-3</v>
      </c>
      <c r="L1189" s="717"/>
      <c r="M1189" s="73"/>
      <c r="N1189" s="359"/>
      <c r="O1189" s="1041"/>
      <c r="P1189" s="73"/>
      <c r="Q1189" s="359"/>
      <c r="R1189" s="1041"/>
      <c r="S1189" s="73"/>
      <c r="T1189" s="359"/>
      <c r="U1189" s="73"/>
      <c r="V1189" s="66"/>
      <c r="W1189" s="740">
        <f t="shared" ref="W1189" si="926">AA1189*(1+AB1189)</f>
        <v>5.8512E-6</v>
      </c>
      <c r="X1189" s="741">
        <f t="shared" ref="X1189" si="927">AA1189*(1+AC1189)</f>
        <v>5.8512E-6</v>
      </c>
      <c r="Y1189" s="52">
        <v>2005</v>
      </c>
      <c r="Z1189" s="52"/>
      <c r="AA1189" s="739">
        <f t="shared" ref="AA1189" si="928">+K1189/1000</f>
        <v>8.4800000000000001E-6</v>
      </c>
      <c r="AB1189" s="256">
        <v>-0.31</v>
      </c>
      <c r="AC1189" s="688">
        <f t="shared" ref="AC1189:AC1190" si="929">AB1189</f>
        <v>-0.31</v>
      </c>
      <c r="AD1189" s="164"/>
      <c r="AE1189" s="164"/>
      <c r="AF1189" s="25"/>
      <c r="AG1189" s="26"/>
      <c r="AH1189" s="275"/>
      <c r="AI1189" s="52"/>
      <c r="AJ1189" s="35"/>
      <c r="AK1189" s="289"/>
      <c r="AL1189" s="290"/>
      <c r="AM1189" s="211"/>
      <c r="AN1189" s="164"/>
      <c r="AO1189" s="594"/>
      <c r="AP1189" s="595"/>
      <c r="AQ1189" s="275"/>
      <c r="AR1189" s="52"/>
      <c r="AS1189" s="596"/>
      <c r="AT1189" s="79"/>
      <c r="AU1189" s="212"/>
      <c r="AV1189" s="164"/>
      <c r="AW1189" s="164"/>
      <c r="AX1189" s="76"/>
      <c r="AY1189" s="44"/>
      <c r="AZ1189" s="275"/>
      <c r="BA1189" s="52"/>
      <c r="BB1189" s="35"/>
      <c r="BC1189" s="79"/>
      <c r="BD1189" s="230"/>
      <c r="BE1189" s="211"/>
      <c r="BF1189" s="164"/>
      <c r="BG1189" s="76"/>
      <c r="BH1189" s="44"/>
      <c r="BI1189" s="275"/>
      <c r="BJ1189" s="52"/>
      <c r="BK1189" s="35"/>
      <c r="BL1189" s="79"/>
      <c r="BM1189" s="230"/>
      <c r="BN1189" s="211"/>
      <c r="BO1189" s="164"/>
      <c r="BP1189" s="726"/>
      <c r="BQ1189" s="727"/>
      <c r="BR1189" s="299"/>
      <c r="BS1189" s="35"/>
      <c r="BT1189" s="596"/>
      <c r="BU1189" s="79"/>
      <c r="BV1189" s="212"/>
      <c r="BW1189" s="304"/>
      <c r="BX1189" s="313"/>
      <c r="BY1189" s="138"/>
    </row>
    <row r="1190" spans="1:77" ht="15" customHeight="1" outlineLevel="1" x14ac:dyDescent="0.2">
      <c r="A1190" s="57" t="s">
        <v>24</v>
      </c>
      <c r="B1190" s="583" t="s">
        <v>477</v>
      </c>
      <c r="C1190" s="583" t="s">
        <v>1946</v>
      </c>
      <c r="D1190" s="546">
        <v>34.567999999999998</v>
      </c>
      <c r="E1190" s="162" t="s">
        <v>631</v>
      </c>
      <c r="F1190" s="358"/>
      <c r="G1190" s="65"/>
      <c r="H1190" s="73"/>
      <c r="I1190" s="90"/>
      <c r="J1190" s="73"/>
      <c r="K1190" s="734"/>
      <c r="L1190" s="717">
        <v>2011</v>
      </c>
      <c r="M1190" s="73"/>
      <c r="N1190" s="738">
        <v>0.127939</v>
      </c>
      <c r="O1190" s="1041"/>
      <c r="P1190" s="73"/>
      <c r="Q1190" s="359"/>
      <c r="R1190" s="1041"/>
      <c r="S1190" s="73"/>
      <c r="T1190" s="359"/>
      <c r="U1190" s="73"/>
      <c r="V1190" s="66"/>
      <c r="W1190" s="740">
        <f t="shared" ref="W1190" si="930">AA1190*(1+AB1190)</f>
        <v>9.3395470000000002E-5</v>
      </c>
      <c r="X1190" s="741">
        <f t="shared" ref="X1190" si="931">AA1190*(1+AC1190)</f>
        <v>9.3395470000000002E-5</v>
      </c>
      <c r="Y1190" s="52">
        <v>2011</v>
      </c>
      <c r="Z1190" s="52"/>
      <c r="AA1190" s="739">
        <f>+N1190/1000</f>
        <v>1.2793900000000001E-4</v>
      </c>
      <c r="AB1190" s="256">
        <v>-0.27</v>
      </c>
      <c r="AC1190" s="688">
        <f t="shared" si="929"/>
        <v>-0.27</v>
      </c>
      <c r="AD1190" s="164"/>
      <c r="AE1190" s="164"/>
      <c r="AF1190" s="25"/>
      <c r="AG1190" s="26"/>
      <c r="AH1190" s="275"/>
      <c r="AI1190" s="52"/>
      <c r="AJ1190" s="35"/>
      <c r="AK1190" s="289"/>
      <c r="AL1190" s="290"/>
      <c r="AM1190" s="211"/>
      <c r="AN1190" s="164"/>
      <c r="AO1190" s="594"/>
      <c r="AP1190" s="595"/>
      <c r="AQ1190" s="275"/>
      <c r="AR1190" s="52"/>
      <c r="AS1190" s="596"/>
      <c r="AT1190" s="79"/>
      <c r="AU1190" s="212"/>
      <c r="AV1190" s="164"/>
      <c r="AW1190" s="164"/>
      <c r="AX1190" s="76"/>
      <c r="AY1190" s="44"/>
      <c r="AZ1190" s="275"/>
      <c r="BA1190" s="52"/>
      <c r="BB1190" s="35"/>
      <c r="BC1190" s="79"/>
      <c r="BD1190" s="230"/>
      <c r="BE1190" s="211"/>
      <c r="BF1190" s="164"/>
      <c r="BG1190" s="76"/>
      <c r="BH1190" s="44"/>
      <c r="BI1190" s="275"/>
      <c r="BJ1190" s="52"/>
      <c r="BK1190" s="35"/>
      <c r="BL1190" s="79"/>
      <c r="BM1190" s="230"/>
      <c r="BN1190" s="211"/>
      <c r="BO1190" s="164"/>
      <c r="BP1190" s="726"/>
      <c r="BQ1190" s="727"/>
      <c r="BR1190" s="299"/>
      <c r="BS1190" s="35"/>
      <c r="BT1190" s="596"/>
      <c r="BU1190" s="79"/>
      <c r="BV1190" s="212"/>
      <c r="BW1190" s="304"/>
      <c r="BX1190" s="313"/>
      <c r="BY1190" s="138"/>
    </row>
    <row r="1191" spans="1:77" ht="15" customHeight="1" outlineLevel="1" x14ac:dyDescent="0.2">
      <c r="A1191" s="57" t="s">
        <v>24</v>
      </c>
      <c r="B1191" s="583" t="s">
        <v>477</v>
      </c>
      <c r="C1191" s="583" t="s">
        <v>1409</v>
      </c>
      <c r="D1191" s="546">
        <v>6.4</v>
      </c>
      <c r="E1191" s="162" t="s">
        <v>631</v>
      </c>
      <c r="F1191" s="358"/>
      <c r="G1191" s="65"/>
      <c r="H1191" s="73"/>
      <c r="I1191" s="90"/>
      <c r="J1191" s="73"/>
      <c r="K1191" s="734">
        <v>9.0805999999999998E-2</v>
      </c>
      <c r="L1191" s="717"/>
      <c r="M1191" s="73"/>
      <c r="N1191" s="359"/>
      <c r="O1191" s="1041"/>
      <c r="P1191" s="73"/>
      <c r="Q1191" s="359"/>
      <c r="R1191" s="1041"/>
      <c r="S1191" s="73"/>
      <c r="T1191" s="359"/>
      <c r="U1191" s="73"/>
      <c r="V1191" s="66"/>
      <c r="W1191" s="740">
        <f t="shared" ref="W1191:W1196" si="932">AA1191*(1+AB1191)</f>
        <v>6.356419999999999E-5</v>
      </c>
      <c r="X1191" s="741">
        <f t="shared" ref="X1191" si="933">AA1191*(1+AC1191)</f>
        <v>6.356419999999999E-5</v>
      </c>
      <c r="Y1191" s="52">
        <v>2005</v>
      </c>
      <c r="Z1191" s="52"/>
      <c r="AA1191" s="739">
        <f t="shared" ref="AA1191:AA1196" si="934">+K1191/1000</f>
        <v>9.0805999999999998E-5</v>
      </c>
      <c r="AB1191" s="256">
        <v>-0.3</v>
      </c>
      <c r="AC1191" s="688">
        <f t="shared" si="861"/>
        <v>-0.3</v>
      </c>
      <c r="AD1191" s="164"/>
      <c r="AE1191" s="164"/>
      <c r="AF1191" s="25"/>
      <c r="AG1191" s="26"/>
      <c r="AH1191" s="275"/>
      <c r="AI1191" s="52"/>
      <c r="AJ1191" s="35"/>
      <c r="AK1191" s="289"/>
      <c r="AL1191" s="290"/>
      <c r="AM1191" s="211"/>
      <c r="AN1191" s="164"/>
      <c r="AO1191" s="594"/>
      <c r="AP1191" s="595"/>
      <c r="AQ1191" s="275"/>
      <c r="AR1191" s="52"/>
      <c r="AS1191" s="596"/>
      <c r="AT1191" s="79"/>
      <c r="AU1191" s="212"/>
      <c r="AV1191" s="164"/>
      <c r="AW1191" s="164"/>
      <c r="AX1191" s="76"/>
      <c r="AY1191" s="44"/>
      <c r="AZ1191" s="275"/>
      <c r="BA1191" s="52"/>
      <c r="BB1191" s="35"/>
      <c r="BC1191" s="79"/>
      <c r="BD1191" s="230"/>
      <c r="BE1191" s="211"/>
      <c r="BF1191" s="164"/>
      <c r="BG1191" s="76"/>
      <c r="BH1191" s="44"/>
      <c r="BI1191" s="275"/>
      <c r="BJ1191" s="52"/>
      <c r="BK1191" s="35"/>
      <c r="BL1191" s="79"/>
      <c r="BM1191" s="230"/>
      <c r="BN1191" s="211"/>
      <c r="BO1191" s="164"/>
      <c r="BP1191" s="726"/>
      <c r="BQ1191" s="727"/>
      <c r="BR1191" s="299"/>
      <c r="BS1191" s="35"/>
      <c r="BT1191" s="596"/>
      <c r="BU1191" s="79"/>
      <c r="BV1191" s="212"/>
      <c r="BW1191" s="304"/>
      <c r="BX1191" s="313"/>
      <c r="BY1191" s="138"/>
    </row>
    <row r="1192" spans="1:77" ht="15" customHeight="1" outlineLevel="1" x14ac:dyDescent="0.2">
      <c r="A1192" s="57" t="s">
        <v>24</v>
      </c>
      <c r="B1192" s="583" t="s">
        <v>477</v>
      </c>
      <c r="C1192" s="583" t="s">
        <v>1754</v>
      </c>
      <c r="D1192" s="546">
        <v>12.009</v>
      </c>
      <c r="E1192" s="162" t="s">
        <v>631</v>
      </c>
      <c r="F1192" s="358"/>
      <c r="G1192" s="65"/>
      <c r="H1192" s="73"/>
      <c r="I1192" s="90"/>
      <c r="J1192" s="73"/>
      <c r="K1192" s="734">
        <v>7.5955999999999996E-2</v>
      </c>
      <c r="L1192" s="717"/>
      <c r="M1192" s="73"/>
      <c r="N1192" s="359"/>
      <c r="O1192" s="1041"/>
      <c r="P1192" s="73"/>
      <c r="Q1192" s="359"/>
      <c r="R1192" s="1041"/>
      <c r="S1192" s="73"/>
      <c r="T1192" s="359"/>
      <c r="U1192" s="73"/>
      <c r="V1192" s="66"/>
      <c r="W1192" s="740">
        <f t="shared" ref="W1192:W1194" si="935">AA1192*(1+AB1192)</f>
        <v>5.6966999999999992E-5</v>
      </c>
      <c r="X1192" s="741">
        <f t="shared" ref="X1192:X1194" si="936">AA1192*(1+AC1192)</f>
        <v>5.6966999999999992E-5</v>
      </c>
      <c r="Y1192" s="52">
        <v>2005</v>
      </c>
      <c r="Z1192" s="52"/>
      <c r="AA1192" s="739">
        <f t="shared" si="934"/>
        <v>7.5955999999999989E-5</v>
      </c>
      <c r="AB1192" s="256">
        <v>-0.25</v>
      </c>
      <c r="AC1192" s="688">
        <f t="shared" si="861"/>
        <v>-0.25</v>
      </c>
      <c r="AD1192" s="164"/>
      <c r="AE1192" s="164"/>
      <c r="AF1192" s="25"/>
      <c r="AG1192" s="26"/>
      <c r="AH1192" s="275"/>
      <c r="AI1192" s="52"/>
      <c r="AJ1192" s="35"/>
      <c r="AK1192" s="289"/>
      <c r="AL1192" s="290"/>
      <c r="AM1192" s="211"/>
      <c r="AN1192" s="164"/>
      <c r="AO1192" s="594"/>
      <c r="AP1192" s="595"/>
      <c r="AQ1192" s="275"/>
      <c r="AR1192" s="52"/>
      <c r="AS1192" s="596"/>
      <c r="AT1192" s="79"/>
      <c r="AU1192" s="212"/>
      <c r="AV1192" s="164"/>
      <c r="AW1192" s="164"/>
      <c r="AX1192" s="76"/>
      <c r="AY1192" s="44"/>
      <c r="AZ1192" s="275"/>
      <c r="BA1192" s="52"/>
      <c r="BB1192" s="35"/>
      <c r="BC1192" s="79"/>
      <c r="BD1192" s="230"/>
      <c r="BE1192" s="211"/>
      <c r="BF1192" s="164"/>
      <c r="BG1192" s="76"/>
      <c r="BH1192" s="44"/>
      <c r="BI1192" s="275"/>
      <c r="BJ1192" s="52"/>
      <c r="BK1192" s="35"/>
      <c r="BL1192" s="79"/>
      <c r="BM1192" s="230"/>
      <c r="BN1192" s="211"/>
      <c r="BO1192" s="164"/>
      <c r="BP1192" s="726"/>
      <c r="BQ1192" s="727"/>
      <c r="BR1192" s="299"/>
      <c r="BS1192" s="35"/>
      <c r="BT1192" s="596"/>
      <c r="BU1192" s="79"/>
      <c r="BV1192" s="212"/>
      <c r="BW1192" s="304"/>
      <c r="BX1192" s="313"/>
      <c r="BY1192" s="138"/>
    </row>
    <row r="1193" spans="1:77" ht="15" customHeight="1" outlineLevel="1" x14ac:dyDescent="0.2">
      <c r="A1193" s="57" t="s">
        <v>24</v>
      </c>
      <c r="B1193" s="583" t="s">
        <v>477</v>
      </c>
      <c r="C1193" s="583" t="s">
        <v>1895</v>
      </c>
      <c r="D1193" s="546">
        <v>0.64700000000000002</v>
      </c>
      <c r="E1193" s="162" t="s">
        <v>631</v>
      </c>
      <c r="F1193" s="358"/>
      <c r="G1193" s="65"/>
      <c r="H1193" s="73"/>
      <c r="I1193" s="90"/>
      <c r="J1193" s="73"/>
      <c r="K1193" s="734">
        <v>2.1840000000000002E-3</v>
      </c>
      <c r="L1193" s="717"/>
      <c r="M1193" s="73"/>
      <c r="N1193" s="359"/>
      <c r="O1193" s="1041"/>
      <c r="P1193" s="73"/>
      <c r="Q1193" s="359"/>
      <c r="R1193" s="1041"/>
      <c r="S1193" s="73"/>
      <c r="T1193" s="359"/>
      <c r="U1193" s="73"/>
      <c r="V1193" s="66"/>
      <c r="W1193" s="740">
        <f t="shared" si="935"/>
        <v>1.61616E-6</v>
      </c>
      <c r="X1193" s="741">
        <f t="shared" si="936"/>
        <v>1.61616E-6</v>
      </c>
      <c r="Y1193" s="52">
        <v>2005</v>
      </c>
      <c r="Z1193" s="52"/>
      <c r="AA1193" s="739">
        <f>+K1193/1000</f>
        <v>2.1840000000000002E-6</v>
      </c>
      <c r="AB1193" s="256">
        <v>-0.26</v>
      </c>
      <c r="AC1193" s="688">
        <f t="shared" si="861"/>
        <v>-0.26</v>
      </c>
      <c r="AD1193" s="164"/>
      <c r="AE1193" s="164"/>
      <c r="AF1193" s="25"/>
      <c r="AG1193" s="26"/>
      <c r="AH1193" s="275"/>
      <c r="AI1193" s="52"/>
      <c r="AJ1193" s="35"/>
      <c r="AK1193" s="289"/>
      <c r="AL1193" s="290"/>
      <c r="AM1193" s="211"/>
      <c r="AN1193" s="164"/>
      <c r="AO1193" s="594"/>
      <c r="AP1193" s="595"/>
      <c r="AQ1193" s="275"/>
      <c r="AR1193" s="52"/>
      <c r="AS1193" s="596"/>
      <c r="AT1193" s="79"/>
      <c r="AU1193" s="212"/>
      <c r="AV1193" s="164"/>
      <c r="AW1193" s="164"/>
      <c r="AX1193" s="76"/>
      <c r="AY1193" s="44"/>
      <c r="AZ1193" s="275"/>
      <c r="BA1193" s="52"/>
      <c r="BB1193" s="35"/>
      <c r="BC1193" s="79"/>
      <c r="BD1193" s="230"/>
      <c r="BE1193" s="211"/>
      <c r="BF1193" s="164"/>
      <c r="BG1193" s="76"/>
      <c r="BH1193" s="44"/>
      <c r="BI1193" s="275"/>
      <c r="BJ1193" s="52"/>
      <c r="BK1193" s="35"/>
      <c r="BL1193" s="79"/>
      <c r="BM1193" s="230"/>
      <c r="BN1193" s="211"/>
      <c r="BO1193" s="164"/>
      <c r="BP1193" s="726"/>
      <c r="BQ1193" s="727"/>
      <c r="BR1193" s="299"/>
      <c r="BS1193" s="35"/>
      <c r="BT1193" s="596"/>
      <c r="BU1193" s="79"/>
      <c r="BV1193" s="212"/>
      <c r="BW1193" s="304"/>
      <c r="BX1193" s="313"/>
      <c r="BY1193" s="138"/>
    </row>
    <row r="1194" spans="1:77" ht="15" customHeight="1" outlineLevel="1" x14ac:dyDescent="0.2">
      <c r="A1194" s="57" t="s">
        <v>24</v>
      </c>
      <c r="B1194" s="583" t="s">
        <v>477</v>
      </c>
      <c r="C1194" s="583" t="s">
        <v>1790</v>
      </c>
      <c r="D1194" s="546">
        <v>4.0309999999999997</v>
      </c>
      <c r="E1194" s="162" t="s">
        <v>631</v>
      </c>
      <c r="F1194" s="358"/>
      <c r="G1194" s="65"/>
      <c r="H1194" s="73"/>
      <c r="I1194" s="90"/>
      <c r="J1194" s="73"/>
      <c r="K1194" s="734">
        <v>1.2312E-2</v>
      </c>
      <c r="L1194" s="717"/>
      <c r="M1194" s="73"/>
      <c r="N1194" s="359"/>
      <c r="O1194" s="1041"/>
      <c r="P1194" s="73"/>
      <c r="Q1194" s="359"/>
      <c r="R1194" s="1041"/>
      <c r="S1194" s="73"/>
      <c r="T1194" s="359"/>
      <c r="U1194" s="73"/>
      <c r="V1194" s="66"/>
      <c r="W1194" s="788">
        <f t="shared" si="935"/>
        <v>9.234E-6</v>
      </c>
      <c r="X1194" s="789">
        <f t="shared" si="936"/>
        <v>9.234E-6</v>
      </c>
      <c r="Y1194" s="52">
        <v>2005</v>
      </c>
      <c r="Z1194" s="52"/>
      <c r="AA1194" s="787">
        <f t="shared" si="934"/>
        <v>1.2312E-5</v>
      </c>
      <c r="AB1194" s="256">
        <v>-0.25</v>
      </c>
      <c r="AC1194" s="688">
        <f t="shared" si="861"/>
        <v>-0.25</v>
      </c>
      <c r="AD1194" s="164"/>
      <c r="AE1194" s="164"/>
      <c r="AF1194" s="25"/>
      <c r="AG1194" s="26"/>
      <c r="AH1194" s="275"/>
      <c r="AI1194" s="52"/>
      <c r="AJ1194" s="35"/>
      <c r="AK1194" s="289"/>
      <c r="AL1194" s="290"/>
      <c r="AM1194" s="211"/>
      <c r="AN1194" s="164"/>
      <c r="AO1194" s="594"/>
      <c r="AP1194" s="595"/>
      <c r="AQ1194" s="275"/>
      <c r="AR1194" s="52"/>
      <c r="AS1194" s="596"/>
      <c r="AT1194" s="79"/>
      <c r="AU1194" s="212"/>
      <c r="AV1194" s="164"/>
      <c r="AW1194" s="164"/>
      <c r="AX1194" s="76"/>
      <c r="AY1194" s="44"/>
      <c r="AZ1194" s="275"/>
      <c r="BA1194" s="52"/>
      <c r="BB1194" s="35"/>
      <c r="BC1194" s="79"/>
      <c r="BD1194" s="230"/>
      <c r="BE1194" s="211"/>
      <c r="BF1194" s="164"/>
      <c r="BG1194" s="76"/>
      <c r="BH1194" s="44"/>
      <c r="BI1194" s="275"/>
      <c r="BJ1194" s="52"/>
      <c r="BK1194" s="35"/>
      <c r="BL1194" s="79"/>
      <c r="BM1194" s="230"/>
      <c r="BN1194" s="211"/>
      <c r="BO1194" s="164"/>
      <c r="BP1194" s="726"/>
      <c r="BQ1194" s="727"/>
      <c r="BR1194" s="299"/>
      <c r="BS1194" s="35"/>
      <c r="BT1194" s="596"/>
      <c r="BU1194" s="79"/>
      <c r="BV1194" s="212"/>
      <c r="BW1194" s="304"/>
      <c r="BX1194" s="313"/>
      <c r="BY1194" s="138"/>
    </row>
    <row r="1195" spans="1:77" ht="15" customHeight="1" outlineLevel="1" x14ac:dyDescent="0.2">
      <c r="A1195" s="57" t="s">
        <v>24</v>
      </c>
      <c r="B1195" s="583" t="s">
        <v>477</v>
      </c>
      <c r="C1195" s="583" t="s">
        <v>1645</v>
      </c>
      <c r="D1195" s="546">
        <v>9.09</v>
      </c>
      <c r="E1195" s="162" t="s">
        <v>631</v>
      </c>
      <c r="F1195" s="358"/>
      <c r="G1195" s="65"/>
      <c r="H1195" s="73"/>
      <c r="I1195" s="90">
        <v>2006</v>
      </c>
      <c r="J1195" s="73"/>
      <c r="K1195" s="734">
        <v>5.9147999999999999E-2</v>
      </c>
      <c r="L1195" s="717"/>
      <c r="M1195" s="73"/>
      <c r="N1195" s="359"/>
      <c r="O1195" s="1041"/>
      <c r="P1195" s="73"/>
      <c r="Q1195" s="359"/>
      <c r="R1195" s="1041"/>
      <c r="S1195" s="73"/>
      <c r="T1195" s="359"/>
      <c r="U1195" s="73"/>
      <c r="V1195" s="66"/>
      <c r="W1195" s="740">
        <f t="shared" si="932"/>
        <v>4.4360999999999998E-5</v>
      </c>
      <c r="X1195" s="741">
        <f>AA1195*(1+AC1195)</f>
        <v>4.4360999999999998E-5</v>
      </c>
      <c r="Y1195" s="52">
        <v>2006</v>
      </c>
      <c r="Z1195" s="52"/>
      <c r="AA1195" s="739">
        <f t="shared" si="934"/>
        <v>5.9147999999999997E-5</v>
      </c>
      <c r="AB1195" s="256">
        <v>-0.25</v>
      </c>
      <c r="AC1195" s="688">
        <f t="shared" si="861"/>
        <v>-0.25</v>
      </c>
      <c r="AD1195" s="164"/>
      <c r="AE1195" s="164"/>
      <c r="AF1195" s="25"/>
      <c r="AG1195" s="26"/>
      <c r="AH1195" s="275"/>
      <c r="AI1195" s="52"/>
      <c r="AJ1195" s="35"/>
      <c r="AK1195" s="289"/>
      <c r="AL1195" s="290"/>
      <c r="AM1195" s="211"/>
      <c r="AN1195" s="164"/>
      <c r="AO1195" s="594"/>
      <c r="AP1195" s="595"/>
      <c r="AQ1195" s="275"/>
      <c r="AR1195" s="52"/>
      <c r="AS1195" s="596"/>
      <c r="AT1195" s="79"/>
      <c r="AU1195" s="212"/>
      <c r="AV1195" s="164"/>
      <c r="AW1195" s="164"/>
      <c r="AX1195" s="76"/>
      <c r="AY1195" s="44"/>
      <c r="AZ1195" s="275"/>
      <c r="BA1195" s="52"/>
      <c r="BB1195" s="35"/>
      <c r="BC1195" s="79"/>
      <c r="BD1195" s="230"/>
      <c r="BE1195" s="211"/>
      <c r="BF1195" s="164"/>
      <c r="BG1195" s="76"/>
      <c r="BH1195" s="44"/>
      <c r="BI1195" s="275"/>
      <c r="BJ1195" s="52"/>
      <c r="BK1195" s="35"/>
      <c r="BL1195" s="79"/>
      <c r="BM1195" s="230"/>
      <c r="BN1195" s="211"/>
      <c r="BO1195" s="164"/>
      <c r="BP1195" s="726"/>
      <c r="BQ1195" s="727"/>
      <c r="BR1195" s="299"/>
      <c r="BS1195" s="35"/>
      <c r="BT1195" s="596"/>
      <c r="BU1195" s="79"/>
      <c r="BV1195" s="212"/>
      <c r="BW1195" s="304"/>
      <c r="BX1195" s="313"/>
      <c r="BY1195" s="138"/>
    </row>
    <row r="1196" spans="1:77" ht="15" customHeight="1" outlineLevel="1" x14ac:dyDescent="0.2">
      <c r="A1196" s="583" t="s">
        <v>24</v>
      </c>
      <c r="B1196" s="583" t="s">
        <v>477</v>
      </c>
      <c r="C1196" s="583" t="s">
        <v>1800</v>
      </c>
      <c r="D1196" s="546">
        <v>1</v>
      </c>
      <c r="E1196" s="162" t="s">
        <v>631</v>
      </c>
      <c r="F1196" s="358"/>
      <c r="G1196" s="65"/>
      <c r="H1196" s="73"/>
      <c r="I1196" s="90"/>
      <c r="J1196" s="73"/>
      <c r="K1196" s="790">
        <v>6.0499999999999998E-3</v>
      </c>
      <c r="L1196" s="717"/>
      <c r="M1196" s="73"/>
      <c r="N1196" s="359"/>
      <c r="O1196" s="1041"/>
      <c r="P1196" s="73"/>
      <c r="Q1196" s="359"/>
      <c r="R1196" s="1041"/>
      <c r="S1196" s="73"/>
      <c r="T1196" s="359"/>
      <c r="U1196" s="73"/>
      <c r="V1196" s="66"/>
      <c r="W1196" s="740">
        <f t="shared" si="932"/>
        <v>4.5375000000000002E-6</v>
      </c>
      <c r="X1196" s="741">
        <f>AA1196*(1+AC1196)</f>
        <v>4.5375000000000002E-6</v>
      </c>
      <c r="Y1196" s="52">
        <v>2005</v>
      </c>
      <c r="Z1196" s="52"/>
      <c r="AA1196" s="739">
        <f t="shared" si="934"/>
        <v>6.0499999999999997E-6</v>
      </c>
      <c r="AB1196" s="256">
        <v>-0.25</v>
      </c>
      <c r="AC1196" s="688">
        <f t="shared" si="861"/>
        <v>-0.25</v>
      </c>
      <c r="AD1196" s="164"/>
      <c r="AE1196" s="164"/>
      <c r="AF1196" s="25"/>
      <c r="AG1196" s="26"/>
      <c r="AH1196" s="275"/>
      <c r="AI1196" s="52"/>
      <c r="AJ1196" s="35"/>
      <c r="AK1196" s="289"/>
      <c r="AL1196" s="290"/>
      <c r="AM1196" s="211"/>
      <c r="AN1196" s="164"/>
      <c r="AO1196" s="594"/>
      <c r="AP1196" s="595"/>
      <c r="AQ1196" s="275"/>
      <c r="AR1196" s="52"/>
      <c r="AS1196" s="596"/>
      <c r="AT1196" s="79"/>
      <c r="AU1196" s="212"/>
      <c r="AV1196" s="164"/>
      <c r="AW1196" s="164"/>
      <c r="AX1196" s="76"/>
      <c r="AY1196" s="44"/>
      <c r="AZ1196" s="275"/>
      <c r="BA1196" s="52"/>
      <c r="BB1196" s="35"/>
      <c r="BC1196" s="79"/>
      <c r="BD1196" s="230"/>
      <c r="BE1196" s="211"/>
      <c r="BF1196" s="164"/>
      <c r="BG1196" s="76"/>
      <c r="BH1196" s="44"/>
      <c r="BI1196" s="275"/>
      <c r="BJ1196" s="52"/>
      <c r="BK1196" s="35"/>
      <c r="BL1196" s="79"/>
      <c r="BM1196" s="230"/>
      <c r="BN1196" s="211"/>
      <c r="BO1196" s="164"/>
      <c r="BP1196" s="726"/>
      <c r="BQ1196" s="727"/>
      <c r="BR1196" s="299"/>
      <c r="BS1196" s="35"/>
      <c r="BT1196" s="596"/>
      <c r="BU1196" s="79"/>
      <c r="BV1196" s="212"/>
      <c r="BW1196" s="304"/>
      <c r="BX1196" s="313"/>
      <c r="BY1196" s="138"/>
    </row>
    <row r="1197" spans="1:77" ht="15" customHeight="1" outlineLevel="1" x14ac:dyDescent="0.2">
      <c r="A1197" s="57" t="s">
        <v>24</v>
      </c>
      <c r="B1197" s="583" t="s">
        <v>477</v>
      </c>
      <c r="C1197" s="583" t="s">
        <v>1603</v>
      </c>
      <c r="D1197" s="546">
        <v>1.4570000000000001</v>
      </c>
      <c r="E1197" s="162" t="s">
        <v>631</v>
      </c>
      <c r="F1197" s="358"/>
      <c r="G1197" s="65"/>
      <c r="H1197" s="73"/>
      <c r="I1197" s="90"/>
      <c r="J1197" s="73"/>
      <c r="K1197" s="734">
        <v>1.0753E-2</v>
      </c>
      <c r="L1197" s="717"/>
      <c r="M1197" s="73"/>
      <c r="N1197" s="359"/>
      <c r="O1197" s="1041"/>
      <c r="P1197" s="73"/>
      <c r="Q1197" s="359"/>
      <c r="R1197" s="1041"/>
      <c r="S1197" s="73"/>
      <c r="T1197" s="359"/>
      <c r="U1197" s="73"/>
      <c r="V1197" s="66"/>
      <c r="W1197" s="740">
        <f t="shared" ref="W1197:W1199" si="937">AA1197*(1+AB1197)</f>
        <v>6.8819200000000007E-6</v>
      </c>
      <c r="X1197" s="741">
        <f t="shared" ref="X1197:X1199" si="938">AA1197*(1+AC1197)</f>
        <v>6.8819200000000007E-6</v>
      </c>
      <c r="Y1197" s="52">
        <v>2005</v>
      </c>
      <c r="Z1197" s="52"/>
      <c r="AA1197" s="739">
        <f t="shared" ref="AA1197:AA1200" si="939">+K1197/1000</f>
        <v>1.0753E-5</v>
      </c>
      <c r="AB1197" s="256">
        <v>-0.36</v>
      </c>
      <c r="AC1197" s="688">
        <f t="shared" ref="AC1197:AC1199" si="940">AB1197</f>
        <v>-0.36</v>
      </c>
      <c r="AD1197" s="164"/>
      <c r="AE1197" s="164"/>
      <c r="AF1197" s="25"/>
      <c r="AG1197" s="26"/>
      <c r="AH1197" s="275"/>
      <c r="AI1197" s="52"/>
      <c r="AJ1197" s="35"/>
      <c r="AK1197" s="289"/>
      <c r="AL1197" s="290"/>
      <c r="AM1197" s="211"/>
      <c r="AN1197" s="164"/>
      <c r="AO1197" s="594"/>
      <c r="AP1197" s="595"/>
      <c r="AQ1197" s="275"/>
      <c r="AR1197" s="52"/>
      <c r="AS1197" s="596"/>
      <c r="AT1197" s="79"/>
      <c r="AU1197" s="212"/>
      <c r="AV1197" s="164"/>
      <c r="AW1197" s="164"/>
      <c r="AX1197" s="76"/>
      <c r="AY1197" s="44"/>
      <c r="AZ1197" s="275"/>
      <c r="BA1197" s="52"/>
      <c r="BB1197" s="35"/>
      <c r="BC1197" s="79"/>
      <c r="BD1197" s="230"/>
      <c r="BE1197" s="211"/>
      <c r="BF1197" s="164"/>
      <c r="BG1197" s="76"/>
      <c r="BH1197" s="44"/>
      <c r="BI1197" s="275"/>
      <c r="BJ1197" s="52"/>
      <c r="BK1197" s="35"/>
      <c r="BL1197" s="79"/>
      <c r="BM1197" s="230"/>
      <c r="BN1197" s="211"/>
      <c r="BO1197" s="164"/>
      <c r="BP1197" s="726"/>
      <c r="BQ1197" s="727"/>
      <c r="BR1197" s="299"/>
      <c r="BS1197" s="35"/>
      <c r="BT1197" s="596"/>
      <c r="BU1197" s="79"/>
      <c r="BV1197" s="212"/>
      <c r="BW1197" s="304"/>
      <c r="BX1197" s="313"/>
      <c r="BY1197" s="138"/>
    </row>
    <row r="1198" spans="1:77" ht="15" customHeight="1" outlineLevel="1" x14ac:dyDescent="0.2">
      <c r="A1198" s="57" t="s">
        <v>24</v>
      </c>
      <c r="B1198" s="583" t="s">
        <v>477</v>
      </c>
      <c r="C1198" s="583" t="s">
        <v>1700</v>
      </c>
      <c r="D1198" s="546">
        <v>4.327</v>
      </c>
      <c r="E1198" s="162" t="s">
        <v>631</v>
      </c>
      <c r="F1198" s="358"/>
      <c r="G1198" s="65"/>
      <c r="H1198" s="73"/>
      <c r="I1198" s="90"/>
      <c r="J1198" s="73"/>
      <c r="K1198" s="734">
        <v>1.4418E-2</v>
      </c>
      <c r="L1198" s="717"/>
      <c r="M1198" s="73"/>
      <c r="N1198" s="359"/>
      <c r="O1198" s="1041"/>
      <c r="P1198" s="73"/>
      <c r="Q1198" s="359"/>
      <c r="R1198" s="1041"/>
      <c r="S1198" s="73"/>
      <c r="T1198" s="359"/>
      <c r="U1198" s="73"/>
      <c r="V1198" s="66"/>
      <c r="W1198" s="740">
        <f t="shared" si="937"/>
        <v>1.0813500000000001E-5</v>
      </c>
      <c r="X1198" s="741">
        <f t="shared" si="938"/>
        <v>1.0813500000000001E-5</v>
      </c>
      <c r="Y1198" s="52">
        <v>2005</v>
      </c>
      <c r="Z1198" s="52"/>
      <c r="AA1198" s="739">
        <f t="shared" si="939"/>
        <v>1.4418E-5</v>
      </c>
      <c r="AB1198" s="256">
        <v>-0.25</v>
      </c>
      <c r="AC1198" s="688">
        <f t="shared" si="940"/>
        <v>-0.25</v>
      </c>
      <c r="AD1198" s="164"/>
      <c r="AE1198" s="164"/>
      <c r="AF1198" s="25"/>
      <c r="AG1198" s="26"/>
      <c r="AH1198" s="275"/>
      <c r="AI1198" s="52"/>
      <c r="AJ1198" s="35"/>
      <c r="AK1198" s="289"/>
      <c r="AL1198" s="290"/>
      <c r="AM1198" s="211"/>
      <c r="AN1198" s="164"/>
      <c r="AO1198" s="594"/>
      <c r="AP1198" s="595"/>
      <c r="AQ1198" s="275"/>
      <c r="AR1198" s="52"/>
      <c r="AS1198" s="596"/>
      <c r="AT1198" s="79"/>
      <c r="AU1198" s="212"/>
      <c r="AV1198" s="164"/>
      <c r="AW1198" s="164"/>
      <c r="AX1198" s="76"/>
      <c r="AY1198" s="44"/>
      <c r="AZ1198" s="275"/>
      <c r="BA1198" s="52"/>
      <c r="BB1198" s="35"/>
      <c r="BC1198" s="79"/>
      <c r="BD1198" s="230"/>
      <c r="BE1198" s="211"/>
      <c r="BF1198" s="164"/>
      <c r="BG1198" s="76"/>
      <c r="BH1198" s="44"/>
      <c r="BI1198" s="275"/>
      <c r="BJ1198" s="52"/>
      <c r="BK1198" s="35"/>
      <c r="BL1198" s="79"/>
      <c r="BM1198" s="230"/>
      <c r="BN1198" s="211"/>
      <c r="BO1198" s="164"/>
      <c r="BP1198" s="726"/>
      <c r="BQ1198" s="727"/>
      <c r="BR1198" s="299"/>
      <c r="BS1198" s="35"/>
      <c r="BT1198" s="596"/>
      <c r="BU1198" s="79"/>
      <c r="BV1198" s="212"/>
      <c r="BW1198" s="304"/>
      <c r="BX1198" s="313"/>
      <c r="BY1198" s="138"/>
    </row>
    <row r="1199" spans="1:77" ht="15" customHeight="1" outlineLevel="1" x14ac:dyDescent="0.2">
      <c r="A1199" s="57" t="s">
        <v>24</v>
      </c>
      <c r="B1199" s="583" t="s">
        <v>477</v>
      </c>
      <c r="C1199" s="583" t="s">
        <v>1971</v>
      </c>
      <c r="D1199" s="546">
        <v>3.2789999999999999</v>
      </c>
      <c r="E1199" s="162" t="s">
        <v>631</v>
      </c>
      <c r="F1199" s="358"/>
      <c r="G1199" s="65"/>
      <c r="H1199" s="73"/>
      <c r="I1199" s="90"/>
      <c r="J1199" s="73"/>
      <c r="K1199" s="734">
        <v>1.4711999999999999E-2</v>
      </c>
      <c r="L1199" s="717"/>
      <c r="M1199" s="73"/>
      <c r="N1199" s="359"/>
      <c r="O1199" s="1041"/>
      <c r="P1199" s="73"/>
      <c r="Q1199" s="359"/>
      <c r="R1199" s="1041"/>
      <c r="S1199" s="73"/>
      <c r="T1199" s="359"/>
      <c r="U1199" s="73"/>
      <c r="V1199" s="66"/>
      <c r="W1199" s="740">
        <f t="shared" si="937"/>
        <v>1.0739759999999999E-5</v>
      </c>
      <c r="X1199" s="741">
        <f t="shared" si="938"/>
        <v>1.0739759999999999E-5</v>
      </c>
      <c r="Y1199" s="52">
        <v>2005</v>
      </c>
      <c r="Z1199" s="52"/>
      <c r="AA1199" s="739">
        <f t="shared" si="939"/>
        <v>1.4711999999999999E-5</v>
      </c>
      <c r="AB1199" s="256">
        <v>-0.27</v>
      </c>
      <c r="AC1199" s="688">
        <f t="shared" si="940"/>
        <v>-0.27</v>
      </c>
      <c r="AD1199" s="164"/>
      <c r="AE1199" s="164"/>
      <c r="AF1199" s="25"/>
      <c r="AG1199" s="26"/>
      <c r="AH1199" s="275"/>
      <c r="AI1199" s="52"/>
      <c r="AJ1199" s="35"/>
      <c r="AK1199" s="289"/>
      <c r="AL1199" s="290"/>
      <c r="AM1199" s="211"/>
      <c r="AN1199" s="164"/>
      <c r="AO1199" s="594"/>
      <c r="AP1199" s="595"/>
      <c r="AQ1199" s="275"/>
      <c r="AR1199" s="52"/>
      <c r="AS1199" s="596"/>
      <c r="AT1199" s="79"/>
      <c r="AU1199" s="212"/>
      <c r="AV1199" s="164"/>
      <c r="AW1199" s="164"/>
      <c r="AX1199" s="76"/>
      <c r="AY1199" s="44"/>
      <c r="AZ1199" s="275"/>
      <c r="BA1199" s="52"/>
      <c r="BB1199" s="35"/>
      <c r="BC1199" s="79"/>
      <c r="BD1199" s="230"/>
      <c r="BE1199" s="211"/>
      <c r="BF1199" s="164"/>
      <c r="BG1199" s="76"/>
      <c r="BH1199" s="44"/>
      <c r="BI1199" s="275"/>
      <c r="BJ1199" s="52"/>
      <c r="BK1199" s="35"/>
      <c r="BL1199" s="79"/>
      <c r="BM1199" s="230"/>
      <c r="BN1199" s="211"/>
      <c r="BO1199" s="164"/>
      <c r="BP1199" s="726"/>
      <c r="BQ1199" s="727"/>
      <c r="BR1199" s="299"/>
      <c r="BS1199" s="35"/>
      <c r="BT1199" s="596"/>
      <c r="BU1199" s="79"/>
      <c r="BV1199" s="212"/>
      <c r="BW1199" s="304"/>
      <c r="BX1199" s="313"/>
      <c r="BY1199" s="138"/>
    </row>
    <row r="1200" spans="1:77" ht="15" customHeight="1" outlineLevel="1" x14ac:dyDescent="0.2">
      <c r="A1200" s="57" t="s">
        <v>24</v>
      </c>
      <c r="B1200" s="583" t="s">
        <v>477</v>
      </c>
      <c r="C1200" s="583" t="s">
        <v>1742</v>
      </c>
      <c r="D1200" s="546">
        <v>5.8380000000000001</v>
      </c>
      <c r="E1200" s="162" t="s">
        <v>631</v>
      </c>
      <c r="F1200" s="358"/>
      <c r="G1200" s="65"/>
      <c r="H1200" s="73"/>
      <c r="I1200" s="90"/>
      <c r="J1200" s="73"/>
      <c r="K1200" s="734">
        <v>8.0800000000000002E-4</v>
      </c>
      <c r="L1200" s="717"/>
      <c r="M1200" s="73"/>
      <c r="N1200" s="359"/>
      <c r="O1200" s="1041"/>
      <c r="P1200" s="73"/>
      <c r="Q1200" s="359"/>
      <c r="R1200" s="1041"/>
      <c r="S1200" s="73"/>
      <c r="T1200" s="359"/>
      <c r="U1200" s="73"/>
      <c r="V1200" s="66"/>
      <c r="W1200" s="740"/>
      <c r="X1200" s="741"/>
      <c r="Y1200" s="52"/>
      <c r="Z1200" s="52"/>
      <c r="AA1200" s="739">
        <f t="shared" si="939"/>
        <v>8.0800000000000004E-7</v>
      </c>
      <c r="AB1200" s="256"/>
      <c r="AC1200" s="688"/>
      <c r="AD1200" s="164"/>
      <c r="AE1200" s="164"/>
      <c r="AF1200" s="25"/>
      <c r="AG1200" s="26"/>
      <c r="AH1200" s="275"/>
      <c r="AI1200" s="52"/>
      <c r="AJ1200" s="35"/>
      <c r="AK1200" s="289"/>
      <c r="AL1200" s="290"/>
      <c r="AM1200" s="211"/>
      <c r="AN1200" s="164"/>
      <c r="AO1200" s="594"/>
      <c r="AP1200" s="595"/>
      <c r="AQ1200" s="275"/>
      <c r="AR1200" s="52"/>
      <c r="AS1200" s="596"/>
      <c r="AT1200" s="79"/>
      <c r="AU1200" s="212"/>
      <c r="AV1200" s="164"/>
      <c r="AW1200" s="164"/>
      <c r="AX1200" s="76"/>
      <c r="AY1200" s="44"/>
      <c r="AZ1200" s="275"/>
      <c r="BA1200" s="52"/>
      <c r="BB1200" s="35"/>
      <c r="BC1200" s="79"/>
      <c r="BD1200" s="230"/>
      <c r="BE1200" s="211"/>
      <c r="BF1200" s="164"/>
      <c r="BG1200" s="76"/>
      <c r="BH1200" s="44"/>
      <c r="BI1200" s="275"/>
      <c r="BJ1200" s="52"/>
      <c r="BK1200" s="35"/>
      <c r="BL1200" s="79"/>
      <c r="BM1200" s="230"/>
      <c r="BN1200" s="211"/>
      <c r="BO1200" s="164"/>
      <c r="BP1200" s="726"/>
      <c r="BQ1200" s="727"/>
      <c r="BR1200" s="299"/>
      <c r="BS1200" s="35"/>
      <c r="BT1200" s="596"/>
      <c r="BU1200" s="79"/>
      <c r="BV1200" s="212"/>
      <c r="BW1200" s="304"/>
      <c r="BX1200" s="313"/>
      <c r="BY1200" s="138"/>
    </row>
    <row r="1201" spans="1:77" ht="15" customHeight="1" outlineLevel="1" x14ac:dyDescent="0.2">
      <c r="A1201" s="57" t="s">
        <v>24</v>
      </c>
      <c r="B1201" s="583" t="s">
        <v>477</v>
      </c>
      <c r="C1201" s="583" t="s">
        <v>1452</v>
      </c>
      <c r="D1201" s="546">
        <v>6.09</v>
      </c>
      <c r="E1201" s="162" t="s">
        <v>631</v>
      </c>
      <c r="F1201" s="358"/>
      <c r="G1201" s="65"/>
      <c r="H1201" s="73"/>
      <c r="I1201" s="90"/>
      <c r="J1201" s="73"/>
      <c r="K1201" s="734">
        <v>2.7688000000000001E-2</v>
      </c>
      <c r="L1201" s="717"/>
      <c r="M1201" s="73"/>
      <c r="N1201" s="359"/>
      <c r="O1201" s="1041"/>
      <c r="P1201" s="73"/>
      <c r="Q1201" s="359"/>
      <c r="R1201" s="1041"/>
      <c r="S1201" s="73"/>
      <c r="T1201" s="359"/>
      <c r="U1201" s="73"/>
      <c r="V1201" s="66"/>
      <c r="W1201" s="740">
        <f t="shared" ref="W1201" si="941">AA1201*(1+AB1201)</f>
        <v>1.6612799999999998E-5</v>
      </c>
      <c r="X1201" s="741">
        <f t="shared" ref="X1201" si="942">AA1201*(1+AC1201)</f>
        <v>1.6612799999999998E-5</v>
      </c>
      <c r="Y1201" s="52">
        <v>2005</v>
      </c>
      <c r="Z1201" s="52"/>
      <c r="AA1201" s="739">
        <f t="shared" ref="AA1201" si="943">+K1201/1000</f>
        <v>2.7688E-5</v>
      </c>
      <c r="AB1201" s="256">
        <v>-0.4</v>
      </c>
      <c r="AC1201" s="688">
        <f t="shared" si="861"/>
        <v>-0.4</v>
      </c>
      <c r="AD1201" s="164"/>
      <c r="AE1201" s="164"/>
      <c r="AF1201" s="25"/>
      <c r="AG1201" s="26"/>
      <c r="AH1201" s="275"/>
      <c r="AI1201" s="52"/>
      <c r="AJ1201" s="35"/>
      <c r="AK1201" s="289"/>
      <c r="AL1201" s="290"/>
      <c r="AM1201" s="211"/>
      <c r="AN1201" s="164"/>
      <c r="AO1201" s="594"/>
      <c r="AP1201" s="595"/>
      <c r="AQ1201" s="275"/>
      <c r="AR1201" s="52"/>
      <c r="AS1201" s="596"/>
      <c r="AT1201" s="79"/>
      <c r="AU1201" s="212"/>
      <c r="AV1201" s="164"/>
      <c r="AW1201" s="164"/>
      <c r="AX1201" s="76"/>
      <c r="AY1201" s="44"/>
      <c r="AZ1201" s="275"/>
      <c r="BA1201" s="52"/>
      <c r="BB1201" s="35"/>
      <c r="BC1201" s="79"/>
      <c r="BD1201" s="230"/>
      <c r="BE1201" s="211"/>
      <c r="BF1201" s="164"/>
      <c r="BG1201" s="76"/>
      <c r="BH1201" s="44"/>
      <c r="BI1201" s="275"/>
      <c r="BJ1201" s="52"/>
      <c r="BK1201" s="35"/>
      <c r="BL1201" s="79"/>
      <c r="BM1201" s="230"/>
      <c r="BN1201" s="211"/>
      <c r="BO1201" s="164"/>
      <c r="BP1201" s="726"/>
      <c r="BQ1201" s="727"/>
      <c r="BR1201" s="299"/>
      <c r="BS1201" s="35"/>
      <c r="BT1201" s="596"/>
      <c r="BU1201" s="79"/>
      <c r="BV1201" s="212"/>
      <c r="BW1201" s="304"/>
      <c r="BX1201" s="313"/>
      <c r="BY1201" s="138"/>
    </row>
    <row r="1202" spans="1:77" ht="15" customHeight="1" outlineLevel="1" x14ac:dyDescent="0.2">
      <c r="A1202" s="57" t="s">
        <v>24</v>
      </c>
      <c r="B1202" s="583" t="s">
        <v>477</v>
      </c>
      <c r="C1202" s="583" t="s">
        <v>1408</v>
      </c>
      <c r="D1202" s="546">
        <v>1.8160000000000001</v>
      </c>
      <c r="E1202" s="162" t="s">
        <v>631</v>
      </c>
      <c r="F1202" s="358"/>
      <c r="G1202" s="65"/>
      <c r="H1202" s="73"/>
      <c r="I1202" s="90"/>
      <c r="J1202" s="73"/>
      <c r="K1202" s="734">
        <v>5.9049999999999997E-3</v>
      </c>
      <c r="L1202" s="717"/>
      <c r="M1202" s="73"/>
      <c r="N1202" s="359"/>
      <c r="O1202" s="1041"/>
      <c r="P1202" s="73"/>
      <c r="Q1202" s="359"/>
      <c r="R1202" s="1041"/>
      <c r="S1202" s="73"/>
      <c r="T1202" s="359"/>
      <c r="U1202" s="73"/>
      <c r="V1202" s="66"/>
      <c r="W1202" s="788">
        <f t="shared" ref="W1202" si="944">AA1202*(1+AB1202)</f>
        <v>4.1334999999999995E-6</v>
      </c>
      <c r="X1202" s="789">
        <f t="shared" ref="X1202" si="945">AA1202*(1+AC1202)</f>
        <v>4.1334999999999995E-6</v>
      </c>
      <c r="Y1202" s="52">
        <v>2005</v>
      </c>
      <c r="Z1202" s="52"/>
      <c r="AA1202" s="739">
        <f t="shared" ref="AA1202" si="946">+K1202/1000</f>
        <v>5.9049999999999994E-6</v>
      </c>
      <c r="AB1202" s="256">
        <v>-0.3</v>
      </c>
      <c r="AC1202" s="688">
        <f t="shared" si="861"/>
        <v>-0.3</v>
      </c>
      <c r="AD1202" s="164"/>
      <c r="AE1202" s="164"/>
      <c r="AF1202" s="25"/>
      <c r="AG1202" s="26"/>
      <c r="AH1202" s="275"/>
      <c r="AI1202" s="52"/>
      <c r="AJ1202" s="35"/>
      <c r="AK1202" s="289"/>
      <c r="AL1202" s="290"/>
      <c r="AM1202" s="211"/>
      <c r="AN1202" s="164"/>
      <c r="AO1202" s="594"/>
      <c r="AP1202" s="595"/>
      <c r="AQ1202" s="275"/>
      <c r="AR1202" s="52"/>
      <c r="AS1202" s="596"/>
      <c r="AT1202" s="79"/>
      <c r="AU1202" s="212"/>
      <c r="AV1202" s="164"/>
      <c r="AW1202" s="164"/>
      <c r="AX1202" s="76"/>
      <c r="AY1202" s="44"/>
      <c r="AZ1202" s="275"/>
      <c r="BA1202" s="52"/>
      <c r="BB1202" s="35"/>
      <c r="BC1202" s="79"/>
      <c r="BD1202" s="230"/>
      <c r="BE1202" s="211"/>
      <c r="BF1202" s="164"/>
      <c r="BG1202" s="76"/>
      <c r="BH1202" s="44"/>
      <c r="BI1202" s="275"/>
      <c r="BJ1202" s="52"/>
      <c r="BK1202" s="35"/>
      <c r="BL1202" s="79"/>
      <c r="BM1202" s="230"/>
      <c r="BN1202" s="211"/>
      <c r="BO1202" s="164"/>
      <c r="BP1202" s="726"/>
      <c r="BQ1202" s="727"/>
      <c r="BR1202" s="299"/>
      <c r="BS1202" s="35"/>
      <c r="BT1202" s="596"/>
      <c r="BU1202" s="79"/>
      <c r="BV1202" s="212"/>
      <c r="BW1202" s="304"/>
      <c r="BX1202" s="313"/>
      <c r="BY1202" s="138"/>
    </row>
    <row r="1203" spans="1:77" ht="15" customHeight="1" outlineLevel="1" x14ac:dyDescent="0.2">
      <c r="A1203" s="57" t="s">
        <v>24</v>
      </c>
      <c r="B1203" s="583" t="s">
        <v>477</v>
      </c>
      <c r="C1203" s="583" t="s">
        <v>1444</v>
      </c>
      <c r="D1203" s="546">
        <v>1.4730000000000001</v>
      </c>
      <c r="E1203" s="162" t="s">
        <v>631</v>
      </c>
      <c r="F1203" s="358"/>
      <c r="G1203" s="65"/>
      <c r="H1203" s="73"/>
      <c r="I1203" s="90"/>
      <c r="J1203" s="73"/>
      <c r="K1203" s="734">
        <v>6.4780000000000003E-3</v>
      </c>
      <c r="L1203" s="717"/>
      <c r="M1203" s="73"/>
      <c r="N1203" s="359"/>
      <c r="O1203" s="1041"/>
      <c r="P1203" s="73"/>
      <c r="Q1203" s="359"/>
      <c r="R1203" s="1041"/>
      <c r="S1203" s="73"/>
      <c r="T1203" s="359"/>
      <c r="U1203" s="73"/>
      <c r="V1203" s="66"/>
      <c r="W1203" s="788">
        <f t="shared" ref="W1203" si="947">AA1203*(1+AB1203)</f>
        <v>4.2107000000000002E-6</v>
      </c>
      <c r="X1203" s="789">
        <f t="shared" ref="X1203" si="948">AA1203*(1+AC1203)</f>
        <v>4.2107000000000002E-6</v>
      </c>
      <c r="Y1203" s="52">
        <v>2005</v>
      </c>
      <c r="Z1203" s="52"/>
      <c r="AA1203" s="739">
        <f t="shared" ref="AA1203" si="949">+K1203/1000</f>
        <v>6.4780000000000005E-6</v>
      </c>
      <c r="AB1203" s="256">
        <v>-0.35</v>
      </c>
      <c r="AC1203" s="688">
        <f t="shared" si="861"/>
        <v>-0.35</v>
      </c>
      <c r="AD1203" s="164"/>
      <c r="AE1203" s="164"/>
      <c r="AF1203" s="25"/>
      <c r="AG1203" s="26"/>
      <c r="AH1203" s="275"/>
      <c r="AI1203" s="52"/>
      <c r="AJ1203" s="35"/>
      <c r="AK1203" s="289"/>
      <c r="AL1203" s="290"/>
      <c r="AM1203" s="211"/>
      <c r="AN1203" s="164"/>
      <c r="AO1203" s="594"/>
      <c r="AP1203" s="595"/>
      <c r="AQ1203" s="275"/>
      <c r="AR1203" s="52"/>
      <c r="AS1203" s="596"/>
      <c r="AT1203" s="79"/>
      <c r="AU1203" s="212"/>
      <c r="AV1203" s="164"/>
      <c r="AW1203" s="164"/>
      <c r="AX1203" s="76"/>
      <c r="AY1203" s="44"/>
      <c r="AZ1203" s="275"/>
      <c r="BA1203" s="52"/>
      <c r="BB1203" s="35"/>
      <c r="BC1203" s="79"/>
      <c r="BD1203" s="230"/>
      <c r="BE1203" s="211"/>
      <c r="BF1203" s="164"/>
      <c r="BG1203" s="76"/>
      <c r="BH1203" s="44"/>
      <c r="BI1203" s="275"/>
      <c r="BJ1203" s="52"/>
      <c r="BK1203" s="35"/>
      <c r="BL1203" s="79"/>
      <c r="BM1203" s="230"/>
      <c r="BN1203" s="211"/>
      <c r="BO1203" s="164"/>
      <c r="BP1203" s="726"/>
      <c r="BQ1203" s="727"/>
      <c r="BR1203" s="299"/>
      <c r="BS1203" s="35"/>
      <c r="BT1203" s="596"/>
      <c r="BU1203" s="79"/>
      <c r="BV1203" s="212"/>
      <c r="BW1203" s="304"/>
      <c r="BX1203" s="313"/>
      <c r="BY1203" s="138"/>
    </row>
    <row r="1204" spans="1:77" ht="15" customHeight="1" outlineLevel="1" x14ac:dyDescent="0.2">
      <c r="A1204" s="57" t="s">
        <v>24</v>
      </c>
      <c r="B1204" s="583" t="s">
        <v>477</v>
      </c>
      <c r="C1204" s="583" t="s">
        <v>1521</v>
      </c>
      <c r="D1204" s="818">
        <v>0.19700000000000001</v>
      </c>
      <c r="E1204" s="162" t="s">
        <v>631</v>
      </c>
      <c r="F1204" s="358"/>
      <c r="G1204" s="65"/>
      <c r="H1204" s="73"/>
      <c r="I1204" s="90"/>
      <c r="J1204" s="73"/>
      <c r="K1204" s="790">
        <v>9.5958000000000002E-4</v>
      </c>
      <c r="L1204" s="717"/>
      <c r="M1204" s="73"/>
      <c r="N1204" s="359"/>
      <c r="O1204" s="1041"/>
      <c r="P1204" s="73"/>
      <c r="Q1204" s="359"/>
      <c r="R1204" s="1041"/>
      <c r="S1204" s="73"/>
      <c r="T1204" s="359"/>
      <c r="U1204" s="73"/>
      <c r="V1204" s="66"/>
      <c r="W1204" s="808">
        <f t="shared" ref="W1204" si="950">AA1204*(1+AB1204)</f>
        <v>1.0555379999999998E-7</v>
      </c>
      <c r="X1204" s="809">
        <f t="shared" ref="X1204" si="951">AA1204*(1+AC1204)</f>
        <v>1.0555379999999998E-7</v>
      </c>
      <c r="Y1204" s="52">
        <v>2005</v>
      </c>
      <c r="Z1204" s="52"/>
      <c r="AA1204" s="787">
        <f t="shared" ref="AA1204" si="952">+K1204/1000</f>
        <v>9.5957999999999997E-7</v>
      </c>
      <c r="AB1204" s="256">
        <v>-0.89</v>
      </c>
      <c r="AC1204" s="688">
        <f t="shared" ref="AC1204" si="953">AB1204</f>
        <v>-0.89</v>
      </c>
      <c r="AD1204" s="164"/>
      <c r="AE1204" s="164"/>
      <c r="AF1204" s="25"/>
      <c r="AG1204" s="26"/>
      <c r="AH1204" s="275"/>
      <c r="AI1204" s="52"/>
      <c r="AJ1204" s="35"/>
      <c r="AK1204" s="289"/>
      <c r="AL1204" s="290"/>
      <c r="AM1204" s="211"/>
      <c r="AN1204" s="164"/>
      <c r="AO1204" s="594"/>
      <c r="AP1204" s="595"/>
      <c r="AQ1204" s="275"/>
      <c r="AR1204" s="52"/>
      <c r="AS1204" s="596"/>
      <c r="AT1204" s="79"/>
      <c r="AU1204" s="212"/>
      <c r="AV1204" s="164"/>
      <c r="AW1204" s="164"/>
      <c r="AX1204" s="76"/>
      <c r="AY1204" s="44"/>
      <c r="AZ1204" s="275"/>
      <c r="BA1204" s="52"/>
      <c r="BB1204" s="35"/>
      <c r="BC1204" s="79"/>
      <c r="BD1204" s="230"/>
      <c r="BE1204" s="211"/>
      <c r="BF1204" s="164"/>
      <c r="BG1204" s="76"/>
      <c r="BH1204" s="44"/>
      <c r="BI1204" s="275"/>
      <c r="BJ1204" s="52"/>
      <c r="BK1204" s="35"/>
      <c r="BL1204" s="79"/>
      <c r="BM1204" s="230"/>
      <c r="BN1204" s="211"/>
      <c r="BO1204" s="164"/>
      <c r="BP1204" s="726"/>
      <c r="BQ1204" s="727"/>
      <c r="BR1204" s="299"/>
      <c r="BS1204" s="35"/>
      <c r="BT1204" s="596"/>
      <c r="BU1204" s="79"/>
      <c r="BV1204" s="212"/>
      <c r="BW1204" s="304"/>
      <c r="BX1204" s="313"/>
      <c r="BY1204" s="138"/>
    </row>
    <row r="1205" spans="1:77" ht="15" customHeight="1" outlineLevel="1" x14ac:dyDescent="0.2">
      <c r="A1205" s="57" t="s">
        <v>24</v>
      </c>
      <c r="B1205" s="583" t="s">
        <v>477</v>
      </c>
      <c r="C1205" s="583" t="s">
        <v>489</v>
      </c>
      <c r="D1205" s="546">
        <v>1404.431</v>
      </c>
      <c r="E1205" s="162" t="s">
        <v>467</v>
      </c>
      <c r="F1205" s="358"/>
      <c r="G1205" s="65"/>
      <c r="H1205" s="73"/>
      <c r="I1205" s="90"/>
      <c r="J1205" s="73"/>
      <c r="K1205" s="66">
        <v>7.4180000000000001</v>
      </c>
      <c r="L1205" s="717"/>
      <c r="M1205" s="73"/>
      <c r="N1205" s="359"/>
      <c r="O1205" s="1041">
        <v>2016</v>
      </c>
      <c r="P1205" s="73"/>
      <c r="Q1205" s="359">
        <v>5.9767789999999996</v>
      </c>
      <c r="R1205" s="1041">
        <v>2016</v>
      </c>
      <c r="S1205" s="73"/>
      <c r="T1205" s="359">
        <v>5.9767789999999996</v>
      </c>
      <c r="U1205" s="73"/>
      <c r="V1205" s="66"/>
      <c r="W1205" s="594">
        <f t="shared" si="643"/>
        <v>5.9344000000000003E-3</v>
      </c>
      <c r="X1205" s="595">
        <f t="shared" si="644"/>
        <v>5.9344000000000003E-3</v>
      </c>
      <c r="Y1205" s="52">
        <v>2005</v>
      </c>
      <c r="Z1205" s="52"/>
      <c r="AA1205" s="596">
        <f t="shared" si="732"/>
        <v>7.4180000000000001E-3</v>
      </c>
      <c r="AB1205" s="256">
        <v>-0.2</v>
      </c>
      <c r="AC1205" s="688">
        <v>-0.2</v>
      </c>
      <c r="AD1205" s="164"/>
      <c r="AE1205" s="164"/>
      <c r="AF1205" s="25"/>
      <c r="AG1205" s="26"/>
      <c r="AH1205" s="275"/>
      <c r="AI1205" s="52"/>
      <c r="AJ1205" s="35"/>
      <c r="AK1205" s="289"/>
      <c r="AL1205" s="290"/>
      <c r="AM1205" s="211"/>
      <c r="AN1205" s="164"/>
      <c r="AO1205" s="594">
        <f>AS1205*(1+AT1205)</f>
        <v>4.4507999999999995E-3</v>
      </c>
      <c r="AP1205" s="595">
        <f>AS1205*(1+AU1205)</f>
        <v>4.4507999999999995E-3</v>
      </c>
      <c r="AQ1205" s="275">
        <v>2005</v>
      </c>
      <c r="AR1205" s="52"/>
      <c r="AS1205" s="596">
        <f>+K1205/1000</f>
        <v>7.4180000000000001E-3</v>
      </c>
      <c r="AT1205" s="79">
        <v>-0.4</v>
      </c>
      <c r="AU1205" s="212">
        <f>AT1205</f>
        <v>-0.4</v>
      </c>
      <c r="AV1205" s="164"/>
      <c r="AW1205" s="164"/>
      <c r="AX1205" s="76"/>
      <c r="AY1205" s="44"/>
      <c r="AZ1205" s="275"/>
      <c r="BA1205" s="52"/>
      <c r="BB1205" s="35"/>
      <c r="BC1205" s="79"/>
      <c r="BD1205" s="230"/>
      <c r="BE1205" s="211"/>
      <c r="BF1205" s="164"/>
      <c r="BG1205" s="76"/>
      <c r="BH1205" s="44"/>
      <c r="BI1205" s="275"/>
      <c r="BJ1205" s="52"/>
      <c r="BK1205" s="35"/>
      <c r="BL1205" s="79"/>
      <c r="BM1205" s="230"/>
      <c r="BN1205" s="211"/>
      <c r="BO1205" s="164"/>
      <c r="BP1205" s="726"/>
      <c r="BQ1205" s="727"/>
      <c r="BR1205" s="299"/>
      <c r="BS1205" s="35"/>
      <c r="BT1205" s="596"/>
      <c r="BU1205" s="977">
        <v>-1</v>
      </c>
      <c r="BV1205" s="1253">
        <f t="shared" ref="BV1205" si="954">BU1205</f>
        <v>-1</v>
      </c>
      <c r="BW1205" s="304"/>
      <c r="BX1205" s="313"/>
      <c r="BY1205" s="138"/>
    </row>
    <row r="1206" spans="1:77" ht="15" customHeight="1" outlineLevel="1" x14ac:dyDescent="0.2">
      <c r="A1206" s="57" t="s">
        <v>24</v>
      </c>
      <c r="B1206" s="583" t="s">
        <v>477</v>
      </c>
      <c r="C1206" s="583" t="s">
        <v>1361</v>
      </c>
      <c r="D1206" s="546">
        <v>1.84</v>
      </c>
      <c r="E1206" s="162" t="s">
        <v>631</v>
      </c>
      <c r="F1206" s="358"/>
      <c r="G1206" s="65"/>
      <c r="H1206" s="73"/>
      <c r="I1206" s="90"/>
      <c r="J1206" s="73"/>
      <c r="K1206" s="734">
        <v>5.8520000000000004E-3</v>
      </c>
      <c r="L1206" s="717"/>
      <c r="M1206" s="73"/>
      <c r="N1206" s="359"/>
      <c r="O1206" s="1041"/>
      <c r="P1206" s="73"/>
      <c r="Q1206" s="359"/>
      <c r="R1206" s="1041"/>
      <c r="S1206" s="73"/>
      <c r="T1206" s="359"/>
      <c r="U1206" s="73"/>
      <c r="V1206" s="66"/>
      <c r="W1206" s="788">
        <f t="shared" ref="W1206" si="955">AA1206*(1+AB1206)</f>
        <v>2.6919199999999997E-6</v>
      </c>
      <c r="X1206" s="789">
        <f t="shared" ref="X1206" si="956">AA1206*(1+AC1206)</f>
        <v>2.6919199999999997E-6</v>
      </c>
      <c r="Y1206" s="52">
        <v>2005</v>
      </c>
      <c r="Z1206" s="52"/>
      <c r="AA1206" s="739">
        <f t="shared" ref="AA1206" si="957">+K1206/1000</f>
        <v>5.852E-6</v>
      </c>
      <c r="AB1206" s="256">
        <v>-0.54</v>
      </c>
      <c r="AC1206" s="688">
        <f>AB1206</f>
        <v>-0.54</v>
      </c>
      <c r="AD1206" s="164"/>
      <c r="AE1206" s="164"/>
      <c r="AF1206" s="25"/>
      <c r="AG1206" s="26"/>
      <c r="AH1206" s="275"/>
      <c r="AI1206" s="52"/>
      <c r="AJ1206" s="35"/>
      <c r="AK1206" s="289"/>
      <c r="AL1206" s="290"/>
      <c r="AM1206" s="211"/>
      <c r="AN1206" s="164"/>
      <c r="AO1206" s="594"/>
      <c r="AP1206" s="595"/>
      <c r="AQ1206" s="275"/>
      <c r="AR1206" s="52"/>
      <c r="AS1206" s="596"/>
      <c r="AT1206" s="79"/>
      <c r="AU1206" s="212"/>
      <c r="AV1206" s="164"/>
      <c r="AW1206" s="164"/>
      <c r="AX1206" s="76"/>
      <c r="AY1206" s="44"/>
      <c r="AZ1206" s="275"/>
      <c r="BA1206" s="52"/>
      <c r="BB1206" s="35"/>
      <c r="BC1206" s="79"/>
      <c r="BD1206" s="230"/>
      <c r="BE1206" s="211"/>
      <c r="BF1206" s="164"/>
      <c r="BG1206" s="76"/>
      <c r="BH1206" s="44"/>
      <c r="BI1206" s="275"/>
      <c r="BJ1206" s="52"/>
      <c r="BK1206" s="35"/>
      <c r="BL1206" s="79"/>
      <c r="BM1206" s="230"/>
      <c r="BN1206" s="211"/>
      <c r="BO1206" s="164"/>
      <c r="BP1206" s="726"/>
      <c r="BQ1206" s="727"/>
      <c r="BR1206" s="299"/>
      <c r="BS1206" s="35"/>
      <c r="BT1206" s="596"/>
      <c r="BU1206" s="79"/>
      <c r="BV1206" s="212"/>
      <c r="BW1206" s="304"/>
      <c r="BX1206" s="313"/>
      <c r="BY1206" s="138"/>
    </row>
    <row r="1207" spans="1:77" ht="15" customHeight="1" outlineLevel="1" x14ac:dyDescent="0.2">
      <c r="A1207" s="57" t="s">
        <v>24</v>
      </c>
      <c r="B1207" s="583" t="s">
        <v>477</v>
      </c>
      <c r="C1207" s="583" t="s">
        <v>1334</v>
      </c>
      <c r="D1207" s="546">
        <v>6.0640000000000001</v>
      </c>
      <c r="E1207" s="162" t="s">
        <v>631</v>
      </c>
      <c r="F1207" s="358"/>
      <c r="G1207" s="65"/>
      <c r="H1207" s="73"/>
      <c r="I1207" s="90"/>
      <c r="J1207" s="73"/>
      <c r="K1207" s="66"/>
      <c r="L1207" s="717">
        <v>2008</v>
      </c>
      <c r="M1207" s="73"/>
      <c r="N1207" s="738">
        <v>2.9565999999999999E-2</v>
      </c>
      <c r="O1207" s="1041"/>
      <c r="P1207" s="73"/>
      <c r="Q1207" s="738"/>
      <c r="R1207" s="1041"/>
      <c r="S1207" s="73"/>
      <c r="T1207" s="738"/>
      <c r="U1207" s="73"/>
      <c r="V1207" s="66"/>
      <c r="W1207" s="740">
        <f t="shared" si="643"/>
        <v>2.0696199999999997E-5</v>
      </c>
      <c r="X1207" s="741">
        <f t="shared" si="644"/>
        <v>2.0696199999999997E-5</v>
      </c>
      <c r="Y1207" s="52">
        <v>2008</v>
      </c>
      <c r="Z1207" s="52"/>
      <c r="AA1207" s="739">
        <f>+N1207/1000</f>
        <v>2.9565999999999998E-5</v>
      </c>
      <c r="AB1207" s="256">
        <v>-0.3</v>
      </c>
      <c r="AC1207" s="688">
        <f t="shared" ref="AC1207" si="958">AB1207</f>
        <v>-0.3</v>
      </c>
      <c r="AD1207" s="164"/>
      <c r="AE1207" s="164"/>
      <c r="AF1207" s="25"/>
      <c r="AG1207" s="26"/>
      <c r="AH1207" s="275"/>
      <c r="AI1207" s="52"/>
      <c r="AJ1207" s="35"/>
      <c r="AK1207" s="289"/>
      <c r="AL1207" s="290"/>
      <c r="AM1207" s="211"/>
      <c r="AN1207" s="164"/>
      <c r="AO1207" s="594"/>
      <c r="AP1207" s="595"/>
      <c r="AQ1207" s="275"/>
      <c r="AR1207" s="52"/>
      <c r="AS1207" s="596"/>
      <c r="AT1207" s="79"/>
      <c r="AU1207" s="212"/>
      <c r="AV1207" s="164"/>
      <c r="AW1207" s="164"/>
      <c r="AX1207" s="76"/>
      <c r="AY1207" s="44"/>
      <c r="AZ1207" s="275"/>
      <c r="BA1207" s="52"/>
      <c r="BB1207" s="35"/>
      <c r="BC1207" s="79"/>
      <c r="BD1207" s="230"/>
      <c r="BE1207" s="211"/>
      <c r="BF1207" s="164"/>
      <c r="BG1207" s="76"/>
      <c r="BH1207" s="44"/>
      <c r="BI1207" s="275"/>
      <c r="BJ1207" s="52"/>
      <c r="BK1207" s="35"/>
      <c r="BL1207" s="79"/>
      <c r="BM1207" s="230"/>
      <c r="BN1207" s="211"/>
      <c r="BO1207" s="164"/>
      <c r="BP1207" s="726"/>
      <c r="BQ1207" s="727"/>
      <c r="BR1207" s="299"/>
      <c r="BS1207" s="35"/>
      <c r="BT1207" s="596"/>
      <c r="BU1207" s="79"/>
      <c r="BV1207" s="212"/>
      <c r="BW1207" s="304"/>
      <c r="BX1207" s="313"/>
      <c r="BY1207" s="138"/>
    </row>
    <row r="1208" spans="1:77" ht="15" customHeight="1" outlineLevel="1" x14ac:dyDescent="0.2">
      <c r="A1208" s="57" t="s">
        <v>24</v>
      </c>
      <c r="B1208" s="583" t="s">
        <v>477</v>
      </c>
      <c r="C1208" s="583" t="s">
        <v>1535</v>
      </c>
      <c r="D1208" s="818">
        <v>0.19900000000000001</v>
      </c>
      <c r="E1208" s="162" t="s">
        <v>631</v>
      </c>
      <c r="F1208" s="358"/>
      <c r="G1208" s="65"/>
      <c r="H1208" s="73"/>
      <c r="I1208" s="90"/>
      <c r="J1208" s="73"/>
      <c r="K1208" s="790">
        <v>1.0300000000000001E-3</v>
      </c>
      <c r="L1208" s="717"/>
      <c r="M1208" s="73"/>
      <c r="N1208" s="359"/>
      <c r="O1208" s="1041"/>
      <c r="P1208" s="73"/>
      <c r="Q1208" s="359"/>
      <c r="R1208" s="1041"/>
      <c r="S1208" s="73"/>
      <c r="T1208" s="359"/>
      <c r="U1208" s="73"/>
      <c r="V1208" s="66"/>
      <c r="W1208" s="808">
        <f t="shared" ref="W1208" si="959">AA1208*(1+AB1208)</f>
        <v>9.2699999999999976E-8</v>
      </c>
      <c r="X1208" s="809">
        <f t="shared" ref="X1208" si="960">AA1208*(1+AC1208)</f>
        <v>9.2699999999999976E-8</v>
      </c>
      <c r="Y1208" s="52">
        <v>2005</v>
      </c>
      <c r="Z1208" s="52"/>
      <c r="AA1208" s="787">
        <f t="shared" ref="AA1208:AA1217" si="961">+K1208/1000</f>
        <v>1.0300000000000001E-6</v>
      </c>
      <c r="AB1208" s="256">
        <v>-0.91</v>
      </c>
      <c r="AC1208" s="688">
        <f t="shared" ref="AC1208:AC1286" si="962">AB1208</f>
        <v>-0.91</v>
      </c>
      <c r="AD1208" s="164"/>
      <c r="AE1208" s="164"/>
      <c r="AF1208" s="25"/>
      <c r="AG1208" s="26"/>
      <c r="AH1208" s="275"/>
      <c r="AI1208" s="52"/>
      <c r="AJ1208" s="35"/>
      <c r="AK1208" s="289"/>
      <c r="AL1208" s="290"/>
      <c r="AM1208" s="211"/>
      <c r="AN1208" s="164"/>
      <c r="AO1208" s="594"/>
      <c r="AP1208" s="595"/>
      <c r="AQ1208" s="275"/>
      <c r="AR1208" s="52"/>
      <c r="AS1208" s="596"/>
      <c r="AT1208" s="79"/>
      <c r="AU1208" s="212"/>
      <c r="AV1208" s="164"/>
      <c r="AW1208" s="164"/>
      <c r="AX1208" s="76"/>
      <c r="AY1208" s="44"/>
      <c r="AZ1208" s="275"/>
      <c r="BA1208" s="52"/>
      <c r="BB1208" s="35"/>
      <c r="BC1208" s="79"/>
      <c r="BD1208" s="230"/>
      <c r="BE1208" s="211"/>
      <c r="BF1208" s="164"/>
      <c r="BG1208" s="76"/>
      <c r="BH1208" s="44"/>
      <c r="BI1208" s="275"/>
      <c r="BJ1208" s="52"/>
      <c r="BK1208" s="35"/>
      <c r="BL1208" s="79"/>
      <c r="BM1208" s="230"/>
      <c r="BN1208" s="211"/>
      <c r="BO1208" s="164"/>
      <c r="BP1208" s="726"/>
      <c r="BQ1208" s="727"/>
      <c r="BR1208" s="299"/>
      <c r="BS1208" s="35"/>
      <c r="BT1208" s="596"/>
      <c r="BU1208" s="79"/>
      <c r="BV1208" s="212"/>
      <c r="BW1208" s="304"/>
      <c r="BX1208" s="313"/>
      <c r="BY1208" s="138"/>
    </row>
    <row r="1209" spans="1:77" ht="15" customHeight="1" outlineLevel="1" x14ac:dyDescent="0.2">
      <c r="A1209" s="57" t="s">
        <v>24</v>
      </c>
      <c r="B1209" s="583" t="s">
        <v>477</v>
      </c>
      <c r="C1209" s="583" t="s">
        <v>2048</v>
      </c>
      <c r="D1209" s="818">
        <v>2.2789999999999999</v>
      </c>
      <c r="E1209" s="162" t="s">
        <v>631</v>
      </c>
      <c r="F1209" s="358"/>
      <c r="G1209" s="65"/>
      <c r="H1209" s="73"/>
      <c r="I1209" s="90"/>
      <c r="J1209" s="73"/>
      <c r="K1209" s="790">
        <v>8.1189999999999995E-3</v>
      </c>
      <c r="L1209" s="717"/>
      <c r="M1209" s="73"/>
      <c r="N1209" s="359"/>
      <c r="O1209" s="1041"/>
      <c r="P1209" s="73"/>
      <c r="Q1209" s="359"/>
      <c r="R1209" s="1041"/>
      <c r="S1209" s="73"/>
      <c r="T1209" s="359"/>
      <c r="U1209" s="73"/>
      <c r="V1209" s="66"/>
      <c r="W1209" s="808">
        <f t="shared" ref="W1209" si="963">AA1209*(1+AB1209)</f>
        <v>5.8456799999999992E-6</v>
      </c>
      <c r="X1209" s="809">
        <f t="shared" ref="X1209" si="964">AA1209*(1+AC1209)</f>
        <v>5.8456799999999992E-6</v>
      </c>
      <c r="Y1209" s="52">
        <v>2005</v>
      </c>
      <c r="Z1209" s="52"/>
      <c r="AA1209" s="787">
        <f t="shared" si="961"/>
        <v>8.1189999999999997E-6</v>
      </c>
      <c r="AB1209" s="256">
        <v>-0.28000000000000003</v>
      </c>
      <c r="AC1209" s="688">
        <f t="shared" si="962"/>
        <v>-0.28000000000000003</v>
      </c>
      <c r="AD1209" s="164"/>
      <c r="AE1209" s="164"/>
      <c r="AF1209" s="25"/>
      <c r="AG1209" s="26"/>
      <c r="AH1209" s="275"/>
      <c r="AI1209" s="52"/>
      <c r="AJ1209" s="35"/>
      <c r="AK1209" s="289"/>
      <c r="AL1209" s="290"/>
      <c r="AM1209" s="211"/>
      <c r="AN1209" s="164"/>
      <c r="AO1209" s="594"/>
      <c r="AP1209" s="595"/>
      <c r="AQ1209" s="275"/>
      <c r="AR1209" s="52"/>
      <c r="AS1209" s="596"/>
      <c r="AT1209" s="79"/>
      <c r="AU1209" s="212"/>
      <c r="AV1209" s="164"/>
      <c r="AW1209" s="164"/>
      <c r="AX1209" s="76"/>
      <c r="AY1209" s="44"/>
      <c r="AZ1209" s="275"/>
      <c r="BA1209" s="52"/>
      <c r="BB1209" s="35"/>
      <c r="BC1209" s="79"/>
      <c r="BD1209" s="230"/>
      <c r="BE1209" s="211"/>
      <c r="BF1209" s="164"/>
      <c r="BG1209" s="76"/>
      <c r="BH1209" s="44"/>
      <c r="BI1209" s="275"/>
      <c r="BJ1209" s="52"/>
      <c r="BK1209" s="35"/>
      <c r="BL1209" s="79"/>
      <c r="BM1209" s="230"/>
      <c r="BN1209" s="211"/>
      <c r="BO1209" s="164"/>
      <c r="BP1209" s="726"/>
      <c r="BQ1209" s="727"/>
      <c r="BR1209" s="299"/>
      <c r="BS1209" s="35"/>
      <c r="BT1209" s="596"/>
      <c r="BU1209" s="79"/>
      <c r="BV1209" s="212"/>
      <c r="BW1209" s="304"/>
      <c r="BX1209" s="313"/>
      <c r="BY1209" s="138"/>
    </row>
    <row r="1210" spans="1:77" ht="15" customHeight="1" outlineLevel="1" x14ac:dyDescent="0.2">
      <c r="A1210" s="57" t="s">
        <v>24</v>
      </c>
      <c r="B1210" s="583" t="s">
        <v>477</v>
      </c>
      <c r="C1210" s="583" t="s">
        <v>1699</v>
      </c>
      <c r="D1210" s="818">
        <v>122.712</v>
      </c>
      <c r="E1210" s="162" t="s">
        <v>631</v>
      </c>
      <c r="F1210" s="358"/>
      <c r="G1210" s="65"/>
      <c r="H1210" s="73"/>
      <c r="I1210" s="90"/>
      <c r="J1210" s="73"/>
      <c r="K1210" s="790">
        <v>0.54185899999999998</v>
      </c>
      <c r="L1210" s="717"/>
      <c r="M1210" s="73"/>
      <c r="N1210" s="359"/>
      <c r="O1210" s="1041"/>
      <c r="P1210" s="73"/>
      <c r="Q1210" s="359"/>
      <c r="R1210" s="1041"/>
      <c r="S1210" s="73"/>
      <c r="T1210" s="359"/>
      <c r="U1210" s="73"/>
      <c r="V1210" s="66"/>
      <c r="W1210" s="740">
        <f t="shared" ref="W1210" si="965">AA1210*(1+AB1210)</f>
        <v>4.0639425E-4</v>
      </c>
      <c r="X1210" s="741">
        <f t="shared" ref="X1210" si="966">AA1210*(1+AC1210)</f>
        <v>4.0639425E-4</v>
      </c>
      <c r="Y1210" s="52">
        <v>2005</v>
      </c>
      <c r="Z1210" s="52"/>
      <c r="AA1210" s="739">
        <f t="shared" si="961"/>
        <v>5.41859E-4</v>
      </c>
      <c r="AB1210" s="256">
        <v>-0.25</v>
      </c>
      <c r="AC1210" s="688">
        <f t="shared" si="962"/>
        <v>-0.25</v>
      </c>
      <c r="AD1210" s="164"/>
      <c r="AE1210" s="164"/>
      <c r="AF1210" s="25"/>
      <c r="AG1210" s="26"/>
      <c r="AH1210" s="275"/>
      <c r="AI1210" s="52"/>
      <c r="AJ1210" s="35"/>
      <c r="AK1210" s="289"/>
      <c r="AL1210" s="290"/>
      <c r="AM1210" s="211"/>
      <c r="AN1210" s="164"/>
      <c r="AO1210" s="594"/>
      <c r="AP1210" s="595"/>
      <c r="AQ1210" s="275"/>
      <c r="AR1210" s="52"/>
      <c r="AS1210" s="596"/>
      <c r="AT1210" s="79"/>
      <c r="AU1210" s="212"/>
      <c r="AV1210" s="164"/>
      <c r="AW1210" s="164"/>
      <c r="AX1210" s="76"/>
      <c r="AY1210" s="44"/>
      <c r="AZ1210" s="275"/>
      <c r="BA1210" s="52"/>
      <c r="BB1210" s="35"/>
      <c r="BC1210" s="79"/>
      <c r="BD1210" s="230"/>
      <c r="BE1210" s="211"/>
      <c r="BF1210" s="164"/>
      <c r="BG1210" s="76"/>
      <c r="BH1210" s="44"/>
      <c r="BI1210" s="275"/>
      <c r="BJ1210" s="52"/>
      <c r="BK1210" s="35"/>
      <c r="BL1210" s="79"/>
      <c r="BM1210" s="230"/>
      <c r="BN1210" s="211"/>
      <c r="BO1210" s="164"/>
      <c r="BP1210" s="726"/>
      <c r="BQ1210" s="727"/>
      <c r="BR1210" s="299"/>
      <c r="BS1210" s="35"/>
      <c r="BT1210" s="596"/>
      <c r="BU1210" s="79"/>
      <c r="BV1210" s="212"/>
      <c r="BW1210" s="304"/>
      <c r="BX1210" s="313"/>
      <c r="BY1210" s="138"/>
    </row>
    <row r="1211" spans="1:77" ht="15" customHeight="1" outlineLevel="1" x14ac:dyDescent="0.2">
      <c r="A1211" s="57" t="s">
        <v>24</v>
      </c>
      <c r="B1211" s="583" t="s">
        <v>477</v>
      </c>
      <c r="C1211" s="583" t="s">
        <v>1727</v>
      </c>
      <c r="D1211" s="818">
        <v>1.9910000000000001</v>
      </c>
      <c r="E1211" s="162" t="s">
        <v>631</v>
      </c>
      <c r="F1211" s="358"/>
      <c r="G1211" s="65"/>
      <c r="H1211" s="73"/>
      <c r="I1211" s="90"/>
      <c r="J1211" s="73"/>
      <c r="K1211" s="790">
        <v>2.5697000000000001E-2</v>
      </c>
      <c r="L1211" s="717"/>
      <c r="M1211" s="73"/>
      <c r="N1211" s="359"/>
      <c r="O1211" s="1041"/>
      <c r="P1211" s="73"/>
      <c r="Q1211" s="359"/>
      <c r="R1211" s="1041"/>
      <c r="S1211" s="73"/>
      <c r="T1211" s="359"/>
      <c r="U1211" s="73"/>
      <c r="V1211" s="66"/>
      <c r="W1211" s="740">
        <f t="shared" ref="W1211:W1218" si="967">AA1211*(1+AB1211)</f>
        <v>1.9272749999999999E-5</v>
      </c>
      <c r="X1211" s="741">
        <f t="shared" ref="X1211:X1218" si="968">AA1211*(1+AC1211)</f>
        <v>1.9272749999999999E-5</v>
      </c>
      <c r="Y1211" s="52">
        <v>2005</v>
      </c>
      <c r="Z1211" s="52"/>
      <c r="AA1211" s="739">
        <f t="shared" si="961"/>
        <v>2.5697000000000001E-5</v>
      </c>
      <c r="AB1211" s="256">
        <v>-0.25</v>
      </c>
      <c r="AC1211" s="688">
        <f t="shared" si="962"/>
        <v>-0.25</v>
      </c>
      <c r="AD1211" s="164"/>
      <c r="AE1211" s="164"/>
      <c r="AF1211" s="25"/>
      <c r="AG1211" s="26"/>
      <c r="AH1211" s="275"/>
      <c r="AI1211" s="52"/>
      <c r="AJ1211" s="35"/>
      <c r="AK1211" s="289"/>
      <c r="AL1211" s="290"/>
      <c r="AM1211" s="211"/>
      <c r="AN1211" s="164"/>
      <c r="AO1211" s="594"/>
      <c r="AP1211" s="595"/>
      <c r="AQ1211" s="275"/>
      <c r="AR1211" s="52"/>
      <c r="AS1211" s="596"/>
      <c r="AT1211" s="79"/>
      <c r="AU1211" s="212"/>
      <c r="AV1211" s="164"/>
      <c r="AW1211" s="164"/>
      <c r="AX1211" s="76"/>
      <c r="AY1211" s="44"/>
      <c r="AZ1211" s="275"/>
      <c r="BA1211" s="52"/>
      <c r="BB1211" s="35"/>
      <c r="BC1211" s="79"/>
      <c r="BD1211" s="230"/>
      <c r="BE1211" s="211"/>
      <c r="BF1211" s="164"/>
      <c r="BG1211" s="76"/>
      <c r="BH1211" s="44"/>
      <c r="BI1211" s="275"/>
      <c r="BJ1211" s="52"/>
      <c r="BK1211" s="35"/>
      <c r="BL1211" s="79"/>
      <c r="BM1211" s="230"/>
      <c r="BN1211" s="211"/>
      <c r="BO1211" s="164"/>
      <c r="BP1211" s="726"/>
      <c r="BQ1211" s="727"/>
      <c r="BR1211" s="299"/>
      <c r="BS1211" s="35"/>
      <c r="BT1211" s="596"/>
      <c r="BU1211" s="79"/>
      <c r="BV1211" s="212"/>
      <c r="BW1211" s="304"/>
      <c r="BX1211" s="313"/>
      <c r="BY1211" s="138"/>
    </row>
    <row r="1212" spans="1:77" ht="15" customHeight="1" outlineLevel="1" x14ac:dyDescent="0.2">
      <c r="A1212" s="57" t="s">
        <v>24</v>
      </c>
      <c r="B1212" s="583" t="s">
        <v>477</v>
      </c>
      <c r="C1212" s="583" t="s">
        <v>2001</v>
      </c>
      <c r="D1212" s="818">
        <v>4.2750000000000004</v>
      </c>
      <c r="E1212" s="162" t="s">
        <v>631</v>
      </c>
      <c r="F1212" s="358"/>
      <c r="G1212" s="65"/>
      <c r="H1212" s="73"/>
      <c r="I1212" s="90"/>
      <c r="J1212" s="73"/>
      <c r="K1212" s="790"/>
      <c r="L1212" s="717">
        <v>2009</v>
      </c>
      <c r="M1212" s="73"/>
      <c r="N1212" s="738">
        <v>1.1639999999999999E-2</v>
      </c>
      <c r="O1212" s="1041"/>
      <c r="P1212" s="73"/>
      <c r="Q1212" s="359"/>
      <c r="R1212" s="1041"/>
      <c r="S1212" s="73"/>
      <c r="T1212" s="359"/>
      <c r="U1212" s="73"/>
      <c r="V1212" s="66"/>
      <c r="W1212" s="740">
        <f t="shared" ref="W1212" si="969">AA1212*(1+AB1212)</f>
        <v>8.3807999999999994E-6</v>
      </c>
      <c r="X1212" s="741">
        <f t="shared" ref="X1212" si="970">AA1212*(1+AC1212)</f>
        <v>8.3807999999999994E-6</v>
      </c>
      <c r="Y1212" s="52">
        <v>2009</v>
      </c>
      <c r="Z1212" s="52"/>
      <c r="AA1212" s="739">
        <f>+N1212/1000</f>
        <v>1.1639999999999999E-5</v>
      </c>
      <c r="AB1212" s="256">
        <v>-0.28000000000000003</v>
      </c>
      <c r="AC1212" s="688">
        <f t="shared" si="962"/>
        <v>-0.28000000000000003</v>
      </c>
      <c r="AD1212" s="164"/>
      <c r="AE1212" s="164"/>
      <c r="AF1212" s="25"/>
      <c r="AG1212" s="26"/>
      <c r="AH1212" s="275"/>
      <c r="AI1212" s="52"/>
      <c r="AJ1212" s="35"/>
      <c r="AK1212" s="289"/>
      <c r="AL1212" s="290"/>
      <c r="AM1212" s="211"/>
      <c r="AN1212" s="164"/>
      <c r="AO1212" s="594"/>
      <c r="AP1212" s="595"/>
      <c r="AQ1212" s="275"/>
      <c r="AR1212" s="52"/>
      <c r="AS1212" s="596"/>
      <c r="AT1212" s="79"/>
      <c r="AU1212" s="212"/>
      <c r="AV1212" s="164"/>
      <c r="AW1212" s="164"/>
      <c r="AX1212" s="76"/>
      <c r="AY1212" s="44"/>
      <c r="AZ1212" s="275"/>
      <c r="BA1212" s="52"/>
      <c r="BB1212" s="35"/>
      <c r="BC1212" s="79"/>
      <c r="BD1212" s="230"/>
      <c r="BE1212" s="211"/>
      <c r="BF1212" s="164"/>
      <c r="BG1212" s="76"/>
      <c r="BH1212" s="44"/>
      <c r="BI1212" s="275"/>
      <c r="BJ1212" s="52"/>
      <c r="BK1212" s="35"/>
      <c r="BL1212" s="79"/>
      <c r="BM1212" s="230"/>
      <c r="BN1212" s="211"/>
      <c r="BO1212" s="164"/>
      <c r="BP1212" s="726"/>
      <c r="BQ1212" s="727"/>
      <c r="BR1212" s="299"/>
      <c r="BS1212" s="35"/>
      <c r="BT1212" s="596"/>
      <c r="BU1212" s="79"/>
      <c r="BV1212" s="212"/>
      <c r="BW1212" s="304"/>
      <c r="BX1212" s="313"/>
      <c r="BY1212" s="138"/>
    </row>
    <row r="1213" spans="1:77" ht="15" customHeight="1" outlineLevel="1" x14ac:dyDescent="0.2">
      <c r="A1213" s="57" t="s">
        <v>24</v>
      </c>
      <c r="B1213" s="583" t="s">
        <v>477</v>
      </c>
      <c r="C1213" s="583" t="s">
        <v>1745</v>
      </c>
      <c r="D1213" s="818">
        <v>12.071</v>
      </c>
      <c r="E1213" s="162" t="s">
        <v>631</v>
      </c>
      <c r="F1213" s="358"/>
      <c r="G1213" s="65"/>
      <c r="H1213" s="73"/>
      <c r="I1213" s="90"/>
      <c r="J1213" s="73"/>
      <c r="K1213" s="790">
        <v>4.4611999999999999E-2</v>
      </c>
      <c r="L1213" s="717"/>
      <c r="M1213" s="73"/>
      <c r="N1213" s="359"/>
      <c r="O1213" s="1041"/>
      <c r="P1213" s="73"/>
      <c r="Q1213" s="359"/>
      <c r="R1213" s="1041"/>
      <c r="S1213" s="73"/>
      <c r="T1213" s="359"/>
      <c r="U1213" s="73"/>
      <c r="V1213" s="66"/>
      <c r="W1213" s="740">
        <f t="shared" si="967"/>
        <v>3.3458999999999999E-5</v>
      </c>
      <c r="X1213" s="741">
        <f t="shared" si="968"/>
        <v>3.3458999999999999E-5</v>
      </c>
      <c r="Y1213" s="52">
        <v>2005</v>
      </c>
      <c r="Z1213" s="52"/>
      <c r="AA1213" s="739">
        <f t="shared" si="961"/>
        <v>4.4611999999999999E-5</v>
      </c>
      <c r="AB1213" s="256">
        <v>-0.25</v>
      </c>
      <c r="AC1213" s="688">
        <f t="shared" si="962"/>
        <v>-0.25</v>
      </c>
      <c r="AD1213" s="164"/>
      <c r="AE1213" s="164"/>
      <c r="AF1213" s="25"/>
      <c r="AG1213" s="26"/>
      <c r="AH1213" s="275"/>
      <c r="AI1213" s="52"/>
      <c r="AJ1213" s="35"/>
      <c r="AK1213" s="289"/>
      <c r="AL1213" s="290"/>
      <c r="AM1213" s="211"/>
      <c r="AN1213" s="164"/>
      <c r="AO1213" s="594"/>
      <c r="AP1213" s="595"/>
      <c r="AQ1213" s="275"/>
      <c r="AR1213" s="52"/>
      <c r="AS1213" s="596"/>
      <c r="AT1213" s="79"/>
      <c r="AU1213" s="212"/>
      <c r="AV1213" s="164"/>
      <c r="AW1213" s="164"/>
      <c r="AX1213" s="76"/>
      <c r="AY1213" s="44"/>
      <c r="AZ1213" s="275"/>
      <c r="BA1213" s="52"/>
      <c r="BB1213" s="35"/>
      <c r="BC1213" s="79"/>
      <c r="BD1213" s="230"/>
      <c r="BE1213" s="211"/>
      <c r="BF1213" s="164"/>
      <c r="BG1213" s="76"/>
      <c r="BH1213" s="44"/>
      <c r="BI1213" s="275"/>
      <c r="BJ1213" s="52"/>
      <c r="BK1213" s="35"/>
      <c r="BL1213" s="79"/>
      <c r="BM1213" s="230"/>
      <c r="BN1213" s="211"/>
      <c r="BO1213" s="164"/>
      <c r="BP1213" s="726"/>
      <c r="BQ1213" s="727"/>
      <c r="BR1213" s="299"/>
      <c r="BS1213" s="35"/>
      <c r="BT1213" s="596"/>
      <c r="BU1213" s="79"/>
      <c r="BV1213" s="212"/>
      <c r="BW1213" s="304"/>
      <c r="BX1213" s="313"/>
      <c r="BY1213" s="138"/>
    </row>
    <row r="1214" spans="1:77" ht="15" customHeight="1" outlineLevel="1" x14ac:dyDescent="0.2">
      <c r="A1214" s="57" t="s">
        <v>24</v>
      </c>
      <c r="B1214" s="583" t="s">
        <v>477</v>
      </c>
      <c r="C1214" s="583" t="s">
        <v>2075</v>
      </c>
      <c r="D1214" s="818">
        <v>2.6</v>
      </c>
      <c r="E1214" s="162" t="s">
        <v>631</v>
      </c>
      <c r="F1214" s="358"/>
      <c r="G1214" s="65"/>
      <c r="H1214" s="73"/>
      <c r="I1214" s="90"/>
      <c r="J1214" s="73"/>
      <c r="K1214" s="790">
        <v>1.1755E-2</v>
      </c>
      <c r="L1214" s="717"/>
      <c r="M1214" s="73"/>
      <c r="N1214" s="359"/>
      <c r="O1214" s="1041"/>
      <c r="P1214" s="73"/>
      <c r="Q1214" s="359"/>
      <c r="R1214" s="1041"/>
      <c r="S1214" s="73"/>
      <c r="T1214" s="359"/>
      <c r="U1214" s="73"/>
      <c r="V1214" s="66"/>
      <c r="W1214" s="740">
        <f t="shared" si="967"/>
        <v>8.3460499999999995E-6</v>
      </c>
      <c r="X1214" s="741">
        <f t="shared" si="968"/>
        <v>8.3460499999999995E-6</v>
      </c>
      <c r="Y1214" s="52">
        <v>2005</v>
      </c>
      <c r="Z1214" s="52"/>
      <c r="AA1214" s="739">
        <f t="shared" si="961"/>
        <v>1.1755E-5</v>
      </c>
      <c r="AB1214" s="256">
        <v>-0.28999999999999998</v>
      </c>
      <c r="AC1214" s="688">
        <f t="shared" si="962"/>
        <v>-0.28999999999999998</v>
      </c>
      <c r="AD1214" s="164"/>
      <c r="AE1214" s="164"/>
      <c r="AF1214" s="25"/>
      <c r="AG1214" s="26"/>
      <c r="AH1214" s="275"/>
      <c r="AI1214" s="52"/>
      <c r="AJ1214" s="35"/>
      <c r="AK1214" s="289"/>
      <c r="AL1214" s="290"/>
      <c r="AM1214" s="211"/>
      <c r="AN1214" s="164"/>
      <c r="AO1214" s="594"/>
      <c r="AP1214" s="595"/>
      <c r="AQ1214" s="275"/>
      <c r="AR1214" s="52"/>
      <c r="AS1214" s="596"/>
      <c r="AT1214" s="79"/>
      <c r="AU1214" s="212"/>
      <c r="AV1214" s="164"/>
      <c r="AW1214" s="164"/>
      <c r="AX1214" s="76"/>
      <c r="AY1214" s="44"/>
      <c r="AZ1214" s="275"/>
      <c r="BA1214" s="52"/>
      <c r="BB1214" s="35"/>
      <c r="BC1214" s="79"/>
      <c r="BD1214" s="230"/>
      <c r="BE1214" s="211"/>
      <c r="BF1214" s="164"/>
      <c r="BG1214" s="76"/>
      <c r="BH1214" s="44"/>
      <c r="BI1214" s="275"/>
      <c r="BJ1214" s="52"/>
      <c r="BK1214" s="35"/>
      <c r="BL1214" s="79"/>
      <c r="BM1214" s="230"/>
      <c r="BN1214" s="211"/>
      <c r="BO1214" s="164"/>
      <c r="BP1214" s="726"/>
      <c r="BQ1214" s="727"/>
      <c r="BR1214" s="299"/>
      <c r="BS1214" s="35"/>
      <c r="BT1214" s="596"/>
      <c r="BU1214" s="79"/>
      <c r="BV1214" s="212"/>
      <c r="BW1214" s="304"/>
      <c r="BX1214" s="313"/>
      <c r="BY1214" s="138"/>
    </row>
    <row r="1215" spans="1:77" ht="15" customHeight="1" outlineLevel="1" x14ac:dyDescent="0.2">
      <c r="A1215" s="57" t="s">
        <v>24</v>
      </c>
      <c r="B1215" s="583" t="s">
        <v>477</v>
      </c>
      <c r="C1215" s="583" t="s">
        <v>2013</v>
      </c>
      <c r="D1215" s="818">
        <v>2.6320000000000001</v>
      </c>
      <c r="E1215" s="162" t="s">
        <v>631</v>
      </c>
      <c r="F1215" s="358"/>
      <c r="G1215" s="65"/>
      <c r="H1215" s="73"/>
      <c r="I1215" s="90"/>
      <c r="J1215" s="73"/>
      <c r="K1215" s="790">
        <v>1.0031999999999999E-2</v>
      </c>
      <c r="L1215" s="717"/>
      <c r="M1215" s="73"/>
      <c r="N1215" s="359"/>
      <c r="O1215" s="1041"/>
      <c r="P1215" s="73"/>
      <c r="Q1215" s="359"/>
      <c r="R1215" s="1041"/>
      <c r="S1215" s="73"/>
      <c r="T1215" s="359"/>
      <c r="U1215" s="73"/>
      <c r="V1215" s="66"/>
      <c r="W1215" s="740">
        <f t="shared" si="967"/>
        <v>7.2230399999999995E-6</v>
      </c>
      <c r="X1215" s="741">
        <f t="shared" si="968"/>
        <v>7.2230399999999995E-6</v>
      </c>
      <c r="Y1215" s="52">
        <v>2005</v>
      </c>
      <c r="Z1215" s="52"/>
      <c r="AA1215" s="739">
        <f t="shared" si="961"/>
        <v>1.0032E-5</v>
      </c>
      <c r="AB1215" s="256">
        <v>-0.28000000000000003</v>
      </c>
      <c r="AC1215" s="688">
        <f t="shared" si="962"/>
        <v>-0.28000000000000003</v>
      </c>
      <c r="AD1215" s="164"/>
      <c r="AE1215" s="164"/>
      <c r="AF1215" s="25"/>
      <c r="AG1215" s="26"/>
      <c r="AH1215" s="275"/>
      <c r="AI1215" s="52"/>
      <c r="AJ1215" s="35"/>
      <c r="AK1215" s="289"/>
      <c r="AL1215" s="290"/>
      <c r="AM1215" s="211"/>
      <c r="AN1215" s="164"/>
      <c r="AO1215" s="594"/>
      <c r="AP1215" s="595"/>
      <c r="AQ1215" s="275"/>
      <c r="AR1215" s="52"/>
      <c r="AS1215" s="596"/>
      <c r="AT1215" s="79"/>
      <c r="AU1215" s="212"/>
      <c r="AV1215" s="164"/>
      <c r="AW1215" s="164"/>
      <c r="AX1215" s="76"/>
      <c r="AY1215" s="44"/>
      <c r="AZ1215" s="275"/>
      <c r="BA1215" s="52"/>
      <c r="BB1215" s="35"/>
      <c r="BC1215" s="79"/>
      <c r="BD1215" s="230"/>
      <c r="BE1215" s="211"/>
      <c r="BF1215" s="164"/>
      <c r="BG1215" s="76"/>
      <c r="BH1215" s="44"/>
      <c r="BI1215" s="275"/>
      <c r="BJ1215" s="52"/>
      <c r="BK1215" s="35"/>
      <c r="BL1215" s="79"/>
      <c r="BM1215" s="230"/>
      <c r="BN1215" s="211"/>
      <c r="BO1215" s="164"/>
      <c r="BP1215" s="726"/>
      <c r="BQ1215" s="727"/>
      <c r="BR1215" s="299"/>
      <c r="BS1215" s="35"/>
      <c r="BT1215" s="596"/>
      <c r="BU1215" s="79"/>
      <c r="BV1215" s="212"/>
      <c r="BW1215" s="304"/>
      <c r="BX1215" s="313"/>
      <c r="BY1215" s="138"/>
    </row>
    <row r="1216" spans="1:77" ht="15" customHeight="1" outlineLevel="1" x14ac:dyDescent="0.2">
      <c r="A1216" s="57" t="s">
        <v>24</v>
      </c>
      <c r="B1216" s="583" t="s">
        <v>477</v>
      </c>
      <c r="C1216" s="583" t="s">
        <v>2058</v>
      </c>
      <c r="D1216" s="818">
        <v>0.37</v>
      </c>
      <c r="E1216" s="162" t="s">
        <v>631</v>
      </c>
      <c r="F1216" s="358"/>
      <c r="G1216" s="65"/>
      <c r="H1216" s="73"/>
      <c r="I1216" s="90"/>
      <c r="J1216" s="73"/>
      <c r="K1216" s="790">
        <v>1.0120000000000001E-3</v>
      </c>
      <c r="L1216" s="717"/>
      <c r="M1216" s="73"/>
      <c r="N1216" s="359"/>
      <c r="O1216" s="1041"/>
      <c r="P1216" s="73"/>
      <c r="Q1216" s="359"/>
      <c r="R1216" s="1041"/>
      <c r="S1216" s="73"/>
      <c r="T1216" s="359"/>
      <c r="U1216" s="73"/>
      <c r="V1216" s="66"/>
      <c r="W1216" s="808">
        <f t="shared" si="967"/>
        <v>7.1852E-7</v>
      </c>
      <c r="X1216" s="809">
        <f t="shared" si="968"/>
        <v>7.1852E-7</v>
      </c>
      <c r="Y1216" s="52">
        <v>2005</v>
      </c>
      <c r="Z1216" s="52"/>
      <c r="AA1216" s="807">
        <f>+K1216/1000</f>
        <v>1.012E-6</v>
      </c>
      <c r="AB1216" s="256">
        <v>-0.28999999999999998</v>
      </c>
      <c r="AC1216" s="688">
        <f t="shared" si="962"/>
        <v>-0.28999999999999998</v>
      </c>
      <c r="AD1216" s="164"/>
      <c r="AE1216" s="164"/>
      <c r="AF1216" s="25"/>
      <c r="AG1216" s="26"/>
      <c r="AH1216" s="275"/>
      <c r="AI1216" s="52"/>
      <c r="AJ1216" s="35"/>
      <c r="AK1216" s="289"/>
      <c r="AL1216" s="290"/>
      <c r="AM1216" s="211"/>
      <c r="AN1216" s="164"/>
      <c r="AO1216" s="594"/>
      <c r="AP1216" s="595"/>
      <c r="AQ1216" s="275"/>
      <c r="AR1216" s="52"/>
      <c r="AS1216" s="596"/>
      <c r="AT1216" s="79"/>
      <c r="AU1216" s="212"/>
      <c r="AV1216" s="164"/>
      <c r="AW1216" s="164"/>
      <c r="AX1216" s="76"/>
      <c r="AY1216" s="44"/>
      <c r="AZ1216" s="275"/>
      <c r="BA1216" s="52"/>
      <c r="BB1216" s="35"/>
      <c r="BC1216" s="79"/>
      <c r="BD1216" s="230"/>
      <c r="BE1216" s="211"/>
      <c r="BF1216" s="164"/>
      <c r="BG1216" s="76"/>
      <c r="BH1216" s="44"/>
      <c r="BI1216" s="275"/>
      <c r="BJ1216" s="52"/>
      <c r="BK1216" s="35"/>
      <c r="BL1216" s="79"/>
      <c r="BM1216" s="230"/>
      <c r="BN1216" s="211"/>
      <c r="BO1216" s="164"/>
      <c r="BP1216" s="726"/>
      <c r="BQ1216" s="727"/>
      <c r="BR1216" s="299"/>
      <c r="BS1216" s="35"/>
      <c r="BT1216" s="596"/>
      <c r="BU1216" s="79"/>
      <c r="BV1216" s="212"/>
      <c r="BW1216" s="304"/>
      <c r="BX1216" s="313"/>
      <c r="BY1216" s="138"/>
    </row>
    <row r="1217" spans="1:77" ht="15" customHeight="1" outlineLevel="1" x14ac:dyDescent="0.2">
      <c r="A1217" s="583" t="s">
        <v>24</v>
      </c>
      <c r="B1217" s="583" t="s">
        <v>477</v>
      </c>
      <c r="C1217" s="583" t="s">
        <v>1743</v>
      </c>
      <c r="D1217" s="818">
        <v>1.1819999999999999</v>
      </c>
      <c r="E1217" s="162" t="s">
        <v>631</v>
      </c>
      <c r="F1217" s="358"/>
      <c r="G1217" s="65"/>
      <c r="H1217" s="73"/>
      <c r="I1217" s="90"/>
      <c r="J1217" s="73"/>
      <c r="K1217" s="790">
        <v>5.1240000000000001E-3</v>
      </c>
      <c r="L1217" s="717"/>
      <c r="M1217" s="73"/>
      <c r="N1217" s="359"/>
      <c r="O1217" s="1041"/>
      <c r="P1217" s="73"/>
      <c r="Q1217" s="359"/>
      <c r="R1217" s="1041"/>
      <c r="S1217" s="73"/>
      <c r="T1217" s="359"/>
      <c r="U1217" s="73"/>
      <c r="V1217" s="66"/>
      <c r="W1217" s="740">
        <f t="shared" si="967"/>
        <v>3.8430000000000003E-6</v>
      </c>
      <c r="X1217" s="741">
        <f t="shared" si="968"/>
        <v>3.8430000000000003E-6</v>
      </c>
      <c r="Y1217" s="52">
        <v>2005</v>
      </c>
      <c r="Z1217" s="52"/>
      <c r="AA1217" s="739">
        <f t="shared" si="961"/>
        <v>5.1240000000000004E-6</v>
      </c>
      <c r="AB1217" s="256">
        <v>-0.25</v>
      </c>
      <c r="AC1217" s="688">
        <f t="shared" si="962"/>
        <v>-0.25</v>
      </c>
      <c r="AD1217" s="164"/>
      <c r="AE1217" s="164"/>
      <c r="AF1217" s="25"/>
      <c r="AG1217" s="26"/>
      <c r="AH1217" s="275"/>
      <c r="AI1217" s="52"/>
      <c r="AJ1217" s="35"/>
      <c r="AK1217" s="289"/>
      <c r="AL1217" s="290"/>
      <c r="AM1217" s="211"/>
      <c r="AN1217" s="164"/>
      <c r="AO1217" s="594"/>
      <c r="AP1217" s="595"/>
      <c r="AQ1217" s="275"/>
      <c r="AR1217" s="52"/>
      <c r="AS1217" s="596"/>
      <c r="AT1217" s="79"/>
      <c r="AU1217" s="212"/>
      <c r="AV1217" s="164"/>
      <c r="AW1217" s="164"/>
      <c r="AX1217" s="76"/>
      <c r="AY1217" s="44"/>
      <c r="AZ1217" s="275"/>
      <c r="BA1217" s="52"/>
      <c r="BB1217" s="35"/>
      <c r="BC1217" s="79"/>
      <c r="BD1217" s="230"/>
      <c r="BE1217" s="211"/>
      <c r="BF1217" s="164"/>
      <c r="BG1217" s="76"/>
      <c r="BH1217" s="44"/>
      <c r="BI1217" s="275"/>
      <c r="BJ1217" s="52"/>
      <c r="BK1217" s="35"/>
      <c r="BL1217" s="79"/>
      <c r="BM1217" s="230"/>
      <c r="BN1217" s="211"/>
      <c r="BO1217" s="164"/>
      <c r="BP1217" s="726"/>
      <c r="BQ1217" s="727"/>
      <c r="BR1217" s="299"/>
      <c r="BS1217" s="35"/>
      <c r="BT1217" s="596"/>
      <c r="BU1217" s="79"/>
      <c r="BV1217" s="212"/>
      <c r="BW1217" s="304"/>
      <c r="BX1217" s="313"/>
      <c r="BY1217" s="138"/>
    </row>
    <row r="1218" spans="1:77" ht="15" customHeight="1" outlineLevel="1" x14ac:dyDescent="0.2">
      <c r="A1218" s="583" t="s">
        <v>24</v>
      </c>
      <c r="B1218" s="583" t="s">
        <v>477</v>
      </c>
      <c r="C1218" s="583" t="s">
        <v>1801</v>
      </c>
      <c r="D1218" s="818">
        <v>0.95699999999999996</v>
      </c>
      <c r="E1218" s="162" t="s">
        <v>631</v>
      </c>
      <c r="F1218" s="358"/>
      <c r="G1218" s="65"/>
      <c r="H1218" s="73"/>
      <c r="I1218" s="90"/>
      <c r="J1218" s="73"/>
      <c r="K1218" s="790">
        <v>2.643E-3</v>
      </c>
      <c r="L1218" s="717"/>
      <c r="M1218" s="73"/>
      <c r="N1218" s="359"/>
      <c r="O1218" s="1041"/>
      <c r="P1218" s="73"/>
      <c r="Q1218" s="359"/>
      <c r="R1218" s="1041"/>
      <c r="S1218" s="73"/>
      <c r="T1218" s="359"/>
      <c r="U1218" s="73"/>
      <c r="V1218" s="66"/>
      <c r="W1218" s="788">
        <f t="shared" si="967"/>
        <v>1.98225E-6</v>
      </c>
      <c r="X1218" s="789">
        <f t="shared" si="968"/>
        <v>1.98225E-6</v>
      </c>
      <c r="Y1218" s="52">
        <v>2005</v>
      </c>
      <c r="Z1218" s="52"/>
      <c r="AA1218" s="787">
        <f>+K1218/1000</f>
        <v>2.6429999999999999E-6</v>
      </c>
      <c r="AB1218" s="256">
        <v>-0.25</v>
      </c>
      <c r="AC1218" s="688">
        <f t="shared" si="962"/>
        <v>-0.25</v>
      </c>
      <c r="AD1218" s="164"/>
      <c r="AE1218" s="164"/>
      <c r="AF1218" s="25"/>
      <c r="AG1218" s="26"/>
      <c r="AH1218" s="275"/>
      <c r="AI1218" s="52"/>
      <c r="AJ1218" s="35"/>
      <c r="AK1218" s="289"/>
      <c r="AL1218" s="290"/>
      <c r="AM1218" s="211"/>
      <c r="AN1218" s="164"/>
      <c r="AO1218" s="594"/>
      <c r="AP1218" s="595"/>
      <c r="AQ1218" s="275"/>
      <c r="AR1218" s="52"/>
      <c r="AS1218" s="596"/>
      <c r="AT1218" s="79"/>
      <c r="AU1218" s="212"/>
      <c r="AV1218" s="164"/>
      <c r="AW1218" s="164"/>
      <c r="AX1218" s="76"/>
      <c r="AY1218" s="44"/>
      <c r="AZ1218" s="275"/>
      <c r="BA1218" s="52"/>
      <c r="BB1218" s="35"/>
      <c r="BC1218" s="79"/>
      <c r="BD1218" s="230"/>
      <c r="BE1218" s="211"/>
      <c r="BF1218" s="164"/>
      <c r="BG1218" s="76"/>
      <c r="BH1218" s="44"/>
      <c r="BI1218" s="275"/>
      <c r="BJ1218" s="52"/>
      <c r="BK1218" s="35"/>
      <c r="BL1218" s="79"/>
      <c r="BM1218" s="230"/>
      <c r="BN1218" s="211"/>
      <c r="BO1218" s="164"/>
      <c r="BP1218" s="726"/>
      <c r="BQ1218" s="727"/>
      <c r="BR1218" s="299"/>
      <c r="BS1218" s="35"/>
      <c r="BT1218" s="596"/>
      <c r="BU1218" s="79"/>
      <c r="BV1218" s="212"/>
      <c r="BW1218" s="304"/>
      <c r="BX1218" s="313"/>
      <c r="BY1218" s="138"/>
    </row>
    <row r="1219" spans="1:77" ht="15" customHeight="1" outlineLevel="1" x14ac:dyDescent="0.2">
      <c r="A1219" s="57" t="s">
        <v>24</v>
      </c>
      <c r="B1219" s="583" t="s">
        <v>477</v>
      </c>
      <c r="C1219" s="583" t="s">
        <v>1531</v>
      </c>
      <c r="D1219" s="546">
        <v>0.52100000000000002</v>
      </c>
      <c r="E1219" s="162" t="s">
        <v>631</v>
      </c>
      <c r="F1219" s="358"/>
      <c r="G1219" s="65"/>
      <c r="H1219" s="73"/>
      <c r="I1219" s="90"/>
      <c r="J1219" s="73"/>
      <c r="K1219" s="790">
        <v>2.48E-3</v>
      </c>
      <c r="L1219" s="717"/>
      <c r="M1219" s="73"/>
      <c r="N1219" s="359"/>
      <c r="O1219" s="1041"/>
      <c r="P1219" s="73"/>
      <c r="Q1219" s="359"/>
      <c r="R1219" s="1041"/>
      <c r="S1219" s="73"/>
      <c r="T1219" s="359"/>
      <c r="U1219" s="73"/>
      <c r="V1219" s="66"/>
      <c r="W1219" s="788">
        <f t="shared" si="643"/>
        <v>6.9440000000000008E-7</v>
      </c>
      <c r="X1219" s="789">
        <f t="shared" si="644"/>
        <v>6.9440000000000008E-7</v>
      </c>
      <c r="Y1219" s="52">
        <v>2005</v>
      </c>
      <c r="Z1219" s="52"/>
      <c r="AA1219" s="787">
        <f t="shared" ref="AA1219" si="971">+K1219/1000</f>
        <v>2.48E-6</v>
      </c>
      <c r="AB1219" s="256">
        <v>-0.72</v>
      </c>
      <c r="AC1219" s="688">
        <f t="shared" si="962"/>
        <v>-0.72</v>
      </c>
      <c r="AD1219" s="164"/>
      <c r="AE1219" s="164"/>
      <c r="AF1219" s="25"/>
      <c r="AG1219" s="26"/>
      <c r="AH1219" s="275"/>
      <c r="AI1219" s="52"/>
      <c r="AJ1219" s="35"/>
      <c r="AK1219" s="289"/>
      <c r="AL1219" s="290"/>
      <c r="AM1219" s="211"/>
      <c r="AN1219" s="164"/>
      <c r="AO1219" s="594"/>
      <c r="AP1219" s="595"/>
      <c r="AQ1219" s="275"/>
      <c r="AR1219" s="52"/>
      <c r="AS1219" s="596"/>
      <c r="AT1219" s="79"/>
      <c r="AU1219" s="212"/>
      <c r="AV1219" s="164"/>
      <c r="AW1219" s="164"/>
      <c r="AX1219" s="76"/>
      <c r="AY1219" s="44"/>
      <c r="AZ1219" s="275"/>
      <c r="BA1219" s="52"/>
      <c r="BB1219" s="35"/>
      <c r="BC1219" s="79"/>
      <c r="BD1219" s="230"/>
      <c r="BE1219" s="211"/>
      <c r="BF1219" s="164"/>
      <c r="BG1219" s="76"/>
      <c r="BH1219" s="44"/>
      <c r="BI1219" s="275"/>
      <c r="BJ1219" s="52"/>
      <c r="BK1219" s="35"/>
      <c r="BL1219" s="79"/>
      <c r="BM1219" s="230"/>
      <c r="BN1219" s="211"/>
      <c r="BO1219" s="164"/>
      <c r="BP1219" s="726"/>
      <c r="BQ1219" s="727"/>
      <c r="BR1219" s="299"/>
      <c r="BS1219" s="35"/>
      <c r="BT1219" s="596"/>
      <c r="BU1219" s="79"/>
      <c r="BV1219" s="212"/>
      <c r="BW1219" s="304"/>
      <c r="BX1219" s="313"/>
      <c r="BY1219" s="138"/>
    </row>
    <row r="1220" spans="1:77" ht="15" customHeight="1" outlineLevel="1" x14ac:dyDescent="0.2">
      <c r="A1220" s="57" t="s">
        <v>24</v>
      </c>
      <c r="B1220" s="583" t="s">
        <v>477</v>
      </c>
      <c r="C1220" s="583" t="s">
        <v>1517</v>
      </c>
      <c r="D1220" s="546">
        <v>1.071</v>
      </c>
      <c r="E1220" s="162" t="s">
        <v>631</v>
      </c>
      <c r="F1220" s="358"/>
      <c r="G1220" s="65"/>
      <c r="H1220" s="73"/>
      <c r="I1220" s="90"/>
      <c r="J1220" s="73"/>
      <c r="K1220" s="790">
        <v>7.11E-3</v>
      </c>
      <c r="L1220" s="717"/>
      <c r="M1220" s="73"/>
      <c r="N1220" s="359"/>
      <c r="O1220" s="1041"/>
      <c r="P1220" s="73"/>
      <c r="Q1220" s="359"/>
      <c r="R1220" s="1041"/>
      <c r="S1220" s="73"/>
      <c r="T1220" s="359"/>
      <c r="U1220" s="73"/>
      <c r="V1220" s="66"/>
      <c r="W1220" s="788">
        <f t="shared" ref="W1220:W1221" si="972">AA1220*(1+AB1220)</f>
        <v>1.9908000000000001E-6</v>
      </c>
      <c r="X1220" s="789">
        <f t="shared" ref="X1220:X1221" si="973">AA1220*(1+AC1220)</f>
        <v>1.9908000000000001E-6</v>
      </c>
      <c r="Y1220" s="52">
        <v>2005</v>
      </c>
      <c r="Z1220" s="52"/>
      <c r="AA1220" s="787">
        <f t="shared" ref="AA1220:AA1221" si="974">+K1220/1000</f>
        <v>7.1099999999999997E-6</v>
      </c>
      <c r="AB1220" s="256">
        <v>-0.72</v>
      </c>
      <c r="AC1220" s="688">
        <f t="shared" si="962"/>
        <v>-0.72</v>
      </c>
      <c r="AD1220" s="164"/>
      <c r="AE1220" s="164"/>
      <c r="AF1220" s="25"/>
      <c r="AG1220" s="26"/>
      <c r="AH1220" s="275"/>
      <c r="AI1220" s="52"/>
      <c r="AJ1220" s="35"/>
      <c r="AK1220" s="289"/>
      <c r="AL1220" s="290"/>
      <c r="AM1220" s="211"/>
      <c r="AN1220" s="164"/>
      <c r="AO1220" s="594"/>
      <c r="AP1220" s="595"/>
      <c r="AQ1220" s="275"/>
      <c r="AR1220" s="52"/>
      <c r="AS1220" s="596"/>
      <c r="AT1220" s="79"/>
      <c r="AU1220" s="212"/>
      <c r="AV1220" s="164"/>
      <c r="AW1220" s="164"/>
      <c r="AX1220" s="76"/>
      <c r="AY1220" s="44"/>
      <c r="AZ1220" s="275"/>
      <c r="BA1220" s="52"/>
      <c r="BB1220" s="35"/>
      <c r="BC1220" s="79"/>
      <c r="BD1220" s="230"/>
      <c r="BE1220" s="211"/>
      <c r="BF1220" s="164"/>
      <c r="BG1220" s="76"/>
      <c r="BH1220" s="44"/>
      <c r="BI1220" s="275"/>
      <c r="BJ1220" s="52"/>
      <c r="BK1220" s="35"/>
      <c r="BL1220" s="79"/>
      <c r="BM1220" s="230"/>
      <c r="BN1220" s="211"/>
      <c r="BO1220" s="164"/>
      <c r="BP1220" s="726"/>
      <c r="BQ1220" s="727"/>
      <c r="BR1220" s="299"/>
      <c r="BS1220" s="35"/>
      <c r="BT1220" s="596"/>
      <c r="BU1220" s="79"/>
      <c r="BV1220" s="212"/>
      <c r="BW1220" s="304"/>
      <c r="BX1220" s="313"/>
      <c r="BY1220" s="138"/>
    </row>
    <row r="1221" spans="1:77" ht="15" customHeight="1" outlineLevel="1" x14ac:dyDescent="0.2">
      <c r="A1221" s="57" t="s">
        <v>24</v>
      </c>
      <c r="B1221" s="583" t="s">
        <v>477</v>
      </c>
      <c r="C1221" s="583" t="s">
        <v>1785</v>
      </c>
      <c r="D1221" s="546">
        <v>0.186</v>
      </c>
      <c r="E1221" s="162" t="s">
        <v>631</v>
      </c>
      <c r="F1221" s="358"/>
      <c r="G1221" s="65"/>
      <c r="H1221" s="73"/>
      <c r="I1221" s="90"/>
      <c r="J1221" s="73"/>
      <c r="K1221" s="790">
        <v>6.3299999999999999E-4</v>
      </c>
      <c r="L1221" s="717"/>
      <c r="M1221" s="73"/>
      <c r="N1221" s="359"/>
      <c r="O1221" s="1041"/>
      <c r="P1221" s="73"/>
      <c r="Q1221" s="359"/>
      <c r="R1221" s="1041"/>
      <c r="S1221" s="73"/>
      <c r="T1221" s="359"/>
      <c r="U1221" s="73"/>
      <c r="V1221" s="66"/>
      <c r="W1221" s="788">
        <f t="shared" si="972"/>
        <v>4.7474999999999999E-7</v>
      </c>
      <c r="X1221" s="789">
        <f t="shared" si="973"/>
        <v>4.7474999999999999E-7</v>
      </c>
      <c r="Y1221" s="52">
        <v>2005</v>
      </c>
      <c r="Z1221" s="52"/>
      <c r="AA1221" s="787">
        <f t="shared" si="974"/>
        <v>6.3300000000000002E-7</v>
      </c>
      <c r="AB1221" s="256">
        <v>-0.25</v>
      </c>
      <c r="AC1221" s="688">
        <f t="shared" si="962"/>
        <v>-0.25</v>
      </c>
      <c r="AD1221" s="164"/>
      <c r="AE1221" s="164"/>
      <c r="AF1221" s="25"/>
      <c r="AG1221" s="26"/>
      <c r="AH1221" s="275"/>
      <c r="AI1221" s="52"/>
      <c r="AJ1221" s="35"/>
      <c r="AK1221" s="289"/>
      <c r="AL1221" s="290"/>
      <c r="AM1221" s="211"/>
      <c r="AN1221" s="164"/>
      <c r="AO1221" s="594"/>
      <c r="AP1221" s="595"/>
      <c r="AQ1221" s="275"/>
      <c r="AR1221" s="52"/>
      <c r="AS1221" s="596"/>
      <c r="AT1221" s="79"/>
      <c r="AU1221" s="212"/>
      <c r="AV1221" s="164"/>
      <c r="AW1221" s="164"/>
      <c r="AX1221" s="76"/>
      <c r="AY1221" s="44"/>
      <c r="AZ1221" s="275"/>
      <c r="BA1221" s="52"/>
      <c r="BB1221" s="35"/>
      <c r="BC1221" s="79"/>
      <c r="BD1221" s="230"/>
      <c r="BE1221" s="211"/>
      <c r="BF1221" s="164"/>
      <c r="BG1221" s="76"/>
      <c r="BH1221" s="44"/>
      <c r="BI1221" s="275"/>
      <c r="BJ1221" s="52"/>
      <c r="BK1221" s="35"/>
      <c r="BL1221" s="79"/>
      <c r="BM1221" s="230"/>
      <c r="BN1221" s="211"/>
      <c r="BO1221" s="164"/>
      <c r="BP1221" s="726"/>
      <c r="BQ1221" s="727"/>
      <c r="BR1221" s="299"/>
      <c r="BS1221" s="35"/>
      <c r="BT1221" s="596"/>
      <c r="BU1221" s="79"/>
      <c r="BV1221" s="212"/>
      <c r="BW1221" s="304"/>
      <c r="BX1221" s="313"/>
      <c r="BY1221" s="138"/>
    </row>
    <row r="1222" spans="1:77" ht="15" customHeight="1" outlineLevel="1" x14ac:dyDescent="0.2">
      <c r="A1222" s="57" t="s">
        <v>24</v>
      </c>
      <c r="B1222" s="583" t="s">
        <v>477</v>
      </c>
      <c r="C1222" s="583" t="s">
        <v>1498</v>
      </c>
      <c r="D1222" s="546">
        <v>0.71399999999999997</v>
      </c>
      <c r="E1222" s="162" t="s">
        <v>631</v>
      </c>
      <c r="F1222" s="358"/>
      <c r="G1222" s="65"/>
      <c r="H1222" s="73"/>
      <c r="I1222" s="90"/>
      <c r="J1222" s="73"/>
      <c r="K1222" s="790">
        <v>2.2790000000000002E-3</v>
      </c>
      <c r="L1222" s="717"/>
      <c r="M1222" s="73"/>
      <c r="N1222" s="359"/>
      <c r="O1222" s="1041"/>
      <c r="P1222" s="73"/>
      <c r="Q1222" s="359"/>
      <c r="R1222" s="1041"/>
      <c r="S1222" s="73"/>
      <c r="T1222" s="359"/>
      <c r="U1222" s="73"/>
      <c r="V1222" s="66"/>
      <c r="W1222" s="788">
        <f t="shared" si="643"/>
        <v>1.5269299999999999E-6</v>
      </c>
      <c r="X1222" s="789">
        <f t="shared" si="644"/>
        <v>1.5269299999999999E-6</v>
      </c>
      <c r="Y1222" s="52">
        <v>2005</v>
      </c>
      <c r="Z1222" s="52"/>
      <c r="AA1222" s="787">
        <f t="shared" ref="AA1222" si="975">+K1222/1000</f>
        <v>2.2790000000000001E-6</v>
      </c>
      <c r="AB1222" s="256">
        <v>-0.33</v>
      </c>
      <c r="AC1222" s="688">
        <f t="shared" si="962"/>
        <v>-0.33</v>
      </c>
      <c r="AD1222" s="164"/>
      <c r="AE1222" s="164"/>
      <c r="AF1222" s="25"/>
      <c r="AG1222" s="26"/>
      <c r="AH1222" s="275"/>
      <c r="AI1222" s="52"/>
      <c r="AJ1222" s="35"/>
      <c r="AK1222" s="289"/>
      <c r="AL1222" s="290"/>
      <c r="AM1222" s="211"/>
      <c r="AN1222" s="164"/>
      <c r="AO1222" s="594"/>
      <c r="AP1222" s="595"/>
      <c r="AQ1222" s="275"/>
      <c r="AR1222" s="52"/>
      <c r="AS1222" s="596"/>
      <c r="AT1222" s="79"/>
      <c r="AU1222" s="212"/>
      <c r="AV1222" s="164"/>
      <c r="AW1222" s="164"/>
      <c r="AX1222" s="76"/>
      <c r="AY1222" s="44"/>
      <c r="AZ1222" s="275"/>
      <c r="BA1222" s="52"/>
      <c r="BB1222" s="35"/>
      <c r="BC1222" s="79"/>
      <c r="BD1222" s="230"/>
      <c r="BE1222" s="211"/>
      <c r="BF1222" s="164"/>
      <c r="BG1222" s="76"/>
      <c r="BH1222" s="44"/>
      <c r="BI1222" s="275"/>
      <c r="BJ1222" s="52"/>
      <c r="BK1222" s="35"/>
      <c r="BL1222" s="79"/>
      <c r="BM1222" s="230"/>
      <c r="BN1222" s="211"/>
      <c r="BO1222" s="164"/>
      <c r="BP1222" s="726"/>
      <c r="BQ1222" s="727"/>
      <c r="BR1222" s="299"/>
      <c r="BS1222" s="35"/>
      <c r="BT1222" s="596"/>
      <c r="BU1222" s="79"/>
      <c r="BV1222" s="212"/>
      <c r="BW1222" s="304"/>
      <c r="BX1222" s="313"/>
      <c r="BY1222" s="138"/>
    </row>
    <row r="1223" spans="1:77" ht="15" customHeight="1" outlineLevel="1" x14ac:dyDescent="0.2">
      <c r="A1223" s="57" t="s">
        <v>24</v>
      </c>
      <c r="B1223" s="583" t="s">
        <v>477</v>
      </c>
      <c r="C1223" s="583" t="s">
        <v>1528</v>
      </c>
      <c r="D1223" s="818">
        <v>0.17799999999999999</v>
      </c>
      <c r="E1223" s="162" t="s">
        <v>631</v>
      </c>
      <c r="F1223" s="358"/>
      <c r="G1223" s="65"/>
      <c r="H1223" s="73"/>
      <c r="I1223" s="90"/>
      <c r="J1223" s="73"/>
      <c r="K1223" s="790">
        <v>6.447E-4</v>
      </c>
      <c r="L1223" s="717"/>
      <c r="M1223" s="73"/>
      <c r="N1223" s="359"/>
      <c r="O1223" s="1041"/>
      <c r="P1223" s="73"/>
      <c r="Q1223" s="359"/>
      <c r="R1223" s="1041"/>
      <c r="S1223" s="73"/>
      <c r="T1223" s="359"/>
      <c r="U1223" s="73"/>
      <c r="V1223" s="66"/>
      <c r="W1223" s="808">
        <f t="shared" ref="W1223" si="976">AA1223*(1+AB1223)</f>
        <v>9.6705000000000018E-8</v>
      </c>
      <c r="X1223" s="809">
        <f t="shared" ref="X1223" si="977">AA1223*(1+AC1223)</f>
        <v>9.6705000000000018E-8</v>
      </c>
      <c r="Y1223" s="52">
        <v>2005</v>
      </c>
      <c r="Z1223" s="52"/>
      <c r="AA1223" s="787">
        <f t="shared" ref="AA1223" si="978">+K1223/1000</f>
        <v>6.4470000000000005E-7</v>
      </c>
      <c r="AB1223" s="256">
        <v>-0.85</v>
      </c>
      <c r="AC1223" s="688">
        <f t="shared" si="962"/>
        <v>-0.85</v>
      </c>
      <c r="AD1223" s="164"/>
      <c r="AE1223" s="164"/>
      <c r="AF1223" s="25"/>
      <c r="AG1223" s="26"/>
      <c r="AH1223" s="275"/>
      <c r="AI1223" s="52"/>
      <c r="AJ1223" s="35"/>
      <c r="AK1223" s="289"/>
      <c r="AL1223" s="290"/>
      <c r="AM1223" s="211"/>
      <c r="AN1223" s="164"/>
      <c r="AO1223" s="594"/>
      <c r="AP1223" s="595"/>
      <c r="AQ1223" s="275"/>
      <c r="AR1223" s="52"/>
      <c r="AS1223" s="596"/>
      <c r="AT1223" s="79"/>
      <c r="AU1223" s="212"/>
      <c r="AV1223" s="164"/>
      <c r="AW1223" s="164"/>
      <c r="AX1223" s="76"/>
      <c r="AY1223" s="44"/>
      <c r="AZ1223" s="275"/>
      <c r="BA1223" s="52"/>
      <c r="BB1223" s="35"/>
      <c r="BC1223" s="79"/>
      <c r="BD1223" s="230"/>
      <c r="BE1223" s="211"/>
      <c r="BF1223" s="164"/>
      <c r="BG1223" s="76"/>
      <c r="BH1223" s="44"/>
      <c r="BI1223" s="275"/>
      <c r="BJ1223" s="52"/>
      <c r="BK1223" s="35"/>
      <c r="BL1223" s="79"/>
      <c r="BM1223" s="230"/>
      <c r="BN1223" s="211"/>
      <c r="BO1223" s="164"/>
      <c r="BP1223" s="726"/>
      <c r="BQ1223" s="727"/>
      <c r="BR1223" s="299"/>
      <c r="BS1223" s="35"/>
      <c r="BT1223" s="596"/>
      <c r="BU1223" s="79"/>
      <c r="BV1223" s="212"/>
      <c r="BW1223" s="304"/>
      <c r="BX1223" s="313"/>
      <c r="BY1223" s="138"/>
    </row>
    <row r="1224" spans="1:77" ht="15" customHeight="1" outlineLevel="1" x14ac:dyDescent="0.2">
      <c r="A1224" s="57" t="s">
        <v>24</v>
      </c>
      <c r="B1224" s="583" t="s">
        <v>477</v>
      </c>
      <c r="C1224" s="583" t="s">
        <v>1445</v>
      </c>
      <c r="D1224" s="546">
        <v>4.0609999999999999</v>
      </c>
      <c r="E1224" s="162" t="s">
        <v>631</v>
      </c>
      <c r="F1224" s="358"/>
      <c r="G1224" s="65"/>
      <c r="H1224" s="73"/>
      <c r="I1224" s="90"/>
      <c r="J1224" s="73"/>
      <c r="K1224" s="734">
        <v>1.9292E-2</v>
      </c>
      <c r="L1224" s="717"/>
      <c r="M1224" s="73"/>
      <c r="N1224" s="359"/>
      <c r="O1224" s="1041"/>
      <c r="P1224" s="73"/>
      <c r="Q1224" s="359"/>
      <c r="R1224" s="1041"/>
      <c r="S1224" s="73"/>
      <c r="T1224" s="359"/>
      <c r="U1224" s="73"/>
      <c r="V1224" s="66"/>
      <c r="W1224" s="740">
        <f t="shared" ref="W1224:W1225" si="979">AA1224*(1+AB1224)</f>
        <v>1.2539800000000001E-5</v>
      </c>
      <c r="X1224" s="741">
        <f t="shared" ref="X1224:X1225" si="980">AA1224*(1+AC1224)</f>
        <v>1.2539800000000001E-5</v>
      </c>
      <c r="Y1224" s="52">
        <v>2005</v>
      </c>
      <c r="Z1224" s="52"/>
      <c r="AA1224" s="739">
        <f t="shared" ref="AA1224:AA1225" si="981">+K1224/1000</f>
        <v>1.9292000000000001E-5</v>
      </c>
      <c r="AB1224" s="256">
        <v>-0.35</v>
      </c>
      <c r="AC1224" s="688">
        <f t="shared" si="962"/>
        <v>-0.35</v>
      </c>
      <c r="AD1224" s="164"/>
      <c r="AE1224" s="164"/>
      <c r="AF1224" s="25"/>
      <c r="AG1224" s="26"/>
      <c r="AH1224" s="275"/>
      <c r="AI1224" s="52"/>
      <c r="AJ1224" s="35"/>
      <c r="AK1224" s="289"/>
      <c r="AL1224" s="290"/>
      <c r="AM1224" s="211"/>
      <c r="AN1224" s="164"/>
      <c r="AO1224" s="594"/>
      <c r="AP1224" s="595"/>
      <c r="AQ1224" s="275"/>
      <c r="AR1224" s="52"/>
      <c r="AS1224" s="596"/>
      <c r="AT1224" s="79"/>
      <c r="AU1224" s="212"/>
      <c r="AV1224" s="164"/>
      <c r="AW1224" s="164"/>
      <c r="AX1224" s="76"/>
      <c r="AY1224" s="44"/>
      <c r="AZ1224" s="275"/>
      <c r="BA1224" s="52"/>
      <c r="BB1224" s="35"/>
      <c r="BC1224" s="79"/>
      <c r="BD1224" s="230"/>
      <c r="BE1224" s="211"/>
      <c r="BF1224" s="164"/>
      <c r="BG1224" s="76"/>
      <c r="BH1224" s="44"/>
      <c r="BI1224" s="275"/>
      <c r="BJ1224" s="52"/>
      <c r="BK1224" s="35"/>
      <c r="BL1224" s="79"/>
      <c r="BM1224" s="230"/>
      <c r="BN1224" s="211"/>
      <c r="BO1224" s="164"/>
      <c r="BP1224" s="726"/>
      <c r="BQ1224" s="727"/>
      <c r="BR1224" s="299"/>
      <c r="BS1224" s="35"/>
      <c r="BT1224" s="596"/>
      <c r="BU1224" s="79"/>
      <c r="BV1224" s="212"/>
      <c r="BW1224" s="304"/>
      <c r="BX1224" s="313"/>
      <c r="BY1224" s="138"/>
    </row>
    <row r="1225" spans="1:77" ht="15" customHeight="1" outlineLevel="1" x14ac:dyDescent="0.2">
      <c r="A1225" s="57" t="s">
        <v>24</v>
      </c>
      <c r="B1225" s="583" t="s">
        <v>477</v>
      </c>
      <c r="C1225" s="583" t="s">
        <v>2068</v>
      </c>
      <c r="D1225" s="546">
        <v>3.9359999999999999</v>
      </c>
      <c r="E1225" s="162" t="s">
        <v>631</v>
      </c>
      <c r="F1225" s="358"/>
      <c r="G1225" s="65"/>
      <c r="H1225" s="73"/>
      <c r="I1225" s="90"/>
      <c r="J1225" s="73"/>
      <c r="K1225" s="734">
        <v>1.1778E-2</v>
      </c>
      <c r="L1225" s="717"/>
      <c r="M1225" s="73"/>
      <c r="N1225" s="359"/>
      <c r="O1225" s="1041"/>
      <c r="P1225" s="73"/>
      <c r="Q1225" s="359"/>
      <c r="R1225" s="1041"/>
      <c r="S1225" s="73"/>
      <c r="T1225" s="359"/>
      <c r="U1225" s="73"/>
      <c r="V1225" s="66"/>
      <c r="W1225" s="740">
        <f t="shared" si="979"/>
        <v>8.3623800000000001E-6</v>
      </c>
      <c r="X1225" s="741">
        <f t="shared" si="980"/>
        <v>8.3623800000000001E-6</v>
      </c>
      <c r="Y1225" s="52">
        <v>2005</v>
      </c>
      <c r="Z1225" s="52"/>
      <c r="AA1225" s="739">
        <f t="shared" si="981"/>
        <v>1.1778E-5</v>
      </c>
      <c r="AB1225" s="256">
        <v>-0.28999999999999998</v>
      </c>
      <c r="AC1225" s="688">
        <f t="shared" si="962"/>
        <v>-0.28999999999999998</v>
      </c>
      <c r="AD1225" s="164"/>
      <c r="AE1225" s="164"/>
      <c r="AF1225" s="25"/>
      <c r="AG1225" s="26"/>
      <c r="AH1225" s="275"/>
      <c r="AI1225" s="52"/>
      <c r="AJ1225" s="35"/>
      <c r="AK1225" s="289"/>
      <c r="AL1225" s="290"/>
      <c r="AM1225" s="211"/>
      <c r="AN1225" s="164"/>
      <c r="AO1225" s="594"/>
      <c r="AP1225" s="595"/>
      <c r="AQ1225" s="275"/>
      <c r="AR1225" s="52"/>
      <c r="AS1225" s="596"/>
      <c r="AT1225" s="79"/>
      <c r="AU1225" s="212"/>
      <c r="AV1225" s="164"/>
      <c r="AW1225" s="164"/>
      <c r="AX1225" s="76"/>
      <c r="AY1225" s="44"/>
      <c r="AZ1225" s="275"/>
      <c r="BA1225" s="52"/>
      <c r="BB1225" s="35"/>
      <c r="BC1225" s="79"/>
      <c r="BD1225" s="230"/>
      <c r="BE1225" s="211"/>
      <c r="BF1225" s="164"/>
      <c r="BG1225" s="76"/>
      <c r="BH1225" s="44"/>
      <c r="BI1225" s="275"/>
      <c r="BJ1225" s="52"/>
      <c r="BK1225" s="35"/>
      <c r="BL1225" s="79"/>
      <c r="BM1225" s="230"/>
      <c r="BN1225" s="211"/>
      <c r="BO1225" s="164"/>
      <c r="BP1225" s="726"/>
      <c r="BQ1225" s="727"/>
      <c r="BR1225" s="299"/>
      <c r="BS1225" s="35"/>
      <c r="BT1225" s="596"/>
      <c r="BU1225" s="79"/>
      <c r="BV1225" s="212"/>
      <c r="BW1225" s="304"/>
      <c r="BX1225" s="313"/>
      <c r="BY1225" s="138"/>
    </row>
    <row r="1226" spans="1:77" ht="15" customHeight="1" outlineLevel="1" x14ac:dyDescent="0.2">
      <c r="A1226" s="57" t="s">
        <v>24</v>
      </c>
      <c r="B1226" s="583" t="s">
        <v>477</v>
      </c>
      <c r="C1226" s="583" t="s">
        <v>1778</v>
      </c>
      <c r="D1226" s="546">
        <v>3.7570000000000001</v>
      </c>
      <c r="E1226" s="162" t="s">
        <v>631</v>
      </c>
      <c r="F1226" s="358"/>
      <c r="G1226" s="65"/>
      <c r="H1226" s="73"/>
      <c r="I1226" s="90"/>
      <c r="J1226" s="73"/>
      <c r="K1226" s="734"/>
      <c r="L1226" s="717">
        <v>2009</v>
      </c>
      <c r="M1226" s="73"/>
      <c r="N1226" s="738">
        <v>9.4350000000000007E-3</v>
      </c>
      <c r="O1226" s="1041"/>
      <c r="P1226" s="73"/>
      <c r="Q1226" s="738"/>
      <c r="R1226" s="1041"/>
      <c r="S1226" s="73"/>
      <c r="T1226" s="738"/>
      <c r="U1226" s="73"/>
      <c r="V1226" s="66"/>
      <c r="W1226" s="788">
        <f t="shared" ref="W1226" si="982">AA1226*(1+AB1226)</f>
        <v>7.0762500000000002E-6</v>
      </c>
      <c r="X1226" s="789">
        <f t="shared" ref="X1226" si="983">AA1226*(1+AC1226)</f>
        <v>7.0762500000000002E-6</v>
      </c>
      <c r="Y1226" s="52">
        <v>2009</v>
      </c>
      <c r="Z1226" s="52"/>
      <c r="AA1226" s="787">
        <f>+N1226/1000</f>
        <v>9.4350000000000003E-6</v>
      </c>
      <c r="AB1226" s="256">
        <v>-0.25</v>
      </c>
      <c r="AC1226" s="688">
        <f t="shared" si="962"/>
        <v>-0.25</v>
      </c>
      <c r="AD1226" s="164"/>
      <c r="AE1226" s="164"/>
      <c r="AF1226" s="25"/>
      <c r="AG1226" s="26"/>
      <c r="AH1226" s="275"/>
      <c r="AI1226" s="52"/>
      <c r="AJ1226" s="35"/>
      <c r="AK1226" s="289"/>
      <c r="AL1226" s="290"/>
      <c r="AM1226" s="211"/>
      <c r="AN1226" s="164"/>
      <c r="AO1226" s="594"/>
      <c r="AP1226" s="595"/>
      <c r="AQ1226" s="275"/>
      <c r="AR1226" s="52"/>
      <c r="AS1226" s="596"/>
      <c r="AT1226" s="79"/>
      <c r="AU1226" s="212"/>
      <c r="AV1226" s="164"/>
      <c r="AW1226" s="164"/>
      <c r="AX1226" s="76"/>
      <c r="AY1226" s="44"/>
      <c r="AZ1226" s="275"/>
      <c r="BA1226" s="52"/>
      <c r="BB1226" s="35"/>
      <c r="BC1226" s="79"/>
      <c r="BD1226" s="230"/>
      <c r="BE1226" s="211"/>
      <c r="BF1226" s="164"/>
      <c r="BG1226" s="76"/>
      <c r="BH1226" s="44"/>
      <c r="BI1226" s="275"/>
      <c r="BJ1226" s="52"/>
      <c r="BK1226" s="35"/>
      <c r="BL1226" s="79"/>
      <c r="BM1226" s="230"/>
      <c r="BN1226" s="211"/>
      <c r="BO1226" s="164"/>
      <c r="BP1226" s="726"/>
      <c r="BQ1226" s="727"/>
      <c r="BR1226" s="299"/>
      <c r="BS1226" s="35"/>
      <c r="BT1226" s="596"/>
      <c r="BU1226" s="79"/>
      <c r="BV1226" s="212"/>
      <c r="BW1226" s="304"/>
      <c r="BX1226" s="313"/>
      <c r="BY1226" s="138"/>
    </row>
    <row r="1227" spans="1:77" ht="15" customHeight="1" outlineLevel="1" x14ac:dyDescent="0.2">
      <c r="A1227" s="57" t="s">
        <v>24</v>
      </c>
      <c r="B1227" s="583" t="s">
        <v>477</v>
      </c>
      <c r="C1227" s="583" t="s">
        <v>1881</v>
      </c>
      <c r="D1227" s="546">
        <v>0.14699999999999999</v>
      </c>
      <c r="E1227" s="162" t="s">
        <v>631</v>
      </c>
      <c r="F1227" s="358"/>
      <c r="G1227" s="65"/>
      <c r="H1227" s="73"/>
      <c r="I1227" s="90"/>
      <c r="J1227" s="73"/>
      <c r="K1227" s="815">
        <v>4.4099999999999999E-4</v>
      </c>
      <c r="L1227" s="717"/>
      <c r="M1227" s="73"/>
      <c r="N1227" s="738"/>
      <c r="O1227" s="1041"/>
      <c r="P1227" s="73"/>
      <c r="Q1227" s="738"/>
      <c r="R1227" s="1041"/>
      <c r="S1227" s="73"/>
      <c r="T1227" s="738"/>
      <c r="U1227" s="73"/>
      <c r="V1227" s="66"/>
      <c r="W1227" s="808">
        <f t="shared" ref="W1227" si="984">AA1227*(1+AB1227)</f>
        <v>3.2634E-7</v>
      </c>
      <c r="X1227" s="809">
        <f t="shared" ref="X1227" si="985">AA1227*(1+AC1227)</f>
        <v>3.2634E-7</v>
      </c>
      <c r="Y1227" s="52">
        <v>2005</v>
      </c>
      <c r="Z1227" s="52"/>
      <c r="AA1227" s="807">
        <f>+K1227/1000</f>
        <v>4.4099999999999999E-7</v>
      </c>
      <c r="AB1227" s="256">
        <v>-0.26</v>
      </c>
      <c r="AC1227" s="688">
        <f t="shared" si="962"/>
        <v>-0.26</v>
      </c>
      <c r="AD1227" s="164"/>
      <c r="AE1227" s="164"/>
      <c r="AF1227" s="25"/>
      <c r="AG1227" s="26"/>
      <c r="AH1227" s="275"/>
      <c r="AI1227" s="52"/>
      <c r="AJ1227" s="35"/>
      <c r="AK1227" s="289"/>
      <c r="AL1227" s="290"/>
      <c r="AM1227" s="211"/>
      <c r="AN1227" s="164"/>
      <c r="AO1227" s="594"/>
      <c r="AP1227" s="595"/>
      <c r="AQ1227" s="275"/>
      <c r="AR1227" s="52"/>
      <c r="AS1227" s="596"/>
      <c r="AT1227" s="79"/>
      <c r="AU1227" s="212"/>
      <c r="AV1227" s="164"/>
      <c r="AW1227" s="164"/>
      <c r="AX1227" s="76"/>
      <c r="AY1227" s="44"/>
      <c r="AZ1227" s="275"/>
      <c r="BA1227" s="52"/>
      <c r="BB1227" s="35"/>
      <c r="BC1227" s="79"/>
      <c r="BD1227" s="230"/>
      <c r="BE1227" s="211"/>
      <c r="BF1227" s="164"/>
      <c r="BG1227" s="76"/>
      <c r="BH1227" s="44"/>
      <c r="BI1227" s="275"/>
      <c r="BJ1227" s="52"/>
      <c r="BK1227" s="35"/>
      <c r="BL1227" s="79"/>
      <c r="BM1227" s="230"/>
      <c r="BN1227" s="211"/>
      <c r="BO1227" s="164"/>
      <c r="BP1227" s="726"/>
      <c r="BQ1227" s="727"/>
      <c r="BR1227" s="299"/>
      <c r="BS1227" s="35"/>
      <c r="BT1227" s="596"/>
      <c r="BU1227" s="79"/>
      <c r="BV1227" s="212"/>
      <c r="BW1227" s="304"/>
      <c r="BX1227" s="313"/>
      <c r="BY1227" s="138"/>
    </row>
    <row r="1228" spans="1:77" ht="15" customHeight="1" outlineLevel="1" x14ac:dyDescent="0.2">
      <c r="A1228" s="57" t="s">
        <v>24</v>
      </c>
      <c r="B1228" s="583" t="s">
        <v>477</v>
      </c>
      <c r="C1228" s="583" t="s">
        <v>1457</v>
      </c>
      <c r="D1228" s="546">
        <v>0.65400000000000003</v>
      </c>
      <c r="E1228" s="162" t="s">
        <v>631</v>
      </c>
      <c r="F1228" s="358"/>
      <c r="G1228" s="65"/>
      <c r="H1228" s="73"/>
      <c r="I1228" s="90"/>
      <c r="J1228" s="73"/>
      <c r="K1228" s="790">
        <v>2.7360000000000002E-3</v>
      </c>
      <c r="L1228" s="717"/>
      <c r="M1228" s="73"/>
      <c r="N1228" s="359"/>
      <c r="O1228" s="1041"/>
      <c r="P1228" s="73"/>
      <c r="Q1228" s="359"/>
      <c r="R1228" s="1041"/>
      <c r="S1228" s="73"/>
      <c r="T1228" s="359"/>
      <c r="U1228" s="73"/>
      <c r="V1228" s="66"/>
      <c r="W1228" s="788">
        <f t="shared" ref="W1228:W1231" si="986">AA1228*(1+AB1228)</f>
        <v>1.7236800000000002E-6</v>
      </c>
      <c r="X1228" s="789">
        <f t="shared" ref="X1228:X1231" si="987">AA1228*(1+AC1228)</f>
        <v>1.7236800000000002E-6</v>
      </c>
      <c r="Y1228" s="52">
        <v>2005</v>
      </c>
      <c r="Z1228" s="52"/>
      <c r="AA1228" s="787">
        <f>K1228/1000</f>
        <v>2.7360000000000001E-6</v>
      </c>
      <c r="AB1228" s="256">
        <v>-0.37</v>
      </c>
      <c r="AC1228" s="688">
        <f t="shared" si="962"/>
        <v>-0.37</v>
      </c>
      <c r="AD1228" s="164"/>
      <c r="AE1228" s="164"/>
      <c r="AF1228" s="25"/>
      <c r="AG1228" s="26"/>
      <c r="AH1228" s="275"/>
      <c r="AI1228" s="52"/>
      <c r="AJ1228" s="35"/>
      <c r="AK1228" s="289"/>
      <c r="AL1228" s="290"/>
      <c r="AM1228" s="211"/>
      <c r="AN1228" s="164"/>
      <c r="AO1228" s="594"/>
      <c r="AP1228" s="595"/>
      <c r="AQ1228" s="275"/>
      <c r="AR1228" s="52"/>
      <c r="AS1228" s="596"/>
      <c r="AT1228" s="79"/>
      <c r="AU1228" s="212"/>
      <c r="AV1228" s="164"/>
      <c r="AW1228" s="164"/>
      <c r="AX1228" s="76"/>
      <c r="AY1228" s="44"/>
      <c r="AZ1228" s="275"/>
      <c r="BA1228" s="52"/>
      <c r="BB1228" s="35"/>
      <c r="BC1228" s="79"/>
      <c r="BD1228" s="230"/>
      <c r="BE1228" s="211"/>
      <c r="BF1228" s="164"/>
      <c r="BG1228" s="76"/>
      <c r="BH1228" s="44"/>
      <c r="BI1228" s="275"/>
      <c r="BJ1228" s="52"/>
      <c r="BK1228" s="35"/>
      <c r="BL1228" s="79"/>
      <c r="BM1228" s="230"/>
      <c r="BN1228" s="211"/>
      <c r="BO1228" s="164"/>
      <c r="BP1228" s="726"/>
      <c r="BQ1228" s="727"/>
      <c r="BR1228" s="299"/>
      <c r="BS1228" s="35"/>
      <c r="BT1228" s="596"/>
      <c r="BU1228" s="79"/>
      <c r="BV1228" s="212"/>
      <c r="BW1228" s="304"/>
      <c r="BX1228" s="313"/>
      <c r="BY1228" s="138"/>
    </row>
    <row r="1229" spans="1:77" ht="15" customHeight="1" outlineLevel="1" x14ac:dyDescent="0.2">
      <c r="A1229" s="57" t="s">
        <v>24</v>
      </c>
      <c r="B1229" s="583" t="s">
        <v>477</v>
      </c>
      <c r="C1229" s="583" t="s">
        <v>1889</v>
      </c>
      <c r="D1229" s="546">
        <v>7.1959999999999997</v>
      </c>
      <c r="E1229" s="162" t="s">
        <v>631</v>
      </c>
      <c r="F1229" s="358"/>
      <c r="G1229" s="65"/>
      <c r="H1229" s="73"/>
      <c r="I1229" s="90"/>
      <c r="J1229" s="73"/>
      <c r="K1229" s="790"/>
      <c r="L1229" s="717">
        <v>2009</v>
      </c>
      <c r="M1229" s="73"/>
      <c r="N1229" s="359">
        <v>1.7291999999999998E-2</v>
      </c>
      <c r="O1229" s="1041"/>
      <c r="P1229" s="73"/>
      <c r="Q1229" s="359"/>
      <c r="R1229" s="1041"/>
      <c r="S1229" s="73"/>
      <c r="T1229" s="359"/>
      <c r="U1229" s="73"/>
      <c r="V1229" s="66"/>
      <c r="W1229" s="788">
        <f t="shared" ref="W1229" si="988">AA1229*(1+AB1229)</f>
        <v>1.279608E-5</v>
      </c>
      <c r="X1229" s="789">
        <f t="shared" ref="X1229" si="989">AA1229*(1+AC1229)</f>
        <v>1.279608E-5</v>
      </c>
      <c r="Y1229" s="52">
        <v>2009</v>
      </c>
      <c r="Z1229" s="52"/>
      <c r="AA1229" s="787">
        <f>+N1229/1000</f>
        <v>1.7292E-5</v>
      </c>
      <c r="AB1229" s="256">
        <v>-0.26</v>
      </c>
      <c r="AC1229" s="688">
        <f t="shared" si="962"/>
        <v>-0.26</v>
      </c>
      <c r="AD1229" s="164"/>
      <c r="AE1229" s="164"/>
      <c r="AF1229" s="25"/>
      <c r="AG1229" s="26"/>
      <c r="AH1229" s="275"/>
      <c r="AI1229" s="52"/>
      <c r="AJ1229" s="35"/>
      <c r="AK1229" s="289"/>
      <c r="AL1229" s="290"/>
      <c r="AM1229" s="211"/>
      <c r="AN1229" s="164"/>
      <c r="AO1229" s="594"/>
      <c r="AP1229" s="595"/>
      <c r="AQ1229" s="275"/>
      <c r="AR1229" s="52"/>
      <c r="AS1229" s="596"/>
      <c r="AT1229" s="79"/>
      <c r="AU1229" s="212"/>
      <c r="AV1229" s="164"/>
      <c r="AW1229" s="164"/>
      <c r="AX1229" s="76"/>
      <c r="AY1229" s="44"/>
      <c r="AZ1229" s="275"/>
      <c r="BA1229" s="52"/>
      <c r="BB1229" s="35"/>
      <c r="BC1229" s="79"/>
      <c r="BD1229" s="230"/>
      <c r="BE1229" s="211"/>
      <c r="BF1229" s="164"/>
      <c r="BG1229" s="76"/>
      <c r="BH1229" s="44"/>
      <c r="BI1229" s="275"/>
      <c r="BJ1229" s="52"/>
      <c r="BK1229" s="35"/>
      <c r="BL1229" s="79"/>
      <c r="BM1229" s="230"/>
      <c r="BN1229" s="211"/>
      <c r="BO1229" s="164"/>
      <c r="BP1229" s="726"/>
      <c r="BQ1229" s="727"/>
      <c r="BR1229" s="299"/>
      <c r="BS1229" s="35"/>
      <c r="BT1229" s="596"/>
      <c r="BU1229" s="79"/>
      <c r="BV1229" s="212"/>
      <c r="BW1229" s="304"/>
      <c r="BX1229" s="313"/>
      <c r="BY1229" s="138"/>
    </row>
    <row r="1230" spans="1:77" ht="15" customHeight="1" outlineLevel="1" x14ac:dyDescent="0.2">
      <c r="A1230" s="57" t="s">
        <v>24</v>
      </c>
      <c r="B1230" s="583" t="s">
        <v>477</v>
      </c>
      <c r="C1230" s="583" t="s">
        <v>2059</v>
      </c>
      <c r="D1230" s="546">
        <v>68.28</v>
      </c>
      <c r="E1230" s="162" t="s">
        <v>631</v>
      </c>
      <c r="F1230" s="358"/>
      <c r="G1230" s="65"/>
      <c r="H1230" s="73"/>
      <c r="I1230" s="90"/>
      <c r="J1230" s="73"/>
      <c r="K1230" s="790">
        <v>0.52412199999999998</v>
      </c>
      <c r="L1230" s="717"/>
      <c r="M1230" s="73"/>
      <c r="N1230" s="359"/>
      <c r="O1230" s="1041"/>
      <c r="P1230" s="73"/>
      <c r="Q1230" s="359"/>
      <c r="R1230" s="1041"/>
      <c r="S1230" s="73"/>
      <c r="T1230" s="359"/>
      <c r="U1230" s="73"/>
      <c r="V1230" s="66"/>
      <c r="W1230" s="788">
        <f t="shared" ref="W1230" si="990">AA1230*(1+AB1230)</f>
        <v>3.7212661999999998E-4</v>
      </c>
      <c r="X1230" s="789">
        <f t="shared" ref="X1230" si="991">AA1230*(1+AC1230)</f>
        <v>3.7212661999999998E-4</v>
      </c>
      <c r="Y1230" s="52">
        <v>2005</v>
      </c>
      <c r="Z1230" s="52"/>
      <c r="AA1230" s="787">
        <f>+K1230/1000</f>
        <v>5.2412200000000002E-4</v>
      </c>
      <c r="AB1230" s="256">
        <v>-0.28999999999999998</v>
      </c>
      <c r="AC1230" s="688">
        <f t="shared" si="962"/>
        <v>-0.28999999999999998</v>
      </c>
      <c r="AD1230" s="164"/>
      <c r="AE1230" s="164"/>
      <c r="AF1230" s="25"/>
      <c r="AG1230" s="26"/>
      <c r="AH1230" s="275"/>
      <c r="AI1230" s="52"/>
      <c r="AJ1230" s="35"/>
      <c r="AK1230" s="289"/>
      <c r="AL1230" s="290"/>
      <c r="AM1230" s="211"/>
      <c r="AN1230" s="164"/>
      <c r="AO1230" s="594"/>
      <c r="AP1230" s="595"/>
      <c r="AQ1230" s="275"/>
      <c r="AR1230" s="52"/>
      <c r="AS1230" s="596"/>
      <c r="AT1230" s="79"/>
      <c r="AU1230" s="212"/>
      <c r="AV1230" s="164"/>
      <c r="AW1230" s="164"/>
      <c r="AX1230" s="76"/>
      <c r="AY1230" s="44"/>
      <c r="AZ1230" s="275"/>
      <c r="BA1230" s="52"/>
      <c r="BB1230" s="35"/>
      <c r="BC1230" s="79"/>
      <c r="BD1230" s="230"/>
      <c r="BE1230" s="211"/>
      <c r="BF1230" s="164"/>
      <c r="BG1230" s="76"/>
      <c r="BH1230" s="44"/>
      <c r="BI1230" s="275"/>
      <c r="BJ1230" s="52"/>
      <c r="BK1230" s="35"/>
      <c r="BL1230" s="79"/>
      <c r="BM1230" s="230"/>
      <c r="BN1230" s="211"/>
      <c r="BO1230" s="164"/>
      <c r="BP1230" s="726"/>
      <c r="BQ1230" s="727"/>
      <c r="BR1230" s="299"/>
      <c r="BS1230" s="35"/>
      <c r="BT1230" s="596"/>
      <c r="BU1230" s="79"/>
      <c r="BV1230" s="212"/>
      <c r="BW1230" s="304"/>
      <c r="BX1230" s="313"/>
      <c r="BY1230" s="138"/>
    </row>
    <row r="1231" spans="1:77" ht="15" customHeight="1" outlineLevel="1" x14ac:dyDescent="0.2">
      <c r="A1231" s="57" t="s">
        <v>24</v>
      </c>
      <c r="B1231" s="583" t="s">
        <v>477</v>
      </c>
      <c r="C1231" s="583" t="s">
        <v>1499</v>
      </c>
      <c r="D1231" s="546">
        <v>7.2190000000000003</v>
      </c>
      <c r="E1231" s="162" t="s">
        <v>631</v>
      </c>
      <c r="F1231" s="358"/>
      <c r="G1231" s="65"/>
      <c r="H1231" s="73"/>
      <c r="I1231" s="90"/>
      <c r="J1231" s="73"/>
      <c r="K1231" s="734">
        <v>6.6180000000000003E-2</v>
      </c>
      <c r="L1231" s="717"/>
      <c r="M1231" s="73"/>
      <c r="N1231" s="359"/>
      <c r="O1231" s="1041"/>
      <c r="P1231" s="73"/>
      <c r="Q1231" s="359"/>
      <c r="R1231" s="1041"/>
      <c r="S1231" s="73"/>
      <c r="T1231" s="359"/>
      <c r="U1231" s="73"/>
      <c r="V1231" s="66"/>
      <c r="W1231" s="740">
        <f t="shared" si="986"/>
        <v>4.1693400000000003E-5</v>
      </c>
      <c r="X1231" s="741">
        <f t="shared" si="987"/>
        <v>4.1693400000000003E-5</v>
      </c>
      <c r="Y1231" s="52">
        <v>2005</v>
      </c>
      <c r="Z1231" s="52"/>
      <c r="AA1231" s="739">
        <f t="shared" ref="AA1231:AA1233" si="992">+K1231/1000</f>
        <v>6.6180000000000007E-5</v>
      </c>
      <c r="AB1231" s="256">
        <v>-0.37</v>
      </c>
      <c r="AC1231" s="688">
        <f t="shared" si="962"/>
        <v>-0.37</v>
      </c>
      <c r="AD1231" s="164"/>
      <c r="AE1231" s="164"/>
      <c r="AF1231" s="25"/>
      <c r="AG1231" s="26"/>
      <c r="AH1231" s="275"/>
      <c r="AI1231" s="52"/>
      <c r="AJ1231" s="35"/>
      <c r="AK1231" s="289"/>
      <c r="AL1231" s="290"/>
      <c r="AM1231" s="211"/>
      <c r="AN1231" s="164"/>
      <c r="AO1231" s="594"/>
      <c r="AP1231" s="595"/>
      <c r="AQ1231" s="275"/>
      <c r="AR1231" s="52"/>
      <c r="AS1231" s="596"/>
      <c r="AT1231" s="79"/>
      <c r="AU1231" s="212"/>
      <c r="AV1231" s="164"/>
      <c r="AW1231" s="164"/>
      <c r="AX1231" s="76"/>
      <c r="AY1231" s="44"/>
      <c r="AZ1231" s="275"/>
      <c r="BA1231" s="52"/>
      <c r="BB1231" s="35"/>
      <c r="BC1231" s="79"/>
      <c r="BD1231" s="230"/>
      <c r="BE1231" s="211"/>
      <c r="BF1231" s="164"/>
      <c r="BG1231" s="76"/>
      <c r="BH1231" s="44"/>
      <c r="BI1231" s="275"/>
      <c r="BJ1231" s="52"/>
      <c r="BK1231" s="35"/>
      <c r="BL1231" s="79"/>
      <c r="BM1231" s="230"/>
      <c r="BN1231" s="211"/>
      <c r="BO1231" s="164"/>
      <c r="BP1231" s="726"/>
      <c r="BQ1231" s="727"/>
      <c r="BR1231" s="299"/>
      <c r="BS1231" s="35"/>
      <c r="BT1231" s="596"/>
      <c r="BU1231" s="79"/>
      <c r="BV1231" s="212"/>
      <c r="BW1231" s="304"/>
      <c r="BX1231" s="313"/>
      <c r="BY1231" s="138"/>
    </row>
    <row r="1232" spans="1:77" ht="15" customHeight="1" outlineLevel="1" x14ac:dyDescent="0.2">
      <c r="A1232" s="57" t="s">
        <v>24</v>
      </c>
      <c r="B1232" s="583" t="s">
        <v>477</v>
      </c>
      <c r="C1232" s="583" t="s">
        <v>2009</v>
      </c>
      <c r="D1232" s="546">
        <v>0.94499999999999995</v>
      </c>
      <c r="E1232" s="162" t="s">
        <v>631</v>
      </c>
      <c r="F1232" s="358"/>
      <c r="G1232" s="65"/>
      <c r="H1232" s="73"/>
      <c r="I1232" s="90"/>
      <c r="J1232" s="73"/>
      <c r="K1232" s="734">
        <v>3.9579999999999997E-3</v>
      </c>
      <c r="L1232" s="717"/>
      <c r="M1232" s="73"/>
      <c r="N1232" s="359"/>
      <c r="O1232" s="1041"/>
      <c r="P1232" s="73"/>
      <c r="Q1232" s="359"/>
      <c r="R1232" s="1041"/>
      <c r="S1232" s="73"/>
      <c r="T1232" s="359"/>
      <c r="U1232" s="73"/>
      <c r="V1232" s="66"/>
      <c r="W1232" s="808">
        <f t="shared" ref="W1232" si="993">AA1232*(1+AB1232)</f>
        <v>2.84976E-6</v>
      </c>
      <c r="X1232" s="809">
        <f t="shared" ref="X1232" si="994">AA1232*(1+AC1232)</f>
        <v>2.84976E-6</v>
      </c>
      <c r="Y1232" s="52">
        <v>2005</v>
      </c>
      <c r="Z1232" s="52"/>
      <c r="AA1232" s="807">
        <f t="shared" si="992"/>
        <v>3.9580000000000001E-6</v>
      </c>
      <c r="AB1232" s="256">
        <v>-0.28000000000000003</v>
      </c>
      <c r="AC1232" s="688">
        <f t="shared" si="962"/>
        <v>-0.28000000000000003</v>
      </c>
      <c r="AD1232" s="164"/>
      <c r="AE1232" s="164"/>
      <c r="AF1232" s="25"/>
      <c r="AG1232" s="26"/>
      <c r="AH1232" s="275"/>
      <c r="AI1232" s="52"/>
      <c r="AJ1232" s="35"/>
      <c r="AK1232" s="289"/>
      <c r="AL1232" s="290"/>
      <c r="AM1232" s="211"/>
      <c r="AN1232" s="164"/>
      <c r="AO1232" s="594"/>
      <c r="AP1232" s="595"/>
      <c r="AQ1232" s="275"/>
      <c r="AR1232" s="52"/>
      <c r="AS1232" s="596"/>
      <c r="AT1232" s="79"/>
      <c r="AU1232" s="212"/>
      <c r="AV1232" s="164"/>
      <c r="AW1232" s="164"/>
      <c r="AX1232" s="76"/>
      <c r="AY1232" s="44"/>
      <c r="AZ1232" s="275"/>
      <c r="BA1232" s="52"/>
      <c r="BB1232" s="35"/>
      <c r="BC1232" s="79"/>
      <c r="BD1232" s="230"/>
      <c r="BE1232" s="211"/>
      <c r="BF1232" s="164"/>
      <c r="BG1232" s="76"/>
      <c r="BH1232" s="44"/>
      <c r="BI1232" s="275"/>
      <c r="BJ1232" s="52"/>
      <c r="BK1232" s="35"/>
      <c r="BL1232" s="79"/>
      <c r="BM1232" s="230"/>
      <c r="BN1232" s="211"/>
      <c r="BO1232" s="164"/>
      <c r="BP1232" s="726"/>
      <c r="BQ1232" s="727"/>
      <c r="BR1232" s="299"/>
      <c r="BS1232" s="35"/>
      <c r="BT1232" s="596"/>
      <c r="BU1232" s="79"/>
      <c r="BV1232" s="212"/>
      <c r="BW1232" s="304"/>
      <c r="BX1232" s="313"/>
      <c r="BY1232" s="138"/>
    </row>
    <row r="1233" spans="1:77" ht="15" customHeight="1" outlineLevel="1" x14ac:dyDescent="0.2">
      <c r="A1233" s="57" t="s">
        <v>24</v>
      </c>
      <c r="B1233" s="583" t="s">
        <v>477</v>
      </c>
      <c r="C1233" s="583" t="s">
        <v>2088</v>
      </c>
      <c r="D1233" s="546">
        <v>10.378</v>
      </c>
      <c r="E1233" s="162" t="s">
        <v>631</v>
      </c>
      <c r="F1233" s="358"/>
      <c r="G1233" s="65"/>
      <c r="H1233" s="73"/>
      <c r="I1233" s="90"/>
      <c r="J1233" s="73"/>
      <c r="K1233" s="734">
        <v>6.4357999999999999E-2</v>
      </c>
      <c r="L1233" s="717"/>
      <c r="M1233" s="73"/>
      <c r="N1233" s="359"/>
      <c r="O1233" s="1041"/>
      <c r="P1233" s="73"/>
      <c r="Q1233" s="359"/>
      <c r="R1233" s="1041"/>
      <c r="S1233" s="73"/>
      <c r="T1233" s="359"/>
      <c r="U1233" s="73"/>
      <c r="V1233" s="66"/>
      <c r="W1233" s="808">
        <f t="shared" ref="W1233" si="995">AA1233*(1+AB1233)</f>
        <v>4.82685E-5</v>
      </c>
      <c r="X1233" s="809">
        <f t="shared" ref="X1233" si="996">AA1233*(1+AC1233)</f>
        <v>4.82685E-5</v>
      </c>
      <c r="Y1233" s="52">
        <v>2005</v>
      </c>
      <c r="Z1233" s="52"/>
      <c r="AA1233" s="807">
        <f t="shared" si="992"/>
        <v>6.4357999999999996E-5</v>
      </c>
      <c r="AB1233" s="256">
        <v>-0.25</v>
      </c>
      <c r="AC1233" s="688">
        <f t="shared" si="962"/>
        <v>-0.25</v>
      </c>
      <c r="AD1233" s="164"/>
      <c r="AE1233" s="164"/>
      <c r="AF1233" s="25"/>
      <c r="AG1233" s="26"/>
      <c r="AH1233" s="275"/>
      <c r="AI1233" s="52"/>
      <c r="AJ1233" s="35"/>
      <c r="AK1233" s="289"/>
      <c r="AL1233" s="290"/>
      <c r="AM1233" s="211"/>
      <c r="AN1233" s="164"/>
      <c r="AO1233" s="594"/>
      <c r="AP1233" s="595"/>
      <c r="AQ1233" s="275"/>
      <c r="AR1233" s="52"/>
      <c r="AS1233" s="596"/>
      <c r="AT1233" s="79"/>
      <c r="AU1233" s="212"/>
      <c r="AV1233" s="164"/>
      <c r="AW1233" s="164"/>
      <c r="AX1233" s="76"/>
      <c r="AY1233" s="44"/>
      <c r="AZ1233" s="275"/>
      <c r="BA1233" s="52"/>
      <c r="BB1233" s="35"/>
      <c r="BC1233" s="79"/>
      <c r="BD1233" s="230"/>
      <c r="BE1233" s="211"/>
      <c r="BF1233" s="164"/>
      <c r="BG1233" s="76"/>
      <c r="BH1233" s="44"/>
      <c r="BI1233" s="275"/>
      <c r="BJ1233" s="52"/>
      <c r="BK1233" s="35"/>
      <c r="BL1233" s="79"/>
      <c r="BM1233" s="230"/>
      <c r="BN1233" s="211"/>
      <c r="BO1233" s="164"/>
      <c r="BP1233" s="726"/>
      <c r="BQ1233" s="727"/>
      <c r="BR1233" s="299"/>
      <c r="BS1233" s="35"/>
      <c r="BT1233" s="596"/>
      <c r="BU1233" s="79"/>
      <c r="BV1233" s="212"/>
      <c r="BW1233" s="304"/>
      <c r="BX1233" s="313"/>
      <c r="BY1233" s="138"/>
    </row>
    <row r="1234" spans="1:77" ht="15" customHeight="1" outlineLevel="1" x14ac:dyDescent="0.2">
      <c r="A1234" s="57" t="s">
        <v>24</v>
      </c>
      <c r="B1234" s="583" t="s">
        <v>477</v>
      </c>
      <c r="C1234" s="583" t="s">
        <v>1654</v>
      </c>
      <c r="D1234" s="546">
        <v>3.37</v>
      </c>
      <c r="E1234" s="162" t="s">
        <v>631</v>
      </c>
      <c r="F1234" s="358"/>
      <c r="G1234" s="65"/>
      <c r="H1234" s="73"/>
      <c r="I1234" s="90"/>
      <c r="J1234" s="73"/>
      <c r="K1234" s="734">
        <v>1.1507E-2</v>
      </c>
      <c r="L1234" s="717"/>
      <c r="M1234" s="73"/>
      <c r="N1234" s="359"/>
      <c r="O1234" s="1041"/>
      <c r="P1234" s="73"/>
      <c r="Q1234" s="359"/>
      <c r="R1234" s="1041"/>
      <c r="S1234" s="73"/>
      <c r="T1234" s="359"/>
      <c r="U1234" s="73"/>
      <c r="V1234" s="66"/>
      <c r="W1234" s="740">
        <f t="shared" ref="W1234:W1235" si="997">AA1234*(1+AB1234)</f>
        <v>8.6302500000000009E-6</v>
      </c>
      <c r="X1234" s="741">
        <f t="shared" ref="X1234:X1235" si="998">AA1234*(1+AC1234)</f>
        <v>8.6302500000000009E-6</v>
      </c>
      <c r="Y1234" s="52">
        <v>2005</v>
      </c>
      <c r="Z1234" s="52"/>
      <c r="AA1234" s="739">
        <f>+K1234/1000</f>
        <v>1.1507E-5</v>
      </c>
      <c r="AB1234" s="256">
        <v>-0.25</v>
      </c>
      <c r="AC1234" s="688">
        <f t="shared" si="962"/>
        <v>-0.25</v>
      </c>
      <c r="AD1234" s="164"/>
      <c r="AE1234" s="164"/>
      <c r="AF1234" s="25"/>
      <c r="AG1234" s="26"/>
      <c r="AH1234" s="275"/>
      <c r="AI1234" s="52"/>
      <c r="AJ1234" s="35"/>
      <c r="AK1234" s="289"/>
      <c r="AL1234" s="290"/>
      <c r="AM1234" s="211"/>
      <c r="AN1234" s="164"/>
      <c r="AO1234" s="594"/>
      <c r="AP1234" s="595"/>
      <c r="AQ1234" s="275"/>
      <c r="AR1234" s="52"/>
      <c r="AS1234" s="596"/>
      <c r="AT1234" s="79"/>
      <c r="AU1234" s="212"/>
      <c r="AV1234" s="164"/>
      <c r="AW1234" s="164"/>
      <c r="AX1234" s="76"/>
      <c r="AY1234" s="44"/>
      <c r="AZ1234" s="275"/>
      <c r="BA1234" s="52"/>
      <c r="BB1234" s="35"/>
      <c r="BC1234" s="79"/>
      <c r="BD1234" s="230"/>
      <c r="BE1234" s="211"/>
      <c r="BF1234" s="164"/>
      <c r="BG1234" s="76"/>
      <c r="BH1234" s="44"/>
      <c r="BI1234" s="275"/>
      <c r="BJ1234" s="52"/>
      <c r="BK1234" s="35"/>
      <c r="BL1234" s="79"/>
      <c r="BM1234" s="230"/>
      <c r="BN1234" s="211"/>
      <c r="BO1234" s="164"/>
      <c r="BP1234" s="726"/>
      <c r="BQ1234" s="727"/>
      <c r="BR1234" s="299"/>
      <c r="BS1234" s="35"/>
      <c r="BT1234" s="596"/>
      <c r="BU1234" s="79"/>
      <c r="BV1234" s="212"/>
      <c r="BW1234" s="304"/>
      <c r="BX1234" s="313"/>
      <c r="BY1234" s="138"/>
    </row>
    <row r="1235" spans="1:77" ht="15" customHeight="1" outlineLevel="1" x14ac:dyDescent="0.2">
      <c r="A1235" s="57" t="s">
        <v>24</v>
      </c>
      <c r="B1235" s="583" t="s">
        <v>477</v>
      </c>
      <c r="C1235" s="583" t="s">
        <v>1786</v>
      </c>
      <c r="D1235" s="546">
        <v>4.3689999999999998</v>
      </c>
      <c r="E1235" s="162" t="s">
        <v>631</v>
      </c>
      <c r="F1235" s="358"/>
      <c r="G1235" s="65"/>
      <c r="H1235" s="73"/>
      <c r="I1235" s="90"/>
      <c r="J1235" s="73"/>
      <c r="K1235" s="734">
        <v>1.4787E-2</v>
      </c>
      <c r="L1235" s="717"/>
      <c r="M1235" s="73"/>
      <c r="N1235" s="359"/>
      <c r="O1235" s="1041"/>
      <c r="P1235" s="73"/>
      <c r="Q1235" s="359"/>
      <c r="R1235" s="1041"/>
      <c r="S1235" s="73"/>
      <c r="T1235" s="359"/>
      <c r="U1235" s="73"/>
      <c r="V1235" s="66"/>
      <c r="W1235" s="740">
        <f t="shared" si="997"/>
        <v>1.1090249999999999E-5</v>
      </c>
      <c r="X1235" s="741">
        <f t="shared" si="998"/>
        <v>1.1090249999999999E-5</v>
      </c>
      <c r="Y1235" s="52">
        <v>2005</v>
      </c>
      <c r="Z1235" s="52"/>
      <c r="AA1235" s="739">
        <f>+K1235/1000</f>
        <v>1.4786999999999999E-5</v>
      </c>
      <c r="AB1235" s="256">
        <v>-0.25</v>
      </c>
      <c r="AC1235" s="688">
        <f t="shared" si="962"/>
        <v>-0.25</v>
      </c>
      <c r="AD1235" s="164"/>
      <c r="AE1235" s="164"/>
      <c r="AF1235" s="25"/>
      <c r="AG1235" s="26"/>
      <c r="AH1235" s="275"/>
      <c r="AI1235" s="52"/>
      <c r="AJ1235" s="35"/>
      <c r="AK1235" s="289"/>
      <c r="AL1235" s="290"/>
      <c r="AM1235" s="211"/>
      <c r="AN1235" s="164"/>
      <c r="AO1235" s="594"/>
      <c r="AP1235" s="595"/>
      <c r="AQ1235" s="275"/>
      <c r="AR1235" s="52"/>
      <c r="AS1235" s="596"/>
      <c r="AT1235" s="79"/>
      <c r="AU1235" s="212"/>
      <c r="AV1235" s="164"/>
      <c r="AW1235" s="164"/>
      <c r="AX1235" s="76"/>
      <c r="AY1235" s="44"/>
      <c r="AZ1235" s="275"/>
      <c r="BA1235" s="52"/>
      <c r="BB1235" s="35"/>
      <c r="BC1235" s="79"/>
      <c r="BD1235" s="230"/>
      <c r="BE1235" s="211"/>
      <c r="BF1235" s="164"/>
      <c r="BG1235" s="76"/>
      <c r="BH1235" s="44"/>
      <c r="BI1235" s="275"/>
      <c r="BJ1235" s="52"/>
      <c r="BK1235" s="35"/>
      <c r="BL1235" s="79"/>
      <c r="BM1235" s="230"/>
      <c r="BN1235" s="211"/>
      <c r="BO1235" s="164"/>
      <c r="BP1235" s="726"/>
      <c r="BQ1235" s="727"/>
      <c r="BR1235" s="299"/>
      <c r="BS1235" s="35"/>
      <c r="BT1235" s="596"/>
      <c r="BU1235" s="79"/>
      <c r="BV1235" s="212"/>
      <c r="BW1235" s="304"/>
      <c r="BX1235" s="313"/>
      <c r="BY1235" s="138"/>
    </row>
    <row r="1236" spans="1:77" ht="15" customHeight="1" outlineLevel="1" x14ac:dyDescent="0.2">
      <c r="A1236" s="57" t="s">
        <v>24</v>
      </c>
      <c r="B1236" s="583" t="s">
        <v>477</v>
      </c>
      <c r="C1236" s="583" t="s">
        <v>1522</v>
      </c>
      <c r="D1236" s="546">
        <v>1.2669999999999999</v>
      </c>
      <c r="E1236" s="162" t="s">
        <v>631</v>
      </c>
      <c r="F1236" s="358"/>
      <c r="G1236" s="65"/>
      <c r="H1236" s="73"/>
      <c r="I1236" s="90"/>
      <c r="J1236" s="73"/>
      <c r="K1236" s="734">
        <v>6.2300000000000003E-3</v>
      </c>
      <c r="L1236" s="717"/>
      <c r="M1236" s="73"/>
      <c r="N1236" s="359"/>
      <c r="O1236" s="1041"/>
      <c r="P1236" s="73"/>
      <c r="Q1236" s="359"/>
      <c r="R1236" s="1041"/>
      <c r="S1236" s="73"/>
      <c r="T1236" s="359"/>
      <c r="U1236" s="73"/>
      <c r="V1236" s="66"/>
      <c r="W1236" s="788">
        <f t="shared" ref="W1236" si="999">AA1236*(1+AB1236)</f>
        <v>3.9249000000000003E-6</v>
      </c>
      <c r="X1236" s="789">
        <f t="shared" ref="X1236" si="1000">AA1236*(1+AC1236)</f>
        <v>3.9249000000000003E-6</v>
      </c>
      <c r="Y1236" s="52">
        <v>2005</v>
      </c>
      <c r="Z1236" s="52"/>
      <c r="AA1236" s="739">
        <f t="shared" ref="AA1236" si="1001">+K1236/1000</f>
        <v>6.2300000000000005E-6</v>
      </c>
      <c r="AB1236" s="256">
        <v>-0.37</v>
      </c>
      <c r="AC1236" s="688">
        <f t="shared" si="962"/>
        <v>-0.37</v>
      </c>
      <c r="AD1236" s="164"/>
      <c r="AE1236" s="164"/>
      <c r="AF1236" s="25"/>
      <c r="AG1236" s="26"/>
      <c r="AH1236" s="275"/>
      <c r="AI1236" s="52"/>
      <c r="AJ1236" s="35"/>
      <c r="AK1236" s="289"/>
      <c r="AL1236" s="290"/>
      <c r="AM1236" s="211"/>
      <c r="AN1236" s="164"/>
      <c r="AO1236" s="594"/>
      <c r="AP1236" s="595"/>
      <c r="AQ1236" s="275"/>
      <c r="AR1236" s="52"/>
      <c r="AS1236" s="596"/>
      <c r="AT1236" s="79"/>
      <c r="AU1236" s="212"/>
      <c r="AV1236" s="164"/>
      <c r="AW1236" s="164"/>
      <c r="AX1236" s="76"/>
      <c r="AY1236" s="44"/>
      <c r="AZ1236" s="275"/>
      <c r="BA1236" s="52"/>
      <c r="BB1236" s="35"/>
      <c r="BC1236" s="79"/>
      <c r="BD1236" s="230"/>
      <c r="BE1236" s="211"/>
      <c r="BF1236" s="164"/>
      <c r="BG1236" s="76"/>
      <c r="BH1236" s="44"/>
      <c r="BI1236" s="275"/>
      <c r="BJ1236" s="52"/>
      <c r="BK1236" s="35"/>
      <c r="BL1236" s="79"/>
      <c r="BM1236" s="230"/>
      <c r="BN1236" s="211"/>
      <c r="BO1236" s="164"/>
      <c r="BP1236" s="726"/>
      <c r="BQ1236" s="727"/>
      <c r="BR1236" s="299"/>
      <c r="BS1236" s="35"/>
      <c r="BT1236" s="596"/>
      <c r="BU1236" s="79"/>
      <c r="BV1236" s="212"/>
      <c r="BW1236" s="304"/>
      <c r="BX1236" s="313"/>
      <c r="BY1236" s="138"/>
    </row>
    <row r="1237" spans="1:77" ht="15" customHeight="1" outlineLevel="1" x14ac:dyDescent="0.2">
      <c r="A1237" s="57" t="s">
        <v>24</v>
      </c>
      <c r="B1237" s="583" t="s">
        <v>477</v>
      </c>
      <c r="C1237" s="583" t="s">
        <v>1515</v>
      </c>
      <c r="D1237" s="818">
        <v>0.44600000000000001</v>
      </c>
      <c r="E1237" s="162" t="s">
        <v>631</v>
      </c>
      <c r="F1237" s="358"/>
      <c r="G1237" s="65"/>
      <c r="H1237" s="73"/>
      <c r="I1237" s="90"/>
      <c r="J1237" s="73"/>
      <c r="K1237" s="790">
        <v>3.7299999999999998E-3</v>
      </c>
      <c r="L1237" s="717"/>
      <c r="M1237" s="73"/>
      <c r="N1237" s="359"/>
      <c r="O1237" s="1041"/>
      <c r="P1237" s="73"/>
      <c r="Q1237" s="359"/>
      <c r="R1237" s="1041"/>
      <c r="S1237" s="73"/>
      <c r="T1237" s="359"/>
      <c r="U1237" s="73"/>
      <c r="V1237" s="66"/>
      <c r="W1237" s="808">
        <f t="shared" ref="W1237" si="1002">AA1237*(1+AB1237)</f>
        <v>2.6109999999999982E-7</v>
      </c>
      <c r="X1237" s="809">
        <f t="shared" ref="X1237" si="1003">AA1237*(1+AC1237)</f>
        <v>2.6109999999999982E-7</v>
      </c>
      <c r="Y1237" s="52">
        <v>2005</v>
      </c>
      <c r="Z1237" s="52"/>
      <c r="AA1237" s="787">
        <f t="shared" ref="AA1237" si="1004">+K1237/1000</f>
        <v>3.7299999999999999E-6</v>
      </c>
      <c r="AB1237" s="256">
        <v>-0.93</v>
      </c>
      <c r="AC1237" s="688">
        <f t="shared" si="962"/>
        <v>-0.93</v>
      </c>
      <c r="AD1237" s="164"/>
      <c r="AE1237" s="164"/>
      <c r="AF1237" s="25"/>
      <c r="AG1237" s="26"/>
      <c r="AH1237" s="275"/>
      <c r="AI1237" s="52"/>
      <c r="AJ1237" s="35"/>
      <c r="AK1237" s="289"/>
      <c r="AL1237" s="290"/>
      <c r="AM1237" s="211"/>
      <c r="AN1237" s="164"/>
      <c r="AO1237" s="594"/>
      <c r="AP1237" s="595"/>
      <c r="AQ1237" s="275"/>
      <c r="AR1237" s="52"/>
      <c r="AS1237" s="596"/>
      <c r="AT1237" s="79"/>
      <c r="AU1237" s="212"/>
      <c r="AV1237" s="164"/>
      <c r="AW1237" s="164"/>
      <c r="AX1237" s="76"/>
      <c r="AY1237" s="44"/>
      <c r="AZ1237" s="275"/>
      <c r="BA1237" s="52"/>
      <c r="BB1237" s="35"/>
      <c r="BC1237" s="79"/>
      <c r="BD1237" s="230"/>
      <c r="BE1237" s="211"/>
      <c r="BF1237" s="164"/>
      <c r="BG1237" s="76"/>
      <c r="BH1237" s="44"/>
      <c r="BI1237" s="275"/>
      <c r="BJ1237" s="52"/>
      <c r="BK1237" s="35"/>
      <c r="BL1237" s="79"/>
      <c r="BM1237" s="230"/>
      <c r="BN1237" s="211"/>
      <c r="BO1237" s="164"/>
      <c r="BP1237" s="726"/>
      <c r="BQ1237" s="727"/>
      <c r="BR1237" s="299"/>
      <c r="BS1237" s="35"/>
      <c r="BT1237" s="596"/>
      <c r="BU1237" s="79"/>
      <c r="BV1237" s="212"/>
      <c r="BW1237" s="304"/>
      <c r="BX1237" s="313"/>
      <c r="BY1237" s="138"/>
    </row>
    <row r="1238" spans="1:77" ht="15" customHeight="1" outlineLevel="1" x14ac:dyDescent="0.2">
      <c r="A1238" s="57" t="s">
        <v>24</v>
      </c>
      <c r="B1238" s="583" t="s">
        <v>477</v>
      </c>
      <c r="C1238" s="583" t="s">
        <v>1529</v>
      </c>
      <c r="D1238" s="818">
        <v>8.7999999999999995E-2</v>
      </c>
      <c r="E1238" s="162" t="s">
        <v>631</v>
      </c>
      <c r="F1238" s="358"/>
      <c r="G1238" s="65"/>
      <c r="H1238" s="73"/>
      <c r="I1238" s="90"/>
      <c r="J1238" s="73"/>
      <c r="K1238" s="790">
        <v>5.3700000000000004E-4</v>
      </c>
      <c r="L1238" s="717"/>
      <c r="M1238" s="73"/>
      <c r="N1238" s="359"/>
      <c r="O1238" s="1041"/>
      <c r="P1238" s="73"/>
      <c r="Q1238" s="359"/>
      <c r="R1238" s="1041"/>
      <c r="S1238" s="73"/>
      <c r="T1238" s="359"/>
      <c r="U1238" s="73"/>
      <c r="V1238" s="66"/>
      <c r="W1238" s="808">
        <f t="shared" ref="W1238" si="1005">AA1238*(1+AB1238)</f>
        <v>5.3699999999999991E-8</v>
      </c>
      <c r="X1238" s="809">
        <f t="shared" ref="X1238" si="1006">AA1238*(1+AC1238)</f>
        <v>5.3699999999999991E-8</v>
      </c>
      <c r="Y1238" s="52">
        <v>2005</v>
      </c>
      <c r="Z1238" s="52"/>
      <c r="AA1238" s="787">
        <f t="shared" ref="AA1238:AA1239" si="1007">+K1238/1000</f>
        <v>5.37E-7</v>
      </c>
      <c r="AB1238" s="256">
        <v>-0.9</v>
      </c>
      <c r="AC1238" s="688">
        <f t="shared" si="962"/>
        <v>-0.9</v>
      </c>
      <c r="AD1238" s="164"/>
      <c r="AE1238" s="164"/>
      <c r="AF1238" s="25"/>
      <c r="AG1238" s="26"/>
      <c r="AH1238" s="275"/>
      <c r="AI1238" s="52"/>
      <c r="AJ1238" s="35"/>
      <c r="AK1238" s="289"/>
      <c r="AL1238" s="290"/>
      <c r="AM1238" s="211"/>
      <c r="AN1238" s="164"/>
      <c r="AO1238" s="594"/>
      <c r="AP1238" s="595"/>
      <c r="AQ1238" s="275"/>
      <c r="AR1238" s="52"/>
      <c r="AS1238" s="596"/>
      <c r="AT1238" s="79"/>
      <c r="AU1238" s="212"/>
      <c r="AV1238" s="164"/>
      <c r="AW1238" s="164"/>
      <c r="AX1238" s="76"/>
      <c r="AY1238" s="44"/>
      <c r="AZ1238" s="275"/>
      <c r="BA1238" s="52"/>
      <c r="BB1238" s="35"/>
      <c r="BC1238" s="79"/>
      <c r="BD1238" s="230"/>
      <c r="BE1238" s="211"/>
      <c r="BF1238" s="164"/>
      <c r="BG1238" s="76"/>
      <c r="BH1238" s="44"/>
      <c r="BI1238" s="275"/>
      <c r="BJ1238" s="52"/>
      <c r="BK1238" s="35"/>
      <c r="BL1238" s="79"/>
      <c r="BM1238" s="230"/>
      <c r="BN1238" s="211"/>
      <c r="BO1238" s="164"/>
      <c r="BP1238" s="726"/>
      <c r="BQ1238" s="727"/>
      <c r="BR1238" s="299"/>
      <c r="BS1238" s="35"/>
      <c r="BT1238" s="596"/>
      <c r="BU1238" s="79"/>
      <c r="BV1238" s="212"/>
      <c r="BW1238" s="304"/>
      <c r="BX1238" s="313"/>
      <c r="BY1238" s="138"/>
    </row>
    <row r="1239" spans="1:77" ht="15" customHeight="1" outlineLevel="1" x14ac:dyDescent="0.2">
      <c r="A1239" s="57" t="s">
        <v>24</v>
      </c>
      <c r="B1239" s="583" t="s">
        <v>477</v>
      </c>
      <c r="C1239" s="583" t="s">
        <v>1938</v>
      </c>
      <c r="D1239" s="818">
        <v>0.91</v>
      </c>
      <c r="E1239" s="162" t="s">
        <v>631</v>
      </c>
      <c r="F1239" s="358"/>
      <c r="G1239" s="65"/>
      <c r="H1239" s="73"/>
      <c r="I1239" s="90"/>
      <c r="J1239" s="73"/>
      <c r="K1239" s="790">
        <v>6.7749999999999998E-3</v>
      </c>
      <c r="L1239" s="717"/>
      <c r="M1239" s="73"/>
      <c r="N1239" s="359"/>
      <c r="O1239" s="1041"/>
      <c r="P1239" s="73"/>
      <c r="Q1239" s="359"/>
      <c r="R1239" s="1041"/>
      <c r="S1239" s="73"/>
      <c r="T1239" s="359"/>
      <c r="U1239" s="73"/>
      <c r="V1239" s="66"/>
      <c r="W1239" s="788">
        <f t="shared" ref="W1239" si="1008">AA1239*(1+AB1239)</f>
        <v>4.9457499999999992E-6</v>
      </c>
      <c r="X1239" s="789">
        <f t="shared" ref="X1239" si="1009">AA1239*(1+AC1239)</f>
        <v>4.9457499999999992E-6</v>
      </c>
      <c r="Y1239" s="52">
        <v>2005</v>
      </c>
      <c r="Z1239" s="52"/>
      <c r="AA1239" s="787">
        <f t="shared" si="1007"/>
        <v>6.7749999999999995E-6</v>
      </c>
      <c r="AB1239" s="256">
        <v>-0.27</v>
      </c>
      <c r="AC1239" s="688">
        <f t="shared" si="962"/>
        <v>-0.27</v>
      </c>
      <c r="AD1239" s="164"/>
      <c r="AE1239" s="164"/>
      <c r="AF1239" s="25"/>
      <c r="AG1239" s="26"/>
      <c r="AH1239" s="275"/>
      <c r="AI1239" s="52"/>
      <c r="AJ1239" s="35"/>
      <c r="AK1239" s="289"/>
      <c r="AL1239" s="290"/>
      <c r="AM1239" s="211"/>
      <c r="AN1239" s="164"/>
      <c r="AO1239" s="594"/>
      <c r="AP1239" s="595"/>
      <c r="AQ1239" s="275"/>
      <c r="AR1239" s="52"/>
      <c r="AS1239" s="596"/>
      <c r="AT1239" s="79"/>
      <c r="AU1239" s="212"/>
      <c r="AV1239" s="164"/>
      <c r="AW1239" s="164"/>
      <c r="AX1239" s="76"/>
      <c r="AY1239" s="44"/>
      <c r="AZ1239" s="275"/>
      <c r="BA1239" s="52"/>
      <c r="BB1239" s="35"/>
      <c r="BC1239" s="79"/>
      <c r="BD1239" s="230"/>
      <c r="BE1239" s="211"/>
      <c r="BF1239" s="164"/>
      <c r="BG1239" s="76"/>
      <c r="BH1239" s="44"/>
      <c r="BI1239" s="275"/>
      <c r="BJ1239" s="52"/>
      <c r="BK1239" s="35"/>
      <c r="BL1239" s="79"/>
      <c r="BM1239" s="230"/>
      <c r="BN1239" s="211"/>
      <c r="BO1239" s="164"/>
      <c r="BP1239" s="726"/>
      <c r="BQ1239" s="727"/>
      <c r="BR1239" s="299"/>
      <c r="BS1239" s="35"/>
      <c r="BT1239" s="596"/>
      <c r="BU1239" s="79"/>
      <c r="BV1239" s="212"/>
      <c r="BW1239" s="304"/>
      <c r="BX1239" s="313"/>
      <c r="BY1239" s="138"/>
    </row>
    <row r="1240" spans="1:77" ht="15" customHeight="1" outlineLevel="1" x14ac:dyDescent="0.2">
      <c r="A1240" s="57" t="s">
        <v>24</v>
      </c>
      <c r="B1240" s="583" t="s">
        <v>477</v>
      </c>
      <c r="C1240" s="583" t="s">
        <v>1350</v>
      </c>
      <c r="D1240" s="546">
        <v>7.2069999999999999</v>
      </c>
      <c r="E1240" s="162" t="s">
        <v>631</v>
      </c>
      <c r="F1240" s="358"/>
      <c r="G1240" s="65"/>
      <c r="H1240" s="73"/>
      <c r="I1240" s="90"/>
      <c r="J1240" s="73"/>
      <c r="K1240" s="734">
        <v>3.5145999999999997E-2</v>
      </c>
      <c r="L1240" s="717"/>
      <c r="M1240" s="73"/>
      <c r="N1240" s="359"/>
      <c r="O1240" s="1041"/>
      <c r="P1240" s="73"/>
      <c r="Q1240" s="359"/>
      <c r="R1240" s="1041"/>
      <c r="S1240" s="73"/>
      <c r="T1240" s="359"/>
      <c r="U1240" s="73"/>
      <c r="V1240" s="66"/>
      <c r="W1240" s="740">
        <f t="shared" si="643"/>
        <v>2.4602199999999996E-5</v>
      </c>
      <c r="X1240" s="741">
        <f t="shared" si="644"/>
        <v>2.4602199999999996E-5</v>
      </c>
      <c r="Y1240" s="52">
        <v>2005</v>
      </c>
      <c r="Z1240" s="52"/>
      <c r="AA1240" s="739">
        <f t="shared" ref="AA1240:AA1247" si="1010">+K1240/1000</f>
        <v>3.5145999999999999E-5</v>
      </c>
      <c r="AB1240" s="256">
        <v>-0.3</v>
      </c>
      <c r="AC1240" s="688">
        <f t="shared" si="962"/>
        <v>-0.3</v>
      </c>
      <c r="AD1240" s="164"/>
      <c r="AE1240" s="164"/>
      <c r="AF1240" s="25"/>
      <c r="AG1240" s="26"/>
      <c r="AH1240" s="275"/>
      <c r="AI1240" s="52"/>
      <c r="AJ1240" s="35"/>
      <c r="AK1240" s="289"/>
      <c r="AL1240" s="290"/>
      <c r="AM1240" s="211"/>
      <c r="AN1240" s="164"/>
      <c r="AO1240" s="594"/>
      <c r="AP1240" s="595"/>
      <c r="AQ1240" s="275"/>
      <c r="AR1240" s="52"/>
      <c r="AS1240" s="596"/>
      <c r="AT1240" s="79"/>
      <c r="AU1240" s="212"/>
      <c r="AV1240" s="164"/>
      <c r="AW1240" s="164"/>
      <c r="AX1240" s="76"/>
      <c r="AY1240" s="44"/>
      <c r="AZ1240" s="275"/>
      <c r="BA1240" s="52"/>
      <c r="BB1240" s="35"/>
      <c r="BC1240" s="79"/>
      <c r="BD1240" s="230"/>
      <c r="BE1240" s="211"/>
      <c r="BF1240" s="164"/>
      <c r="BG1240" s="76"/>
      <c r="BH1240" s="44"/>
      <c r="BI1240" s="275"/>
      <c r="BJ1240" s="52"/>
      <c r="BK1240" s="35"/>
      <c r="BL1240" s="79"/>
      <c r="BM1240" s="230"/>
      <c r="BN1240" s="211"/>
      <c r="BO1240" s="164"/>
      <c r="BP1240" s="726"/>
      <c r="BQ1240" s="727"/>
      <c r="BR1240" s="299"/>
      <c r="BS1240" s="35"/>
      <c r="BT1240" s="596"/>
      <c r="BU1240" s="79"/>
      <c r="BV1240" s="212"/>
      <c r="BW1240" s="304"/>
      <c r="BX1240" s="313"/>
      <c r="BY1240" s="138"/>
    </row>
    <row r="1241" spans="1:77" ht="15" customHeight="1" outlineLevel="1" x14ac:dyDescent="0.2">
      <c r="A1241" s="57" t="s">
        <v>24</v>
      </c>
      <c r="B1241" s="583" t="s">
        <v>477</v>
      </c>
      <c r="C1241" s="583" t="s">
        <v>1852</v>
      </c>
      <c r="D1241" s="546">
        <v>0.38700000000000001</v>
      </c>
      <c r="E1241" s="162" t="s">
        <v>631</v>
      </c>
      <c r="F1241" s="358"/>
      <c r="G1241" s="65"/>
      <c r="H1241" s="73"/>
      <c r="I1241" s="90"/>
      <c r="J1241" s="73"/>
      <c r="K1241" s="790">
        <v>1.371E-3</v>
      </c>
      <c r="L1241" s="717"/>
      <c r="M1241" s="73"/>
      <c r="N1241" s="359"/>
      <c r="O1241" s="1041"/>
      <c r="P1241" s="73"/>
      <c r="Q1241" s="359"/>
      <c r="R1241" s="1041"/>
      <c r="S1241" s="73"/>
      <c r="T1241" s="359"/>
      <c r="U1241" s="73"/>
      <c r="V1241" s="66"/>
      <c r="W1241" s="740">
        <f t="shared" ref="W1241" si="1011">AA1241*(1+AB1241)</f>
        <v>1.01454E-6</v>
      </c>
      <c r="X1241" s="741">
        <f t="shared" ref="X1241" si="1012">AA1241*(1+AC1241)</f>
        <v>1.01454E-6</v>
      </c>
      <c r="Y1241" s="52">
        <v>2005</v>
      </c>
      <c r="Z1241" s="52"/>
      <c r="AA1241" s="739">
        <f>+K1241/1000</f>
        <v>1.3710000000000001E-6</v>
      </c>
      <c r="AB1241" s="256">
        <v>-0.26</v>
      </c>
      <c r="AC1241" s="688">
        <f t="shared" si="962"/>
        <v>-0.26</v>
      </c>
      <c r="AD1241" s="164"/>
      <c r="AE1241" s="164"/>
      <c r="AF1241" s="25"/>
      <c r="AG1241" s="26"/>
      <c r="AH1241" s="275"/>
      <c r="AI1241" s="52"/>
      <c r="AJ1241" s="35"/>
      <c r="AK1241" s="289"/>
      <c r="AL1241" s="290"/>
      <c r="AM1241" s="211"/>
      <c r="AN1241" s="164"/>
      <c r="AO1241" s="594"/>
      <c r="AP1241" s="595"/>
      <c r="AQ1241" s="275"/>
      <c r="AR1241" s="52"/>
      <c r="AS1241" s="596"/>
      <c r="AT1241" s="79"/>
      <c r="AU1241" s="212"/>
      <c r="AV1241" s="164"/>
      <c r="AW1241" s="164"/>
      <c r="AX1241" s="76"/>
      <c r="AY1241" s="44"/>
      <c r="AZ1241" s="275"/>
      <c r="BA1241" s="52"/>
      <c r="BB1241" s="35"/>
      <c r="BC1241" s="79"/>
      <c r="BD1241" s="230"/>
      <c r="BE1241" s="211"/>
      <c r="BF1241" s="164"/>
      <c r="BG1241" s="76"/>
      <c r="BH1241" s="44"/>
      <c r="BI1241" s="275"/>
      <c r="BJ1241" s="52"/>
      <c r="BK1241" s="35"/>
      <c r="BL1241" s="79"/>
      <c r="BM1241" s="230"/>
      <c r="BN1241" s="211"/>
      <c r="BO1241" s="164"/>
      <c r="BP1241" s="726"/>
      <c r="BQ1241" s="727"/>
      <c r="BR1241" s="299"/>
      <c r="BS1241" s="35"/>
      <c r="BT1241" s="596"/>
      <c r="BU1241" s="79"/>
      <c r="BV1241" s="212"/>
      <c r="BW1241" s="304"/>
      <c r="BX1241" s="313"/>
      <c r="BY1241" s="138"/>
    </row>
    <row r="1242" spans="1:77" ht="15" customHeight="1" outlineLevel="1" x14ac:dyDescent="0.2">
      <c r="A1242" s="57" t="s">
        <v>24</v>
      </c>
      <c r="B1242" s="583" t="s">
        <v>477</v>
      </c>
      <c r="C1242" s="583" t="s">
        <v>1890</v>
      </c>
      <c r="D1242" s="546">
        <v>7.2370000000000001</v>
      </c>
      <c r="E1242" s="162" t="s">
        <v>631</v>
      </c>
      <c r="F1242" s="358"/>
      <c r="G1242" s="65"/>
      <c r="H1242" s="73"/>
      <c r="I1242" s="90"/>
      <c r="J1242" s="73"/>
      <c r="K1242" s="790">
        <v>1.6060000000000001E-2</v>
      </c>
      <c r="L1242" s="717"/>
      <c r="M1242" s="73"/>
      <c r="N1242" s="359"/>
      <c r="O1242" s="1041"/>
      <c r="P1242" s="73"/>
      <c r="Q1242" s="359"/>
      <c r="R1242" s="1041"/>
      <c r="S1242" s="73"/>
      <c r="T1242" s="359"/>
      <c r="U1242" s="73"/>
      <c r="V1242" s="66"/>
      <c r="W1242" s="740">
        <f t="shared" ref="W1242" si="1013">AA1242*(1+AB1242)</f>
        <v>1.1884400000000001E-5</v>
      </c>
      <c r="X1242" s="741">
        <f t="shared" ref="X1242" si="1014">AA1242*(1+AC1242)</f>
        <v>1.1884400000000001E-5</v>
      </c>
      <c r="Y1242" s="52">
        <v>2009</v>
      </c>
      <c r="Z1242" s="52"/>
      <c r="AA1242" s="739">
        <f>+K1242/1000</f>
        <v>1.6060000000000002E-5</v>
      </c>
      <c r="AB1242" s="256">
        <v>-0.26</v>
      </c>
      <c r="AC1242" s="688">
        <f t="shared" si="962"/>
        <v>-0.26</v>
      </c>
      <c r="AD1242" s="164"/>
      <c r="AE1242" s="164"/>
      <c r="AF1242" s="25"/>
      <c r="AG1242" s="26"/>
      <c r="AH1242" s="275"/>
      <c r="AI1242" s="52"/>
      <c r="AJ1242" s="35"/>
      <c r="AK1242" s="289"/>
      <c r="AL1242" s="290"/>
      <c r="AM1242" s="211"/>
      <c r="AN1242" s="164"/>
      <c r="AO1242" s="594"/>
      <c r="AP1242" s="595"/>
      <c r="AQ1242" s="275"/>
      <c r="AR1242" s="52"/>
      <c r="AS1242" s="596"/>
      <c r="AT1242" s="79"/>
      <c r="AU1242" s="212"/>
      <c r="AV1242" s="164"/>
      <c r="AW1242" s="164"/>
      <c r="AX1242" s="76"/>
      <c r="AY1242" s="44"/>
      <c r="AZ1242" s="275"/>
      <c r="BA1242" s="52"/>
      <c r="BB1242" s="35"/>
      <c r="BC1242" s="79"/>
      <c r="BD1242" s="230"/>
      <c r="BE1242" s="211"/>
      <c r="BF1242" s="164"/>
      <c r="BG1242" s="76"/>
      <c r="BH1242" s="44"/>
      <c r="BI1242" s="275"/>
      <c r="BJ1242" s="52"/>
      <c r="BK1242" s="35"/>
      <c r="BL1242" s="79"/>
      <c r="BM1242" s="230"/>
      <c r="BN1242" s="211"/>
      <c r="BO1242" s="164"/>
      <c r="BP1242" s="726"/>
      <c r="BQ1242" s="727"/>
      <c r="BR1242" s="299"/>
      <c r="BS1242" s="35"/>
      <c r="BT1242" s="596"/>
      <c r="BU1242" s="79"/>
      <c r="BV1242" s="212"/>
      <c r="BW1242" s="304"/>
      <c r="BX1242" s="313"/>
      <c r="BY1242" s="138"/>
    </row>
    <row r="1243" spans="1:77" ht="14.45" customHeight="1" outlineLevel="1" x14ac:dyDescent="0.2">
      <c r="A1243" s="57" t="s">
        <v>24</v>
      </c>
      <c r="B1243" s="583" t="s">
        <v>477</v>
      </c>
      <c r="C1243" s="583" t="s">
        <v>1724</v>
      </c>
      <c r="D1243" s="546">
        <v>1.1879999999999999</v>
      </c>
      <c r="E1243" s="162" t="s">
        <v>631</v>
      </c>
      <c r="F1243" s="358"/>
      <c r="G1243" s="65"/>
      <c r="H1243" s="73"/>
      <c r="I1243" s="90"/>
      <c r="J1243" s="73"/>
      <c r="K1243" s="790">
        <v>4.5890000000000002E-3</v>
      </c>
      <c r="L1243" s="717"/>
      <c r="M1243" s="73"/>
      <c r="N1243" s="359"/>
      <c r="O1243" s="1041"/>
      <c r="P1243" s="73"/>
      <c r="Q1243" s="359"/>
      <c r="R1243" s="1041"/>
      <c r="S1243" s="73"/>
      <c r="T1243" s="359"/>
      <c r="U1243" s="73"/>
      <c r="V1243" s="66"/>
      <c r="W1243" s="788">
        <f t="shared" ref="W1243" si="1015">AA1243*(1+AB1243)</f>
        <v>3.4417500000000005E-6</v>
      </c>
      <c r="X1243" s="789">
        <f t="shared" ref="X1243" si="1016">AA1243*(1+AC1243)</f>
        <v>3.4417500000000005E-6</v>
      </c>
      <c r="Y1243" s="52">
        <v>2005</v>
      </c>
      <c r="Z1243" s="52"/>
      <c r="AA1243" s="787">
        <f t="shared" si="1010"/>
        <v>4.5890000000000004E-6</v>
      </c>
      <c r="AB1243" s="256">
        <v>-0.25</v>
      </c>
      <c r="AC1243" s="688">
        <f t="shared" si="962"/>
        <v>-0.25</v>
      </c>
      <c r="AD1243" s="164"/>
      <c r="AE1243" s="164"/>
      <c r="AF1243" s="25"/>
      <c r="AG1243" s="26"/>
      <c r="AH1243" s="275"/>
      <c r="AI1243" s="52"/>
      <c r="AJ1243" s="35"/>
      <c r="AK1243" s="289"/>
      <c r="AL1243" s="290"/>
      <c r="AM1243" s="211"/>
      <c r="AN1243" s="164"/>
      <c r="AO1243" s="594"/>
      <c r="AP1243" s="595"/>
      <c r="AQ1243" s="275"/>
      <c r="AR1243" s="52"/>
      <c r="AS1243" s="596"/>
      <c r="AT1243" s="79"/>
      <c r="AU1243" s="212"/>
      <c r="AV1243" s="164"/>
      <c r="AW1243" s="164"/>
      <c r="AX1243" s="76"/>
      <c r="AY1243" s="44"/>
      <c r="AZ1243" s="275"/>
      <c r="BA1243" s="52"/>
      <c r="BB1243" s="35"/>
      <c r="BC1243" s="79"/>
      <c r="BD1243" s="230"/>
      <c r="BE1243" s="211"/>
      <c r="BF1243" s="164"/>
      <c r="BG1243" s="76"/>
      <c r="BH1243" s="44"/>
      <c r="BI1243" s="275"/>
      <c r="BJ1243" s="52"/>
      <c r="BK1243" s="35"/>
      <c r="BL1243" s="79"/>
      <c r="BM1243" s="230"/>
      <c r="BN1243" s="211"/>
      <c r="BO1243" s="164"/>
      <c r="BP1243" s="726"/>
      <c r="BQ1243" s="727"/>
      <c r="BR1243" s="299"/>
      <c r="BS1243" s="35"/>
      <c r="BT1243" s="596"/>
      <c r="BU1243" s="79"/>
      <c r="BV1243" s="212"/>
      <c r="BW1243" s="304"/>
      <c r="BX1243" s="313"/>
      <c r="BY1243" s="138"/>
    </row>
    <row r="1244" spans="1:77" ht="14.45" customHeight="1" outlineLevel="1" x14ac:dyDescent="0.2">
      <c r="A1244" s="57" t="s">
        <v>24</v>
      </c>
      <c r="B1244" s="583" t="s">
        <v>477</v>
      </c>
      <c r="C1244" s="583" t="s">
        <v>1972</v>
      </c>
      <c r="D1244" s="546">
        <v>13.925000000000001</v>
      </c>
      <c r="E1244" s="162" t="s">
        <v>631</v>
      </c>
      <c r="F1244" s="358"/>
      <c r="G1244" s="65"/>
      <c r="H1244" s="73"/>
      <c r="I1244" s="90"/>
      <c r="J1244" s="73"/>
      <c r="K1244" s="790"/>
      <c r="L1244" s="717"/>
      <c r="M1244" s="73"/>
      <c r="N1244" s="738">
        <v>7.4636999999999995E-2</v>
      </c>
      <c r="O1244" s="1041"/>
      <c r="P1244" s="73"/>
      <c r="Q1244" s="359"/>
      <c r="R1244" s="1041"/>
      <c r="S1244" s="73"/>
      <c r="T1244" s="359"/>
      <c r="U1244" s="73"/>
      <c r="V1244" s="66"/>
      <c r="W1244" s="788">
        <f t="shared" ref="W1244" si="1017">AA1244*(1+AB1244)</f>
        <v>5.4485009999999998E-5</v>
      </c>
      <c r="X1244" s="789">
        <f t="shared" ref="X1244" si="1018">AA1244*(1+AC1244)</f>
        <v>5.4485009999999998E-5</v>
      </c>
      <c r="Y1244" s="52">
        <v>2010</v>
      </c>
      <c r="Z1244" s="52"/>
      <c r="AA1244" s="787">
        <f>+N1244/1000</f>
        <v>7.4636999999999997E-5</v>
      </c>
      <c r="AB1244" s="256">
        <v>-0.27</v>
      </c>
      <c r="AC1244" s="688">
        <f t="shared" si="962"/>
        <v>-0.27</v>
      </c>
      <c r="AD1244" s="164"/>
      <c r="AE1244" s="164"/>
      <c r="AF1244" s="25"/>
      <c r="AG1244" s="26"/>
      <c r="AH1244" s="275"/>
      <c r="AI1244" s="52"/>
      <c r="AJ1244" s="35"/>
      <c r="AK1244" s="289"/>
      <c r="AL1244" s="290"/>
      <c r="AM1244" s="211"/>
      <c r="AN1244" s="164"/>
      <c r="AO1244" s="594"/>
      <c r="AP1244" s="595"/>
      <c r="AQ1244" s="275"/>
      <c r="AR1244" s="52"/>
      <c r="AS1244" s="596"/>
      <c r="AT1244" s="79"/>
      <c r="AU1244" s="212"/>
      <c r="AV1244" s="164"/>
      <c r="AW1244" s="164"/>
      <c r="AX1244" s="76"/>
      <c r="AY1244" s="44"/>
      <c r="AZ1244" s="275"/>
      <c r="BA1244" s="52"/>
      <c r="BB1244" s="35"/>
      <c r="BC1244" s="79"/>
      <c r="BD1244" s="230"/>
      <c r="BE1244" s="211"/>
      <c r="BF1244" s="164"/>
      <c r="BG1244" s="76"/>
      <c r="BH1244" s="44"/>
      <c r="BI1244" s="275"/>
      <c r="BJ1244" s="52"/>
      <c r="BK1244" s="35"/>
      <c r="BL1244" s="79"/>
      <c r="BM1244" s="230"/>
      <c r="BN1244" s="211"/>
      <c r="BO1244" s="164"/>
      <c r="BP1244" s="726"/>
      <c r="BQ1244" s="727"/>
      <c r="BR1244" s="299"/>
      <c r="BS1244" s="35"/>
      <c r="BT1244" s="596"/>
      <c r="BU1244" s="79"/>
      <c r="BV1244" s="212"/>
      <c r="BW1244" s="304"/>
      <c r="BX1244" s="313"/>
      <c r="BY1244" s="138"/>
    </row>
    <row r="1245" spans="1:77" ht="14.45" customHeight="1" outlineLevel="1" x14ac:dyDescent="0.2">
      <c r="A1245" s="57" t="s">
        <v>24</v>
      </c>
      <c r="B1245" s="583" t="s">
        <v>477</v>
      </c>
      <c r="C1245" s="583" t="s">
        <v>1984</v>
      </c>
      <c r="D1245" s="546">
        <v>2.2850000000000001</v>
      </c>
      <c r="E1245" s="162" t="s">
        <v>631</v>
      </c>
      <c r="F1245" s="358"/>
      <c r="G1245" s="65"/>
      <c r="H1245" s="73"/>
      <c r="I1245" s="90"/>
      <c r="J1245" s="73"/>
      <c r="K1245" s="790">
        <v>1.3183E-2</v>
      </c>
      <c r="L1245" s="717"/>
      <c r="M1245" s="73"/>
      <c r="N1245" s="738"/>
      <c r="O1245" s="1041"/>
      <c r="P1245" s="73"/>
      <c r="Q1245" s="359"/>
      <c r="R1245" s="1041"/>
      <c r="S1245" s="73"/>
      <c r="T1245" s="359"/>
      <c r="U1245" s="73"/>
      <c r="V1245" s="66"/>
      <c r="W1245" s="788">
        <f t="shared" ref="W1245" si="1019">AA1245*(1+AB1245)</f>
        <v>9.4917600000000001E-6</v>
      </c>
      <c r="X1245" s="789">
        <f t="shared" ref="X1245" si="1020">AA1245*(1+AC1245)</f>
        <v>9.4917600000000001E-6</v>
      </c>
      <c r="Y1245" s="52">
        <v>2005</v>
      </c>
      <c r="Z1245" s="52"/>
      <c r="AA1245" s="787">
        <f>+K1245/1000</f>
        <v>1.3183000000000001E-5</v>
      </c>
      <c r="AB1245" s="256">
        <v>-0.28000000000000003</v>
      </c>
      <c r="AC1245" s="688">
        <f t="shared" si="962"/>
        <v>-0.28000000000000003</v>
      </c>
      <c r="AD1245" s="164"/>
      <c r="AE1245" s="164"/>
      <c r="AF1245" s="25"/>
      <c r="AG1245" s="26"/>
      <c r="AH1245" s="275"/>
      <c r="AI1245" s="52"/>
      <c r="AJ1245" s="35"/>
      <c r="AK1245" s="289"/>
      <c r="AL1245" s="290"/>
      <c r="AM1245" s="211"/>
      <c r="AN1245" s="164"/>
      <c r="AO1245" s="594"/>
      <c r="AP1245" s="595"/>
      <c r="AQ1245" s="275"/>
      <c r="AR1245" s="52"/>
      <c r="AS1245" s="596"/>
      <c r="AT1245" s="79"/>
      <c r="AU1245" s="212"/>
      <c r="AV1245" s="164"/>
      <c r="AW1245" s="164"/>
      <c r="AX1245" s="76"/>
      <c r="AY1245" s="44"/>
      <c r="AZ1245" s="275"/>
      <c r="BA1245" s="52"/>
      <c r="BB1245" s="35"/>
      <c r="BC1245" s="79"/>
      <c r="BD1245" s="230"/>
      <c r="BE1245" s="211"/>
      <c r="BF1245" s="164"/>
      <c r="BG1245" s="76"/>
      <c r="BH1245" s="44"/>
      <c r="BI1245" s="275"/>
      <c r="BJ1245" s="52"/>
      <c r="BK1245" s="35"/>
      <c r="BL1245" s="79"/>
      <c r="BM1245" s="230"/>
      <c r="BN1245" s="211"/>
      <c r="BO1245" s="164"/>
      <c r="BP1245" s="726"/>
      <c r="BQ1245" s="727"/>
      <c r="BR1245" s="299"/>
      <c r="BS1245" s="35"/>
      <c r="BT1245" s="596"/>
      <c r="BU1245" s="79"/>
      <c r="BV1245" s="212"/>
      <c r="BW1245" s="304"/>
      <c r="BX1245" s="313"/>
      <c r="BY1245" s="138"/>
    </row>
    <row r="1246" spans="1:77" ht="14.45" customHeight="1" outlineLevel="1" x14ac:dyDescent="0.2">
      <c r="A1246" s="57" t="s">
        <v>24</v>
      </c>
      <c r="B1246" s="583" t="s">
        <v>477</v>
      </c>
      <c r="C1246" s="583" t="s">
        <v>1963</v>
      </c>
      <c r="D1246" s="546">
        <v>5.407</v>
      </c>
      <c r="E1246" s="162" t="s">
        <v>631</v>
      </c>
      <c r="F1246" s="358"/>
      <c r="G1246" s="65"/>
      <c r="H1246" s="73"/>
      <c r="I1246" s="90"/>
      <c r="J1246" s="73"/>
      <c r="K1246" s="790"/>
      <c r="L1246" s="717">
        <v>2008</v>
      </c>
      <c r="M1246" s="73"/>
      <c r="N1246" s="786">
        <v>4.1022000000000003E-2</v>
      </c>
      <c r="O1246" s="1041"/>
      <c r="P1246" s="73"/>
      <c r="Q1246" s="359"/>
      <c r="R1246" s="1041"/>
      <c r="S1246" s="73"/>
      <c r="T1246" s="359"/>
      <c r="U1246" s="73"/>
      <c r="V1246" s="66"/>
      <c r="W1246" s="788">
        <f t="shared" ref="W1246" si="1021">AA1246*(1+AB1246)</f>
        <v>2.9946060000000002E-5</v>
      </c>
      <c r="X1246" s="789">
        <f t="shared" ref="X1246" si="1022">AA1246*(1+AC1246)</f>
        <v>2.9946060000000002E-5</v>
      </c>
      <c r="Y1246" s="52">
        <v>2008</v>
      </c>
      <c r="Z1246" s="52"/>
      <c r="AA1246" s="787">
        <f>+N1246/1000</f>
        <v>4.1022000000000001E-5</v>
      </c>
      <c r="AB1246" s="256">
        <v>-0.27</v>
      </c>
      <c r="AC1246" s="688">
        <f t="shared" si="962"/>
        <v>-0.27</v>
      </c>
      <c r="AD1246" s="164"/>
      <c r="AE1246" s="164"/>
      <c r="AF1246" s="25"/>
      <c r="AG1246" s="26"/>
      <c r="AH1246" s="275"/>
      <c r="AI1246" s="52"/>
      <c r="AJ1246" s="35"/>
      <c r="AK1246" s="289"/>
      <c r="AL1246" s="290"/>
      <c r="AM1246" s="211"/>
      <c r="AN1246" s="164"/>
      <c r="AO1246" s="594"/>
      <c r="AP1246" s="595"/>
      <c r="AQ1246" s="275"/>
      <c r="AR1246" s="52"/>
      <c r="AS1246" s="596"/>
      <c r="AT1246" s="79"/>
      <c r="AU1246" s="212"/>
      <c r="AV1246" s="164"/>
      <c r="AW1246" s="164"/>
      <c r="AX1246" s="76"/>
      <c r="AY1246" s="44"/>
      <c r="AZ1246" s="275"/>
      <c r="BA1246" s="52"/>
      <c r="BB1246" s="35"/>
      <c r="BC1246" s="79"/>
      <c r="BD1246" s="230"/>
      <c r="BE1246" s="211"/>
      <c r="BF1246" s="164"/>
      <c r="BG1246" s="76"/>
      <c r="BH1246" s="44"/>
      <c r="BI1246" s="275"/>
      <c r="BJ1246" s="52"/>
      <c r="BK1246" s="35"/>
      <c r="BL1246" s="79"/>
      <c r="BM1246" s="230"/>
      <c r="BN1246" s="211"/>
      <c r="BO1246" s="164"/>
      <c r="BP1246" s="726"/>
      <c r="BQ1246" s="727"/>
      <c r="BR1246" s="299"/>
      <c r="BS1246" s="35"/>
      <c r="BT1246" s="596"/>
      <c r="BU1246" s="79"/>
      <c r="BV1246" s="212"/>
      <c r="BW1246" s="304"/>
      <c r="BX1246" s="313"/>
      <c r="BY1246" s="138"/>
    </row>
    <row r="1247" spans="1:77" ht="15" customHeight="1" outlineLevel="1" x14ac:dyDescent="0.2">
      <c r="A1247" s="57" t="s">
        <v>24</v>
      </c>
      <c r="B1247" s="583" t="s">
        <v>477</v>
      </c>
      <c r="C1247" s="583" t="s">
        <v>1540</v>
      </c>
      <c r="D1247" s="818">
        <v>0.44</v>
      </c>
      <c r="E1247" s="162" t="s">
        <v>631</v>
      </c>
      <c r="F1247" s="358"/>
      <c r="G1247" s="65"/>
      <c r="H1247" s="73"/>
      <c r="I1247" s="90"/>
      <c r="J1247" s="73"/>
      <c r="K1247" s="790">
        <v>2.6700000000000001E-3</v>
      </c>
      <c r="L1247" s="717"/>
      <c r="M1247" s="73"/>
      <c r="N1247" s="359"/>
      <c r="O1247" s="1041"/>
      <c r="P1247" s="73"/>
      <c r="Q1247" s="359"/>
      <c r="R1247" s="1041"/>
      <c r="S1247" s="73"/>
      <c r="T1247" s="359"/>
      <c r="U1247" s="73"/>
      <c r="V1247" s="66"/>
      <c r="W1247" s="808">
        <f t="shared" si="643"/>
        <v>2.4029999999999995E-7</v>
      </c>
      <c r="X1247" s="809">
        <f t="shared" si="644"/>
        <v>2.4029999999999995E-7</v>
      </c>
      <c r="Y1247" s="52">
        <v>2005</v>
      </c>
      <c r="Z1247" s="52"/>
      <c r="AA1247" s="787">
        <f t="shared" si="1010"/>
        <v>2.6700000000000003E-6</v>
      </c>
      <c r="AB1247" s="256">
        <v>-0.91</v>
      </c>
      <c r="AC1247" s="688">
        <f t="shared" si="962"/>
        <v>-0.91</v>
      </c>
      <c r="AD1247" s="164"/>
      <c r="AE1247" s="164"/>
      <c r="AF1247" s="25"/>
      <c r="AG1247" s="26"/>
      <c r="AH1247" s="275"/>
      <c r="AI1247" s="52"/>
      <c r="AJ1247" s="35"/>
      <c r="AK1247" s="289"/>
      <c r="AL1247" s="290"/>
      <c r="AM1247" s="211"/>
      <c r="AN1247" s="164"/>
      <c r="AO1247" s="594"/>
      <c r="AP1247" s="595"/>
      <c r="AQ1247" s="275"/>
      <c r="AR1247" s="52"/>
      <c r="AS1247" s="596"/>
      <c r="AT1247" s="79"/>
      <c r="AU1247" s="212"/>
      <c r="AV1247" s="164"/>
      <c r="AW1247" s="164"/>
      <c r="AX1247" s="76"/>
      <c r="AY1247" s="44"/>
      <c r="AZ1247" s="275"/>
      <c r="BA1247" s="52"/>
      <c r="BB1247" s="35"/>
      <c r="BC1247" s="79"/>
      <c r="BD1247" s="230"/>
      <c r="BE1247" s="211"/>
      <c r="BF1247" s="164"/>
      <c r="BG1247" s="76"/>
      <c r="BH1247" s="44"/>
      <c r="BI1247" s="275"/>
      <c r="BJ1247" s="52"/>
      <c r="BK1247" s="35"/>
      <c r="BL1247" s="79"/>
      <c r="BM1247" s="230"/>
      <c r="BN1247" s="211"/>
      <c r="BO1247" s="164"/>
      <c r="BP1247" s="726"/>
      <c r="BQ1247" s="727"/>
      <c r="BR1247" s="299"/>
      <c r="BS1247" s="35"/>
      <c r="BT1247" s="596"/>
      <c r="BU1247" s="79"/>
      <c r="BV1247" s="212"/>
      <c r="BW1247" s="304"/>
      <c r="BX1247" s="313"/>
      <c r="BY1247" s="138"/>
    </row>
    <row r="1248" spans="1:77" ht="15" customHeight="1" outlineLevel="1" x14ac:dyDescent="0.2">
      <c r="A1248" s="57" t="s">
        <v>24</v>
      </c>
      <c r="B1248" s="583" t="s">
        <v>477</v>
      </c>
      <c r="C1248" s="583" t="s">
        <v>1349</v>
      </c>
      <c r="D1248" s="546">
        <v>0.61799999999999999</v>
      </c>
      <c r="E1248" s="162" t="s">
        <v>631</v>
      </c>
      <c r="F1248" s="358"/>
      <c r="G1248" s="65"/>
      <c r="H1248" s="73"/>
      <c r="I1248" s="90"/>
      <c r="J1248" s="73"/>
      <c r="K1248" s="790">
        <v>2.4450000000000001E-3</v>
      </c>
      <c r="L1248" s="717"/>
      <c r="M1248" s="73"/>
      <c r="N1248" s="359"/>
      <c r="O1248" s="1041"/>
      <c r="P1248" s="73"/>
      <c r="Q1248" s="359"/>
      <c r="R1248" s="1041"/>
      <c r="S1248" s="73"/>
      <c r="T1248" s="359"/>
      <c r="U1248" s="73"/>
      <c r="V1248" s="66"/>
      <c r="W1248" s="788">
        <f t="shared" ref="W1248" si="1023">AA1248*(1+AB1248)</f>
        <v>1.5403500000000002E-6</v>
      </c>
      <c r="X1248" s="789">
        <f t="shared" ref="X1248" si="1024">AA1248*(1+AC1248)</f>
        <v>1.5403500000000002E-6</v>
      </c>
      <c r="Y1248" s="52">
        <v>2005</v>
      </c>
      <c r="Z1248" s="52"/>
      <c r="AA1248" s="787">
        <f t="shared" ref="AA1248" si="1025">+K1248/1000</f>
        <v>2.4450000000000003E-6</v>
      </c>
      <c r="AB1248" s="256">
        <v>-0.37</v>
      </c>
      <c r="AC1248" s="688">
        <f t="shared" si="962"/>
        <v>-0.37</v>
      </c>
      <c r="AD1248" s="164"/>
      <c r="AE1248" s="164"/>
      <c r="AF1248" s="25"/>
      <c r="AG1248" s="26"/>
      <c r="AH1248" s="275"/>
      <c r="AI1248" s="52"/>
      <c r="AJ1248" s="35"/>
      <c r="AK1248" s="289"/>
      <c r="AL1248" s="290"/>
      <c r="AM1248" s="211"/>
      <c r="AN1248" s="164"/>
      <c r="AO1248" s="594"/>
      <c r="AP1248" s="595"/>
      <c r="AQ1248" s="275"/>
      <c r="AR1248" s="52"/>
      <c r="AS1248" s="596"/>
      <c r="AT1248" s="79"/>
      <c r="AU1248" s="212"/>
      <c r="AV1248" s="164"/>
      <c r="AW1248" s="164"/>
      <c r="AX1248" s="76"/>
      <c r="AY1248" s="44"/>
      <c r="AZ1248" s="275"/>
      <c r="BA1248" s="52"/>
      <c r="BB1248" s="35"/>
      <c r="BC1248" s="79"/>
      <c r="BD1248" s="230"/>
      <c r="BE1248" s="211"/>
      <c r="BF1248" s="164"/>
      <c r="BG1248" s="76"/>
      <c r="BH1248" s="44"/>
      <c r="BI1248" s="275"/>
      <c r="BJ1248" s="52"/>
      <c r="BK1248" s="35"/>
      <c r="BL1248" s="79"/>
      <c r="BM1248" s="230"/>
      <c r="BN1248" s="211"/>
      <c r="BO1248" s="164"/>
      <c r="BP1248" s="726"/>
      <c r="BQ1248" s="727"/>
      <c r="BR1248" s="299"/>
      <c r="BS1248" s="35"/>
      <c r="BT1248" s="596"/>
      <c r="BU1248" s="79"/>
      <c r="BV1248" s="212"/>
      <c r="BW1248" s="304"/>
      <c r="BX1248" s="313"/>
      <c r="BY1248" s="138"/>
    </row>
    <row r="1249" spans="1:77" ht="15" customHeight="1" outlineLevel="1" x14ac:dyDescent="0.2">
      <c r="A1249" s="57" t="s">
        <v>24</v>
      </c>
      <c r="B1249" s="583" t="s">
        <v>477</v>
      </c>
      <c r="C1249" s="583" t="s">
        <v>1449</v>
      </c>
      <c r="D1249" s="546">
        <v>4.7169999999999996</v>
      </c>
      <c r="E1249" s="162" t="s">
        <v>631</v>
      </c>
      <c r="F1249" s="358"/>
      <c r="G1249" s="65"/>
      <c r="H1249" s="73"/>
      <c r="I1249" s="90"/>
      <c r="J1249" s="73"/>
      <c r="K1249" s="734">
        <v>1.7735000000000001E-2</v>
      </c>
      <c r="L1249" s="717"/>
      <c r="M1249" s="73"/>
      <c r="N1249" s="359"/>
      <c r="O1249" s="1041"/>
      <c r="P1249" s="73"/>
      <c r="Q1249" s="359"/>
      <c r="R1249" s="1041"/>
      <c r="S1249" s="73"/>
      <c r="T1249" s="359"/>
      <c r="U1249" s="73"/>
      <c r="V1249" s="66"/>
      <c r="W1249" s="740">
        <f t="shared" ref="W1249" si="1026">AA1249*(1+AB1249)</f>
        <v>1.1527750000000002E-5</v>
      </c>
      <c r="X1249" s="741">
        <f t="shared" ref="X1249" si="1027">AA1249*(1+AC1249)</f>
        <v>1.1527750000000002E-5</v>
      </c>
      <c r="Y1249" s="52">
        <v>2005</v>
      </c>
      <c r="Z1249" s="52"/>
      <c r="AA1249" s="739">
        <f t="shared" ref="AA1249:AA1250" si="1028">+K1249/1000</f>
        <v>1.7735000000000002E-5</v>
      </c>
      <c r="AB1249" s="256">
        <v>-0.35</v>
      </c>
      <c r="AC1249" s="688">
        <f t="shared" si="962"/>
        <v>-0.35</v>
      </c>
      <c r="AD1249" s="164"/>
      <c r="AE1249" s="164"/>
      <c r="AF1249" s="25"/>
      <c r="AG1249" s="26"/>
      <c r="AH1249" s="275"/>
      <c r="AI1249" s="52"/>
      <c r="AJ1249" s="35"/>
      <c r="AK1249" s="289"/>
      <c r="AL1249" s="290"/>
      <c r="AM1249" s="211"/>
      <c r="AN1249" s="164"/>
      <c r="AO1249" s="594"/>
      <c r="AP1249" s="595"/>
      <c r="AQ1249" s="275"/>
      <c r="AR1249" s="52"/>
      <c r="AS1249" s="596"/>
      <c r="AT1249" s="79"/>
      <c r="AU1249" s="212"/>
      <c r="AV1249" s="164"/>
      <c r="AW1249" s="164"/>
      <c r="AX1249" s="76"/>
      <c r="AY1249" s="44"/>
      <c r="AZ1249" s="275"/>
      <c r="BA1249" s="52"/>
      <c r="BB1249" s="35"/>
      <c r="BC1249" s="79"/>
      <c r="BD1249" s="230"/>
      <c r="BE1249" s="211"/>
      <c r="BF1249" s="164"/>
      <c r="BG1249" s="76"/>
      <c r="BH1249" s="44"/>
      <c r="BI1249" s="275"/>
      <c r="BJ1249" s="52"/>
      <c r="BK1249" s="35"/>
      <c r="BL1249" s="79"/>
      <c r="BM1249" s="230"/>
      <c r="BN1249" s="211"/>
      <c r="BO1249" s="164"/>
      <c r="BP1249" s="726"/>
      <c r="BQ1249" s="727"/>
      <c r="BR1249" s="299"/>
      <c r="BS1249" s="35"/>
      <c r="BT1249" s="596"/>
      <c r="BU1249" s="79"/>
      <c r="BV1249" s="212"/>
      <c r="BW1249" s="304"/>
      <c r="BX1249" s="313"/>
      <c r="BY1249" s="138"/>
    </row>
    <row r="1250" spans="1:77" ht="15" customHeight="1" outlineLevel="1" x14ac:dyDescent="0.2">
      <c r="A1250" s="57" t="s">
        <v>24</v>
      </c>
      <c r="B1250" s="583" t="s">
        <v>477</v>
      </c>
      <c r="C1250" s="583" t="s">
        <v>1732</v>
      </c>
      <c r="D1250" s="546">
        <v>3.387</v>
      </c>
      <c r="E1250" s="162" t="s">
        <v>631</v>
      </c>
      <c r="F1250" s="358"/>
      <c r="G1250" s="65"/>
      <c r="H1250" s="73"/>
      <c r="I1250" s="90"/>
      <c r="J1250" s="73"/>
      <c r="K1250" s="734">
        <v>1.7822999999999999E-2</v>
      </c>
      <c r="L1250" s="717"/>
      <c r="M1250" s="73"/>
      <c r="N1250" s="359"/>
      <c r="O1250" s="1041"/>
      <c r="P1250" s="73"/>
      <c r="Q1250" s="359"/>
      <c r="R1250" s="1041"/>
      <c r="S1250" s="73"/>
      <c r="T1250" s="359"/>
      <c r="U1250" s="73"/>
      <c r="V1250" s="66"/>
      <c r="W1250" s="740">
        <f t="shared" ref="W1250" si="1029">AA1250*(1+AB1250)</f>
        <v>1.336725E-5</v>
      </c>
      <c r="X1250" s="741">
        <f t="shared" ref="X1250" si="1030">AA1250*(1+AC1250)</f>
        <v>1.336725E-5</v>
      </c>
      <c r="Y1250" s="52">
        <v>2005</v>
      </c>
      <c r="Z1250" s="52"/>
      <c r="AA1250" s="739">
        <f t="shared" si="1028"/>
        <v>1.7822999999999999E-5</v>
      </c>
      <c r="AB1250" s="256">
        <v>-0.25</v>
      </c>
      <c r="AC1250" s="688">
        <f t="shared" si="962"/>
        <v>-0.25</v>
      </c>
      <c r="AD1250" s="164"/>
      <c r="AE1250" s="164"/>
      <c r="AF1250" s="25"/>
      <c r="AG1250" s="26"/>
      <c r="AH1250" s="275"/>
      <c r="AI1250" s="52"/>
      <c r="AJ1250" s="35"/>
      <c r="AK1250" s="289"/>
      <c r="AL1250" s="290"/>
      <c r="AM1250" s="211"/>
      <c r="AN1250" s="164"/>
      <c r="AO1250" s="594"/>
      <c r="AP1250" s="595"/>
      <c r="AQ1250" s="275"/>
      <c r="AR1250" s="52"/>
      <c r="AS1250" s="596"/>
      <c r="AT1250" s="79"/>
      <c r="AU1250" s="212"/>
      <c r="AV1250" s="164"/>
      <c r="AW1250" s="164"/>
      <c r="AX1250" s="76"/>
      <c r="AY1250" s="44"/>
      <c r="AZ1250" s="275"/>
      <c r="BA1250" s="52"/>
      <c r="BB1250" s="35"/>
      <c r="BC1250" s="79"/>
      <c r="BD1250" s="230"/>
      <c r="BE1250" s="211"/>
      <c r="BF1250" s="164"/>
      <c r="BG1250" s="76"/>
      <c r="BH1250" s="44"/>
      <c r="BI1250" s="275"/>
      <c r="BJ1250" s="52"/>
      <c r="BK1250" s="35"/>
      <c r="BL1250" s="79"/>
      <c r="BM1250" s="230"/>
      <c r="BN1250" s="211"/>
      <c r="BO1250" s="164"/>
      <c r="BP1250" s="726"/>
      <c r="BQ1250" s="727"/>
      <c r="BR1250" s="299"/>
      <c r="BS1250" s="35"/>
      <c r="BT1250" s="596"/>
      <c r="BU1250" s="79"/>
      <c r="BV1250" s="212"/>
      <c r="BW1250" s="304"/>
      <c r="BX1250" s="313"/>
      <c r="BY1250" s="138"/>
    </row>
    <row r="1251" spans="1:77" ht="15" customHeight="1" outlineLevel="1" x14ac:dyDescent="0.2">
      <c r="A1251" s="57" t="s">
        <v>24</v>
      </c>
      <c r="B1251" s="583" t="s">
        <v>477</v>
      </c>
      <c r="C1251" s="583" t="s">
        <v>1495</v>
      </c>
      <c r="D1251" s="546">
        <v>7.665</v>
      </c>
      <c r="E1251" s="162" t="s">
        <v>631</v>
      </c>
      <c r="F1251" s="358"/>
      <c r="G1251" s="65"/>
      <c r="H1251" s="73"/>
      <c r="I1251" s="90"/>
      <c r="J1251" s="73"/>
      <c r="K1251" s="734">
        <v>4.2856999999999999E-2</v>
      </c>
      <c r="L1251" s="717"/>
      <c r="M1251" s="73"/>
      <c r="N1251" s="359"/>
      <c r="O1251" s="1041"/>
      <c r="P1251" s="73"/>
      <c r="Q1251" s="359"/>
      <c r="R1251" s="1041"/>
      <c r="S1251" s="73"/>
      <c r="T1251" s="359"/>
      <c r="U1251" s="73"/>
      <c r="V1251" s="66"/>
      <c r="W1251" s="740">
        <f t="shared" ref="W1251" si="1031">AA1251*(1+AB1251)</f>
        <v>2.7857050000000001E-5</v>
      </c>
      <c r="X1251" s="741">
        <f t="shared" ref="X1251" si="1032">AA1251*(1+AC1251)</f>
        <v>2.7857050000000001E-5</v>
      </c>
      <c r="Y1251" s="52">
        <v>2005</v>
      </c>
      <c r="Z1251" s="52"/>
      <c r="AA1251" s="739">
        <f t="shared" ref="AA1251" si="1033">+K1251/1000</f>
        <v>4.2857E-5</v>
      </c>
      <c r="AB1251" s="256">
        <v>-0.35</v>
      </c>
      <c r="AC1251" s="688">
        <f t="shared" si="962"/>
        <v>-0.35</v>
      </c>
      <c r="AD1251" s="164"/>
      <c r="AE1251" s="164"/>
      <c r="AF1251" s="25"/>
      <c r="AG1251" s="26"/>
      <c r="AH1251" s="275"/>
      <c r="AI1251" s="52"/>
      <c r="AJ1251" s="35"/>
      <c r="AK1251" s="289"/>
      <c r="AL1251" s="290"/>
      <c r="AM1251" s="211"/>
      <c r="AN1251" s="164"/>
      <c r="AO1251" s="594"/>
      <c r="AP1251" s="595"/>
      <c r="AQ1251" s="275"/>
      <c r="AR1251" s="52"/>
      <c r="AS1251" s="596"/>
      <c r="AT1251" s="79"/>
      <c r="AU1251" s="212"/>
      <c r="AV1251" s="164"/>
      <c r="AW1251" s="164"/>
      <c r="AX1251" s="76"/>
      <c r="AY1251" s="44"/>
      <c r="AZ1251" s="275"/>
      <c r="BA1251" s="52"/>
      <c r="BB1251" s="35"/>
      <c r="BC1251" s="79"/>
      <c r="BD1251" s="230"/>
      <c r="BE1251" s="211"/>
      <c r="BF1251" s="164"/>
      <c r="BG1251" s="76"/>
      <c r="BH1251" s="44"/>
      <c r="BI1251" s="275"/>
      <c r="BJ1251" s="52"/>
      <c r="BK1251" s="35"/>
      <c r="BL1251" s="79"/>
      <c r="BM1251" s="230"/>
      <c r="BN1251" s="211"/>
      <c r="BO1251" s="164"/>
      <c r="BP1251" s="726"/>
      <c r="BQ1251" s="727"/>
      <c r="BR1251" s="299"/>
      <c r="BS1251" s="35"/>
      <c r="BT1251" s="596"/>
      <c r="BU1251" s="79"/>
      <c r="BV1251" s="212"/>
      <c r="BW1251" s="304"/>
      <c r="BX1251" s="313"/>
      <c r="BY1251" s="138"/>
    </row>
    <row r="1252" spans="1:77" ht="15" customHeight="1" outlineLevel="1" x14ac:dyDescent="0.2">
      <c r="A1252" s="57" t="s">
        <v>24</v>
      </c>
      <c r="B1252" s="583" t="s">
        <v>477</v>
      </c>
      <c r="C1252" s="583" t="s">
        <v>1513</v>
      </c>
      <c r="D1252" s="546">
        <v>5.13</v>
      </c>
      <c r="E1252" s="162" t="s">
        <v>631</v>
      </c>
      <c r="F1252" s="358"/>
      <c r="G1252" s="65"/>
      <c r="H1252" s="73"/>
      <c r="I1252" s="90"/>
      <c r="J1252" s="73"/>
      <c r="K1252" s="734">
        <v>3.0263000000000002E-2</v>
      </c>
      <c r="L1252" s="717"/>
      <c r="M1252" s="73"/>
      <c r="N1252" s="359"/>
      <c r="O1252" s="1041"/>
      <c r="P1252" s="73"/>
      <c r="Q1252" s="359"/>
      <c r="R1252" s="1041"/>
      <c r="S1252" s="73"/>
      <c r="T1252" s="359"/>
      <c r="U1252" s="73"/>
      <c r="V1252" s="66"/>
      <c r="W1252" s="740">
        <f t="shared" ref="W1252:W1253" si="1034">AA1252*(1+AB1252)</f>
        <v>2.1184099999999999E-5</v>
      </c>
      <c r="X1252" s="741">
        <f t="shared" ref="X1252:X1253" si="1035">AA1252*(1+AC1252)</f>
        <v>2.1184099999999999E-5</v>
      </c>
      <c r="Y1252" s="52">
        <v>2005</v>
      </c>
      <c r="Z1252" s="52"/>
      <c r="AA1252" s="739">
        <f t="shared" ref="AA1252:AA1253" si="1036">+K1252/1000</f>
        <v>3.0263000000000001E-5</v>
      </c>
      <c r="AB1252" s="256">
        <v>-0.3</v>
      </c>
      <c r="AC1252" s="688">
        <f t="shared" si="962"/>
        <v>-0.3</v>
      </c>
      <c r="AD1252" s="164"/>
      <c r="AE1252" s="164"/>
      <c r="AF1252" s="25"/>
      <c r="AG1252" s="26"/>
      <c r="AH1252" s="275"/>
      <c r="AI1252" s="52"/>
      <c r="AJ1252" s="35"/>
      <c r="AK1252" s="289"/>
      <c r="AL1252" s="290"/>
      <c r="AM1252" s="211"/>
      <c r="AN1252" s="164"/>
      <c r="AO1252" s="594"/>
      <c r="AP1252" s="595"/>
      <c r="AQ1252" s="275"/>
      <c r="AR1252" s="52"/>
      <c r="AS1252" s="596"/>
      <c r="AT1252" s="79"/>
      <c r="AU1252" s="212"/>
      <c r="AV1252" s="164"/>
      <c r="AW1252" s="164"/>
      <c r="AX1252" s="76"/>
      <c r="AY1252" s="44"/>
      <c r="AZ1252" s="275"/>
      <c r="BA1252" s="52"/>
      <c r="BB1252" s="35"/>
      <c r="BC1252" s="79"/>
      <c r="BD1252" s="230"/>
      <c r="BE1252" s="211"/>
      <c r="BF1252" s="164"/>
      <c r="BG1252" s="76"/>
      <c r="BH1252" s="44"/>
      <c r="BI1252" s="275"/>
      <c r="BJ1252" s="52"/>
      <c r="BK1252" s="35"/>
      <c r="BL1252" s="79"/>
      <c r="BM1252" s="230"/>
      <c r="BN1252" s="211"/>
      <c r="BO1252" s="164"/>
      <c r="BP1252" s="726"/>
      <c r="BQ1252" s="727"/>
      <c r="BR1252" s="299"/>
      <c r="BS1252" s="35"/>
      <c r="BT1252" s="596"/>
      <c r="BU1252" s="79"/>
      <c r="BV1252" s="212"/>
      <c r="BW1252" s="304"/>
      <c r="BX1252" s="313"/>
      <c r="BY1252" s="138"/>
    </row>
    <row r="1253" spans="1:77" ht="15" customHeight="1" outlineLevel="1" x14ac:dyDescent="0.2">
      <c r="A1253" s="57" t="s">
        <v>24</v>
      </c>
      <c r="B1253" s="583" t="s">
        <v>477</v>
      </c>
      <c r="C1253" s="583" t="s">
        <v>1888</v>
      </c>
      <c r="D1253" s="546">
        <v>4.5819999999999999</v>
      </c>
      <c r="E1253" s="162" t="s">
        <v>631</v>
      </c>
      <c r="F1253" s="358"/>
      <c r="G1253" s="65"/>
      <c r="H1253" s="73"/>
      <c r="I1253" s="90">
        <v>2007</v>
      </c>
      <c r="J1253" s="73"/>
      <c r="K1253" s="734">
        <v>1.3462E-2</v>
      </c>
      <c r="L1253" s="717"/>
      <c r="M1253" s="73"/>
      <c r="N1253" s="359"/>
      <c r="O1253" s="1041"/>
      <c r="P1253" s="73"/>
      <c r="Q1253" s="359"/>
      <c r="R1253" s="1041"/>
      <c r="S1253" s="73"/>
      <c r="T1253" s="359"/>
      <c r="U1253" s="73"/>
      <c r="V1253" s="66"/>
      <c r="W1253" s="740">
        <f t="shared" si="1034"/>
        <v>9.9618799999999989E-6</v>
      </c>
      <c r="X1253" s="741">
        <f t="shared" si="1035"/>
        <v>9.9618799999999989E-6</v>
      </c>
      <c r="Y1253" s="52">
        <v>2007</v>
      </c>
      <c r="Z1253" s="52"/>
      <c r="AA1253" s="739">
        <f t="shared" si="1036"/>
        <v>1.3461999999999999E-5</v>
      </c>
      <c r="AB1253" s="256">
        <v>-0.26</v>
      </c>
      <c r="AC1253" s="688">
        <f t="shared" si="962"/>
        <v>-0.26</v>
      </c>
      <c r="AD1253" s="164"/>
      <c r="AE1253" s="164"/>
      <c r="AF1253" s="25"/>
      <c r="AG1253" s="26"/>
      <c r="AH1253" s="275"/>
      <c r="AI1253" s="52"/>
      <c r="AJ1253" s="35"/>
      <c r="AK1253" s="289"/>
      <c r="AL1253" s="290"/>
      <c r="AM1253" s="211"/>
      <c r="AN1253" s="164"/>
      <c r="AO1253" s="594"/>
      <c r="AP1253" s="595"/>
      <c r="AQ1253" s="275"/>
      <c r="AR1253" s="52"/>
      <c r="AS1253" s="596"/>
      <c r="AT1253" s="79"/>
      <c r="AU1253" s="212"/>
      <c r="AV1253" s="164"/>
      <c r="AW1253" s="164"/>
      <c r="AX1253" s="76"/>
      <c r="AY1253" s="44"/>
      <c r="AZ1253" s="275"/>
      <c r="BA1253" s="52"/>
      <c r="BB1253" s="35"/>
      <c r="BC1253" s="79"/>
      <c r="BD1253" s="230"/>
      <c r="BE1253" s="211"/>
      <c r="BF1253" s="164"/>
      <c r="BG1253" s="76"/>
      <c r="BH1253" s="44"/>
      <c r="BI1253" s="275"/>
      <c r="BJ1253" s="52"/>
      <c r="BK1253" s="35"/>
      <c r="BL1253" s="79"/>
      <c r="BM1253" s="230"/>
      <c r="BN1253" s="211"/>
      <c r="BO1253" s="164"/>
      <c r="BP1253" s="726"/>
      <c r="BQ1253" s="727"/>
      <c r="BR1253" s="299"/>
      <c r="BS1253" s="35"/>
      <c r="BT1253" s="596"/>
      <c r="BU1253" s="79"/>
      <c r="BV1253" s="212"/>
      <c r="BW1253" s="304"/>
      <c r="BX1253" s="313"/>
      <c r="BY1253" s="138"/>
    </row>
    <row r="1254" spans="1:77" ht="15" customHeight="1" outlineLevel="1" x14ac:dyDescent="0.2">
      <c r="A1254" s="57" t="s">
        <v>24</v>
      </c>
      <c r="B1254" s="583" t="s">
        <v>477</v>
      </c>
      <c r="C1254" s="583" t="s">
        <v>1511</v>
      </c>
      <c r="D1254" s="546">
        <v>4.9649999999999999</v>
      </c>
      <c r="E1254" s="162" t="s">
        <v>631</v>
      </c>
      <c r="F1254" s="358"/>
      <c r="G1254" s="65"/>
      <c r="H1254" s="73"/>
      <c r="I1254" s="90"/>
      <c r="J1254" s="73"/>
      <c r="K1254" s="734">
        <v>2.5059000000000001E-2</v>
      </c>
      <c r="L1254" s="717"/>
      <c r="M1254" s="73"/>
      <c r="N1254" s="359"/>
      <c r="O1254" s="1041"/>
      <c r="P1254" s="73"/>
      <c r="Q1254" s="359"/>
      <c r="R1254" s="1041"/>
      <c r="S1254" s="73"/>
      <c r="T1254" s="359"/>
      <c r="U1254" s="73"/>
      <c r="V1254" s="66"/>
      <c r="W1254" s="740">
        <f t="shared" ref="W1254" si="1037">AA1254*(1+AB1254)</f>
        <v>1.5787170000000002E-5</v>
      </c>
      <c r="X1254" s="741">
        <f t="shared" ref="X1254" si="1038">AA1254*(1+AC1254)</f>
        <v>1.5787170000000002E-5</v>
      </c>
      <c r="Y1254" s="52">
        <v>2005</v>
      </c>
      <c r="Z1254" s="52"/>
      <c r="AA1254" s="739">
        <f t="shared" ref="AA1254" si="1039">+K1254/1000</f>
        <v>2.5059000000000002E-5</v>
      </c>
      <c r="AB1254" s="256">
        <v>-0.37</v>
      </c>
      <c r="AC1254" s="688">
        <f t="shared" si="962"/>
        <v>-0.37</v>
      </c>
      <c r="AD1254" s="164"/>
      <c r="AE1254" s="164"/>
      <c r="AF1254" s="25"/>
      <c r="AG1254" s="26"/>
      <c r="AH1254" s="275"/>
      <c r="AI1254" s="52"/>
      <c r="AJ1254" s="35"/>
      <c r="AK1254" s="289"/>
      <c r="AL1254" s="290"/>
      <c r="AM1254" s="211"/>
      <c r="AN1254" s="164"/>
      <c r="AO1254" s="594"/>
      <c r="AP1254" s="595"/>
      <c r="AQ1254" s="275"/>
      <c r="AR1254" s="52"/>
      <c r="AS1254" s="596"/>
      <c r="AT1254" s="79"/>
      <c r="AU1254" s="212"/>
      <c r="AV1254" s="164"/>
      <c r="AW1254" s="164"/>
      <c r="AX1254" s="76"/>
      <c r="AY1254" s="44"/>
      <c r="AZ1254" s="275"/>
      <c r="BA1254" s="52"/>
      <c r="BB1254" s="35"/>
      <c r="BC1254" s="79"/>
      <c r="BD1254" s="230"/>
      <c r="BE1254" s="211"/>
      <c r="BF1254" s="164"/>
      <c r="BG1254" s="76"/>
      <c r="BH1254" s="44"/>
      <c r="BI1254" s="275"/>
      <c r="BJ1254" s="52"/>
      <c r="BK1254" s="35"/>
      <c r="BL1254" s="79"/>
      <c r="BM1254" s="230"/>
      <c r="BN1254" s="211"/>
      <c r="BO1254" s="164"/>
      <c r="BP1254" s="726"/>
      <c r="BQ1254" s="727"/>
      <c r="BR1254" s="299"/>
      <c r="BS1254" s="35"/>
      <c r="BT1254" s="596"/>
      <c r="BU1254" s="79"/>
      <c r="BV1254" s="212"/>
      <c r="BW1254" s="304"/>
      <c r="BX1254" s="313"/>
      <c r="BY1254" s="138"/>
    </row>
    <row r="1255" spans="1:77" ht="15" customHeight="1" outlineLevel="1" x14ac:dyDescent="0.2">
      <c r="A1255" s="57" t="s">
        <v>24</v>
      </c>
      <c r="B1255" s="583" t="s">
        <v>477</v>
      </c>
      <c r="C1255" s="583" t="s">
        <v>1518</v>
      </c>
      <c r="D1255" s="546">
        <v>0.59399999999999997</v>
      </c>
      <c r="E1255" s="162" t="s">
        <v>631</v>
      </c>
      <c r="F1255" s="358"/>
      <c r="G1255" s="65"/>
      <c r="H1255" s="73"/>
      <c r="I1255" s="90"/>
      <c r="J1255" s="73"/>
      <c r="K1255" s="790">
        <v>2.1580000000000002E-3</v>
      </c>
      <c r="L1255" s="717"/>
      <c r="M1255" s="73"/>
      <c r="N1255" s="359"/>
      <c r="O1255" s="1041"/>
      <c r="P1255" s="73"/>
      <c r="Q1255" s="359"/>
      <c r="R1255" s="1041"/>
      <c r="S1255" s="73"/>
      <c r="T1255" s="359"/>
      <c r="U1255" s="73"/>
      <c r="V1255" s="66"/>
      <c r="W1255" s="808">
        <f t="shared" ref="W1255" si="1040">AA1255*(1+AB1255)</f>
        <v>3.6686000000000015E-7</v>
      </c>
      <c r="X1255" s="809">
        <f t="shared" ref="X1255" si="1041">AA1255*(1+AC1255)</f>
        <v>3.6686000000000015E-7</v>
      </c>
      <c r="Y1255" s="52">
        <v>2005</v>
      </c>
      <c r="Z1255" s="52"/>
      <c r="AA1255" s="787">
        <f t="shared" ref="AA1255" si="1042">+K1255/1000</f>
        <v>2.1580000000000003E-6</v>
      </c>
      <c r="AB1255" s="256">
        <v>-0.83</v>
      </c>
      <c r="AC1255" s="688">
        <f t="shared" si="962"/>
        <v>-0.83</v>
      </c>
      <c r="AD1255" s="164"/>
      <c r="AE1255" s="164"/>
      <c r="AF1255" s="25"/>
      <c r="AG1255" s="26"/>
      <c r="AH1255" s="275"/>
      <c r="AI1255" s="52"/>
      <c r="AJ1255" s="35"/>
      <c r="AK1255" s="289"/>
      <c r="AL1255" s="290"/>
      <c r="AM1255" s="211"/>
      <c r="AN1255" s="164"/>
      <c r="AO1255" s="594"/>
      <c r="AP1255" s="595"/>
      <c r="AQ1255" s="275"/>
      <c r="AR1255" s="52"/>
      <c r="AS1255" s="596"/>
      <c r="AT1255" s="79"/>
      <c r="AU1255" s="212"/>
      <c r="AV1255" s="164"/>
      <c r="AW1255" s="164"/>
      <c r="AX1255" s="76"/>
      <c r="AY1255" s="44"/>
      <c r="AZ1255" s="275"/>
      <c r="BA1255" s="52"/>
      <c r="BB1255" s="35"/>
      <c r="BC1255" s="79"/>
      <c r="BD1255" s="230"/>
      <c r="BE1255" s="211"/>
      <c r="BF1255" s="164"/>
      <c r="BG1255" s="76"/>
      <c r="BH1255" s="44"/>
      <c r="BI1255" s="275"/>
      <c r="BJ1255" s="52"/>
      <c r="BK1255" s="35"/>
      <c r="BL1255" s="79"/>
      <c r="BM1255" s="230"/>
      <c r="BN1255" s="211"/>
      <c r="BO1255" s="164"/>
      <c r="BP1255" s="726"/>
      <c r="BQ1255" s="727"/>
      <c r="BR1255" s="299"/>
      <c r="BS1255" s="35"/>
      <c r="BT1255" s="596"/>
      <c r="BU1255" s="79"/>
      <c r="BV1255" s="212"/>
      <c r="BW1255" s="304"/>
      <c r="BX1255" s="313"/>
      <c r="BY1255" s="138"/>
    </row>
    <row r="1256" spans="1:77" ht="15" customHeight="1" outlineLevel="1" x14ac:dyDescent="0.2">
      <c r="A1256" s="57" t="s">
        <v>24</v>
      </c>
      <c r="B1256" s="583" t="s">
        <v>477</v>
      </c>
      <c r="C1256" s="583" t="s">
        <v>1602</v>
      </c>
      <c r="D1256" s="546">
        <v>2.069</v>
      </c>
      <c r="E1256" s="162" t="s">
        <v>631</v>
      </c>
      <c r="F1256" s="358"/>
      <c r="G1256" s="65"/>
      <c r="H1256" s="73"/>
      <c r="I1256" s="90"/>
      <c r="J1256" s="73"/>
      <c r="K1256" s="790"/>
      <c r="L1256" s="717">
        <v>2008</v>
      </c>
      <c r="M1256" s="73"/>
      <c r="N1256" s="738">
        <v>8.5789999999999998E-3</v>
      </c>
      <c r="O1256" s="1041"/>
      <c r="P1256" s="73"/>
      <c r="Q1256" s="738"/>
      <c r="R1256" s="1041"/>
      <c r="S1256" s="73"/>
      <c r="T1256" s="738"/>
      <c r="U1256" s="73"/>
      <c r="V1256" s="66"/>
      <c r="W1256" s="788">
        <f t="shared" ref="W1256" si="1043">AA1256*(1+AB1256)</f>
        <v>4.7184500000000005E-6</v>
      </c>
      <c r="X1256" s="789">
        <f t="shared" ref="X1256" si="1044">AA1256*(1+AC1256)</f>
        <v>4.7184500000000005E-6</v>
      </c>
      <c r="Y1256" s="52">
        <v>2005</v>
      </c>
      <c r="Z1256" s="52"/>
      <c r="AA1256" s="787">
        <f>+N1256/1000</f>
        <v>8.5790000000000004E-6</v>
      </c>
      <c r="AB1256" s="256">
        <v>-0.45</v>
      </c>
      <c r="AC1256" s="688">
        <f t="shared" si="962"/>
        <v>-0.45</v>
      </c>
      <c r="AD1256" s="164"/>
      <c r="AE1256" s="164"/>
      <c r="AF1256" s="25"/>
      <c r="AG1256" s="26"/>
      <c r="AH1256" s="275"/>
      <c r="AI1256" s="52"/>
      <c r="AJ1256" s="35"/>
      <c r="AK1256" s="289"/>
      <c r="AL1256" s="290"/>
      <c r="AM1256" s="211"/>
      <c r="AN1256" s="164"/>
      <c r="AO1256" s="594"/>
      <c r="AP1256" s="595"/>
      <c r="AQ1256" s="275"/>
      <c r="AR1256" s="52"/>
      <c r="AS1256" s="596"/>
      <c r="AT1256" s="79"/>
      <c r="AU1256" s="212"/>
      <c r="AV1256" s="164"/>
      <c r="AW1256" s="164"/>
      <c r="AX1256" s="76"/>
      <c r="AY1256" s="44"/>
      <c r="AZ1256" s="275"/>
      <c r="BA1256" s="52"/>
      <c r="BB1256" s="35"/>
      <c r="BC1256" s="79"/>
      <c r="BD1256" s="230"/>
      <c r="BE1256" s="211"/>
      <c r="BF1256" s="164"/>
      <c r="BG1256" s="76"/>
      <c r="BH1256" s="44"/>
      <c r="BI1256" s="275"/>
      <c r="BJ1256" s="52"/>
      <c r="BK1256" s="35"/>
      <c r="BL1256" s="79"/>
      <c r="BM1256" s="230"/>
      <c r="BN1256" s="211"/>
      <c r="BO1256" s="164"/>
      <c r="BP1256" s="726"/>
      <c r="BQ1256" s="727"/>
      <c r="BR1256" s="299"/>
      <c r="BS1256" s="35"/>
      <c r="BT1256" s="596"/>
      <c r="BU1256" s="79"/>
      <c r="BV1256" s="212"/>
      <c r="BW1256" s="304"/>
      <c r="BX1256" s="313"/>
      <c r="BY1256" s="138"/>
    </row>
    <row r="1257" spans="1:77" ht="15" customHeight="1" outlineLevel="1" x14ac:dyDescent="0.2">
      <c r="A1257" s="57" t="s">
        <v>24</v>
      </c>
      <c r="B1257" s="583" t="s">
        <v>477</v>
      </c>
      <c r="C1257" s="583" t="s">
        <v>1798</v>
      </c>
      <c r="D1257" s="546">
        <v>6.2279999999999998</v>
      </c>
      <c r="E1257" s="162" t="s">
        <v>631</v>
      </c>
      <c r="F1257" s="358"/>
      <c r="G1257" s="65"/>
      <c r="H1257" s="73"/>
      <c r="I1257" s="90">
        <v>2007</v>
      </c>
      <c r="J1257" s="73"/>
      <c r="K1257" s="790">
        <v>2.3074000000000001E-2</v>
      </c>
      <c r="L1257" s="717"/>
      <c r="M1257" s="73"/>
      <c r="N1257" s="738"/>
      <c r="O1257" s="1041"/>
      <c r="P1257" s="73"/>
      <c r="Q1257" s="738"/>
      <c r="R1257" s="1041"/>
      <c r="S1257" s="73"/>
      <c r="T1257" s="738"/>
      <c r="U1257" s="73"/>
      <c r="V1257" s="66"/>
      <c r="W1257" s="788">
        <f t="shared" ref="W1257" si="1045">AA1257*(1+AB1257)</f>
        <v>1.7305499999999999E-5</v>
      </c>
      <c r="X1257" s="789">
        <f t="shared" ref="X1257" si="1046">AA1257*(1+AC1257)</f>
        <v>1.7305499999999999E-5</v>
      </c>
      <c r="Y1257" s="52">
        <v>2007</v>
      </c>
      <c r="Z1257" s="52"/>
      <c r="AA1257" s="787">
        <f>+K1257/1000</f>
        <v>2.3074E-5</v>
      </c>
      <c r="AB1257" s="256">
        <v>-0.25</v>
      </c>
      <c r="AC1257" s="688">
        <f t="shared" si="962"/>
        <v>-0.25</v>
      </c>
      <c r="AD1257" s="164"/>
      <c r="AE1257" s="164"/>
      <c r="AF1257" s="25"/>
      <c r="AG1257" s="26"/>
      <c r="AH1257" s="275"/>
      <c r="AI1257" s="52"/>
      <c r="AJ1257" s="35"/>
      <c r="AK1257" s="289"/>
      <c r="AL1257" s="290"/>
      <c r="AM1257" s="211"/>
      <c r="AN1257" s="164"/>
      <c r="AO1257" s="594"/>
      <c r="AP1257" s="595"/>
      <c r="AQ1257" s="275"/>
      <c r="AR1257" s="52"/>
      <c r="AS1257" s="596"/>
      <c r="AT1257" s="79"/>
      <c r="AU1257" s="212"/>
      <c r="AV1257" s="164"/>
      <c r="AW1257" s="164"/>
      <c r="AX1257" s="76"/>
      <c r="AY1257" s="44"/>
      <c r="AZ1257" s="275"/>
      <c r="BA1257" s="52"/>
      <c r="BB1257" s="35"/>
      <c r="BC1257" s="79"/>
      <c r="BD1257" s="230"/>
      <c r="BE1257" s="211"/>
      <c r="BF1257" s="164"/>
      <c r="BG1257" s="76"/>
      <c r="BH1257" s="44"/>
      <c r="BI1257" s="275"/>
      <c r="BJ1257" s="52"/>
      <c r="BK1257" s="35"/>
      <c r="BL1257" s="79"/>
      <c r="BM1257" s="230"/>
      <c r="BN1257" s="211"/>
      <c r="BO1257" s="164"/>
      <c r="BP1257" s="726"/>
      <c r="BQ1257" s="727"/>
      <c r="BR1257" s="299"/>
      <c r="BS1257" s="35"/>
      <c r="BT1257" s="596"/>
      <c r="BU1257" s="79"/>
      <c r="BV1257" s="212"/>
      <c r="BW1257" s="304"/>
      <c r="BX1257" s="313"/>
      <c r="BY1257" s="138"/>
    </row>
    <row r="1258" spans="1:77" ht="15" customHeight="1" outlineLevel="1" x14ac:dyDescent="0.2">
      <c r="A1258" s="57" t="s">
        <v>24</v>
      </c>
      <c r="B1258" s="583" t="s">
        <v>477</v>
      </c>
      <c r="C1258" s="583" t="s">
        <v>1299</v>
      </c>
      <c r="D1258" s="546">
        <v>1.7869999999999999</v>
      </c>
      <c r="E1258" s="162" t="s">
        <v>631</v>
      </c>
      <c r="F1258" s="358"/>
      <c r="G1258" s="65"/>
      <c r="H1258" s="73"/>
      <c r="I1258" s="90"/>
      <c r="J1258" s="73"/>
      <c r="K1258" s="790">
        <v>3.3080000000000002E-3</v>
      </c>
      <c r="L1258" s="717"/>
      <c r="M1258" s="73"/>
      <c r="N1258" s="359"/>
      <c r="O1258" s="1041"/>
      <c r="P1258" s="73"/>
      <c r="Q1258" s="359"/>
      <c r="R1258" s="1041"/>
      <c r="S1258" s="73"/>
      <c r="T1258" s="359"/>
      <c r="U1258" s="73"/>
      <c r="V1258" s="66"/>
      <c r="W1258" s="594">
        <f t="shared" si="643"/>
        <v>0</v>
      </c>
      <c r="X1258" s="595">
        <f t="shared" si="644"/>
        <v>0</v>
      </c>
      <c r="Y1258" s="52">
        <v>2005</v>
      </c>
      <c r="Z1258" s="52"/>
      <c r="AA1258" s="787">
        <f t="shared" si="732"/>
        <v>3.3080000000000003E-6</v>
      </c>
      <c r="AB1258" s="256">
        <v>-1</v>
      </c>
      <c r="AC1258" s="688">
        <f t="shared" si="962"/>
        <v>-1</v>
      </c>
      <c r="AD1258" s="164"/>
      <c r="AE1258" s="164"/>
      <c r="AF1258" s="25"/>
      <c r="AG1258" s="26"/>
      <c r="AH1258" s="275"/>
      <c r="AI1258" s="52"/>
      <c r="AJ1258" s="35"/>
      <c r="AK1258" s="289"/>
      <c r="AL1258" s="290"/>
      <c r="AM1258" s="211"/>
      <c r="AN1258" s="164"/>
      <c r="AO1258" s="594"/>
      <c r="AP1258" s="595"/>
      <c r="AQ1258" s="275"/>
      <c r="AR1258" s="52"/>
      <c r="AS1258" s="596"/>
      <c r="AT1258" s="79"/>
      <c r="AU1258" s="212"/>
      <c r="AV1258" s="164"/>
      <c r="AW1258" s="164"/>
      <c r="AX1258" s="76"/>
      <c r="AY1258" s="44"/>
      <c r="AZ1258" s="275"/>
      <c r="BA1258" s="52"/>
      <c r="BB1258" s="35"/>
      <c r="BC1258" s="79"/>
      <c r="BD1258" s="230"/>
      <c r="BE1258" s="211"/>
      <c r="BF1258" s="164"/>
      <c r="BG1258" s="76"/>
      <c r="BH1258" s="44"/>
      <c r="BI1258" s="275"/>
      <c r="BJ1258" s="52"/>
      <c r="BK1258" s="35"/>
      <c r="BL1258" s="79"/>
      <c r="BM1258" s="230"/>
      <c r="BN1258" s="211"/>
      <c r="BO1258" s="164"/>
      <c r="BP1258" s="726"/>
      <c r="BQ1258" s="727"/>
      <c r="BR1258" s="299"/>
      <c r="BS1258" s="35"/>
      <c r="BT1258" s="596"/>
      <c r="BU1258" s="79"/>
      <c r="BV1258" s="212"/>
      <c r="BW1258" s="304"/>
      <c r="BX1258" s="313"/>
      <c r="BY1258" s="138"/>
    </row>
    <row r="1259" spans="1:77" ht="15" customHeight="1" outlineLevel="1" x14ac:dyDescent="0.2">
      <c r="A1259" s="57" t="s">
        <v>24</v>
      </c>
      <c r="B1259" s="583" t="s">
        <v>477</v>
      </c>
      <c r="C1259" s="583" t="s">
        <v>1466</v>
      </c>
      <c r="D1259" s="546">
        <v>1.0209999999999999</v>
      </c>
      <c r="E1259" s="162" t="s">
        <v>631</v>
      </c>
      <c r="F1259" s="358"/>
      <c r="G1259" s="65"/>
      <c r="H1259" s="73"/>
      <c r="I1259" s="90"/>
      <c r="J1259" s="73"/>
      <c r="K1259" s="790">
        <v>4.1790000000000004E-3</v>
      </c>
      <c r="L1259" s="717"/>
      <c r="M1259" s="73"/>
      <c r="N1259" s="359"/>
      <c r="O1259" s="1041"/>
      <c r="P1259" s="73"/>
      <c r="Q1259" s="359"/>
      <c r="R1259" s="1041"/>
      <c r="S1259" s="73"/>
      <c r="T1259" s="359"/>
      <c r="U1259" s="73"/>
      <c r="V1259" s="66"/>
      <c r="W1259" s="788">
        <f t="shared" ref="W1259:W1260" si="1047">AA1259*(1+AB1259)</f>
        <v>1.7969700000000003E-6</v>
      </c>
      <c r="X1259" s="789">
        <f t="shared" ref="X1259:X1260" si="1048">AA1259*(1+AC1259)</f>
        <v>1.7969700000000003E-6</v>
      </c>
      <c r="Y1259" s="52">
        <v>2005</v>
      </c>
      <c r="Z1259" s="52"/>
      <c r="AA1259" s="787">
        <f t="shared" ref="AA1259:AA1260" si="1049">+K1259/1000</f>
        <v>4.1790000000000001E-6</v>
      </c>
      <c r="AB1259" s="256">
        <v>-0.56999999999999995</v>
      </c>
      <c r="AC1259" s="688">
        <f t="shared" si="962"/>
        <v>-0.56999999999999995</v>
      </c>
      <c r="AD1259" s="164"/>
      <c r="AE1259" s="164"/>
      <c r="AF1259" s="25"/>
      <c r="AG1259" s="26"/>
      <c r="AH1259" s="275"/>
      <c r="AI1259" s="52"/>
      <c r="AJ1259" s="35"/>
      <c r="AK1259" s="289"/>
      <c r="AL1259" s="290"/>
      <c r="AM1259" s="211"/>
      <c r="AN1259" s="164"/>
      <c r="AO1259" s="594"/>
      <c r="AP1259" s="595"/>
      <c r="AQ1259" s="275"/>
      <c r="AR1259" s="52"/>
      <c r="AS1259" s="596"/>
      <c r="AT1259" s="79"/>
      <c r="AU1259" s="212"/>
      <c r="AV1259" s="164"/>
      <c r="AW1259" s="164"/>
      <c r="AX1259" s="76"/>
      <c r="AY1259" s="44"/>
      <c r="AZ1259" s="275"/>
      <c r="BA1259" s="52"/>
      <c r="BB1259" s="35"/>
      <c r="BC1259" s="79"/>
      <c r="BD1259" s="230"/>
      <c r="BE1259" s="211"/>
      <c r="BF1259" s="164"/>
      <c r="BG1259" s="76"/>
      <c r="BH1259" s="44"/>
      <c r="BI1259" s="275"/>
      <c r="BJ1259" s="52"/>
      <c r="BK1259" s="35"/>
      <c r="BL1259" s="79"/>
      <c r="BM1259" s="230"/>
      <c r="BN1259" s="211"/>
      <c r="BO1259" s="164"/>
      <c r="BP1259" s="726"/>
      <c r="BQ1259" s="727"/>
      <c r="BR1259" s="299"/>
      <c r="BS1259" s="35"/>
      <c r="BT1259" s="596"/>
      <c r="BU1259" s="79"/>
      <c r="BV1259" s="212"/>
      <c r="BW1259" s="304"/>
      <c r="BX1259" s="313"/>
      <c r="BY1259" s="138"/>
    </row>
    <row r="1260" spans="1:77" ht="15" customHeight="1" outlineLevel="1" x14ac:dyDescent="0.2">
      <c r="A1260" s="57" t="s">
        <v>24</v>
      </c>
      <c r="B1260" s="583" t="s">
        <v>477</v>
      </c>
      <c r="C1260" s="583" t="s">
        <v>2017</v>
      </c>
      <c r="D1260" s="546">
        <v>21.277000000000001</v>
      </c>
      <c r="E1260" s="162" t="s">
        <v>631</v>
      </c>
      <c r="F1260" s="358"/>
      <c r="G1260" s="65"/>
      <c r="H1260" s="73"/>
      <c r="I1260" s="90"/>
      <c r="J1260" s="73"/>
      <c r="K1260" s="790">
        <v>8.8980000000000004E-2</v>
      </c>
      <c r="L1260" s="717"/>
      <c r="M1260" s="73"/>
      <c r="N1260" s="359"/>
      <c r="O1260" s="1041"/>
      <c r="P1260" s="73"/>
      <c r="Q1260" s="359"/>
      <c r="R1260" s="1041"/>
      <c r="S1260" s="73"/>
      <c r="T1260" s="359"/>
      <c r="U1260" s="73"/>
      <c r="V1260" s="66"/>
      <c r="W1260" s="788">
        <f t="shared" si="1047"/>
        <v>6.4065600000000005E-5</v>
      </c>
      <c r="X1260" s="789">
        <f t="shared" si="1048"/>
        <v>6.4065600000000005E-5</v>
      </c>
      <c r="Y1260" s="52">
        <v>2005</v>
      </c>
      <c r="Z1260" s="52"/>
      <c r="AA1260" s="787">
        <f t="shared" si="1049"/>
        <v>8.8980000000000005E-5</v>
      </c>
      <c r="AB1260" s="256">
        <v>-0.28000000000000003</v>
      </c>
      <c r="AC1260" s="688">
        <f t="shared" si="962"/>
        <v>-0.28000000000000003</v>
      </c>
      <c r="AD1260" s="164"/>
      <c r="AE1260" s="164"/>
      <c r="AF1260" s="25"/>
      <c r="AG1260" s="26"/>
      <c r="AH1260" s="275"/>
      <c r="AI1260" s="52"/>
      <c r="AJ1260" s="35"/>
      <c r="AK1260" s="289"/>
      <c r="AL1260" s="290"/>
      <c r="AM1260" s="211"/>
      <c r="AN1260" s="164"/>
      <c r="AO1260" s="594"/>
      <c r="AP1260" s="595"/>
      <c r="AQ1260" s="275"/>
      <c r="AR1260" s="52"/>
      <c r="AS1260" s="596"/>
      <c r="AT1260" s="79"/>
      <c r="AU1260" s="212"/>
      <c r="AV1260" s="164"/>
      <c r="AW1260" s="164"/>
      <c r="AX1260" s="76"/>
      <c r="AY1260" s="44"/>
      <c r="AZ1260" s="275"/>
      <c r="BA1260" s="52"/>
      <c r="BB1260" s="35"/>
      <c r="BC1260" s="79"/>
      <c r="BD1260" s="230"/>
      <c r="BE1260" s="211"/>
      <c r="BF1260" s="164"/>
      <c r="BG1260" s="76"/>
      <c r="BH1260" s="44"/>
      <c r="BI1260" s="275"/>
      <c r="BJ1260" s="52"/>
      <c r="BK1260" s="35"/>
      <c r="BL1260" s="79"/>
      <c r="BM1260" s="230"/>
      <c r="BN1260" s="211"/>
      <c r="BO1260" s="164"/>
      <c r="BP1260" s="726"/>
      <c r="BQ1260" s="727"/>
      <c r="BR1260" s="299"/>
      <c r="BS1260" s="35"/>
      <c r="BT1260" s="596"/>
      <c r="BU1260" s="79"/>
      <c r="BV1260" s="212"/>
      <c r="BW1260" s="304"/>
      <c r="BX1260" s="313"/>
      <c r="BY1260" s="138"/>
    </row>
    <row r="1261" spans="1:77" ht="15" customHeight="1" outlineLevel="1" x14ac:dyDescent="0.2">
      <c r="A1261" s="57" t="s">
        <v>24</v>
      </c>
      <c r="B1261" s="583" t="s">
        <v>477</v>
      </c>
      <c r="C1261" s="583" t="s">
        <v>1507</v>
      </c>
      <c r="D1261" s="546">
        <v>2.1859999999999999</v>
      </c>
      <c r="E1261" s="162" t="s">
        <v>631</v>
      </c>
      <c r="F1261" s="358"/>
      <c r="G1261" s="65"/>
      <c r="H1261" s="73"/>
      <c r="I1261" s="90"/>
      <c r="J1261" s="73"/>
      <c r="K1261" s="734">
        <v>1.115E-2</v>
      </c>
      <c r="L1261" s="717"/>
      <c r="M1261" s="73"/>
      <c r="N1261" s="359"/>
      <c r="O1261" s="1041"/>
      <c r="P1261" s="73"/>
      <c r="Q1261" s="359"/>
      <c r="R1261" s="1041"/>
      <c r="S1261" s="73"/>
      <c r="T1261" s="359"/>
      <c r="U1261" s="73"/>
      <c r="V1261" s="66"/>
      <c r="W1261" s="788">
        <f t="shared" ref="W1261:W1264" si="1050">AA1261*(1+AB1261)</f>
        <v>6.4670000000000009E-6</v>
      </c>
      <c r="X1261" s="789">
        <f t="shared" ref="X1261:X1264" si="1051">AA1261*(1+AC1261)</f>
        <v>6.4670000000000009E-6</v>
      </c>
      <c r="Y1261" s="52">
        <v>2005</v>
      </c>
      <c r="Z1261" s="52"/>
      <c r="AA1261" s="787">
        <f t="shared" ref="AA1261:AA1264" si="1052">+K1261/1000</f>
        <v>1.115E-5</v>
      </c>
      <c r="AB1261" s="256">
        <v>-0.42</v>
      </c>
      <c r="AC1261" s="688">
        <f t="shared" si="962"/>
        <v>-0.42</v>
      </c>
      <c r="AD1261" s="164"/>
      <c r="AE1261" s="164"/>
      <c r="AF1261" s="25"/>
      <c r="AG1261" s="26"/>
      <c r="AH1261" s="275"/>
      <c r="AI1261" s="52"/>
      <c r="AJ1261" s="35"/>
      <c r="AK1261" s="289"/>
      <c r="AL1261" s="290"/>
      <c r="AM1261" s="211"/>
      <c r="AN1261" s="164"/>
      <c r="AO1261" s="594"/>
      <c r="AP1261" s="595"/>
      <c r="AQ1261" s="275"/>
      <c r="AR1261" s="52"/>
      <c r="AS1261" s="596"/>
      <c r="AT1261" s="79"/>
      <c r="AU1261" s="212"/>
      <c r="AV1261" s="164"/>
      <c r="AW1261" s="164"/>
      <c r="AX1261" s="76"/>
      <c r="AY1261" s="44"/>
      <c r="AZ1261" s="275"/>
      <c r="BA1261" s="52"/>
      <c r="BB1261" s="35"/>
      <c r="BC1261" s="79"/>
      <c r="BD1261" s="230"/>
      <c r="BE1261" s="211"/>
      <c r="BF1261" s="164"/>
      <c r="BG1261" s="76"/>
      <c r="BH1261" s="44"/>
      <c r="BI1261" s="275"/>
      <c r="BJ1261" s="52"/>
      <c r="BK1261" s="35"/>
      <c r="BL1261" s="79"/>
      <c r="BM1261" s="230"/>
      <c r="BN1261" s="211"/>
      <c r="BO1261" s="164"/>
      <c r="BP1261" s="726"/>
      <c r="BQ1261" s="727"/>
      <c r="BR1261" s="299"/>
      <c r="BS1261" s="35"/>
      <c r="BT1261" s="596"/>
      <c r="BU1261" s="79"/>
      <c r="BV1261" s="212"/>
      <c r="BW1261" s="304"/>
      <c r="BX1261" s="313"/>
      <c r="BY1261" s="138"/>
    </row>
    <row r="1262" spans="1:77" ht="15" customHeight="1" outlineLevel="1" x14ac:dyDescent="0.2">
      <c r="A1262" s="57" t="s">
        <v>24</v>
      </c>
      <c r="B1262" s="583" t="s">
        <v>477</v>
      </c>
      <c r="C1262" s="583" t="s">
        <v>2015</v>
      </c>
      <c r="D1262" s="546">
        <v>7.4649999999999999</v>
      </c>
      <c r="E1262" s="162" t="s">
        <v>631</v>
      </c>
      <c r="F1262" s="358"/>
      <c r="G1262" s="65"/>
      <c r="H1262" s="73"/>
      <c r="I1262" s="90"/>
      <c r="J1262" s="73"/>
      <c r="K1262" s="734">
        <v>0.100275</v>
      </c>
      <c r="L1262" s="717"/>
      <c r="M1262" s="73"/>
      <c r="N1262" s="359"/>
      <c r="O1262" s="1041"/>
      <c r="P1262" s="73"/>
      <c r="Q1262" s="359"/>
      <c r="R1262" s="1041"/>
      <c r="S1262" s="73"/>
      <c r="T1262" s="359"/>
      <c r="U1262" s="73"/>
      <c r="V1262" s="66"/>
      <c r="W1262" s="788">
        <f t="shared" si="1050"/>
        <v>7.2198000000000002E-5</v>
      </c>
      <c r="X1262" s="789">
        <f t="shared" si="1051"/>
        <v>7.2198000000000002E-5</v>
      </c>
      <c r="Y1262" s="52">
        <v>2010</v>
      </c>
      <c r="Z1262" s="52"/>
      <c r="AA1262" s="787">
        <f t="shared" si="1052"/>
        <v>1.00275E-4</v>
      </c>
      <c r="AB1262" s="256">
        <v>-0.28000000000000003</v>
      </c>
      <c r="AC1262" s="688">
        <f t="shared" si="962"/>
        <v>-0.28000000000000003</v>
      </c>
      <c r="AD1262" s="164"/>
      <c r="AE1262" s="164"/>
      <c r="AF1262" s="25"/>
      <c r="AG1262" s="26"/>
      <c r="AH1262" s="275"/>
      <c r="AI1262" s="52"/>
      <c r="AJ1262" s="35"/>
      <c r="AK1262" s="289"/>
      <c r="AL1262" s="290"/>
      <c r="AM1262" s="211"/>
      <c r="AN1262" s="164"/>
      <c r="AO1262" s="594"/>
      <c r="AP1262" s="595"/>
      <c r="AQ1262" s="275"/>
      <c r="AR1262" s="52"/>
      <c r="AS1262" s="596"/>
      <c r="AT1262" s="79"/>
      <c r="AU1262" s="212"/>
      <c r="AV1262" s="164"/>
      <c r="AW1262" s="164"/>
      <c r="AX1262" s="76"/>
      <c r="AY1262" s="44"/>
      <c r="AZ1262" s="275"/>
      <c r="BA1262" s="52"/>
      <c r="BB1262" s="35"/>
      <c r="BC1262" s="79"/>
      <c r="BD1262" s="230"/>
      <c r="BE1262" s="211"/>
      <c r="BF1262" s="164"/>
      <c r="BG1262" s="76"/>
      <c r="BH1262" s="44"/>
      <c r="BI1262" s="275"/>
      <c r="BJ1262" s="52"/>
      <c r="BK1262" s="35"/>
      <c r="BL1262" s="79"/>
      <c r="BM1262" s="230"/>
      <c r="BN1262" s="211"/>
      <c r="BO1262" s="164"/>
      <c r="BP1262" s="726"/>
      <c r="BQ1262" s="727"/>
      <c r="BR1262" s="299"/>
      <c r="BS1262" s="35"/>
      <c r="BT1262" s="596"/>
      <c r="BU1262" s="79"/>
      <c r="BV1262" s="212"/>
      <c r="BW1262" s="304"/>
      <c r="BX1262" s="313"/>
      <c r="BY1262" s="138"/>
    </row>
    <row r="1263" spans="1:77" ht="15" customHeight="1" outlineLevel="1" x14ac:dyDescent="0.2">
      <c r="A1263" s="57" t="s">
        <v>24</v>
      </c>
      <c r="B1263" s="583" t="s">
        <v>477</v>
      </c>
      <c r="C1263" s="583" t="s">
        <v>1809</v>
      </c>
      <c r="D1263" s="546">
        <v>1.0389999999999999</v>
      </c>
      <c r="E1263" s="162" t="s">
        <v>631</v>
      </c>
      <c r="F1263" s="358"/>
      <c r="G1263" s="65"/>
      <c r="H1263" s="73"/>
      <c r="I1263" s="90">
        <v>2007</v>
      </c>
      <c r="J1263" s="73"/>
      <c r="K1263" s="790">
        <v>3.5850000000000001E-3</v>
      </c>
      <c r="L1263" s="717"/>
      <c r="M1263" s="73"/>
      <c r="N1263" s="359"/>
      <c r="O1263" s="1041"/>
      <c r="P1263" s="73"/>
      <c r="Q1263" s="359"/>
      <c r="R1263" s="1041"/>
      <c r="S1263" s="73"/>
      <c r="T1263" s="359"/>
      <c r="U1263" s="73"/>
      <c r="V1263" s="66"/>
      <c r="W1263" s="788">
        <f t="shared" si="1050"/>
        <v>2.6887499999999999E-6</v>
      </c>
      <c r="X1263" s="789">
        <f t="shared" si="1051"/>
        <v>2.6887499999999999E-6</v>
      </c>
      <c r="Y1263" s="52">
        <v>2007</v>
      </c>
      <c r="Z1263" s="52"/>
      <c r="AA1263" s="787">
        <f t="shared" si="1052"/>
        <v>3.585E-6</v>
      </c>
      <c r="AB1263" s="256">
        <v>-0.25</v>
      </c>
      <c r="AC1263" s="688">
        <f t="shared" si="962"/>
        <v>-0.25</v>
      </c>
      <c r="AD1263" s="164"/>
      <c r="AE1263" s="164"/>
      <c r="AF1263" s="25"/>
      <c r="AG1263" s="26"/>
      <c r="AH1263" s="275"/>
      <c r="AI1263" s="52"/>
      <c r="AJ1263" s="35"/>
      <c r="AK1263" s="289"/>
      <c r="AL1263" s="290"/>
      <c r="AM1263" s="211"/>
      <c r="AN1263" s="164"/>
      <c r="AO1263" s="594"/>
      <c r="AP1263" s="595"/>
      <c r="AQ1263" s="275"/>
      <c r="AR1263" s="52"/>
      <c r="AS1263" s="596"/>
      <c r="AT1263" s="79"/>
      <c r="AU1263" s="212"/>
      <c r="AV1263" s="164"/>
      <c r="AW1263" s="164"/>
      <c r="AX1263" s="76"/>
      <c r="AY1263" s="44"/>
      <c r="AZ1263" s="275"/>
      <c r="BA1263" s="52"/>
      <c r="BB1263" s="35"/>
      <c r="BC1263" s="79"/>
      <c r="BD1263" s="230"/>
      <c r="BE1263" s="211"/>
      <c r="BF1263" s="164"/>
      <c r="BG1263" s="76"/>
      <c r="BH1263" s="44"/>
      <c r="BI1263" s="275"/>
      <c r="BJ1263" s="52"/>
      <c r="BK1263" s="35"/>
      <c r="BL1263" s="79"/>
      <c r="BM1263" s="230"/>
      <c r="BN1263" s="211"/>
      <c r="BO1263" s="164"/>
      <c r="BP1263" s="726"/>
      <c r="BQ1263" s="727"/>
      <c r="BR1263" s="299"/>
      <c r="BS1263" s="35"/>
      <c r="BT1263" s="596"/>
      <c r="BU1263" s="79"/>
      <c r="BV1263" s="212"/>
      <c r="BW1263" s="304"/>
      <c r="BX1263" s="313"/>
      <c r="BY1263" s="138"/>
    </row>
    <row r="1264" spans="1:77" ht="15" customHeight="1" outlineLevel="1" x14ac:dyDescent="0.2">
      <c r="A1264" s="57" t="s">
        <v>24</v>
      </c>
      <c r="B1264" s="583" t="s">
        <v>477</v>
      </c>
      <c r="C1264" s="583" t="s">
        <v>1720</v>
      </c>
      <c r="D1264" s="546">
        <v>3.7</v>
      </c>
      <c r="E1264" s="162" t="s">
        <v>631</v>
      </c>
      <c r="F1264" s="358"/>
      <c r="G1264" s="65"/>
      <c r="H1264" s="73"/>
      <c r="I1264" s="90"/>
      <c r="J1264" s="73"/>
      <c r="K1264" s="734">
        <v>1.3871E-2</v>
      </c>
      <c r="L1264" s="717"/>
      <c r="M1264" s="73"/>
      <c r="N1264" s="359"/>
      <c r="O1264" s="1041"/>
      <c r="P1264" s="73"/>
      <c r="Q1264" s="359"/>
      <c r="R1264" s="1041"/>
      <c r="S1264" s="73"/>
      <c r="T1264" s="359"/>
      <c r="U1264" s="73"/>
      <c r="V1264" s="66"/>
      <c r="W1264" s="788">
        <f t="shared" si="1050"/>
        <v>1.0403249999999999E-5</v>
      </c>
      <c r="X1264" s="789">
        <f t="shared" si="1051"/>
        <v>1.0403249999999999E-5</v>
      </c>
      <c r="Y1264" s="52">
        <v>2005</v>
      </c>
      <c r="Z1264" s="52"/>
      <c r="AA1264" s="787">
        <f t="shared" si="1052"/>
        <v>1.3871E-5</v>
      </c>
      <c r="AB1264" s="256">
        <v>-0.25</v>
      </c>
      <c r="AC1264" s="688">
        <f t="shared" si="962"/>
        <v>-0.25</v>
      </c>
      <c r="AD1264" s="164"/>
      <c r="AE1264" s="164"/>
      <c r="AF1264" s="25"/>
      <c r="AG1264" s="26"/>
      <c r="AH1264" s="275"/>
      <c r="AI1264" s="52"/>
      <c r="AJ1264" s="35"/>
      <c r="AK1264" s="289"/>
      <c r="AL1264" s="290"/>
      <c r="AM1264" s="211"/>
      <c r="AN1264" s="164"/>
      <c r="AO1264" s="594"/>
      <c r="AP1264" s="595"/>
      <c r="AQ1264" s="275"/>
      <c r="AR1264" s="52"/>
      <c r="AS1264" s="596"/>
      <c r="AT1264" s="79"/>
      <c r="AU1264" s="212"/>
      <c r="AV1264" s="164"/>
      <c r="AW1264" s="164"/>
      <c r="AX1264" s="76"/>
      <c r="AY1264" s="44"/>
      <c r="AZ1264" s="275"/>
      <c r="BA1264" s="52"/>
      <c r="BB1264" s="35"/>
      <c r="BC1264" s="79"/>
      <c r="BD1264" s="230"/>
      <c r="BE1264" s="211"/>
      <c r="BF1264" s="164"/>
      <c r="BG1264" s="76"/>
      <c r="BH1264" s="44"/>
      <c r="BI1264" s="275"/>
      <c r="BJ1264" s="52"/>
      <c r="BK1264" s="35"/>
      <c r="BL1264" s="79"/>
      <c r="BM1264" s="230"/>
      <c r="BN1264" s="211"/>
      <c r="BO1264" s="164"/>
      <c r="BP1264" s="726"/>
      <c r="BQ1264" s="727"/>
      <c r="BR1264" s="299"/>
      <c r="BS1264" s="35"/>
      <c r="BT1264" s="596"/>
      <c r="BU1264" s="79"/>
      <c r="BV1264" s="212"/>
      <c r="BW1264" s="304"/>
      <c r="BX1264" s="313"/>
      <c r="BY1264" s="138"/>
    </row>
    <row r="1265" spans="1:77" ht="15" customHeight="1" outlineLevel="1" x14ac:dyDescent="0.2">
      <c r="A1265" s="57" t="s">
        <v>24</v>
      </c>
      <c r="B1265" s="583" t="s">
        <v>477</v>
      </c>
      <c r="C1265" s="583" t="s">
        <v>1503</v>
      </c>
      <c r="D1265" s="546">
        <v>0.61</v>
      </c>
      <c r="E1265" s="162" t="s">
        <v>631</v>
      </c>
      <c r="F1265" s="358"/>
      <c r="G1265" s="65"/>
      <c r="H1265" s="73"/>
      <c r="I1265" s="90"/>
      <c r="J1265" s="73"/>
      <c r="K1265" s="790">
        <v>3.6110000000000001E-3</v>
      </c>
      <c r="L1265" s="717"/>
      <c r="M1265" s="73"/>
      <c r="N1265" s="359"/>
      <c r="O1265" s="1041"/>
      <c r="P1265" s="73"/>
      <c r="Q1265" s="359"/>
      <c r="R1265" s="1041"/>
      <c r="S1265" s="73"/>
      <c r="T1265" s="359"/>
      <c r="U1265" s="73"/>
      <c r="V1265" s="66"/>
      <c r="W1265" s="808">
        <f t="shared" ref="W1265:W1268" si="1053">AA1265*(1+AB1265)</f>
        <v>3.6109999999999992E-7</v>
      </c>
      <c r="X1265" s="809">
        <f t="shared" ref="X1265:X1268" si="1054">AA1265*(1+AC1265)</f>
        <v>3.6109999999999992E-7</v>
      </c>
      <c r="Y1265" s="52">
        <v>2005</v>
      </c>
      <c r="Z1265" s="52"/>
      <c r="AA1265" s="787">
        <f t="shared" ref="AA1265:AA1268" si="1055">+K1265/1000</f>
        <v>3.6110000000000002E-6</v>
      </c>
      <c r="AB1265" s="256">
        <v>-0.9</v>
      </c>
      <c r="AC1265" s="688">
        <f t="shared" si="962"/>
        <v>-0.9</v>
      </c>
      <c r="AD1265" s="164"/>
      <c r="AE1265" s="164"/>
      <c r="AF1265" s="25"/>
      <c r="AG1265" s="26"/>
      <c r="AH1265" s="275"/>
      <c r="AI1265" s="52"/>
      <c r="AJ1265" s="35"/>
      <c r="AK1265" s="289"/>
      <c r="AL1265" s="290"/>
      <c r="AM1265" s="211"/>
      <c r="AN1265" s="164"/>
      <c r="AO1265" s="594"/>
      <c r="AP1265" s="595"/>
      <c r="AQ1265" s="275"/>
      <c r="AR1265" s="52"/>
      <c r="AS1265" s="596"/>
      <c r="AT1265" s="79"/>
      <c r="AU1265" s="212"/>
      <c r="AV1265" s="164"/>
      <c r="AW1265" s="164"/>
      <c r="AX1265" s="76"/>
      <c r="AY1265" s="44"/>
      <c r="AZ1265" s="275"/>
      <c r="BA1265" s="52"/>
      <c r="BB1265" s="35"/>
      <c r="BC1265" s="79"/>
      <c r="BD1265" s="230"/>
      <c r="BE1265" s="211"/>
      <c r="BF1265" s="164"/>
      <c r="BG1265" s="76"/>
      <c r="BH1265" s="44"/>
      <c r="BI1265" s="275"/>
      <c r="BJ1265" s="52"/>
      <c r="BK1265" s="35"/>
      <c r="BL1265" s="79"/>
      <c r="BM1265" s="230"/>
      <c r="BN1265" s="211"/>
      <c r="BO1265" s="164"/>
      <c r="BP1265" s="726"/>
      <c r="BQ1265" s="727"/>
      <c r="BR1265" s="299"/>
      <c r="BS1265" s="35"/>
      <c r="BT1265" s="596"/>
      <c r="BU1265" s="79"/>
      <c r="BV1265" s="212"/>
      <c r="BW1265" s="304"/>
      <c r="BX1265" s="313"/>
      <c r="BY1265" s="138"/>
    </row>
    <row r="1266" spans="1:77" ht="15" customHeight="1" outlineLevel="1" x14ac:dyDescent="0.2">
      <c r="A1266" s="57" t="s">
        <v>24</v>
      </c>
      <c r="B1266" s="583" t="s">
        <v>477</v>
      </c>
      <c r="C1266" s="583" t="s">
        <v>1753</v>
      </c>
      <c r="D1266" s="546">
        <v>29.033999999999999</v>
      </c>
      <c r="E1266" s="162" t="s">
        <v>631</v>
      </c>
      <c r="F1266" s="358"/>
      <c r="G1266" s="65"/>
      <c r="H1266" s="73"/>
      <c r="I1266" s="90"/>
      <c r="J1266" s="73"/>
      <c r="K1266" s="790">
        <v>0.13972399999999999</v>
      </c>
      <c r="L1266" s="717"/>
      <c r="M1266" s="73"/>
      <c r="N1266" s="359"/>
      <c r="O1266" s="1041"/>
      <c r="P1266" s="73"/>
      <c r="Q1266" s="359"/>
      <c r="R1266" s="1041"/>
      <c r="S1266" s="73"/>
      <c r="T1266" s="359"/>
      <c r="U1266" s="73"/>
      <c r="V1266" s="66"/>
      <c r="W1266" s="740">
        <f t="shared" si="1053"/>
        <v>1.0479299999999998E-4</v>
      </c>
      <c r="X1266" s="741">
        <f t="shared" si="1054"/>
        <v>1.0479299999999998E-4</v>
      </c>
      <c r="Y1266" s="52">
        <v>2005</v>
      </c>
      <c r="Z1266" s="52"/>
      <c r="AA1266" s="739">
        <f t="shared" si="1055"/>
        <v>1.3972399999999998E-4</v>
      </c>
      <c r="AB1266" s="256">
        <v>-0.25</v>
      </c>
      <c r="AC1266" s="688">
        <f t="shared" si="962"/>
        <v>-0.25</v>
      </c>
      <c r="AD1266" s="164"/>
      <c r="AE1266" s="164"/>
      <c r="AF1266" s="25"/>
      <c r="AG1266" s="26"/>
      <c r="AH1266" s="275"/>
      <c r="AI1266" s="52"/>
      <c r="AJ1266" s="35"/>
      <c r="AK1266" s="289"/>
      <c r="AL1266" s="290"/>
      <c r="AM1266" s="211"/>
      <c r="AN1266" s="164"/>
      <c r="AO1266" s="594"/>
      <c r="AP1266" s="595"/>
      <c r="AQ1266" s="275"/>
      <c r="AR1266" s="52"/>
      <c r="AS1266" s="596"/>
      <c r="AT1266" s="79"/>
      <c r="AU1266" s="212"/>
      <c r="AV1266" s="164"/>
      <c r="AW1266" s="164"/>
      <c r="AX1266" s="76"/>
      <c r="AY1266" s="44"/>
      <c r="AZ1266" s="275"/>
      <c r="BA1266" s="52"/>
      <c r="BB1266" s="35"/>
      <c r="BC1266" s="79"/>
      <c r="BD1266" s="230"/>
      <c r="BE1266" s="211"/>
      <c r="BF1266" s="164"/>
      <c r="BG1266" s="76"/>
      <c r="BH1266" s="44"/>
      <c r="BI1266" s="275"/>
      <c r="BJ1266" s="52"/>
      <c r="BK1266" s="35"/>
      <c r="BL1266" s="79"/>
      <c r="BM1266" s="230"/>
      <c r="BN1266" s="211"/>
      <c r="BO1266" s="164"/>
      <c r="BP1266" s="726"/>
      <c r="BQ1266" s="727"/>
      <c r="BR1266" s="299"/>
      <c r="BS1266" s="35"/>
      <c r="BT1266" s="596"/>
      <c r="BU1266" s="79"/>
      <c r="BV1266" s="212"/>
      <c r="BW1266" s="304"/>
      <c r="BX1266" s="313"/>
      <c r="BY1266" s="138"/>
    </row>
    <row r="1267" spans="1:77" ht="15" customHeight="1" outlineLevel="1" x14ac:dyDescent="0.2">
      <c r="A1267" s="57" t="s">
        <v>24</v>
      </c>
      <c r="B1267" s="583" t="s">
        <v>477</v>
      </c>
      <c r="C1267" s="583" t="s">
        <v>2074</v>
      </c>
      <c r="D1267" s="546">
        <v>12.428000000000001</v>
      </c>
      <c r="E1267" s="162" t="s">
        <v>631</v>
      </c>
      <c r="F1267" s="358"/>
      <c r="G1267" s="65"/>
      <c r="H1267" s="73"/>
      <c r="I1267" s="90"/>
      <c r="J1267" s="73"/>
      <c r="K1267" s="790"/>
      <c r="L1267" s="717"/>
      <c r="M1267" s="73"/>
      <c r="N1267" s="786">
        <v>4.6970999999999999E-2</v>
      </c>
      <c r="O1267" s="1041"/>
      <c r="P1267" s="73"/>
      <c r="Q1267" s="359"/>
      <c r="R1267" s="1041"/>
      <c r="S1267" s="73"/>
      <c r="T1267" s="359"/>
      <c r="U1267" s="73"/>
      <c r="V1267" s="66"/>
      <c r="W1267" s="740">
        <f t="shared" ref="W1267" si="1056">AA1267*(1+AB1267)</f>
        <v>3.3349409999999997E-5</v>
      </c>
      <c r="X1267" s="741">
        <f t="shared" ref="X1267" si="1057">AA1267*(1+AC1267)</f>
        <v>3.3349409999999997E-5</v>
      </c>
      <c r="Y1267" s="52">
        <v>2010</v>
      </c>
      <c r="Z1267" s="52"/>
      <c r="AA1267" s="739">
        <f>+N1267/1000</f>
        <v>4.6971000000000001E-5</v>
      </c>
      <c r="AB1267" s="256">
        <v>-0.28999999999999998</v>
      </c>
      <c r="AC1267" s="688">
        <f t="shared" si="962"/>
        <v>-0.28999999999999998</v>
      </c>
      <c r="AD1267" s="164"/>
      <c r="AE1267" s="164"/>
      <c r="AF1267" s="25"/>
      <c r="AG1267" s="26"/>
      <c r="AH1267" s="275"/>
      <c r="AI1267" s="52"/>
      <c r="AJ1267" s="35"/>
      <c r="AK1267" s="289"/>
      <c r="AL1267" s="290"/>
      <c r="AM1267" s="211"/>
      <c r="AN1267" s="164"/>
      <c r="AO1267" s="594"/>
      <c r="AP1267" s="595"/>
      <c r="AQ1267" s="275"/>
      <c r="AR1267" s="52"/>
      <c r="AS1267" s="596"/>
      <c r="AT1267" s="79"/>
      <c r="AU1267" s="212"/>
      <c r="AV1267" s="164"/>
      <c r="AW1267" s="164"/>
      <c r="AX1267" s="76"/>
      <c r="AY1267" s="44"/>
      <c r="AZ1267" s="275"/>
      <c r="BA1267" s="52"/>
      <c r="BB1267" s="35"/>
      <c r="BC1267" s="79"/>
      <c r="BD1267" s="230"/>
      <c r="BE1267" s="211"/>
      <c r="BF1267" s="164"/>
      <c r="BG1267" s="76"/>
      <c r="BH1267" s="44"/>
      <c r="BI1267" s="275"/>
      <c r="BJ1267" s="52"/>
      <c r="BK1267" s="35"/>
      <c r="BL1267" s="79"/>
      <c r="BM1267" s="230"/>
      <c r="BN1267" s="211"/>
      <c r="BO1267" s="164"/>
      <c r="BP1267" s="726"/>
      <c r="BQ1267" s="727"/>
      <c r="BR1267" s="299"/>
      <c r="BS1267" s="35"/>
      <c r="BT1267" s="596"/>
      <c r="BU1267" s="79"/>
      <c r="BV1267" s="212"/>
      <c r="BW1267" s="304"/>
      <c r="BX1267" s="313"/>
      <c r="BY1267" s="138"/>
    </row>
    <row r="1268" spans="1:77" ht="15" customHeight="1" outlineLevel="1" x14ac:dyDescent="0.2">
      <c r="A1268" s="57" t="s">
        <v>24</v>
      </c>
      <c r="B1268" s="583" t="s">
        <v>477</v>
      </c>
      <c r="C1268" s="583" t="s">
        <v>1723</v>
      </c>
      <c r="D1268" s="546">
        <v>1.772</v>
      </c>
      <c r="E1268" s="162" t="s">
        <v>631</v>
      </c>
      <c r="F1268" s="358"/>
      <c r="G1268" s="65"/>
      <c r="H1268" s="73"/>
      <c r="I1268" s="90"/>
      <c r="J1268" s="73"/>
      <c r="K1268" s="790">
        <v>3.5657000000000001E-2</v>
      </c>
      <c r="L1268" s="717"/>
      <c r="M1268" s="73"/>
      <c r="N1268" s="359"/>
      <c r="O1268" s="1041"/>
      <c r="P1268" s="73"/>
      <c r="Q1268" s="359"/>
      <c r="R1268" s="1041"/>
      <c r="S1268" s="73"/>
      <c r="T1268" s="359"/>
      <c r="U1268" s="73"/>
      <c r="V1268" s="66"/>
      <c r="W1268" s="788">
        <f t="shared" si="1053"/>
        <v>2.6742750000000001E-5</v>
      </c>
      <c r="X1268" s="789">
        <f t="shared" si="1054"/>
        <v>2.6742750000000001E-5</v>
      </c>
      <c r="Y1268" s="52">
        <v>2005</v>
      </c>
      <c r="Z1268" s="52"/>
      <c r="AA1268" s="787">
        <f t="shared" si="1055"/>
        <v>3.5657000000000001E-5</v>
      </c>
      <c r="AB1268" s="256">
        <v>-0.25</v>
      </c>
      <c r="AC1268" s="688">
        <f t="shared" si="962"/>
        <v>-0.25</v>
      </c>
      <c r="AD1268" s="164"/>
      <c r="AE1268" s="164"/>
      <c r="AF1268" s="25"/>
      <c r="AG1268" s="26"/>
      <c r="AH1268" s="275"/>
      <c r="AI1268" s="52"/>
      <c r="AJ1268" s="35"/>
      <c r="AK1268" s="289"/>
      <c r="AL1268" s="290"/>
      <c r="AM1268" s="211"/>
      <c r="AN1268" s="164"/>
      <c r="AO1268" s="594"/>
      <c r="AP1268" s="595"/>
      <c r="AQ1268" s="275"/>
      <c r="AR1268" s="52"/>
      <c r="AS1268" s="596"/>
      <c r="AT1268" s="79"/>
      <c r="AU1268" s="212"/>
      <c r="AV1268" s="164"/>
      <c r="AW1268" s="164"/>
      <c r="AX1268" s="76"/>
      <c r="AY1268" s="44"/>
      <c r="AZ1268" s="275"/>
      <c r="BA1268" s="52"/>
      <c r="BB1268" s="35"/>
      <c r="BC1268" s="79"/>
      <c r="BD1268" s="230"/>
      <c r="BE1268" s="211"/>
      <c r="BF1268" s="164"/>
      <c r="BG1268" s="76"/>
      <c r="BH1268" s="44"/>
      <c r="BI1268" s="275"/>
      <c r="BJ1268" s="52"/>
      <c r="BK1268" s="35"/>
      <c r="BL1268" s="79"/>
      <c r="BM1268" s="230"/>
      <c r="BN1268" s="211"/>
      <c r="BO1268" s="164"/>
      <c r="BP1268" s="726"/>
      <c r="BQ1268" s="727"/>
      <c r="BR1268" s="299"/>
      <c r="BS1268" s="35"/>
      <c r="BT1268" s="596"/>
      <c r="BU1268" s="79"/>
      <c r="BV1268" s="212"/>
      <c r="BW1268" s="304"/>
      <c r="BX1268" s="313"/>
      <c r="BY1268" s="138"/>
    </row>
    <row r="1269" spans="1:77" ht="15" customHeight="1" outlineLevel="1" x14ac:dyDescent="0.2">
      <c r="A1269" s="57" t="s">
        <v>24</v>
      </c>
      <c r="B1269" s="583" t="s">
        <v>477</v>
      </c>
      <c r="C1269" s="583" t="s">
        <v>1519</v>
      </c>
      <c r="D1269" s="546">
        <v>1.4039999999999999</v>
      </c>
      <c r="E1269" s="162" t="s">
        <v>631</v>
      </c>
      <c r="F1269" s="358"/>
      <c r="G1269" s="65"/>
      <c r="H1269" s="73"/>
      <c r="I1269" s="90"/>
      <c r="J1269" s="73"/>
      <c r="K1269" s="790">
        <v>5.3699999999999998E-3</v>
      </c>
      <c r="L1269" s="717"/>
      <c r="M1269" s="73"/>
      <c r="N1269" s="359"/>
      <c r="O1269" s="1041"/>
      <c r="P1269" s="73"/>
      <c r="Q1269" s="359"/>
      <c r="R1269" s="1041"/>
      <c r="S1269" s="73"/>
      <c r="T1269" s="359"/>
      <c r="U1269" s="73"/>
      <c r="V1269" s="66"/>
      <c r="W1269" s="788">
        <f t="shared" ref="W1269:W1270" si="1058">AA1269*(1+AB1269)</f>
        <v>2.8997999999999997E-6</v>
      </c>
      <c r="X1269" s="789">
        <f t="shared" ref="X1269:X1270" si="1059">AA1269*(1+AC1269)</f>
        <v>2.8997999999999997E-6</v>
      </c>
      <c r="Y1269" s="52">
        <v>2005</v>
      </c>
      <c r="Z1269" s="52"/>
      <c r="AA1269" s="787">
        <f t="shared" ref="AA1269:AA1271" si="1060">+K1269/1000</f>
        <v>5.3699999999999994E-6</v>
      </c>
      <c r="AB1269" s="256">
        <v>-0.46</v>
      </c>
      <c r="AC1269" s="688">
        <f t="shared" si="962"/>
        <v>-0.46</v>
      </c>
      <c r="AD1269" s="164"/>
      <c r="AE1269" s="164"/>
      <c r="AF1269" s="25"/>
      <c r="AG1269" s="26"/>
      <c r="AH1269" s="275"/>
      <c r="AI1269" s="52"/>
      <c r="AJ1269" s="35"/>
      <c r="AK1269" s="289"/>
      <c r="AL1269" s="290"/>
      <c r="AM1269" s="211"/>
      <c r="AN1269" s="164"/>
      <c r="AO1269" s="594"/>
      <c r="AP1269" s="595"/>
      <c r="AQ1269" s="275"/>
      <c r="AR1269" s="52"/>
      <c r="AS1269" s="596"/>
      <c r="AT1269" s="79"/>
      <c r="AU1269" s="212"/>
      <c r="AV1269" s="164"/>
      <c r="AW1269" s="164"/>
      <c r="AX1269" s="76"/>
      <c r="AY1269" s="44"/>
      <c r="AZ1269" s="275"/>
      <c r="BA1269" s="52"/>
      <c r="BB1269" s="35"/>
      <c r="BC1269" s="79"/>
      <c r="BD1269" s="230"/>
      <c r="BE1269" s="211"/>
      <c r="BF1269" s="164"/>
      <c r="BG1269" s="76"/>
      <c r="BH1269" s="44"/>
      <c r="BI1269" s="275"/>
      <c r="BJ1269" s="52"/>
      <c r="BK1269" s="35"/>
      <c r="BL1269" s="79"/>
      <c r="BM1269" s="230"/>
      <c r="BN1269" s="211"/>
      <c r="BO1269" s="164"/>
      <c r="BP1269" s="726"/>
      <c r="BQ1269" s="727"/>
      <c r="BR1269" s="299"/>
      <c r="BS1269" s="35"/>
      <c r="BT1269" s="596"/>
      <c r="BU1269" s="79"/>
      <c r="BV1269" s="212"/>
      <c r="BW1269" s="304"/>
      <c r="BX1269" s="313"/>
      <c r="BY1269" s="138"/>
    </row>
    <row r="1270" spans="1:77" ht="15" customHeight="1" outlineLevel="1" x14ac:dyDescent="0.2">
      <c r="A1270" s="57" t="s">
        <v>24</v>
      </c>
      <c r="B1270" s="583" t="s">
        <v>477</v>
      </c>
      <c r="C1270" s="864" t="s">
        <v>1794</v>
      </c>
      <c r="D1270" s="546">
        <v>4.1779999999999999</v>
      </c>
      <c r="E1270" s="162" t="s">
        <v>631</v>
      </c>
      <c r="F1270" s="358"/>
      <c r="G1270" s="65"/>
      <c r="H1270" s="73"/>
      <c r="I1270" s="90"/>
      <c r="J1270" s="73"/>
      <c r="K1270" s="790">
        <v>2.9821E-2</v>
      </c>
      <c r="L1270" s="717"/>
      <c r="M1270" s="73"/>
      <c r="N1270" s="359"/>
      <c r="O1270" s="1041"/>
      <c r="P1270" s="73"/>
      <c r="Q1270" s="359"/>
      <c r="R1270" s="1041"/>
      <c r="S1270" s="73"/>
      <c r="T1270" s="359"/>
      <c r="U1270" s="73"/>
      <c r="V1270" s="66"/>
      <c r="W1270" s="788">
        <f t="shared" si="1058"/>
        <v>2.2365750000000002E-5</v>
      </c>
      <c r="X1270" s="789">
        <f t="shared" si="1059"/>
        <v>2.2365750000000002E-5</v>
      </c>
      <c r="Y1270" s="52">
        <v>2005</v>
      </c>
      <c r="Z1270" s="52"/>
      <c r="AA1270" s="787">
        <f t="shared" si="1060"/>
        <v>2.9821000000000001E-5</v>
      </c>
      <c r="AB1270" s="256">
        <v>-0.25</v>
      </c>
      <c r="AC1270" s="688">
        <f t="shared" si="962"/>
        <v>-0.25</v>
      </c>
      <c r="AD1270" s="164"/>
      <c r="AE1270" s="164"/>
      <c r="AF1270" s="25"/>
      <c r="AG1270" s="26"/>
      <c r="AH1270" s="275"/>
      <c r="AI1270" s="52"/>
      <c r="AJ1270" s="35"/>
      <c r="AK1270" s="289"/>
      <c r="AL1270" s="290"/>
      <c r="AM1270" s="211"/>
      <c r="AN1270" s="164"/>
      <c r="AO1270" s="594"/>
      <c r="AP1270" s="595"/>
      <c r="AQ1270" s="275"/>
      <c r="AR1270" s="52"/>
      <c r="AS1270" s="596"/>
      <c r="AT1270" s="79"/>
      <c r="AU1270" s="212"/>
      <c r="AV1270" s="164"/>
      <c r="AW1270" s="164"/>
      <c r="AX1270" s="76"/>
      <c r="AY1270" s="44"/>
      <c r="AZ1270" s="275"/>
      <c r="BA1270" s="52"/>
      <c r="BB1270" s="35"/>
      <c r="BC1270" s="79"/>
      <c r="BD1270" s="230"/>
      <c r="BE1270" s="211"/>
      <c r="BF1270" s="164"/>
      <c r="BG1270" s="76"/>
      <c r="BH1270" s="44"/>
      <c r="BI1270" s="275"/>
      <c r="BJ1270" s="52"/>
      <c r="BK1270" s="35"/>
      <c r="BL1270" s="79"/>
      <c r="BM1270" s="230"/>
      <c r="BN1270" s="211"/>
      <c r="BO1270" s="164"/>
      <c r="BP1270" s="726"/>
      <c r="BQ1270" s="727"/>
      <c r="BR1270" s="299"/>
      <c r="BS1270" s="35"/>
      <c r="BT1270" s="596"/>
      <c r="BU1270" s="79"/>
      <c r="BV1270" s="212"/>
      <c r="BW1270" s="304"/>
      <c r="BX1270" s="313"/>
      <c r="BY1270" s="138"/>
    </row>
    <row r="1271" spans="1:77" ht="15" customHeight="1" outlineLevel="1" x14ac:dyDescent="0.2">
      <c r="A1271" s="57" t="s">
        <v>24</v>
      </c>
      <c r="B1271" s="583" t="s">
        <v>477</v>
      </c>
      <c r="C1271" s="583" t="s">
        <v>1729</v>
      </c>
      <c r="D1271" s="546">
        <v>3.4809999999999999</v>
      </c>
      <c r="E1271" s="162" t="s">
        <v>631</v>
      </c>
      <c r="F1271" s="358"/>
      <c r="G1271" s="65"/>
      <c r="H1271" s="73"/>
      <c r="I1271" s="90"/>
      <c r="J1271" s="73"/>
      <c r="K1271" s="790">
        <v>4.4470000000000003E-2</v>
      </c>
      <c r="L1271" s="717"/>
      <c r="M1271" s="73"/>
      <c r="N1271" s="359"/>
      <c r="O1271" s="1041"/>
      <c r="P1271" s="73"/>
      <c r="Q1271" s="359"/>
      <c r="R1271" s="1041"/>
      <c r="S1271" s="73"/>
      <c r="T1271" s="359"/>
      <c r="U1271" s="73"/>
      <c r="V1271" s="66"/>
      <c r="W1271" s="788"/>
      <c r="X1271" s="789"/>
      <c r="Y1271" s="52"/>
      <c r="Z1271" s="52"/>
      <c r="AA1271" s="787">
        <f t="shared" si="1060"/>
        <v>4.4469999999999999E-5</v>
      </c>
      <c r="AB1271" s="256"/>
      <c r="AC1271" s="688"/>
      <c r="AD1271" s="164"/>
      <c r="AE1271" s="164"/>
      <c r="AF1271" s="25"/>
      <c r="AG1271" s="26"/>
      <c r="AH1271" s="275"/>
      <c r="AI1271" s="52"/>
      <c r="AJ1271" s="35"/>
      <c r="AK1271" s="289"/>
      <c r="AL1271" s="290"/>
      <c r="AM1271" s="211"/>
      <c r="AN1271" s="164"/>
      <c r="AO1271" s="594"/>
      <c r="AP1271" s="595"/>
      <c r="AQ1271" s="275"/>
      <c r="AR1271" s="52"/>
      <c r="AS1271" s="596"/>
      <c r="AT1271" s="79"/>
      <c r="AU1271" s="212"/>
      <c r="AV1271" s="164"/>
      <c r="AW1271" s="164"/>
      <c r="AX1271" s="76"/>
      <c r="AY1271" s="44"/>
      <c r="AZ1271" s="275"/>
      <c r="BA1271" s="52"/>
      <c r="BB1271" s="35"/>
      <c r="BC1271" s="79"/>
      <c r="BD1271" s="230"/>
      <c r="BE1271" s="211"/>
      <c r="BF1271" s="164"/>
      <c r="BG1271" s="76"/>
      <c r="BH1271" s="44"/>
      <c r="BI1271" s="275"/>
      <c r="BJ1271" s="52"/>
      <c r="BK1271" s="35"/>
      <c r="BL1271" s="79"/>
      <c r="BM1271" s="230"/>
      <c r="BN1271" s="211"/>
      <c r="BO1271" s="164"/>
      <c r="BP1271" s="726"/>
      <c r="BQ1271" s="727"/>
      <c r="BR1271" s="299"/>
      <c r="BS1271" s="35"/>
      <c r="BT1271" s="596"/>
      <c r="BU1271" s="79"/>
      <c r="BV1271" s="212"/>
      <c r="BW1271" s="304"/>
      <c r="BX1271" s="313"/>
      <c r="BY1271" s="138"/>
    </row>
    <row r="1272" spans="1:77" ht="15" customHeight="1" outlineLevel="1" x14ac:dyDescent="0.2">
      <c r="A1272" s="57" t="s">
        <v>24</v>
      </c>
      <c r="B1272" s="583" t="s">
        <v>477</v>
      </c>
      <c r="C1272" s="583" t="s">
        <v>1541</v>
      </c>
      <c r="D1272" s="818">
        <v>0.13600000000000001</v>
      </c>
      <c r="E1272" s="162" t="s">
        <v>631</v>
      </c>
      <c r="F1272" s="358"/>
      <c r="G1272" s="65"/>
      <c r="H1272" s="73"/>
      <c r="I1272" s="90"/>
      <c r="J1272" s="73"/>
      <c r="K1272" s="790">
        <v>1.9819999999999998E-3</v>
      </c>
      <c r="L1272" s="717"/>
      <c r="M1272" s="73"/>
      <c r="N1272" s="359"/>
      <c r="O1272" s="1041"/>
      <c r="P1272" s="73"/>
      <c r="Q1272" s="359"/>
      <c r="R1272" s="1041"/>
      <c r="S1272" s="73"/>
      <c r="T1272" s="359"/>
      <c r="U1272" s="73"/>
      <c r="V1272" s="66"/>
      <c r="W1272" s="788">
        <f t="shared" ref="W1272:W1273" si="1061">AA1272*(1+AB1272)</f>
        <v>6.5405999999999986E-7</v>
      </c>
      <c r="X1272" s="789">
        <f t="shared" ref="X1272:X1273" si="1062">AA1272*(1+AC1272)</f>
        <v>6.5405999999999986E-7</v>
      </c>
      <c r="Y1272" s="52">
        <v>2005</v>
      </c>
      <c r="Z1272" s="52"/>
      <c r="AA1272" s="787">
        <f t="shared" ref="AA1272:AA1273" si="1063">+K1272/1000</f>
        <v>1.9819999999999998E-6</v>
      </c>
      <c r="AB1272" s="256">
        <v>-0.67</v>
      </c>
      <c r="AC1272" s="688">
        <f t="shared" si="962"/>
        <v>-0.67</v>
      </c>
      <c r="AD1272" s="164"/>
      <c r="AE1272" s="164"/>
      <c r="AF1272" s="25"/>
      <c r="AG1272" s="26"/>
      <c r="AH1272" s="275"/>
      <c r="AI1272" s="52"/>
      <c r="AJ1272" s="35"/>
      <c r="AK1272" s="289"/>
      <c r="AL1272" s="290"/>
      <c r="AM1272" s="211"/>
      <c r="AN1272" s="164"/>
      <c r="AO1272" s="594"/>
      <c r="AP1272" s="595"/>
      <c r="AQ1272" s="275"/>
      <c r="AR1272" s="52"/>
      <c r="AS1272" s="596"/>
      <c r="AT1272" s="79"/>
      <c r="AU1272" s="212"/>
      <c r="AV1272" s="164"/>
      <c r="AW1272" s="164"/>
      <c r="AX1272" s="76"/>
      <c r="AY1272" s="44"/>
      <c r="AZ1272" s="275"/>
      <c r="BA1272" s="52"/>
      <c r="BB1272" s="35"/>
      <c r="BC1272" s="79"/>
      <c r="BD1272" s="230"/>
      <c r="BE1272" s="211"/>
      <c r="BF1272" s="164"/>
      <c r="BG1272" s="76"/>
      <c r="BH1272" s="44"/>
      <c r="BI1272" s="275"/>
      <c r="BJ1272" s="52"/>
      <c r="BK1272" s="35"/>
      <c r="BL1272" s="79"/>
      <c r="BM1272" s="230"/>
      <c r="BN1272" s="211"/>
      <c r="BO1272" s="164"/>
      <c r="BP1272" s="726"/>
      <c r="BQ1272" s="727"/>
      <c r="BR1272" s="299"/>
      <c r="BS1272" s="35"/>
      <c r="BT1272" s="596"/>
      <c r="BU1272" s="79"/>
      <c r="BV1272" s="212"/>
      <c r="BW1272" s="304"/>
      <c r="BX1272" s="313"/>
      <c r="BY1272" s="138"/>
    </row>
    <row r="1273" spans="1:77" ht="15" customHeight="1" outlineLevel="1" x14ac:dyDescent="0.2">
      <c r="A1273" s="57" t="s">
        <v>24</v>
      </c>
      <c r="B1273" s="583" t="s">
        <v>477</v>
      </c>
      <c r="C1273" s="583" t="s">
        <v>1696</v>
      </c>
      <c r="D1273" s="818">
        <v>11.667999999999999</v>
      </c>
      <c r="E1273" s="162" t="s">
        <v>631</v>
      </c>
      <c r="F1273" s="358"/>
      <c r="G1273" s="65"/>
      <c r="H1273" s="73"/>
      <c r="I1273" s="90"/>
      <c r="J1273" s="73"/>
      <c r="K1273" s="790">
        <v>6.4002000000000003E-2</v>
      </c>
      <c r="L1273" s="717"/>
      <c r="M1273" s="73"/>
      <c r="N1273" s="359"/>
      <c r="O1273" s="1041"/>
      <c r="P1273" s="73"/>
      <c r="Q1273" s="359"/>
      <c r="R1273" s="1041"/>
      <c r="S1273" s="73"/>
      <c r="T1273" s="359"/>
      <c r="U1273" s="73"/>
      <c r="V1273" s="66"/>
      <c r="W1273" s="788">
        <f t="shared" si="1061"/>
        <v>4.8001499999999998E-5</v>
      </c>
      <c r="X1273" s="789">
        <f t="shared" si="1062"/>
        <v>4.8001499999999998E-5</v>
      </c>
      <c r="Y1273" s="52">
        <v>2005</v>
      </c>
      <c r="Z1273" s="52"/>
      <c r="AA1273" s="787">
        <f t="shared" si="1063"/>
        <v>6.4002000000000001E-5</v>
      </c>
      <c r="AB1273" s="256">
        <v>-0.25</v>
      </c>
      <c r="AC1273" s="688">
        <f t="shared" si="962"/>
        <v>-0.25</v>
      </c>
      <c r="AD1273" s="164"/>
      <c r="AE1273" s="164"/>
      <c r="AF1273" s="25"/>
      <c r="AG1273" s="26"/>
      <c r="AH1273" s="275"/>
      <c r="AI1273" s="52"/>
      <c r="AJ1273" s="35"/>
      <c r="AK1273" s="289"/>
      <c r="AL1273" s="290"/>
      <c r="AM1273" s="211"/>
      <c r="AN1273" s="164"/>
      <c r="AO1273" s="594"/>
      <c r="AP1273" s="595"/>
      <c r="AQ1273" s="275"/>
      <c r="AR1273" s="52"/>
      <c r="AS1273" s="596"/>
      <c r="AT1273" s="79"/>
      <c r="AU1273" s="212"/>
      <c r="AV1273" s="164"/>
      <c r="AW1273" s="164"/>
      <c r="AX1273" s="76"/>
      <c r="AY1273" s="44"/>
      <c r="AZ1273" s="275"/>
      <c r="BA1273" s="52"/>
      <c r="BB1273" s="35"/>
      <c r="BC1273" s="79"/>
      <c r="BD1273" s="230"/>
      <c r="BE1273" s="211"/>
      <c r="BF1273" s="164"/>
      <c r="BG1273" s="76"/>
      <c r="BH1273" s="44"/>
      <c r="BI1273" s="275"/>
      <c r="BJ1273" s="52"/>
      <c r="BK1273" s="35"/>
      <c r="BL1273" s="79"/>
      <c r="BM1273" s="230"/>
      <c r="BN1273" s="211"/>
      <c r="BO1273" s="164"/>
      <c r="BP1273" s="726"/>
      <c r="BQ1273" s="727"/>
      <c r="BR1273" s="299"/>
      <c r="BS1273" s="35"/>
      <c r="BT1273" s="596"/>
      <c r="BU1273" s="79"/>
      <c r="BV1273" s="212"/>
      <c r="BW1273" s="304"/>
      <c r="BX1273" s="313"/>
      <c r="BY1273" s="138"/>
    </row>
    <row r="1274" spans="1:77" ht="15" customHeight="1" outlineLevel="1" x14ac:dyDescent="0.2">
      <c r="A1274" s="57" t="s">
        <v>24</v>
      </c>
      <c r="B1274" s="583" t="s">
        <v>477</v>
      </c>
      <c r="C1274" s="583" t="s">
        <v>1512</v>
      </c>
      <c r="D1274" s="818">
        <v>0.21299999999999999</v>
      </c>
      <c r="E1274" s="162" t="s">
        <v>631</v>
      </c>
      <c r="F1274" s="358"/>
      <c r="G1274" s="65"/>
      <c r="H1274" s="73"/>
      <c r="I1274" s="90"/>
      <c r="J1274" s="73"/>
      <c r="K1274" s="790">
        <v>1.08E-3</v>
      </c>
      <c r="L1274" s="717"/>
      <c r="M1274" s="73"/>
      <c r="N1274" s="359"/>
      <c r="O1274" s="1041"/>
      <c r="P1274" s="73"/>
      <c r="Q1274" s="359"/>
      <c r="R1274" s="1041"/>
      <c r="S1274" s="73"/>
      <c r="T1274" s="359"/>
      <c r="U1274" s="73"/>
      <c r="V1274" s="66"/>
      <c r="W1274" s="808">
        <f t="shared" ref="W1274" si="1064">AA1274*(1+AB1274)</f>
        <v>5.1839999999999998E-7</v>
      </c>
      <c r="X1274" s="809">
        <f t="shared" ref="X1274" si="1065">AA1274*(1+AC1274)</f>
        <v>5.1839999999999998E-7</v>
      </c>
      <c r="Y1274" s="52">
        <v>2005</v>
      </c>
      <c r="Z1274" s="52"/>
      <c r="AA1274" s="787">
        <f t="shared" ref="AA1274" si="1066">+K1274/1000</f>
        <v>1.08E-6</v>
      </c>
      <c r="AB1274" s="256">
        <v>-0.52</v>
      </c>
      <c r="AC1274" s="688">
        <f>AB1274</f>
        <v>-0.52</v>
      </c>
      <c r="AD1274" s="164"/>
      <c r="AE1274" s="164"/>
      <c r="AF1274" s="25"/>
      <c r="AG1274" s="26"/>
      <c r="AH1274" s="275"/>
      <c r="AI1274" s="52"/>
      <c r="AJ1274" s="35"/>
      <c r="AK1274" s="289"/>
      <c r="AL1274" s="290"/>
      <c r="AM1274" s="211"/>
      <c r="AN1274" s="164"/>
      <c r="AO1274" s="594"/>
      <c r="AP1274" s="595"/>
      <c r="AQ1274" s="275"/>
      <c r="AR1274" s="52"/>
      <c r="AS1274" s="596"/>
      <c r="AT1274" s="79"/>
      <c r="AU1274" s="212"/>
      <c r="AV1274" s="164"/>
      <c r="AW1274" s="164"/>
      <c r="AX1274" s="76"/>
      <c r="AY1274" s="44"/>
      <c r="AZ1274" s="275"/>
      <c r="BA1274" s="52"/>
      <c r="BB1274" s="35"/>
      <c r="BC1274" s="79"/>
      <c r="BD1274" s="230"/>
      <c r="BE1274" s="211"/>
      <c r="BF1274" s="164"/>
      <c r="BG1274" s="76"/>
      <c r="BH1274" s="44"/>
      <c r="BI1274" s="275"/>
      <c r="BJ1274" s="52"/>
      <c r="BK1274" s="35"/>
      <c r="BL1274" s="79"/>
      <c r="BM1274" s="230"/>
      <c r="BN1274" s="211"/>
      <c r="BO1274" s="164"/>
      <c r="BP1274" s="726"/>
      <c r="BQ1274" s="727"/>
      <c r="BR1274" s="299"/>
      <c r="BS1274" s="35"/>
      <c r="BT1274" s="596"/>
      <c r="BU1274" s="79"/>
      <c r="BV1274" s="212"/>
      <c r="BW1274" s="304"/>
      <c r="BX1274" s="313"/>
      <c r="BY1274" s="138"/>
    </row>
    <row r="1275" spans="1:77" ht="15" customHeight="1" outlineLevel="1" x14ac:dyDescent="0.2">
      <c r="A1275" s="57" t="s">
        <v>24</v>
      </c>
      <c r="B1275" s="583" t="s">
        <v>477</v>
      </c>
      <c r="C1275" s="583" t="s">
        <v>1534</v>
      </c>
      <c r="D1275" s="818">
        <v>0.308</v>
      </c>
      <c r="E1275" s="162" t="s">
        <v>631</v>
      </c>
      <c r="F1275" s="358"/>
      <c r="G1275" s="65"/>
      <c r="H1275" s="73"/>
      <c r="I1275" s="90"/>
      <c r="J1275" s="73"/>
      <c r="K1275" s="790">
        <v>1.142E-3</v>
      </c>
      <c r="L1275" s="717"/>
      <c r="M1275" s="73"/>
      <c r="N1275" s="359"/>
      <c r="O1275" s="1041"/>
      <c r="P1275" s="73"/>
      <c r="Q1275" s="359"/>
      <c r="R1275" s="1041"/>
      <c r="S1275" s="73"/>
      <c r="T1275" s="359"/>
      <c r="U1275" s="73"/>
      <c r="V1275" s="66"/>
      <c r="W1275" s="808">
        <f t="shared" ref="W1275:W1277" si="1067">AA1275*(1+AB1275)</f>
        <v>1.8272000000000004E-7</v>
      </c>
      <c r="X1275" s="809">
        <f t="shared" ref="X1275:X1277" si="1068">AA1275*(1+AC1275)</f>
        <v>1.8272000000000004E-7</v>
      </c>
      <c r="Y1275" s="52">
        <v>2005</v>
      </c>
      <c r="Z1275" s="52"/>
      <c r="AA1275" s="787">
        <f t="shared" ref="AA1275" si="1069">+K1275/1000</f>
        <v>1.142E-6</v>
      </c>
      <c r="AB1275" s="256">
        <v>-0.84</v>
      </c>
      <c r="AC1275" s="688">
        <f t="shared" si="962"/>
        <v>-0.84</v>
      </c>
      <c r="AD1275" s="164"/>
      <c r="AE1275" s="164"/>
      <c r="AF1275" s="25"/>
      <c r="AG1275" s="26"/>
      <c r="AH1275" s="275"/>
      <c r="AI1275" s="52"/>
      <c r="AJ1275" s="35"/>
      <c r="AK1275" s="289"/>
      <c r="AL1275" s="290"/>
      <c r="AM1275" s="211"/>
      <c r="AN1275" s="164"/>
      <c r="AO1275" s="594"/>
      <c r="AP1275" s="595"/>
      <c r="AQ1275" s="275"/>
      <c r="AR1275" s="52"/>
      <c r="AS1275" s="596"/>
      <c r="AT1275" s="79"/>
      <c r="AU1275" s="212"/>
      <c r="AV1275" s="164"/>
      <c r="AW1275" s="164"/>
      <c r="AX1275" s="76"/>
      <c r="AY1275" s="44"/>
      <c r="AZ1275" s="275"/>
      <c r="BA1275" s="52"/>
      <c r="BB1275" s="35"/>
      <c r="BC1275" s="79"/>
      <c r="BD1275" s="230"/>
      <c r="BE1275" s="211"/>
      <c r="BF1275" s="164"/>
      <c r="BG1275" s="76"/>
      <c r="BH1275" s="44"/>
      <c r="BI1275" s="275"/>
      <c r="BJ1275" s="52"/>
      <c r="BK1275" s="35"/>
      <c r="BL1275" s="79"/>
      <c r="BM1275" s="230"/>
      <c r="BN1275" s="211"/>
      <c r="BO1275" s="164"/>
      <c r="BP1275" s="726"/>
      <c r="BQ1275" s="727"/>
      <c r="BR1275" s="299"/>
      <c r="BS1275" s="35"/>
      <c r="BT1275" s="596"/>
      <c r="BU1275" s="79"/>
      <c r="BV1275" s="212"/>
      <c r="BW1275" s="304"/>
      <c r="BX1275" s="313"/>
      <c r="BY1275" s="138"/>
    </row>
    <row r="1276" spans="1:77" ht="15" customHeight="1" outlineLevel="1" x14ac:dyDescent="0.2">
      <c r="A1276" s="57" t="s">
        <v>24</v>
      </c>
      <c r="B1276" s="583" t="s">
        <v>477</v>
      </c>
      <c r="C1276" s="583" t="s">
        <v>1939</v>
      </c>
      <c r="D1276" s="818">
        <v>0.21299999999999999</v>
      </c>
      <c r="E1276" s="162" t="s">
        <v>631</v>
      </c>
      <c r="F1276" s="358"/>
      <c r="G1276" s="65"/>
      <c r="H1276" s="73"/>
      <c r="I1276" s="90"/>
      <c r="J1276" s="73"/>
      <c r="K1276" s="790"/>
      <c r="L1276" s="717"/>
      <c r="M1276" s="73"/>
      <c r="N1276" s="786">
        <v>1.2260000000000001E-3</v>
      </c>
      <c r="O1276" s="1041"/>
      <c r="P1276" s="73"/>
      <c r="Q1276" s="359"/>
      <c r="R1276" s="1041"/>
      <c r="S1276" s="73"/>
      <c r="T1276" s="359"/>
      <c r="U1276" s="73"/>
      <c r="V1276" s="66"/>
      <c r="W1276" s="808">
        <f t="shared" ref="W1276" si="1070">AA1276*(1+AB1276)</f>
        <v>8.9497999999999998E-7</v>
      </c>
      <c r="X1276" s="809">
        <f t="shared" ref="X1276" si="1071">AA1276*(1+AC1276)</f>
        <v>8.9497999999999998E-7</v>
      </c>
      <c r="Y1276" s="52">
        <v>2010</v>
      </c>
      <c r="Z1276" s="52"/>
      <c r="AA1276" s="787">
        <f>+N1276/1000</f>
        <v>1.226E-6</v>
      </c>
      <c r="AB1276" s="256">
        <v>-0.27</v>
      </c>
      <c r="AC1276" s="688">
        <f t="shared" si="962"/>
        <v>-0.27</v>
      </c>
      <c r="AD1276" s="164"/>
      <c r="AE1276" s="164"/>
      <c r="AF1276" s="25"/>
      <c r="AG1276" s="26"/>
      <c r="AH1276" s="275"/>
      <c r="AI1276" s="52"/>
      <c r="AJ1276" s="35"/>
      <c r="AK1276" s="289"/>
      <c r="AL1276" s="290"/>
      <c r="AM1276" s="211"/>
      <c r="AN1276" s="164"/>
      <c r="AO1276" s="594"/>
      <c r="AP1276" s="595"/>
      <c r="AQ1276" s="275"/>
      <c r="AR1276" s="52"/>
      <c r="AS1276" s="596"/>
      <c r="AT1276" s="79"/>
      <c r="AU1276" s="212"/>
      <c r="AV1276" s="164"/>
      <c r="AW1276" s="164"/>
      <c r="AX1276" s="76"/>
      <c r="AY1276" s="44"/>
      <c r="AZ1276" s="275"/>
      <c r="BA1276" s="52"/>
      <c r="BB1276" s="35"/>
      <c r="BC1276" s="79"/>
      <c r="BD1276" s="230"/>
      <c r="BE1276" s="211"/>
      <c r="BF1276" s="164"/>
      <c r="BG1276" s="76"/>
      <c r="BH1276" s="44"/>
      <c r="BI1276" s="275"/>
      <c r="BJ1276" s="52"/>
      <c r="BK1276" s="35"/>
      <c r="BL1276" s="79"/>
      <c r="BM1276" s="230"/>
      <c r="BN1276" s="211"/>
      <c r="BO1276" s="164"/>
      <c r="BP1276" s="726"/>
      <c r="BQ1276" s="727"/>
      <c r="BR1276" s="299"/>
      <c r="BS1276" s="35"/>
      <c r="BT1276" s="596"/>
      <c r="BU1276" s="79"/>
      <c r="BV1276" s="212"/>
      <c r="BW1276" s="304"/>
      <c r="BX1276" s="313"/>
      <c r="BY1276" s="138"/>
    </row>
    <row r="1277" spans="1:77" ht="15" customHeight="1" outlineLevel="1" x14ac:dyDescent="0.2">
      <c r="A1277" s="57" t="s">
        <v>24</v>
      </c>
      <c r="B1277" s="583" t="s">
        <v>477</v>
      </c>
      <c r="C1277" s="583" t="s">
        <v>1787</v>
      </c>
      <c r="D1277" s="818">
        <v>5.3179999999999996</v>
      </c>
      <c r="E1277" s="162" t="s">
        <v>631</v>
      </c>
      <c r="F1277" s="358"/>
      <c r="G1277" s="65"/>
      <c r="H1277" s="73"/>
      <c r="I1277" s="90"/>
      <c r="J1277" s="73"/>
      <c r="K1277" s="790"/>
      <c r="L1277" s="717"/>
      <c r="M1277" s="73"/>
      <c r="N1277" s="786">
        <v>3.7812999999999999E-2</v>
      </c>
      <c r="O1277" s="1041"/>
      <c r="P1277" s="73"/>
      <c r="Q1277" s="786"/>
      <c r="R1277" s="1041"/>
      <c r="S1277" s="73"/>
      <c r="T1277" s="786"/>
      <c r="U1277" s="73"/>
      <c r="V1277" s="66"/>
      <c r="W1277" s="808">
        <f t="shared" si="1067"/>
        <v>2.8359749999999999E-5</v>
      </c>
      <c r="X1277" s="809">
        <f t="shared" si="1068"/>
        <v>2.8359749999999999E-5</v>
      </c>
      <c r="Y1277" s="52">
        <v>2010</v>
      </c>
      <c r="Z1277" s="52"/>
      <c r="AA1277" s="787">
        <f>+N1277/1000</f>
        <v>3.7812999999999999E-5</v>
      </c>
      <c r="AB1277" s="256">
        <v>-0.25</v>
      </c>
      <c r="AC1277" s="688">
        <f t="shared" si="962"/>
        <v>-0.25</v>
      </c>
      <c r="AD1277" s="164"/>
      <c r="AE1277" s="164"/>
      <c r="AF1277" s="25"/>
      <c r="AG1277" s="26"/>
      <c r="AH1277" s="275"/>
      <c r="AI1277" s="52"/>
      <c r="AJ1277" s="35"/>
      <c r="AK1277" s="289"/>
      <c r="AL1277" s="290"/>
      <c r="AM1277" s="211"/>
      <c r="AN1277" s="164"/>
      <c r="AO1277" s="594"/>
      <c r="AP1277" s="595"/>
      <c r="AQ1277" s="275"/>
      <c r="AR1277" s="52"/>
      <c r="AS1277" s="596"/>
      <c r="AT1277" s="79"/>
      <c r="AU1277" s="212"/>
      <c r="AV1277" s="164"/>
      <c r="AW1277" s="164"/>
      <c r="AX1277" s="76"/>
      <c r="AY1277" s="44"/>
      <c r="AZ1277" s="275"/>
      <c r="BA1277" s="52"/>
      <c r="BB1277" s="35"/>
      <c r="BC1277" s="79"/>
      <c r="BD1277" s="230"/>
      <c r="BE1277" s="211"/>
      <c r="BF1277" s="164"/>
      <c r="BG1277" s="76"/>
      <c r="BH1277" s="44"/>
      <c r="BI1277" s="275"/>
      <c r="BJ1277" s="52"/>
      <c r="BK1277" s="35"/>
      <c r="BL1277" s="79"/>
      <c r="BM1277" s="230"/>
      <c r="BN1277" s="211"/>
      <c r="BO1277" s="164"/>
      <c r="BP1277" s="726"/>
      <c r="BQ1277" s="727"/>
      <c r="BR1277" s="299"/>
      <c r="BS1277" s="35"/>
      <c r="BT1277" s="596"/>
      <c r="BU1277" s="79"/>
      <c r="BV1277" s="212"/>
      <c r="BW1277" s="304"/>
      <c r="BX1277" s="313"/>
      <c r="BY1277" s="138"/>
    </row>
    <row r="1278" spans="1:77" ht="15" customHeight="1" outlineLevel="1" x14ac:dyDescent="0.2">
      <c r="A1278" s="57" t="s">
        <v>24</v>
      </c>
      <c r="B1278" s="583" t="s">
        <v>477</v>
      </c>
      <c r="C1278" s="583" t="s">
        <v>1509</v>
      </c>
      <c r="D1278" s="546">
        <v>8.0180000000000007</v>
      </c>
      <c r="E1278" s="162" t="s">
        <v>631</v>
      </c>
      <c r="F1278" s="358"/>
      <c r="G1278" s="65"/>
      <c r="H1278" s="73"/>
      <c r="I1278" s="90"/>
      <c r="J1278" s="73"/>
      <c r="K1278" s="790"/>
      <c r="L1278" s="717"/>
      <c r="M1278" s="73"/>
      <c r="N1278" s="738">
        <v>2.7827000000000001E-2</v>
      </c>
      <c r="O1278" s="1041"/>
      <c r="P1278" s="73"/>
      <c r="Q1278" s="738"/>
      <c r="R1278" s="1041"/>
      <c r="S1278" s="73"/>
      <c r="T1278" s="738"/>
      <c r="U1278" s="73"/>
      <c r="V1278" s="66"/>
      <c r="W1278" s="788">
        <f>AA1278*(1+AB1278)</f>
        <v>1.8644089999999999E-5</v>
      </c>
      <c r="X1278" s="789">
        <f>AA1278*(1+AC1278)</f>
        <v>1.8644089999999999E-5</v>
      </c>
      <c r="Y1278" s="52">
        <v>2010</v>
      </c>
      <c r="Z1278" s="52"/>
      <c r="AA1278" s="739">
        <f>+N1278/1000</f>
        <v>2.7827E-5</v>
      </c>
      <c r="AB1278" s="256">
        <v>-0.33</v>
      </c>
      <c r="AC1278" s="688">
        <f t="shared" si="962"/>
        <v>-0.33</v>
      </c>
      <c r="AD1278" s="164"/>
      <c r="AE1278" s="164"/>
      <c r="AF1278" s="25"/>
      <c r="AG1278" s="26"/>
      <c r="AH1278" s="275"/>
      <c r="AI1278" s="52"/>
      <c r="AJ1278" s="35"/>
      <c r="AK1278" s="289"/>
      <c r="AL1278" s="290"/>
      <c r="AM1278" s="211"/>
      <c r="AN1278" s="164"/>
      <c r="AO1278" s="594"/>
      <c r="AP1278" s="595"/>
      <c r="AQ1278" s="275"/>
      <c r="AR1278" s="52"/>
      <c r="AS1278" s="596"/>
      <c r="AT1278" s="79"/>
      <c r="AU1278" s="212"/>
      <c r="AV1278" s="164"/>
      <c r="AW1278" s="164"/>
      <c r="AX1278" s="76"/>
      <c r="AY1278" s="44"/>
      <c r="AZ1278" s="275"/>
      <c r="BA1278" s="52"/>
      <c r="BB1278" s="35"/>
      <c r="BC1278" s="79"/>
      <c r="BD1278" s="230"/>
      <c r="BE1278" s="211"/>
      <c r="BF1278" s="164"/>
      <c r="BG1278" s="76"/>
      <c r="BH1278" s="44"/>
      <c r="BI1278" s="275"/>
      <c r="BJ1278" s="52"/>
      <c r="BK1278" s="35"/>
      <c r="BL1278" s="79"/>
      <c r="BM1278" s="230"/>
      <c r="BN1278" s="211"/>
      <c r="BO1278" s="164"/>
      <c r="BP1278" s="726"/>
      <c r="BQ1278" s="727"/>
      <c r="BR1278" s="299"/>
      <c r="BS1278" s="35"/>
      <c r="BT1278" s="596"/>
      <c r="BU1278" s="79"/>
      <c r="BV1278" s="212"/>
      <c r="BW1278" s="304"/>
      <c r="BX1278" s="313"/>
      <c r="BY1278" s="138"/>
    </row>
    <row r="1279" spans="1:77" ht="15" customHeight="1" outlineLevel="1" x14ac:dyDescent="0.2">
      <c r="A1279" s="57" t="s">
        <v>24</v>
      </c>
      <c r="B1279" s="583" t="s">
        <v>477</v>
      </c>
      <c r="C1279" s="583" t="s">
        <v>1722</v>
      </c>
      <c r="D1279" s="546">
        <v>2.383</v>
      </c>
      <c r="E1279" s="162" t="s">
        <v>631</v>
      </c>
      <c r="F1279" s="358"/>
      <c r="G1279" s="65"/>
      <c r="H1279" s="73"/>
      <c r="I1279" s="90"/>
      <c r="J1279" s="73"/>
      <c r="K1279" s="790">
        <v>1.9186000000000002E-2</v>
      </c>
      <c r="L1279" s="717"/>
      <c r="M1279" s="73"/>
      <c r="N1279" s="738"/>
      <c r="O1279" s="1041"/>
      <c r="P1279" s="73"/>
      <c r="Q1279" s="738"/>
      <c r="R1279" s="1041"/>
      <c r="S1279" s="73"/>
      <c r="T1279" s="738"/>
      <c r="U1279" s="73"/>
      <c r="V1279" s="66"/>
      <c r="W1279" s="788">
        <f>AA1279*(1+AB1279)</f>
        <v>1.4389500000000002E-5</v>
      </c>
      <c r="X1279" s="789">
        <f>AA1279*(1+AC1279)</f>
        <v>1.4389500000000002E-5</v>
      </c>
      <c r="Y1279" s="52">
        <v>2005</v>
      </c>
      <c r="Z1279" s="52"/>
      <c r="AA1279" s="739">
        <f>+K1279/1000</f>
        <v>1.9186000000000002E-5</v>
      </c>
      <c r="AB1279" s="256">
        <v>-0.25</v>
      </c>
      <c r="AC1279" s="688">
        <f t="shared" si="962"/>
        <v>-0.25</v>
      </c>
      <c r="AD1279" s="164"/>
      <c r="AE1279" s="164"/>
      <c r="AF1279" s="25"/>
      <c r="AG1279" s="26"/>
      <c r="AH1279" s="275"/>
      <c r="AI1279" s="52"/>
      <c r="AJ1279" s="35"/>
      <c r="AK1279" s="289"/>
      <c r="AL1279" s="290"/>
      <c r="AM1279" s="211"/>
      <c r="AN1279" s="164"/>
      <c r="AO1279" s="594"/>
      <c r="AP1279" s="595"/>
      <c r="AQ1279" s="275"/>
      <c r="AR1279" s="52"/>
      <c r="AS1279" s="596"/>
      <c r="AT1279" s="79"/>
      <c r="AU1279" s="212"/>
      <c r="AV1279" s="164"/>
      <c r="AW1279" s="164"/>
      <c r="AX1279" s="76"/>
      <c r="AY1279" s="44"/>
      <c r="AZ1279" s="275"/>
      <c r="BA1279" s="52"/>
      <c r="BB1279" s="35"/>
      <c r="BC1279" s="79"/>
      <c r="BD1279" s="230"/>
      <c r="BE1279" s="211"/>
      <c r="BF1279" s="164"/>
      <c r="BG1279" s="76"/>
      <c r="BH1279" s="44"/>
      <c r="BI1279" s="275"/>
      <c r="BJ1279" s="52"/>
      <c r="BK1279" s="35"/>
      <c r="BL1279" s="79"/>
      <c r="BM1279" s="230"/>
      <c r="BN1279" s="211"/>
      <c r="BO1279" s="164"/>
      <c r="BP1279" s="726"/>
      <c r="BQ1279" s="727"/>
      <c r="BR1279" s="299"/>
      <c r="BS1279" s="35"/>
      <c r="BT1279" s="596"/>
      <c r="BU1279" s="79"/>
      <c r="BV1279" s="212"/>
      <c r="BW1279" s="304"/>
      <c r="BX1279" s="313"/>
      <c r="BY1279" s="138"/>
    </row>
    <row r="1280" spans="1:77" ht="15" customHeight="1" outlineLevel="1" x14ac:dyDescent="0.2">
      <c r="A1280" s="57" t="s">
        <v>24</v>
      </c>
      <c r="B1280" s="583" t="s">
        <v>477</v>
      </c>
      <c r="C1280" s="583" t="s">
        <v>1773</v>
      </c>
      <c r="D1280" s="546">
        <v>12.544</v>
      </c>
      <c r="E1280" s="162" t="s">
        <v>631</v>
      </c>
      <c r="F1280" s="358"/>
      <c r="G1280" s="65"/>
      <c r="H1280" s="73"/>
      <c r="I1280" s="90"/>
      <c r="J1280" s="73"/>
      <c r="K1280" s="790">
        <v>4.5933000000000002E-2</v>
      </c>
      <c r="L1280" s="717"/>
      <c r="M1280" s="73"/>
      <c r="N1280" s="738"/>
      <c r="O1280" s="1041"/>
      <c r="P1280" s="73"/>
      <c r="Q1280" s="738"/>
      <c r="R1280" s="1041"/>
      <c r="S1280" s="73"/>
      <c r="T1280" s="738"/>
      <c r="U1280" s="73"/>
      <c r="V1280" s="66"/>
      <c r="W1280" s="788">
        <f>AA1280*(1+AB1280)</f>
        <v>3.444975E-5</v>
      </c>
      <c r="X1280" s="789">
        <f>AA1280*(1+AC1280)</f>
        <v>3.444975E-5</v>
      </c>
      <c r="Y1280" s="52">
        <v>2005</v>
      </c>
      <c r="Z1280" s="52"/>
      <c r="AA1280" s="739">
        <f>+K1280/1000</f>
        <v>4.5933000000000002E-5</v>
      </c>
      <c r="AB1280" s="256">
        <v>-0.25</v>
      </c>
      <c r="AC1280" s="688">
        <f t="shared" si="962"/>
        <v>-0.25</v>
      </c>
      <c r="AD1280" s="164"/>
      <c r="AE1280" s="164"/>
      <c r="AF1280" s="25"/>
      <c r="AG1280" s="26"/>
      <c r="AH1280" s="275"/>
      <c r="AI1280" s="52"/>
      <c r="AJ1280" s="35"/>
      <c r="AK1280" s="289"/>
      <c r="AL1280" s="290"/>
      <c r="AM1280" s="211"/>
      <c r="AN1280" s="164"/>
      <c r="AO1280" s="594"/>
      <c r="AP1280" s="595"/>
      <c r="AQ1280" s="275"/>
      <c r="AR1280" s="52"/>
      <c r="AS1280" s="596"/>
      <c r="AT1280" s="79"/>
      <c r="AU1280" s="212"/>
      <c r="AV1280" s="164"/>
      <c r="AW1280" s="164"/>
      <c r="AX1280" s="76"/>
      <c r="AY1280" s="44"/>
      <c r="AZ1280" s="275"/>
      <c r="BA1280" s="52"/>
      <c r="BB1280" s="35"/>
      <c r="BC1280" s="79"/>
      <c r="BD1280" s="230"/>
      <c r="BE1280" s="211"/>
      <c r="BF1280" s="164"/>
      <c r="BG1280" s="76"/>
      <c r="BH1280" s="44"/>
      <c r="BI1280" s="275"/>
      <c r="BJ1280" s="52"/>
      <c r="BK1280" s="35"/>
      <c r="BL1280" s="79"/>
      <c r="BM1280" s="230"/>
      <c r="BN1280" s="211"/>
      <c r="BO1280" s="164"/>
      <c r="BP1280" s="726"/>
      <c r="BQ1280" s="727"/>
      <c r="BR1280" s="299"/>
      <c r="BS1280" s="35"/>
      <c r="BT1280" s="596"/>
      <c r="BU1280" s="79"/>
      <c r="BV1280" s="212"/>
      <c r="BW1280" s="304"/>
      <c r="BX1280" s="313"/>
      <c r="BY1280" s="138"/>
    </row>
    <row r="1281" spans="1:77" ht="15" customHeight="1" outlineLevel="1" x14ac:dyDescent="0.2">
      <c r="A1281" s="57" t="s">
        <v>24</v>
      </c>
      <c r="B1281" s="583" t="s">
        <v>477</v>
      </c>
      <c r="C1281" s="583" t="s">
        <v>1526</v>
      </c>
      <c r="D1281" s="818">
        <v>0.22</v>
      </c>
      <c r="E1281" s="162" t="s">
        <v>631</v>
      </c>
      <c r="F1281" s="358"/>
      <c r="G1281" s="65"/>
      <c r="H1281" s="73"/>
      <c r="I1281" s="90"/>
      <c r="J1281" s="73"/>
      <c r="K1281" s="790">
        <v>1.0499999999999999E-3</v>
      </c>
      <c r="L1281" s="717"/>
      <c r="M1281" s="73"/>
      <c r="N1281" s="359"/>
      <c r="O1281" s="1041"/>
      <c r="P1281" s="73"/>
      <c r="Q1281" s="359"/>
      <c r="R1281" s="1041"/>
      <c r="S1281" s="73"/>
      <c r="T1281" s="359"/>
      <c r="U1281" s="73"/>
      <c r="V1281" s="66"/>
      <c r="W1281" s="808">
        <f t="shared" ref="W1281" si="1072">AA1281*(1+AB1281)</f>
        <v>1.2599999999999999E-7</v>
      </c>
      <c r="X1281" s="809">
        <f t="shared" ref="X1281" si="1073">AA1281*(1+AC1281)</f>
        <v>1.2599999999999999E-7</v>
      </c>
      <c r="Y1281" s="52">
        <v>2005</v>
      </c>
      <c r="Z1281" s="52"/>
      <c r="AA1281" s="787">
        <f t="shared" ref="AA1281" si="1074">+K1281/1000</f>
        <v>1.0499999999999999E-6</v>
      </c>
      <c r="AB1281" s="256">
        <v>-0.88</v>
      </c>
      <c r="AC1281" s="688">
        <f t="shared" si="962"/>
        <v>-0.88</v>
      </c>
      <c r="AD1281" s="164"/>
      <c r="AE1281" s="164"/>
      <c r="AF1281" s="25"/>
      <c r="AG1281" s="26"/>
      <c r="AH1281" s="275"/>
      <c r="AI1281" s="52"/>
      <c r="AJ1281" s="35"/>
      <c r="AK1281" s="289"/>
      <c r="AL1281" s="290"/>
      <c r="AM1281" s="211"/>
      <c r="AN1281" s="164"/>
      <c r="AO1281" s="594"/>
      <c r="AP1281" s="595"/>
      <c r="AQ1281" s="275"/>
      <c r="AR1281" s="52"/>
      <c r="AS1281" s="596"/>
      <c r="AT1281" s="79"/>
      <c r="AU1281" s="212"/>
      <c r="AV1281" s="164"/>
      <c r="AW1281" s="164"/>
      <c r="AX1281" s="76"/>
      <c r="AY1281" s="44"/>
      <c r="AZ1281" s="275"/>
      <c r="BA1281" s="52"/>
      <c r="BB1281" s="35"/>
      <c r="BC1281" s="79"/>
      <c r="BD1281" s="230"/>
      <c r="BE1281" s="211"/>
      <c r="BF1281" s="164"/>
      <c r="BG1281" s="76"/>
      <c r="BH1281" s="44"/>
      <c r="BI1281" s="275"/>
      <c r="BJ1281" s="52"/>
      <c r="BK1281" s="35"/>
      <c r="BL1281" s="79"/>
      <c r="BM1281" s="230"/>
      <c r="BN1281" s="211"/>
      <c r="BO1281" s="164"/>
      <c r="BP1281" s="726"/>
      <c r="BQ1281" s="727"/>
      <c r="BR1281" s="299"/>
      <c r="BS1281" s="35"/>
      <c r="BT1281" s="596"/>
      <c r="BU1281" s="79"/>
      <c r="BV1281" s="212"/>
      <c r="BW1281" s="304"/>
      <c r="BX1281" s="313"/>
      <c r="BY1281" s="138"/>
    </row>
    <row r="1282" spans="1:77" ht="15" customHeight="1" outlineLevel="1" x14ac:dyDescent="0.2">
      <c r="A1282" s="57" t="s">
        <v>24</v>
      </c>
      <c r="B1282" s="583" t="s">
        <v>477</v>
      </c>
      <c r="C1282" s="583" t="s">
        <v>1454</v>
      </c>
      <c r="D1282" s="546">
        <v>4.2249999999999996</v>
      </c>
      <c r="E1282" s="162" t="s">
        <v>631</v>
      </c>
      <c r="F1282" s="358"/>
      <c r="G1282" s="65"/>
      <c r="H1282" s="73"/>
      <c r="I1282" s="90">
        <v>2007</v>
      </c>
      <c r="J1282" s="73"/>
      <c r="K1282" s="790">
        <v>2.4573999999999999E-2</v>
      </c>
      <c r="L1282" s="717"/>
      <c r="M1282" s="73"/>
      <c r="N1282" s="359"/>
      <c r="O1282" s="1041"/>
      <c r="P1282" s="73"/>
      <c r="Q1282" s="359"/>
      <c r="R1282" s="1041"/>
      <c r="S1282" s="73"/>
      <c r="T1282" s="359"/>
      <c r="U1282" s="73"/>
      <c r="V1282" s="66"/>
      <c r="W1282" s="740">
        <f t="shared" ref="W1282:W1283" si="1075">AA1282*(1+AB1282)</f>
        <v>1.5481619999999999E-5</v>
      </c>
      <c r="X1282" s="741">
        <f t="shared" ref="X1282:X1283" si="1076">AA1282*(1+AC1282)</f>
        <v>1.5481619999999999E-5</v>
      </c>
      <c r="Y1282" s="52">
        <v>2007</v>
      </c>
      <c r="Z1282" s="52"/>
      <c r="AA1282" s="739">
        <f t="shared" ref="AA1282:AA1283" si="1077">+K1282/1000</f>
        <v>2.4573999999999999E-5</v>
      </c>
      <c r="AB1282" s="256">
        <v>-0.37</v>
      </c>
      <c r="AC1282" s="688">
        <f t="shared" si="962"/>
        <v>-0.37</v>
      </c>
      <c r="AD1282" s="164"/>
      <c r="AE1282" s="164"/>
      <c r="AF1282" s="25"/>
      <c r="AG1282" s="26"/>
      <c r="AH1282" s="275"/>
      <c r="AI1282" s="52"/>
      <c r="AJ1282" s="35"/>
      <c r="AK1282" s="289"/>
      <c r="AL1282" s="290"/>
      <c r="AM1282" s="211"/>
      <c r="AN1282" s="164"/>
      <c r="AO1282" s="594"/>
      <c r="AP1282" s="595"/>
      <c r="AQ1282" s="275"/>
      <c r="AR1282" s="52"/>
      <c r="AS1282" s="596"/>
      <c r="AT1282" s="79"/>
      <c r="AU1282" s="212"/>
      <c r="AV1282" s="164"/>
      <c r="AW1282" s="164"/>
      <c r="AX1282" s="76"/>
      <c r="AY1282" s="44"/>
      <c r="AZ1282" s="275"/>
      <c r="BA1282" s="52"/>
      <c r="BB1282" s="35"/>
      <c r="BC1282" s="79"/>
      <c r="BD1282" s="230"/>
      <c r="BE1282" s="211"/>
      <c r="BF1282" s="164"/>
      <c r="BG1282" s="76"/>
      <c r="BH1282" s="44"/>
      <c r="BI1282" s="275"/>
      <c r="BJ1282" s="52"/>
      <c r="BK1282" s="35"/>
      <c r="BL1282" s="79"/>
      <c r="BM1282" s="230"/>
      <c r="BN1282" s="211"/>
      <c r="BO1282" s="164"/>
      <c r="BP1282" s="726"/>
      <c r="BQ1282" s="727"/>
      <c r="BR1282" s="299"/>
      <c r="BS1282" s="35"/>
      <c r="BT1282" s="596"/>
      <c r="BU1282" s="79"/>
      <c r="BV1282" s="212"/>
      <c r="BW1282" s="304"/>
      <c r="BX1282" s="313"/>
      <c r="BY1282" s="138"/>
    </row>
    <row r="1283" spans="1:77" ht="15" customHeight="1" outlineLevel="1" x14ac:dyDescent="0.2">
      <c r="A1283" s="57" t="s">
        <v>24</v>
      </c>
      <c r="B1283" s="583" t="s">
        <v>477</v>
      </c>
      <c r="C1283" s="583" t="s">
        <v>1894</v>
      </c>
      <c r="D1283" s="546">
        <v>20.082999999999998</v>
      </c>
      <c r="E1283" s="162" t="s">
        <v>631</v>
      </c>
      <c r="F1283" s="358"/>
      <c r="G1283" s="65"/>
      <c r="H1283" s="73"/>
      <c r="I1283" s="90"/>
      <c r="J1283" s="73"/>
      <c r="K1283" s="790">
        <v>0.13341700000000001</v>
      </c>
      <c r="L1283" s="717"/>
      <c r="M1283" s="73"/>
      <c r="N1283" s="359"/>
      <c r="O1283" s="1041"/>
      <c r="P1283" s="73"/>
      <c r="Q1283" s="359"/>
      <c r="R1283" s="1041"/>
      <c r="S1283" s="73"/>
      <c r="T1283" s="359"/>
      <c r="U1283" s="73"/>
      <c r="V1283" s="66"/>
      <c r="W1283" s="740">
        <f t="shared" si="1075"/>
        <v>9.8728580000000007E-5</v>
      </c>
      <c r="X1283" s="741">
        <f t="shared" si="1076"/>
        <v>9.8728580000000007E-5</v>
      </c>
      <c r="Y1283" s="52">
        <v>2005</v>
      </c>
      <c r="Z1283" s="52"/>
      <c r="AA1283" s="739">
        <f t="shared" si="1077"/>
        <v>1.3341700000000001E-4</v>
      </c>
      <c r="AB1283" s="256">
        <v>-0.26</v>
      </c>
      <c r="AC1283" s="688">
        <f t="shared" si="962"/>
        <v>-0.26</v>
      </c>
      <c r="AD1283" s="164"/>
      <c r="AE1283" s="164"/>
      <c r="AF1283" s="25"/>
      <c r="AG1283" s="26"/>
      <c r="AH1283" s="275"/>
      <c r="AI1283" s="52"/>
      <c r="AJ1283" s="35"/>
      <c r="AK1283" s="289"/>
      <c r="AL1283" s="290"/>
      <c r="AM1283" s="211"/>
      <c r="AN1283" s="164"/>
      <c r="AO1283" s="594"/>
      <c r="AP1283" s="595"/>
      <c r="AQ1283" s="275"/>
      <c r="AR1283" s="52"/>
      <c r="AS1283" s="596"/>
      <c r="AT1283" s="79"/>
      <c r="AU1283" s="212"/>
      <c r="AV1283" s="164"/>
      <c r="AW1283" s="164"/>
      <c r="AX1283" s="76"/>
      <c r="AY1283" s="44"/>
      <c r="AZ1283" s="275"/>
      <c r="BA1283" s="52"/>
      <c r="BB1283" s="35"/>
      <c r="BC1283" s="79"/>
      <c r="BD1283" s="230"/>
      <c r="BE1283" s="211"/>
      <c r="BF1283" s="164"/>
      <c r="BG1283" s="76"/>
      <c r="BH1283" s="44"/>
      <c r="BI1283" s="275"/>
      <c r="BJ1283" s="52"/>
      <c r="BK1283" s="35"/>
      <c r="BL1283" s="79"/>
      <c r="BM1283" s="230"/>
      <c r="BN1283" s="211"/>
      <c r="BO1283" s="164"/>
      <c r="BP1283" s="726"/>
      <c r="BQ1283" s="727"/>
      <c r="BR1283" s="299"/>
      <c r="BS1283" s="35"/>
      <c r="BT1283" s="596"/>
      <c r="BU1283" s="79"/>
      <c r="BV1283" s="212"/>
      <c r="BW1283" s="304"/>
      <c r="BX1283" s="313"/>
      <c r="BY1283" s="138"/>
    </row>
    <row r="1284" spans="1:77" ht="15" customHeight="1" outlineLevel="1" x14ac:dyDescent="0.2">
      <c r="A1284" s="57" t="s">
        <v>24</v>
      </c>
      <c r="B1284" s="583" t="s">
        <v>477</v>
      </c>
      <c r="C1284" s="583" t="s">
        <v>2016</v>
      </c>
      <c r="D1284" s="546">
        <v>13.606999999999999</v>
      </c>
      <c r="E1284" s="162" t="s">
        <v>631</v>
      </c>
      <c r="F1284" s="358"/>
      <c r="G1284" s="65"/>
      <c r="H1284" s="73"/>
      <c r="I1284" s="90"/>
      <c r="J1284" s="73"/>
      <c r="K1284" s="790"/>
      <c r="L1284" s="717"/>
      <c r="M1284" s="73"/>
      <c r="N1284" s="359">
        <v>9.9181000000000005E-2</v>
      </c>
      <c r="O1284" s="1041"/>
      <c r="P1284" s="73"/>
      <c r="Q1284" s="359"/>
      <c r="R1284" s="1041"/>
      <c r="S1284" s="73"/>
      <c r="T1284" s="359"/>
      <c r="U1284" s="73"/>
      <c r="V1284" s="66"/>
      <c r="W1284" s="740">
        <f t="shared" ref="W1284" si="1078">AA1284*(1+AB1284)</f>
        <v>7.1410320000000004E-5</v>
      </c>
      <c r="X1284" s="741">
        <f t="shared" ref="X1284" si="1079">AA1284*(1+AC1284)</f>
        <v>7.1410320000000004E-5</v>
      </c>
      <c r="Y1284" s="52">
        <v>2010</v>
      </c>
      <c r="Z1284" s="52"/>
      <c r="AA1284" s="739">
        <f>+N1284/1000</f>
        <v>9.9181000000000011E-5</v>
      </c>
      <c r="AB1284" s="256">
        <v>-0.28000000000000003</v>
      </c>
      <c r="AC1284" s="688">
        <f t="shared" si="962"/>
        <v>-0.28000000000000003</v>
      </c>
      <c r="AD1284" s="164"/>
      <c r="AE1284" s="164"/>
      <c r="AF1284" s="25"/>
      <c r="AG1284" s="26"/>
      <c r="AH1284" s="275"/>
      <c r="AI1284" s="52"/>
      <c r="AJ1284" s="35"/>
      <c r="AK1284" s="289"/>
      <c r="AL1284" s="290"/>
      <c r="AM1284" s="211"/>
      <c r="AN1284" s="164"/>
      <c r="AO1284" s="594"/>
      <c r="AP1284" s="595"/>
      <c r="AQ1284" s="275"/>
      <c r="AR1284" s="52"/>
      <c r="AS1284" s="596"/>
      <c r="AT1284" s="79"/>
      <c r="AU1284" s="212"/>
      <c r="AV1284" s="164"/>
      <c r="AW1284" s="164"/>
      <c r="AX1284" s="76"/>
      <c r="AY1284" s="44"/>
      <c r="AZ1284" s="275"/>
      <c r="BA1284" s="52"/>
      <c r="BB1284" s="35"/>
      <c r="BC1284" s="79"/>
      <c r="BD1284" s="230"/>
      <c r="BE1284" s="211"/>
      <c r="BF1284" s="164"/>
      <c r="BG1284" s="76"/>
      <c r="BH1284" s="44"/>
      <c r="BI1284" s="275"/>
      <c r="BJ1284" s="52"/>
      <c r="BK1284" s="35"/>
      <c r="BL1284" s="79"/>
      <c r="BM1284" s="230"/>
      <c r="BN1284" s="211"/>
      <c r="BO1284" s="164"/>
      <c r="BP1284" s="726"/>
      <c r="BQ1284" s="727"/>
      <c r="BR1284" s="299"/>
      <c r="BS1284" s="35"/>
      <c r="BT1284" s="596"/>
      <c r="BU1284" s="79"/>
      <c r="BV1284" s="212"/>
      <c r="BW1284" s="304"/>
      <c r="BX1284" s="313"/>
      <c r="BY1284" s="138"/>
    </row>
    <row r="1285" spans="1:77" ht="15" customHeight="1" outlineLevel="1" x14ac:dyDescent="0.2">
      <c r="A1285" s="57" t="s">
        <v>24</v>
      </c>
      <c r="B1285" s="583" t="s">
        <v>477</v>
      </c>
      <c r="C1285" s="583" t="s">
        <v>1453</v>
      </c>
      <c r="D1285" s="546">
        <v>0.55200000000000005</v>
      </c>
      <c r="E1285" s="162" t="s">
        <v>631</v>
      </c>
      <c r="F1285" s="358"/>
      <c r="G1285" s="65"/>
      <c r="H1285" s="73"/>
      <c r="I1285" s="90"/>
      <c r="J1285" s="73"/>
      <c r="K1285" s="790">
        <v>4.2430000000000002E-3</v>
      </c>
      <c r="L1285" s="717"/>
      <c r="M1285" s="73"/>
      <c r="N1285" s="359"/>
      <c r="O1285" s="1041"/>
      <c r="P1285" s="73"/>
      <c r="Q1285" s="359"/>
      <c r="R1285" s="1041"/>
      <c r="S1285" s="73"/>
      <c r="T1285" s="359"/>
      <c r="U1285" s="73"/>
      <c r="V1285" s="66"/>
      <c r="W1285" s="788">
        <f t="shared" ref="W1285" si="1080">AA1285*(1+AB1285)</f>
        <v>2.9700999999999997E-6</v>
      </c>
      <c r="X1285" s="789">
        <f t="shared" ref="X1285" si="1081">AA1285*(1+AC1285)</f>
        <v>2.9700999999999997E-6</v>
      </c>
      <c r="Y1285" s="52">
        <v>2005</v>
      </c>
      <c r="Z1285" s="52"/>
      <c r="AA1285" s="787">
        <f t="shared" ref="AA1285" si="1082">+K1285/1000</f>
        <v>4.2429999999999999E-6</v>
      </c>
      <c r="AB1285" s="256">
        <v>-0.3</v>
      </c>
      <c r="AC1285" s="688">
        <f t="shared" si="962"/>
        <v>-0.3</v>
      </c>
      <c r="AD1285" s="164"/>
      <c r="AE1285" s="164"/>
      <c r="AF1285" s="25"/>
      <c r="AG1285" s="26"/>
      <c r="AH1285" s="275"/>
      <c r="AI1285" s="52"/>
      <c r="AJ1285" s="35"/>
      <c r="AK1285" s="289"/>
      <c r="AL1285" s="290"/>
      <c r="AM1285" s="211"/>
      <c r="AN1285" s="164"/>
      <c r="AO1285" s="594"/>
      <c r="AP1285" s="595"/>
      <c r="AQ1285" s="275"/>
      <c r="AR1285" s="52"/>
      <c r="AS1285" s="596"/>
      <c r="AT1285" s="79"/>
      <c r="AU1285" s="212"/>
      <c r="AV1285" s="164"/>
      <c r="AW1285" s="164"/>
      <c r="AX1285" s="76"/>
      <c r="AY1285" s="44"/>
      <c r="AZ1285" s="275"/>
      <c r="BA1285" s="52"/>
      <c r="BB1285" s="35"/>
      <c r="BC1285" s="79"/>
      <c r="BD1285" s="230"/>
      <c r="BE1285" s="211"/>
      <c r="BF1285" s="164"/>
      <c r="BG1285" s="76"/>
      <c r="BH1285" s="44"/>
      <c r="BI1285" s="275"/>
      <c r="BJ1285" s="52"/>
      <c r="BK1285" s="35"/>
      <c r="BL1285" s="79"/>
      <c r="BM1285" s="230"/>
      <c r="BN1285" s="211"/>
      <c r="BO1285" s="164"/>
      <c r="BP1285" s="726"/>
      <c r="BQ1285" s="727"/>
      <c r="BR1285" s="299"/>
      <c r="BS1285" s="35"/>
      <c r="BT1285" s="596"/>
      <c r="BU1285" s="79"/>
      <c r="BV1285" s="212"/>
      <c r="BW1285" s="304"/>
      <c r="BX1285" s="313"/>
      <c r="BY1285" s="138"/>
    </row>
    <row r="1286" spans="1:77" ht="15" customHeight="1" outlineLevel="1" x14ac:dyDescent="0.2">
      <c r="A1286" s="57" t="s">
        <v>24</v>
      </c>
      <c r="B1286" s="583" t="s">
        <v>477</v>
      </c>
      <c r="C1286" s="583" t="s">
        <v>1506</v>
      </c>
      <c r="D1286" s="546">
        <v>9.08</v>
      </c>
      <c r="E1286" s="162" t="s">
        <v>631</v>
      </c>
      <c r="F1286" s="358"/>
      <c r="G1286" s="65"/>
      <c r="H1286" s="73"/>
      <c r="I1286" s="90"/>
      <c r="J1286" s="73"/>
      <c r="K1286" s="734">
        <v>4.9179E-2</v>
      </c>
      <c r="L1286" s="717"/>
      <c r="M1286" s="73"/>
      <c r="N1286" s="359"/>
      <c r="O1286" s="1041"/>
      <c r="P1286" s="73"/>
      <c r="Q1286" s="359"/>
      <c r="R1286" s="1041"/>
      <c r="S1286" s="73"/>
      <c r="T1286" s="359"/>
      <c r="U1286" s="73"/>
      <c r="V1286" s="66"/>
      <c r="W1286" s="740">
        <f t="shared" ref="W1286" si="1083">AA1286*(1+AB1286)</f>
        <v>3.2458139999999996E-5</v>
      </c>
      <c r="X1286" s="741">
        <f t="shared" ref="X1286" si="1084">AA1286*(1+AC1286)</f>
        <v>3.2458139999999996E-5</v>
      </c>
      <c r="Y1286" s="52">
        <v>2005</v>
      </c>
      <c r="Z1286" s="52"/>
      <c r="AA1286" s="739">
        <f t="shared" ref="AA1286" si="1085">+K1286/1000</f>
        <v>4.9178999999999998E-5</v>
      </c>
      <c r="AB1286" s="256">
        <v>-0.34</v>
      </c>
      <c r="AC1286" s="688">
        <f t="shared" si="962"/>
        <v>-0.34</v>
      </c>
      <c r="AD1286" s="164"/>
      <c r="AE1286" s="164"/>
      <c r="AF1286" s="25"/>
      <c r="AG1286" s="26"/>
      <c r="AH1286" s="275"/>
      <c r="AI1286" s="52"/>
      <c r="AJ1286" s="35"/>
      <c r="AK1286" s="289"/>
      <c r="AL1286" s="290"/>
      <c r="AM1286" s="211"/>
      <c r="AN1286" s="164"/>
      <c r="AO1286" s="594"/>
      <c r="AP1286" s="595"/>
      <c r="AQ1286" s="275"/>
      <c r="AR1286" s="52"/>
      <c r="AS1286" s="596"/>
      <c r="AT1286" s="79"/>
      <c r="AU1286" s="212"/>
      <c r="AV1286" s="164"/>
      <c r="AW1286" s="164"/>
      <c r="AX1286" s="76"/>
      <c r="AY1286" s="44"/>
      <c r="AZ1286" s="275"/>
      <c r="BA1286" s="52"/>
      <c r="BB1286" s="35"/>
      <c r="BC1286" s="79"/>
      <c r="BD1286" s="230"/>
      <c r="BE1286" s="211"/>
      <c r="BF1286" s="164"/>
      <c r="BG1286" s="76"/>
      <c r="BH1286" s="44"/>
      <c r="BI1286" s="275"/>
      <c r="BJ1286" s="52"/>
      <c r="BK1286" s="35"/>
      <c r="BL1286" s="79"/>
      <c r="BM1286" s="230"/>
      <c r="BN1286" s="211"/>
      <c r="BO1286" s="164"/>
      <c r="BP1286" s="726"/>
      <c r="BQ1286" s="727"/>
      <c r="BR1286" s="299"/>
      <c r="BS1286" s="35"/>
      <c r="BT1286" s="596"/>
      <c r="BU1286" s="79"/>
      <c r="BV1286" s="212"/>
      <c r="BW1286" s="304"/>
      <c r="BX1286" s="313"/>
      <c r="BY1286" s="138"/>
    </row>
    <row r="1287" spans="1:77" ht="15" customHeight="1" outlineLevel="1" x14ac:dyDescent="0.2">
      <c r="A1287" s="57" t="s">
        <v>24</v>
      </c>
      <c r="B1287" s="583" t="s">
        <v>461</v>
      </c>
      <c r="C1287" s="57"/>
      <c r="D1287" s="546">
        <v>1663</v>
      </c>
      <c r="E1287" s="162" t="s">
        <v>2248</v>
      </c>
      <c r="F1287" s="358"/>
      <c r="G1287" s="65"/>
      <c r="H1287" s="73">
        <v>19.5</v>
      </c>
      <c r="I1287" s="90"/>
      <c r="J1287" s="73"/>
      <c r="K1287" s="66"/>
      <c r="L1287" s="717">
        <v>2013</v>
      </c>
      <c r="M1287" s="73"/>
      <c r="N1287" s="359">
        <v>17.239999999999998</v>
      </c>
      <c r="O1287" s="1041">
        <v>2013</v>
      </c>
      <c r="P1287" s="73"/>
      <c r="Q1287" s="359">
        <v>17.239999999999998</v>
      </c>
      <c r="R1287" s="1041"/>
      <c r="S1287" s="73"/>
      <c r="T1287" s="359"/>
      <c r="U1287" s="73"/>
      <c r="V1287" s="66"/>
      <c r="W1287" s="594"/>
      <c r="X1287" s="595"/>
      <c r="Y1287" s="52"/>
      <c r="Z1287" s="52"/>
      <c r="AA1287" s="596"/>
      <c r="AB1287" s="256"/>
      <c r="AC1287" s="688"/>
      <c r="AD1287" s="164"/>
      <c r="AE1287" s="164"/>
      <c r="AF1287" s="25"/>
      <c r="AG1287" s="26"/>
      <c r="AH1287" s="275"/>
      <c r="AI1287" s="52"/>
      <c r="AJ1287" s="35"/>
      <c r="AK1287" s="289"/>
      <c r="AL1287" s="290"/>
      <c r="AM1287" s="211"/>
      <c r="AN1287" s="164"/>
      <c r="AO1287" s="594">
        <f>AS1287*(1+AT1287)</f>
        <v>9.75E-3</v>
      </c>
      <c r="AP1287" s="595">
        <f>AS1287*(1+AU1287)</f>
        <v>9.75E-3</v>
      </c>
      <c r="AQ1287" s="275">
        <v>1990</v>
      </c>
      <c r="AR1287" s="52"/>
      <c r="AS1287" s="596">
        <f>+H1287/1000</f>
        <v>1.95E-2</v>
      </c>
      <c r="AT1287" s="79">
        <v>-0.5</v>
      </c>
      <c r="AU1287" s="212">
        <f>AT1287</f>
        <v>-0.5</v>
      </c>
      <c r="AV1287" s="164"/>
      <c r="AW1287" s="164"/>
      <c r="AX1287" s="76"/>
      <c r="AY1287" s="44"/>
      <c r="AZ1287" s="275"/>
      <c r="BA1287" s="52"/>
      <c r="BB1287" s="35"/>
      <c r="BC1287" s="79"/>
      <c r="BD1287" s="230"/>
      <c r="BE1287" s="211"/>
      <c r="BF1287" s="164"/>
      <c r="BG1287" s="76"/>
      <c r="BH1287" s="44"/>
      <c r="BI1287" s="275"/>
      <c r="BJ1287" s="52"/>
      <c r="BK1287" s="35"/>
      <c r="BL1287" s="79"/>
      <c r="BM1287" s="230"/>
      <c r="BN1287" s="211"/>
      <c r="BO1287" s="164"/>
      <c r="BP1287" s="726">
        <f>+BT1287*(1+BU1287)</f>
        <v>3.3150000000000007E-3</v>
      </c>
      <c r="BQ1287" s="727">
        <f>BT1287*(1+BV1287)</f>
        <v>3.3150000000000007E-3</v>
      </c>
      <c r="BR1287" s="299">
        <v>1990</v>
      </c>
      <c r="BS1287" s="35"/>
      <c r="BT1287" s="596">
        <f>+H1287/1000</f>
        <v>1.95E-2</v>
      </c>
      <c r="BU1287" s="79">
        <v>-0.83</v>
      </c>
      <c r="BV1287" s="212">
        <f>BU1287</f>
        <v>-0.83</v>
      </c>
      <c r="BW1287" s="304"/>
      <c r="BX1287" s="313"/>
      <c r="BY1287" s="138"/>
    </row>
    <row r="1288" spans="1:77" ht="15" customHeight="1" outlineLevel="1" x14ac:dyDescent="0.2">
      <c r="A1288" s="57" t="s">
        <v>24</v>
      </c>
      <c r="B1288" s="583" t="s">
        <v>477</v>
      </c>
      <c r="C1288" s="583" t="s">
        <v>2044</v>
      </c>
      <c r="D1288" s="546">
        <v>0.81399999999999995</v>
      </c>
      <c r="E1288" s="162" t="s">
        <v>631</v>
      </c>
      <c r="F1288" s="358"/>
      <c r="G1288" s="65"/>
      <c r="H1288" s="73"/>
      <c r="I1288" s="90"/>
      <c r="J1288" s="73"/>
      <c r="K1288" s="66"/>
      <c r="L1288" s="717"/>
      <c r="M1288" s="73"/>
      <c r="N1288" s="811">
        <v>3.9760000000000004E-3</v>
      </c>
      <c r="O1288" s="1041"/>
      <c r="P1288" s="73"/>
      <c r="Q1288" s="359"/>
      <c r="R1288" s="1041"/>
      <c r="S1288" s="73"/>
      <c r="T1288" s="359"/>
      <c r="U1288" s="73"/>
      <c r="V1288" s="66"/>
      <c r="W1288" s="788">
        <f>AA1288*(1+AB1288)</f>
        <v>2.8627200000000003E-6</v>
      </c>
      <c r="X1288" s="789">
        <f>AA1288*(1+AC1288)</f>
        <v>2.8627200000000003E-6</v>
      </c>
      <c r="Y1288" s="52">
        <v>2010</v>
      </c>
      <c r="Z1288" s="52"/>
      <c r="AA1288" s="787">
        <f>+N1288/1000</f>
        <v>3.9760000000000006E-6</v>
      </c>
      <c r="AB1288" s="256">
        <v>-0.28000000000000003</v>
      </c>
      <c r="AC1288" s="688">
        <v>-0.28000000000000003</v>
      </c>
      <c r="AD1288" s="164"/>
      <c r="AE1288" s="164"/>
      <c r="AF1288" s="25"/>
      <c r="AG1288" s="26"/>
      <c r="AH1288" s="275"/>
      <c r="AI1288" s="52"/>
      <c r="AJ1288" s="35"/>
      <c r="AK1288" s="289"/>
      <c r="AL1288" s="290"/>
      <c r="AM1288" s="211"/>
      <c r="AN1288" s="164"/>
      <c r="AO1288" s="594"/>
      <c r="AP1288" s="595"/>
      <c r="AQ1288" s="275"/>
      <c r="AR1288" s="52"/>
      <c r="AS1288" s="596"/>
      <c r="AT1288" s="79"/>
      <c r="AU1288" s="212"/>
      <c r="AV1288" s="164"/>
      <c r="AW1288" s="164"/>
      <c r="AX1288" s="76"/>
      <c r="AY1288" s="44"/>
      <c r="AZ1288" s="275"/>
      <c r="BA1288" s="52"/>
      <c r="BB1288" s="35"/>
      <c r="BC1288" s="79"/>
      <c r="BD1288" s="230"/>
      <c r="BE1288" s="211"/>
      <c r="BF1288" s="164"/>
      <c r="BG1288" s="76"/>
      <c r="BH1288" s="44"/>
      <c r="BI1288" s="275"/>
      <c r="BJ1288" s="52"/>
      <c r="BK1288" s="35"/>
      <c r="BL1288" s="79"/>
      <c r="BM1288" s="230"/>
      <c r="BN1288" s="211"/>
      <c r="BO1288" s="164"/>
      <c r="BP1288" s="726"/>
      <c r="BQ1288" s="727"/>
      <c r="BR1288" s="299"/>
      <c r="BS1288" s="35"/>
      <c r="BT1288" s="596"/>
      <c r="BU1288" s="79"/>
      <c r="BV1288" s="212"/>
      <c r="BW1288" s="304"/>
      <c r="BX1288" s="313"/>
      <c r="BY1288" s="138"/>
    </row>
    <row r="1289" spans="1:77" ht="15" customHeight="1" outlineLevel="1" x14ac:dyDescent="0.2">
      <c r="A1289" s="57" t="s">
        <v>24</v>
      </c>
      <c r="B1289" s="583" t="s">
        <v>477</v>
      </c>
      <c r="C1289" s="583" t="s">
        <v>1429</v>
      </c>
      <c r="D1289" s="546">
        <v>2.5259999999999998</v>
      </c>
      <c r="E1289" s="162" t="s">
        <v>631</v>
      </c>
      <c r="F1289" s="358"/>
      <c r="G1289" s="65"/>
      <c r="H1289" s="73"/>
      <c r="I1289" s="90"/>
      <c r="J1289" s="73"/>
      <c r="K1289" s="66"/>
      <c r="L1289" s="717">
        <v>2008</v>
      </c>
      <c r="M1289" s="73"/>
      <c r="N1289" s="786">
        <v>3.6900000000000001E-3</v>
      </c>
      <c r="O1289" s="1041"/>
      <c r="P1289" s="73"/>
      <c r="Q1289" s="786"/>
      <c r="R1289" s="1041"/>
      <c r="S1289" s="73"/>
      <c r="T1289" s="786"/>
      <c r="U1289" s="73"/>
      <c r="V1289" s="66"/>
      <c r="W1289" s="788">
        <f>AA1289*(1+AB1289)</f>
        <v>0</v>
      </c>
      <c r="X1289" s="789">
        <f>AA1289*(1+AC1289)</f>
        <v>0</v>
      </c>
      <c r="Y1289" s="52">
        <v>2008</v>
      </c>
      <c r="Z1289" s="52"/>
      <c r="AA1289" s="787">
        <f>+N1289/1000</f>
        <v>3.6900000000000002E-6</v>
      </c>
      <c r="AB1289" s="256">
        <v>-1</v>
      </c>
      <c r="AC1289" s="688">
        <f>AB1289</f>
        <v>-1</v>
      </c>
      <c r="AD1289" s="164"/>
      <c r="AE1289" s="164"/>
      <c r="AF1289" s="25"/>
      <c r="AG1289" s="26"/>
      <c r="AH1289" s="275"/>
      <c r="AI1289" s="52"/>
      <c r="AJ1289" s="35"/>
      <c r="AK1289" s="289"/>
      <c r="AL1289" s="290"/>
      <c r="AM1289" s="211"/>
      <c r="AN1289" s="164"/>
      <c r="AO1289" s="594"/>
      <c r="AP1289" s="595"/>
      <c r="AQ1289" s="275"/>
      <c r="AR1289" s="52"/>
      <c r="AS1289" s="596"/>
      <c r="AT1289" s="79"/>
      <c r="AU1289" s="212"/>
      <c r="AV1289" s="164"/>
      <c r="AW1289" s="164"/>
      <c r="AX1289" s="76"/>
      <c r="AY1289" s="44"/>
      <c r="AZ1289" s="275"/>
      <c r="BA1289" s="52"/>
      <c r="BB1289" s="35"/>
      <c r="BC1289" s="79"/>
      <c r="BD1289" s="230"/>
      <c r="BE1289" s="211"/>
      <c r="BF1289" s="164"/>
      <c r="BG1289" s="76"/>
      <c r="BH1289" s="44"/>
      <c r="BI1289" s="275"/>
      <c r="BJ1289" s="52"/>
      <c r="BK1289" s="35"/>
      <c r="BL1289" s="79"/>
      <c r="BM1289" s="230"/>
      <c r="BN1289" s="211"/>
      <c r="BO1289" s="164"/>
      <c r="BP1289" s="726"/>
      <c r="BQ1289" s="727"/>
      <c r="BR1289" s="299"/>
      <c r="BS1289" s="35"/>
      <c r="BT1289" s="596"/>
      <c r="BU1289" s="79"/>
      <c r="BV1289" s="212"/>
      <c r="BW1289" s="304"/>
      <c r="BX1289" s="313"/>
      <c r="BY1289" s="138"/>
    </row>
    <row r="1290" spans="1:77" ht="15" customHeight="1" outlineLevel="1" x14ac:dyDescent="0.2">
      <c r="A1290" s="57" t="s">
        <v>24</v>
      </c>
      <c r="B1290" s="583" t="s">
        <v>477</v>
      </c>
      <c r="C1290" s="583" t="s">
        <v>1432</v>
      </c>
      <c r="D1290" s="818">
        <v>0.435</v>
      </c>
      <c r="E1290" s="162" t="s">
        <v>631</v>
      </c>
      <c r="F1290" s="358"/>
      <c r="G1290" s="65"/>
      <c r="H1290" s="73"/>
      <c r="I1290" s="90">
        <v>2006</v>
      </c>
      <c r="J1290" s="73"/>
      <c r="K1290" s="790">
        <v>5.6068000000000003E-4</v>
      </c>
      <c r="L1290" s="717"/>
      <c r="M1290" s="73"/>
      <c r="N1290" s="359"/>
      <c r="O1290" s="1041"/>
      <c r="P1290" s="73"/>
      <c r="Q1290" s="359"/>
      <c r="R1290" s="1041"/>
      <c r="S1290" s="73"/>
      <c r="T1290" s="359"/>
      <c r="U1290" s="73"/>
      <c r="V1290" s="66"/>
      <c r="W1290" s="808">
        <f>AA1290*(1+AB1290)</f>
        <v>3.9247600000000003E-7</v>
      </c>
      <c r="X1290" s="809">
        <f>AA1290*(1+AC1290)</f>
        <v>3.9247600000000003E-7</v>
      </c>
      <c r="Y1290" s="52">
        <v>2006</v>
      </c>
      <c r="Z1290" s="52"/>
      <c r="AA1290" s="787">
        <f>+K1290/1000</f>
        <v>5.6068000000000007E-7</v>
      </c>
      <c r="AB1290" s="256">
        <v>-0.3</v>
      </c>
      <c r="AC1290" s="688">
        <f>AB1290</f>
        <v>-0.3</v>
      </c>
      <c r="AD1290" s="164"/>
      <c r="AE1290" s="164"/>
      <c r="AF1290" s="25"/>
      <c r="AG1290" s="26"/>
      <c r="AH1290" s="275"/>
      <c r="AI1290" s="52"/>
      <c r="AJ1290" s="35"/>
      <c r="AK1290" s="289"/>
      <c r="AL1290" s="290"/>
      <c r="AM1290" s="211"/>
      <c r="AN1290" s="164"/>
      <c r="AO1290" s="594"/>
      <c r="AP1290" s="595"/>
      <c r="AQ1290" s="275"/>
      <c r="AR1290" s="52"/>
      <c r="AS1290" s="596"/>
      <c r="AT1290" s="79"/>
      <c r="AU1290" s="212"/>
      <c r="AV1290" s="164"/>
      <c r="AW1290" s="164"/>
      <c r="AX1290" s="76"/>
      <c r="AY1290" s="44"/>
      <c r="AZ1290" s="275"/>
      <c r="BA1290" s="52"/>
      <c r="BB1290" s="35"/>
      <c r="BC1290" s="79"/>
      <c r="BD1290" s="230"/>
      <c r="BE1290" s="211"/>
      <c r="BF1290" s="164"/>
      <c r="BG1290" s="76"/>
      <c r="BH1290" s="44"/>
      <c r="BI1290" s="275"/>
      <c r="BJ1290" s="52"/>
      <c r="BK1290" s="35"/>
      <c r="BL1290" s="79"/>
      <c r="BM1290" s="230"/>
      <c r="BN1290" s="211"/>
      <c r="BO1290" s="164"/>
      <c r="BP1290" s="726"/>
      <c r="BQ1290" s="727"/>
      <c r="BR1290" s="299"/>
      <c r="BS1290" s="35"/>
      <c r="BT1290" s="596"/>
      <c r="BU1290" s="79"/>
      <c r="BV1290" s="212"/>
      <c r="BW1290" s="304"/>
      <c r="BX1290" s="313"/>
      <c r="BY1290" s="138"/>
    </row>
    <row r="1291" spans="1:77" ht="15" customHeight="1" outlineLevel="1" x14ac:dyDescent="0.2">
      <c r="A1291" s="57" t="s">
        <v>24</v>
      </c>
      <c r="B1291" s="583" t="s">
        <v>477</v>
      </c>
      <c r="C1291" s="583" t="s">
        <v>1433</v>
      </c>
      <c r="D1291" s="546">
        <v>0.875</v>
      </c>
      <c r="E1291" s="162" t="s">
        <v>631</v>
      </c>
      <c r="F1291" s="358"/>
      <c r="G1291" s="65"/>
      <c r="H1291" s="73"/>
      <c r="I1291" s="90"/>
      <c r="J1291" s="73"/>
      <c r="K1291" s="66"/>
      <c r="L1291" s="717">
        <v>2008</v>
      </c>
      <c r="M1291" s="73"/>
      <c r="N1291" s="786">
        <v>1.157E-3</v>
      </c>
      <c r="O1291" s="1041"/>
      <c r="P1291" s="73"/>
      <c r="Q1291" s="786"/>
      <c r="R1291" s="1041"/>
      <c r="S1291" s="73"/>
      <c r="T1291" s="786"/>
      <c r="U1291" s="73"/>
      <c r="V1291" s="66"/>
      <c r="W1291" s="788">
        <f t="shared" ref="W1291" si="1086">AA1291*(1+AB1291)</f>
        <v>7.1734000000000004E-7</v>
      </c>
      <c r="X1291" s="789">
        <f t="shared" ref="X1291" si="1087">AA1291*(1+AC1291)</f>
        <v>7.1734000000000004E-7</v>
      </c>
      <c r="Y1291" s="52">
        <v>2008</v>
      </c>
      <c r="Z1291" s="52"/>
      <c r="AA1291" s="787">
        <f>+N1291/1000</f>
        <v>1.1570000000000001E-6</v>
      </c>
      <c r="AB1291" s="256">
        <v>-0.38</v>
      </c>
      <c r="AC1291" s="688">
        <f t="shared" ref="AC1291:AC1345" si="1088">AB1291</f>
        <v>-0.38</v>
      </c>
      <c r="AD1291" s="164"/>
      <c r="AE1291" s="164"/>
      <c r="AF1291" s="25"/>
      <c r="AG1291" s="26"/>
      <c r="AH1291" s="275"/>
      <c r="AI1291" s="52"/>
      <c r="AJ1291" s="35"/>
      <c r="AK1291" s="289"/>
      <c r="AL1291" s="290"/>
      <c r="AM1291" s="211"/>
      <c r="AN1291" s="164"/>
      <c r="AO1291" s="594"/>
      <c r="AP1291" s="595"/>
      <c r="AQ1291" s="275"/>
      <c r="AR1291" s="52"/>
      <c r="AS1291" s="596"/>
      <c r="AT1291" s="79"/>
      <c r="AU1291" s="212"/>
      <c r="AV1291" s="164"/>
      <c r="AW1291" s="164"/>
      <c r="AX1291" s="76"/>
      <c r="AY1291" s="44"/>
      <c r="AZ1291" s="275"/>
      <c r="BA1291" s="52"/>
      <c r="BB1291" s="35"/>
      <c r="BC1291" s="79"/>
      <c r="BD1291" s="230"/>
      <c r="BE1291" s="211"/>
      <c r="BF1291" s="164"/>
      <c r="BG1291" s="76"/>
      <c r="BH1291" s="44"/>
      <c r="BI1291" s="275"/>
      <c r="BJ1291" s="52"/>
      <c r="BK1291" s="35"/>
      <c r="BL1291" s="79"/>
      <c r="BM1291" s="230"/>
      <c r="BN1291" s="211"/>
      <c r="BO1291" s="164"/>
      <c r="BP1291" s="726"/>
      <c r="BQ1291" s="727"/>
      <c r="BR1291" s="299"/>
      <c r="BS1291" s="35"/>
      <c r="BT1291" s="596"/>
      <c r="BU1291" s="79"/>
      <c r="BV1291" s="212"/>
      <c r="BW1291" s="304"/>
      <c r="BX1291" s="313"/>
      <c r="BY1291" s="138"/>
    </row>
    <row r="1292" spans="1:77" ht="15" customHeight="1" outlineLevel="1" x14ac:dyDescent="0.2">
      <c r="A1292" s="57" t="s">
        <v>24</v>
      </c>
      <c r="B1292" s="583" t="s">
        <v>477</v>
      </c>
      <c r="C1292" s="583" t="s">
        <v>1434</v>
      </c>
      <c r="D1292" s="818">
        <v>9.5000000000000001E-2</v>
      </c>
      <c r="E1292" s="162" t="s">
        <v>631</v>
      </c>
      <c r="F1292" s="358"/>
      <c r="G1292" s="65"/>
      <c r="H1292" s="73"/>
      <c r="I1292" s="90">
        <v>2006</v>
      </c>
      <c r="J1292" s="73"/>
      <c r="K1292" s="815">
        <v>2.1588999999999999E-4</v>
      </c>
      <c r="L1292" s="717"/>
      <c r="M1292" s="73"/>
      <c r="N1292" s="359"/>
      <c r="O1292" s="1041"/>
      <c r="P1292" s="73"/>
      <c r="Q1292" s="359"/>
      <c r="R1292" s="1041"/>
      <c r="S1292" s="73"/>
      <c r="T1292" s="359"/>
      <c r="U1292" s="73"/>
      <c r="V1292" s="66"/>
      <c r="W1292" s="808">
        <f>AA1292*(1+AB1292)</f>
        <v>7.7720399999999992E-8</v>
      </c>
      <c r="X1292" s="809">
        <f>AA1292*(1+AC1292)</f>
        <v>7.7720399999999992E-8</v>
      </c>
      <c r="Y1292" s="52">
        <v>2006</v>
      </c>
      <c r="Z1292" s="52"/>
      <c r="AA1292" s="807">
        <f>+K1292/1000</f>
        <v>2.1588999999999998E-7</v>
      </c>
      <c r="AB1292" s="256">
        <v>-0.64</v>
      </c>
      <c r="AC1292" s="688">
        <f>AB1292</f>
        <v>-0.64</v>
      </c>
      <c r="AD1292" s="164"/>
      <c r="AE1292" s="164"/>
      <c r="AF1292" s="25"/>
      <c r="AG1292" s="26"/>
      <c r="AH1292" s="275"/>
      <c r="AI1292" s="52"/>
      <c r="AJ1292" s="35"/>
      <c r="AK1292" s="289"/>
      <c r="AL1292" s="290"/>
      <c r="AM1292" s="211"/>
      <c r="AN1292" s="164"/>
      <c r="AO1292" s="594"/>
      <c r="AP1292" s="595"/>
      <c r="AQ1292" s="275"/>
      <c r="AR1292" s="52"/>
      <c r="AS1292" s="596"/>
      <c r="AT1292" s="79"/>
      <c r="AU1292" s="212"/>
      <c r="AV1292" s="164"/>
      <c r="AW1292" s="164"/>
      <c r="AX1292" s="76"/>
      <c r="AY1292" s="44"/>
      <c r="AZ1292" s="275"/>
      <c r="BA1292" s="52"/>
      <c r="BB1292" s="35"/>
      <c r="BC1292" s="79"/>
      <c r="BD1292" s="230"/>
      <c r="BE1292" s="211"/>
      <c r="BF1292" s="164"/>
      <c r="BG1292" s="76"/>
      <c r="BH1292" s="44"/>
      <c r="BI1292" s="275"/>
      <c r="BJ1292" s="52"/>
      <c r="BK1292" s="35"/>
      <c r="BL1292" s="79"/>
      <c r="BM1292" s="230"/>
      <c r="BN1292" s="211"/>
      <c r="BO1292" s="164"/>
      <c r="BP1292" s="726"/>
      <c r="BQ1292" s="727"/>
      <c r="BR1292" s="299"/>
      <c r="BS1292" s="35"/>
      <c r="BT1292" s="596"/>
      <c r="BU1292" s="79"/>
      <c r="BV1292" s="212"/>
      <c r="BW1292" s="304"/>
      <c r="BX1292" s="313"/>
      <c r="BY1292" s="138"/>
    </row>
    <row r="1293" spans="1:77" ht="15" customHeight="1" outlineLevel="1" x14ac:dyDescent="0.2">
      <c r="A1293" s="57" t="s">
        <v>24</v>
      </c>
      <c r="B1293" s="583" t="s">
        <v>477</v>
      </c>
      <c r="C1293" s="583" t="s">
        <v>1312</v>
      </c>
      <c r="D1293" s="546">
        <v>0.72</v>
      </c>
      <c r="E1293" s="162" t="s">
        <v>631</v>
      </c>
      <c r="F1293" s="358"/>
      <c r="G1293" s="65"/>
      <c r="H1293" s="73"/>
      <c r="I1293" s="90"/>
      <c r="J1293" s="73"/>
      <c r="K1293" s="66"/>
      <c r="L1293" s="717">
        <v>2008</v>
      </c>
      <c r="M1293" s="73"/>
      <c r="N1293" s="786">
        <v>2.2030000000000001E-3</v>
      </c>
      <c r="O1293" s="1041"/>
      <c r="P1293" s="73"/>
      <c r="Q1293" s="786"/>
      <c r="R1293" s="1041"/>
      <c r="S1293" s="73"/>
      <c r="T1293" s="786"/>
      <c r="U1293" s="73"/>
      <c r="V1293" s="66"/>
      <c r="W1293" s="788">
        <f t="shared" ref="W1293" si="1089">AA1293*(1+AB1293)</f>
        <v>1.5200699999999999E-6</v>
      </c>
      <c r="X1293" s="789">
        <f t="shared" ref="X1293" si="1090">AA1293*(1+AC1293)</f>
        <v>1.5200699999999999E-6</v>
      </c>
      <c r="Y1293" s="52">
        <v>2008</v>
      </c>
      <c r="Z1293" s="52"/>
      <c r="AA1293" s="787">
        <f>+N1293/1000</f>
        <v>2.2029999999999999E-6</v>
      </c>
      <c r="AB1293" s="256">
        <v>-0.31</v>
      </c>
      <c r="AC1293" s="688">
        <f t="shared" si="1088"/>
        <v>-0.31</v>
      </c>
      <c r="AD1293" s="164"/>
      <c r="AE1293" s="164"/>
      <c r="AF1293" s="25"/>
      <c r="AG1293" s="26"/>
      <c r="AH1293" s="275"/>
      <c r="AI1293" s="52"/>
      <c r="AJ1293" s="35"/>
      <c r="AK1293" s="289"/>
      <c r="AL1293" s="290"/>
      <c r="AM1293" s="211"/>
      <c r="AN1293" s="164"/>
      <c r="AO1293" s="594"/>
      <c r="AP1293" s="595"/>
      <c r="AQ1293" s="275"/>
      <c r="AR1293" s="52"/>
      <c r="AS1293" s="596"/>
      <c r="AT1293" s="79"/>
      <c r="AU1293" s="212"/>
      <c r="AV1293" s="164"/>
      <c r="AW1293" s="164"/>
      <c r="AX1293" s="76"/>
      <c r="AY1293" s="44"/>
      <c r="AZ1293" s="275"/>
      <c r="BA1293" s="52"/>
      <c r="BB1293" s="35"/>
      <c r="BC1293" s="79"/>
      <c r="BD1293" s="230"/>
      <c r="BE1293" s="211"/>
      <c r="BF1293" s="164"/>
      <c r="BG1293" s="76"/>
      <c r="BH1293" s="44"/>
      <c r="BI1293" s="275"/>
      <c r="BJ1293" s="52"/>
      <c r="BK1293" s="35"/>
      <c r="BL1293" s="79"/>
      <c r="BM1293" s="230"/>
      <c r="BN1293" s="211"/>
      <c r="BO1293" s="164"/>
      <c r="BP1293" s="726"/>
      <c r="BQ1293" s="727"/>
      <c r="BR1293" s="299"/>
      <c r="BS1293" s="35"/>
      <c r="BT1293" s="596"/>
      <c r="BU1293" s="79"/>
      <c r="BV1293" s="212"/>
      <c r="BW1293" s="304"/>
      <c r="BX1293" s="313"/>
      <c r="BY1293" s="138"/>
    </row>
    <row r="1294" spans="1:77" ht="15" customHeight="1" outlineLevel="1" x14ac:dyDescent="0.2">
      <c r="A1294" s="57" t="s">
        <v>24</v>
      </c>
      <c r="B1294" s="583" t="s">
        <v>477</v>
      </c>
      <c r="C1294" s="583" t="s">
        <v>1421</v>
      </c>
      <c r="D1294" s="546">
        <v>0.67100000000000004</v>
      </c>
      <c r="E1294" s="162" t="s">
        <v>631</v>
      </c>
      <c r="F1294" s="358"/>
      <c r="G1294" s="65"/>
      <c r="H1294" s="73"/>
      <c r="I1294" s="90">
        <v>2006</v>
      </c>
      <c r="J1294" s="73"/>
      <c r="K1294" s="790">
        <v>1.0660000000000001E-3</v>
      </c>
      <c r="L1294" s="717"/>
      <c r="M1294" s="73"/>
      <c r="N1294" s="359"/>
      <c r="O1294" s="1041"/>
      <c r="P1294" s="73"/>
      <c r="Q1294" s="359"/>
      <c r="R1294" s="1041"/>
      <c r="S1294" s="73"/>
      <c r="T1294" s="359"/>
      <c r="U1294" s="73"/>
      <c r="V1294" s="66"/>
      <c r="W1294" s="808">
        <f>AA1294*(1+AB1294)</f>
        <v>1.2792E-7</v>
      </c>
      <c r="X1294" s="809">
        <f>AA1294*(1+AC1294)</f>
        <v>1.2792E-7</v>
      </c>
      <c r="Y1294" s="52">
        <v>2006</v>
      </c>
      <c r="Z1294" s="52"/>
      <c r="AA1294" s="787">
        <f>+K1294/1000</f>
        <v>1.066E-6</v>
      </c>
      <c r="AB1294" s="256">
        <v>-0.88</v>
      </c>
      <c r="AC1294" s="688">
        <f>AB1294</f>
        <v>-0.88</v>
      </c>
      <c r="AD1294" s="164"/>
      <c r="AE1294" s="164"/>
      <c r="AF1294" s="25"/>
      <c r="AG1294" s="26"/>
      <c r="AH1294" s="275"/>
      <c r="AI1294" s="52"/>
      <c r="AJ1294" s="35"/>
      <c r="AK1294" s="289"/>
      <c r="AL1294" s="290"/>
      <c r="AM1294" s="211"/>
      <c r="AN1294" s="164"/>
      <c r="AO1294" s="594"/>
      <c r="AP1294" s="595"/>
      <c r="AQ1294" s="275"/>
      <c r="AR1294" s="52"/>
      <c r="AS1294" s="596"/>
      <c r="AT1294" s="79"/>
      <c r="AU1294" s="212"/>
      <c r="AV1294" s="164"/>
      <c r="AW1294" s="164"/>
      <c r="AX1294" s="76"/>
      <c r="AY1294" s="44"/>
      <c r="AZ1294" s="275"/>
      <c r="BA1294" s="52"/>
      <c r="BB1294" s="35"/>
      <c r="BC1294" s="79"/>
      <c r="BD1294" s="230"/>
      <c r="BE1294" s="211"/>
      <c r="BF1294" s="164"/>
      <c r="BG1294" s="76"/>
      <c r="BH1294" s="44"/>
      <c r="BI1294" s="275"/>
      <c r="BJ1294" s="52"/>
      <c r="BK1294" s="35"/>
      <c r="BL1294" s="79"/>
      <c r="BM1294" s="230"/>
      <c r="BN1294" s="211"/>
      <c r="BO1294" s="164"/>
      <c r="BP1294" s="726"/>
      <c r="BQ1294" s="727"/>
      <c r="BR1294" s="299"/>
      <c r="BS1294" s="35"/>
      <c r="BT1294" s="596"/>
      <c r="BU1294" s="79"/>
      <c r="BV1294" s="212"/>
      <c r="BW1294" s="304"/>
      <c r="BX1294" s="313"/>
      <c r="BY1294" s="138"/>
    </row>
    <row r="1295" spans="1:77" ht="15" customHeight="1" outlineLevel="1" x14ac:dyDescent="0.2">
      <c r="A1295" s="57" t="s">
        <v>24</v>
      </c>
      <c r="B1295" s="583" t="s">
        <v>477</v>
      </c>
      <c r="C1295" s="583" t="s">
        <v>1906</v>
      </c>
      <c r="D1295" s="546">
        <v>2.0089999999999999</v>
      </c>
      <c r="E1295" s="162" t="s">
        <v>631</v>
      </c>
      <c r="F1295" s="358"/>
      <c r="G1295" s="65"/>
      <c r="H1295" s="73"/>
      <c r="I1295" s="90"/>
      <c r="J1295" s="73"/>
      <c r="K1295" s="790"/>
      <c r="L1295" s="717"/>
      <c r="M1295" s="73"/>
      <c r="N1295" s="359">
        <v>8.7360000000000007E-3</v>
      </c>
      <c r="O1295" s="1041"/>
      <c r="P1295" s="73"/>
      <c r="Q1295" s="359"/>
      <c r="R1295" s="1041"/>
      <c r="S1295" s="73"/>
      <c r="T1295" s="359"/>
      <c r="U1295" s="73"/>
      <c r="V1295" s="66"/>
      <c r="W1295" s="788">
        <f>AA1295*(1+AB1295)</f>
        <v>6.4646400000000002E-6</v>
      </c>
      <c r="X1295" s="789">
        <f>AA1295*(1+AC1295)</f>
        <v>6.4646400000000002E-6</v>
      </c>
      <c r="Y1295" s="52">
        <v>2010</v>
      </c>
      <c r="Z1295" s="52"/>
      <c r="AA1295" s="787">
        <f>+N1295/1000</f>
        <v>8.7360000000000007E-6</v>
      </c>
      <c r="AB1295" s="256">
        <v>-0.26</v>
      </c>
      <c r="AC1295" s="688">
        <f>AB1295</f>
        <v>-0.26</v>
      </c>
      <c r="AD1295" s="164"/>
      <c r="AE1295" s="164"/>
      <c r="AF1295" s="25"/>
      <c r="AG1295" s="26"/>
      <c r="AH1295" s="275"/>
      <c r="AI1295" s="52"/>
      <c r="AJ1295" s="35"/>
      <c r="AK1295" s="289"/>
      <c r="AL1295" s="290"/>
      <c r="AM1295" s="211"/>
      <c r="AN1295" s="164"/>
      <c r="AO1295" s="594"/>
      <c r="AP1295" s="595"/>
      <c r="AQ1295" s="275"/>
      <c r="AR1295" s="52"/>
      <c r="AS1295" s="596"/>
      <c r="AT1295" s="79"/>
      <c r="AU1295" s="212"/>
      <c r="AV1295" s="164"/>
      <c r="AW1295" s="164"/>
      <c r="AX1295" s="76"/>
      <c r="AY1295" s="44"/>
      <c r="AZ1295" s="275"/>
      <c r="BA1295" s="52"/>
      <c r="BB1295" s="35"/>
      <c r="BC1295" s="79"/>
      <c r="BD1295" s="230"/>
      <c r="BE1295" s="211"/>
      <c r="BF1295" s="164"/>
      <c r="BG1295" s="76"/>
      <c r="BH1295" s="44"/>
      <c r="BI1295" s="275"/>
      <c r="BJ1295" s="52"/>
      <c r="BK1295" s="35"/>
      <c r="BL1295" s="79"/>
      <c r="BM1295" s="230"/>
      <c r="BN1295" s="211"/>
      <c r="BO1295" s="164"/>
      <c r="BP1295" s="726"/>
      <c r="BQ1295" s="727"/>
      <c r="BR1295" s="299"/>
      <c r="BS1295" s="35"/>
      <c r="BT1295" s="596"/>
      <c r="BU1295" s="79"/>
      <c r="BV1295" s="212"/>
      <c r="BW1295" s="304"/>
      <c r="BX1295" s="313"/>
      <c r="BY1295" s="138"/>
    </row>
    <row r="1296" spans="1:77" ht="15" customHeight="1" outlineLevel="1" x14ac:dyDescent="0.2">
      <c r="A1296" s="57" t="s">
        <v>24</v>
      </c>
      <c r="B1296" s="583" t="s">
        <v>477</v>
      </c>
      <c r="C1296" s="583" t="s">
        <v>1390</v>
      </c>
      <c r="D1296" s="546">
        <v>2.9409999999999998</v>
      </c>
      <c r="E1296" s="162" t="s">
        <v>631</v>
      </c>
      <c r="F1296" s="358"/>
      <c r="G1296" s="65"/>
      <c r="H1296" s="73"/>
      <c r="I1296" s="90"/>
      <c r="J1296" s="73"/>
      <c r="K1296" s="66"/>
      <c r="L1296" s="717"/>
      <c r="M1296" s="73"/>
      <c r="N1296" s="786">
        <v>8.2140000000000008E-3</v>
      </c>
      <c r="O1296" s="1041"/>
      <c r="P1296" s="73"/>
      <c r="Q1296" s="786"/>
      <c r="R1296" s="1041"/>
      <c r="S1296" s="73"/>
      <c r="T1296" s="786"/>
      <c r="U1296" s="73"/>
      <c r="V1296" s="66"/>
      <c r="W1296" s="788">
        <f t="shared" ref="W1296:W1299" si="1091">AA1296*(1+AB1296)</f>
        <v>1.8892200000000002E-6</v>
      </c>
      <c r="X1296" s="789">
        <f t="shared" ref="X1296:X1299" si="1092">AA1296*(1+AC1296)</f>
        <v>1.8892200000000002E-6</v>
      </c>
      <c r="Y1296" s="52">
        <v>2010</v>
      </c>
      <c r="Z1296" s="52"/>
      <c r="AA1296" s="787">
        <f>+N1296/1000</f>
        <v>8.2140000000000013E-6</v>
      </c>
      <c r="AB1296" s="256">
        <v>-0.77</v>
      </c>
      <c r="AC1296" s="688">
        <f t="shared" si="1088"/>
        <v>-0.77</v>
      </c>
      <c r="AD1296" s="164"/>
      <c r="AE1296" s="164"/>
      <c r="AF1296" s="25"/>
      <c r="AG1296" s="26"/>
      <c r="AH1296" s="275"/>
      <c r="AI1296" s="52"/>
      <c r="AJ1296" s="35"/>
      <c r="AK1296" s="289"/>
      <c r="AL1296" s="290"/>
      <c r="AM1296" s="211"/>
      <c r="AN1296" s="164"/>
      <c r="AO1296" s="594"/>
      <c r="AP1296" s="595"/>
      <c r="AQ1296" s="275"/>
      <c r="AR1296" s="52"/>
      <c r="AS1296" s="596"/>
      <c r="AT1296" s="79"/>
      <c r="AU1296" s="212"/>
      <c r="AV1296" s="164"/>
      <c r="AW1296" s="164"/>
      <c r="AX1296" s="76"/>
      <c r="AY1296" s="44"/>
      <c r="AZ1296" s="275"/>
      <c r="BA1296" s="52"/>
      <c r="BB1296" s="35"/>
      <c r="BC1296" s="79"/>
      <c r="BD1296" s="230"/>
      <c r="BE1296" s="211"/>
      <c r="BF1296" s="164"/>
      <c r="BG1296" s="76"/>
      <c r="BH1296" s="44"/>
      <c r="BI1296" s="275"/>
      <c r="BJ1296" s="52"/>
      <c r="BK1296" s="35"/>
      <c r="BL1296" s="79"/>
      <c r="BM1296" s="230"/>
      <c r="BN1296" s="211"/>
      <c r="BO1296" s="164"/>
      <c r="BP1296" s="726"/>
      <c r="BQ1296" s="727"/>
      <c r="BR1296" s="299"/>
      <c r="BS1296" s="35"/>
      <c r="BT1296" s="596"/>
      <c r="BU1296" s="79"/>
      <c r="BV1296" s="212"/>
      <c r="BW1296" s="304"/>
      <c r="BX1296" s="313"/>
      <c r="BY1296" s="138"/>
    </row>
    <row r="1297" spans="1:77" ht="15" customHeight="1" outlineLevel="1" x14ac:dyDescent="0.2">
      <c r="A1297" s="57" t="s">
        <v>24</v>
      </c>
      <c r="B1297" s="583" t="s">
        <v>477</v>
      </c>
      <c r="C1297" s="583" t="s">
        <v>1599</v>
      </c>
      <c r="D1297" s="546">
        <v>1.306</v>
      </c>
      <c r="E1297" s="162" t="s">
        <v>631</v>
      </c>
      <c r="F1297" s="358"/>
      <c r="G1297" s="65"/>
      <c r="H1297" s="73"/>
      <c r="I1297" s="90"/>
      <c r="J1297" s="73"/>
      <c r="K1297" s="66"/>
      <c r="L1297" s="717"/>
      <c r="M1297" s="73"/>
      <c r="N1297" s="786">
        <v>3.7989999999999999E-3</v>
      </c>
      <c r="O1297" s="1041"/>
      <c r="P1297" s="73"/>
      <c r="Q1297" s="786"/>
      <c r="R1297" s="1041"/>
      <c r="S1297" s="73"/>
      <c r="T1297" s="786"/>
      <c r="U1297" s="73"/>
      <c r="V1297" s="66"/>
      <c r="W1297" s="788">
        <f t="shared" ref="W1297" si="1093">AA1297*(1+AB1297)</f>
        <v>2.3933699999999998E-6</v>
      </c>
      <c r="X1297" s="789">
        <f t="shared" ref="X1297" si="1094">AA1297*(1+AC1297)</f>
        <v>2.3933699999999998E-6</v>
      </c>
      <c r="Y1297" s="52">
        <v>2010</v>
      </c>
      <c r="Z1297" s="52"/>
      <c r="AA1297" s="787">
        <f>+N1297/1000</f>
        <v>3.799E-6</v>
      </c>
      <c r="AB1297" s="256">
        <v>-0.37</v>
      </c>
      <c r="AC1297" s="688">
        <f t="shared" ref="AC1297" si="1095">AB1297</f>
        <v>-0.37</v>
      </c>
      <c r="AD1297" s="164"/>
      <c r="AE1297" s="164"/>
      <c r="AF1297" s="25"/>
      <c r="AG1297" s="26"/>
      <c r="AH1297" s="275"/>
      <c r="AI1297" s="52"/>
      <c r="AJ1297" s="35"/>
      <c r="AK1297" s="289"/>
      <c r="AL1297" s="290"/>
      <c r="AM1297" s="211"/>
      <c r="AN1297" s="164"/>
      <c r="AO1297" s="594"/>
      <c r="AP1297" s="595"/>
      <c r="AQ1297" s="275"/>
      <c r="AR1297" s="52"/>
      <c r="AS1297" s="596"/>
      <c r="AT1297" s="79"/>
      <c r="AU1297" s="212"/>
      <c r="AV1297" s="164"/>
      <c r="AW1297" s="164"/>
      <c r="AX1297" s="76"/>
      <c r="AY1297" s="44"/>
      <c r="AZ1297" s="275"/>
      <c r="BA1297" s="52"/>
      <c r="BB1297" s="35"/>
      <c r="BC1297" s="79"/>
      <c r="BD1297" s="230"/>
      <c r="BE1297" s="211"/>
      <c r="BF1297" s="164"/>
      <c r="BG1297" s="76"/>
      <c r="BH1297" s="44"/>
      <c r="BI1297" s="275"/>
      <c r="BJ1297" s="52"/>
      <c r="BK1297" s="35"/>
      <c r="BL1297" s="79"/>
      <c r="BM1297" s="230"/>
      <c r="BN1297" s="211"/>
      <c r="BO1297" s="164"/>
      <c r="BP1297" s="726"/>
      <c r="BQ1297" s="727"/>
      <c r="BR1297" s="299"/>
      <c r="BS1297" s="35"/>
      <c r="BT1297" s="596"/>
      <c r="BU1297" s="79"/>
      <c r="BV1297" s="212"/>
      <c r="BW1297" s="304"/>
      <c r="BX1297" s="313"/>
      <c r="BY1297" s="138"/>
    </row>
    <row r="1298" spans="1:77" ht="15" customHeight="1" outlineLevel="1" x14ac:dyDescent="0.2">
      <c r="A1298" s="57" t="s">
        <v>24</v>
      </c>
      <c r="B1298" s="583" t="s">
        <v>477</v>
      </c>
      <c r="C1298" s="583" t="s">
        <v>1596</v>
      </c>
      <c r="D1298" s="546">
        <v>3.7280000000000002</v>
      </c>
      <c r="E1298" s="162" t="s">
        <v>631</v>
      </c>
      <c r="F1298" s="358"/>
      <c r="G1298" s="65"/>
      <c r="H1298" s="73"/>
      <c r="I1298" s="90"/>
      <c r="J1298" s="73"/>
      <c r="K1298" s="66"/>
      <c r="L1298" s="717"/>
      <c r="M1298" s="73"/>
      <c r="N1298" s="738">
        <v>1.3506000000000001E-2</v>
      </c>
      <c r="O1298" s="1041"/>
      <c r="P1298" s="73"/>
      <c r="Q1298" s="738"/>
      <c r="R1298" s="1041"/>
      <c r="S1298" s="73"/>
      <c r="T1298" s="738"/>
      <c r="U1298" s="73"/>
      <c r="V1298" s="66"/>
      <c r="W1298" s="788">
        <f t="shared" ref="W1298" si="1096">AA1298*(1+AB1298)</f>
        <v>7.4283000000000014E-6</v>
      </c>
      <c r="X1298" s="789">
        <f t="shared" ref="X1298" si="1097">AA1298*(1+AC1298)</f>
        <v>7.4283000000000014E-6</v>
      </c>
      <c r="Y1298" s="52">
        <v>2010</v>
      </c>
      <c r="Z1298" s="52"/>
      <c r="AA1298" s="739">
        <f>+N1298/1000</f>
        <v>1.3506000000000001E-5</v>
      </c>
      <c r="AB1298" s="256">
        <v>-0.45</v>
      </c>
      <c r="AC1298" s="688">
        <f t="shared" ref="AC1298" si="1098">AB1298</f>
        <v>-0.45</v>
      </c>
      <c r="AD1298" s="164"/>
      <c r="AE1298" s="164"/>
      <c r="AF1298" s="25"/>
      <c r="AG1298" s="26"/>
      <c r="AH1298" s="275"/>
      <c r="AI1298" s="52"/>
      <c r="AJ1298" s="35"/>
      <c r="AK1298" s="289"/>
      <c r="AL1298" s="290"/>
      <c r="AM1298" s="211"/>
      <c r="AN1298" s="164"/>
      <c r="AO1298" s="594"/>
      <c r="AP1298" s="595"/>
      <c r="AQ1298" s="275"/>
      <c r="AR1298" s="52"/>
      <c r="AS1298" s="596"/>
      <c r="AT1298" s="79"/>
      <c r="AU1298" s="212"/>
      <c r="AV1298" s="164"/>
      <c r="AW1298" s="164"/>
      <c r="AX1298" s="76"/>
      <c r="AY1298" s="44"/>
      <c r="AZ1298" s="275"/>
      <c r="BA1298" s="52"/>
      <c r="BB1298" s="35"/>
      <c r="BC1298" s="79"/>
      <c r="BD1298" s="230"/>
      <c r="BE1298" s="211"/>
      <c r="BF1298" s="164"/>
      <c r="BG1298" s="76"/>
      <c r="BH1298" s="44"/>
      <c r="BI1298" s="275"/>
      <c r="BJ1298" s="52"/>
      <c r="BK1298" s="35"/>
      <c r="BL1298" s="79"/>
      <c r="BM1298" s="230"/>
      <c r="BN1298" s="211"/>
      <c r="BO1298" s="164"/>
      <c r="BP1298" s="726"/>
      <c r="BQ1298" s="727"/>
      <c r="BR1298" s="299"/>
      <c r="BS1298" s="35"/>
      <c r="BT1298" s="596"/>
      <c r="BU1298" s="79"/>
      <c r="BV1298" s="212"/>
      <c r="BW1298" s="304"/>
      <c r="BX1298" s="313"/>
      <c r="BY1298" s="138"/>
    </row>
    <row r="1299" spans="1:77" ht="15" customHeight="1" outlineLevel="1" x14ac:dyDescent="0.2">
      <c r="A1299" s="57" t="s">
        <v>24</v>
      </c>
      <c r="B1299" s="583" t="s">
        <v>477</v>
      </c>
      <c r="C1299" s="583" t="s">
        <v>1424</v>
      </c>
      <c r="D1299" s="818">
        <v>0.28299999999999997</v>
      </c>
      <c r="E1299" s="162" t="s">
        <v>631</v>
      </c>
      <c r="F1299" s="358"/>
      <c r="G1299" s="65"/>
      <c r="H1299" s="73"/>
      <c r="I1299" s="90">
        <v>2007</v>
      </c>
      <c r="J1299" s="73"/>
      <c r="K1299" s="815">
        <v>4.1863000000000002E-4</v>
      </c>
      <c r="L1299" s="717"/>
      <c r="M1299" s="73"/>
      <c r="N1299" s="786"/>
      <c r="O1299" s="1041"/>
      <c r="P1299" s="73"/>
      <c r="Q1299" s="786"/>
      <c r="R1299" s="1041"/>
      <c r="S1299" s="73"/>
      <c r="T1299" s="786"/>
      <c r="U1299" s="73"/>
      <c r="V1299" s="66"/>
      <c r="W1299" s="808">
        <f t="shared" si="1091"/>
        <v>9.2098600000000001E-8</v>
      </c>
      <c r="X1299" s="809">
        <f t="shared" si="1092"/>
        <v>9.2098600000000001E-8</v>
      </c>
      <c r="Y1299" s="52">
        <v>2007</v>
      </c>
      <c r="Z1299" s="52"/>
      <c r="AA1299" s="807">
        <f>+K1299/1000</f>
        <v>4.1863000000000004E-7</v>
      </c>
      <c r="AB1299" s="256">
        <v>-0.78</v>
      </c>
      <c r="AC1299" s="688">
        <f t="shared" si="1088"/>
        <v>-0.78</v>
      </c>
      <c r="AD1299" s="164"/>
      <c r="AE1299" s="164"/>
      <c r="AF1299" s="25"/>
      <c r="AG1299" s="26"/>
      <c r="AH1299" s="275"/>
      <c r="AI1299" s="52"/>
      <c r="AJ1299" s="35"/>
      <c r="AK1299" s="289"/>
      <c r="AL1299" s="290"/>
      <c r="AM1299" s="211"/>
      <c r="AN1299" s="164"/>
      <c r="AO1299" s="594"/>
      <c r="AP1299" s="595"/>
      <c r="AQ1299" s="275"/>
      <c r="AR1299" s="52"/>
      <c r="AS1299" s="596"/>
      <c r="AT1299" s="79"/>
      <c r="AU1299" s="212"/>
      <c r="AV1299" s="164"/>
      <c r="AW1299" s="164"/>
      <c r="AX1299" s="76"/>
      <c r="AY1299" s="44"/>
      <c r="AZ1299" s="275"/>
      <c r="BA1299" s="52"/>
      <c r="BB1299" s="35"/>
      <c r="BC1299" s="79"/>
      <c r="BD1299" s="230"/>
      <c r="BE1299" s="211"/>
      <c r="BF1299" s="164"/>
      <c r="BG1299" s="76"/>
      <c r="BH1299" s="44"/>
      <c r="BI1299" s="275"/>
      <c r="BJ1299" s="52"/>
      <c r="BK1299" s="35"/>
      <c r="BL1299" s="79"/>
      <c r="BM1299" s="230"/>
      <c r="BN1299" s="211"/>
      <c r="BO1299" s="164"/>
      <c r="BP1299" s="726"/>
      <c r="BQ1299" s="727"/>
      <c r="BR1299" s="299"/>
      <c r="BS1299" s="35"/>
      <c r="BT1299" s="596"/>
      <c r="BU1299" s="79"/>
      <c r="BV1299" s="212"/>
      <c r="BW1299" s="304"/>
      <c r="BX1299" s="313"/>
      <c r="BY1299" s="138"/>
    </row>
    <row r="1300" spans="1:77" ht="15" customHeight="1" outlineLevel="1" x14ac:dyDescent="0.2">
      <c r="A1300" s="57" t="s">
        <v>24</v>
      </c>
      <c r="B1300" s="583" t="s">
        <v>477</v>
      </c>
      <c r="C1300" s="583" t="s">
        <v>1907</v>
      </c>
      <c r="D1300" s="818">
        <v>0.75600000000000001</v>
      </c>
      <c r="E1300" s="162" t="s">
        <v>631</v>
      </c>
      <c r="F1300" s="358"/>
      <c r="G1300" s="65"/>
      <c r="H1300" s="73"/>
      <c r="I1300" s="90"/>
      <c r="J1300" s="73"/>
      <c r="K1300" s="815"/>
      <c r="L1300" s="717"/>
      <c r="M1300" s="73"/>
      <c r="N1300" s="786">
        <v>2.9290000000000002E-3</v>
      </c>
      <c r="O1300" s="1041"/>
      <c r="P1300" s="73"/>
      <c r="Q1300" s="786"/>
      <c r="R1300" s="1041"/>
      <c r="S1300" s="73"/>
      <c r="T1300" s="786"/>
      <c r="U1300" s="73"/>
      <c r="V1300" s="66"/>
      <c r="W1300" s="788">
        <f t="shared" ref="W1300" si="1099">AA1300*(1+AB1300)</f>
        <v>2.1674600000000002E-6</v>
      </c>
      <c r="X1300" s="789">
        <f t="shared" ref="X1300" si="1100">AA1300*(1+AC1300)</f>
        <v>2.1674600000000002E-6</v>
      </c>
      <c r="Y1300" s="52">
        <v>2010</v>
      </c>
      <c r="Z1300" s="52"/>
      <c r="AA1300" s="787">
        <f>+N1300/1000</f>
        <v>2.9290000000000002E-6</v>
      </c>
      <c r="AB1300" s="256">
        <v>-0.26</v>
      </c>
      <c r="AC1300" s="688">
        <f t="shared" si="1088"/>
        <v>-0.26</v>
      </c>
      <c r="AD1300" s="164"/>
      <c r="AE1300" s="164"/>
      <c r="AF1300" s="25"/>
      <c r="AG1300" s="26"/>
      <c r="AH1300" s="275"/>
      <c r="AI1300" s="52"/>
      <c r="AJ1300" s="35"/>
      <c r="AK1300" s="289"/>
      <c r="AL1300" s="290"/>
      <c r="AM1300" s="211"/>
      <c r="AN1300" s="164"/>
      <c r="AO1300" s="594"/>
      <c r="AP1300" s="595"/>
      <c r="AQ1300" s="275"/>
      <c r="AR1300" s="52"/>
      <c r="AS1300" s="596"/>
      <c r="AT1300" s="79"/>
      <c r="AU1300" s="212"/>
      <c r="AV1300" s="164"/>
      <c r="AW1300" s="164"/>
      <c r="AX1300" s="76"/>
      <c r="AY1300" s="44"/>
      <c r="AZ1300" s="275"/>
      <c r="BA1300" s="52"/>
      <c r="BB1300" s="35"/>
      <c r="BC1300" s="79"/>
      <c r="BD1300" s="230"/>
      <c r="BE1300" s="211"/>
      <c r="BF1300" s="164"/>
      <c r="BG1300" s="76"/>
      <c r="BH1300" s="44"/>
      <c r="BI1300" s="275"/>
      <c r="BJ1300" s="52"/>
      <c r="BK1300" s="35"/>
      <c r="BL1300" s="79"/>
      <c r="BM1300" s="230"/>
      <c r="BN1300" s="211"/>
      <c r="BO1300" s="164"/>
      <c r="BP1300" s="726"/>
      <c r="BQ1300" s="727"/>
      <c r="BR1300" s="299"/>
      <c r="BS1300" s="35"/>
      <c r="BT1300" s="596"/>
      <c r="BU1300" s="79"/>
      <c r="BV1300" s="212"/>
      <c r="BW1300" s="304"/>
      <c r="BX1300" s="313"/>
      <c r="BY1300" s="138"/>
    </row>
    <row r="1301" spans="1:77" ht="15" customHeight="1" outlineLevel="1" x14ac:dyDescent="0.2">
      <c r="A1301" s="57" t="s">
        <v>24</v>
      </c>
      <c r="B1301" s="583" t="s">
        <v>477</v>
      </c>
      <c r="C1301" s="583" t="s">
        <v>1597</v>
      </c>
      <c r="D1301" s="819">
        <v>0.56200000000000006</v>
      </c>
      <c r="E1301" s="162" t="s">
        <v>631</v>
      </c>
      <c r="F1301" s="358"/>
      <c r="G1301" s="65"/>
      <c r="H1301" s="73"/>
      <c r="I1301" s="90"/>
      <c r="J1301" s="73"/>
      <c r="K1301" s="815"/>
      <c r="L1301" s="717"/>
      <c r="M1301" s="73"/>
      <c r="N1301" s="786">
        <v>1.98E-3</v>
      </c>
      <c r="O1301" s="1041"/>
      <c r="P1301" s="73"/>
      <c r="Q1301" s="786"/>
      <c r="R1301" s="1041"/>
      <c r="S1301" s="73"/>
      <c r="T1301" s="786"/>
      <c r="U1301" s="73"/>
      <c r="V1301" s="66"/>
      <c r="W1301" s="788">
        <f t="shared" ref="W1301" si="1101">AA1301*(1+AB1301)</f>
        <v>1.2672000000000001E-6</v>
      </c>
      <c r="X1301" s="789">
        <f t="shared" ref="X1301" si="1102">AA1301*(1+AC1301)</f>
        <v>1.2672000000000001E-6</v>
      </c>
      <c r="Y1301" s="52">
        <v>2010</v>
      </c>
      <c r="Z1301" s="52"/>
      <c r="AA1301" s="787">
        <f>+N1301/1000</f>
        <v>1.9800000000000001E-6</v>
      </c>
      <c r="AB1301" s="256">
        <v>-0.36</v>
      </c>
      <c r="AC1301" s="688">
        <f t="shared" ref="AC1301:AC1303" si="1103">AB1301</f>
        <v>-0.36</v>
      </c>
      <c r="AD1301" s="164"/>
      <c r="AE1301" s="164"/>
      <c r="AF1301" s="25"/>
      <c r="AG1301" s="26"/>
      <c r="AH1301" s="275"/>
      <c r="AI1301" s="52"/>
      <c r="AJ1301" s="35"/>
      <c r="AK1301" s="289"/>
      <c r="AL1301" s="290"/>
      <c r="AM1301" s="211"/>
      <c r="AN1301" s="164"/>
      <c r="AO1301" s="594"/>
      <c r="AP1301" s="595"/>
      <c r="AQ1301" s="275"/>
      <c r="AR1301" s="52"/>
      <c r="AS1301" s="596"/>
      <c r="AT1301" s="79"/>
      <c r="AU1301" s="212"/>
      <c r="AV1301" s="164"/>
      <c r="AW1301" s="164"/>
      <c r="AX1301" s="76"/>
      <c r="AY1301" s="44"/>
      <c r="AZ1301" s="275"/>
      <c r="BA1301" s="52"/>
      <c r="BB1301" s="35"/>
      <c r="BC1301" s="79"/>
      <c r="BD1301" s="230"/>
      <c r="BE1301" s="211"/>
      <c r="BF1301" s="164"/>
      <c r="BG1301" s="76"/>
      <c r="BH1301" s="44"/>
      <c r="BI1301" s="275"/>
      <c r="BJ1301" s="52"/>
      <c r="BK1301" s="35"/>
      <c r="BL1301" s="79"/>
      <c r="BM1301" s="230"/>
      <c r="BN1301" s="211"/>
      <c r="BO1301" s="164"/>
      <c r="BP1301" s="726"/>
      <c r="BQ1301" s="727"/>
      <c r="BR1301" s="299"/>
      <c r="BS1301" s="35"/>
      <c r="BT1301" s="596"/>
      <c r="BU1301" s="79"/>
      <c r="BV1301" s="212"/>
      <c r="BW1301" s="304"/>
      <c r="BX1301" s="313"/>
      <c r="BY1301" s="138"/>
    </row>
    <row r="1302" spans="1:77" ht="15" customHeight="1" outlineLevel="1" x14ac:dyDescent="0.2">
      <c r="A1302" s="57" t="s">
        <v>24</v>
      </c>
      <c r="B1302" s="583" t="s">
        <v>477</v>
      </c>
      <c r="C1302" s="583" t="s">
        <v>1839</v>
      </c>
      <c r="D1302" s="819">
        <v>149.88300000000001</v>
      </c>
      <c r="E1302" s="162" t="s">
        <v>631</v>
      </c>
      <c r="F1302" s="358"/>
      <c r="G1302" s="65"/>
      <c r="H1302" s="73"/>
      <c r="I1302" s="90"/>
      <c r="J1302" s="73"/>
      <c r="K1302" s="790">
        <v>0.83177500000000004</v>
      </c>
      <c r="L1302" s="717"/>
      <c r="M1302" s="73"/>
      <c r="N1302" s="786"/>
      <c r="O1302" s="1041"/>
      <c r="P1302" s="73"/>
      <c r="Q1302" s="786"/>
      <c r="R1302" s="1041"/>
      <c r="S1302" s="73"/>
      <c r="T1302" s="786"/>
      <c r="U1302" s="73"/>
      <c r="V1302" s="66"/>
      <c r="W1302" s="788">
        <f t="shared" ref="W1302" si="1104">AA1302*(1+AB1302)</f>
        <v>6.155135000000001E-4</v>
      </c>
      <c r="X1302" s="789">
        <f t="shared" ref="X1302" si="1105">AA1302*(1+AC1302)</f>
        <v>6.155135000000001E-4</v>
      </c>
      <c r="Y1302" s="52">
        <v>2005</v>
      </c>
      <c r="Z1302" s="52"/>
      <c r="AA1302" s="787">
        <f>+K1302/1000</f>
        <v>8.3177500000000009E-4</v>
      </c>
      <c r="AB1302" s="256">
        <v>-0.26</v>
      </c>
      <c r="AC1302" s="688">
        <f t="shared" si="1103"/>
        <v>-0.26</v>
      </c>
      <c r="AD1302" s="164"/>
      <c r="AE1302" s="164"/>
      <c r="AF1302" s="25"/>
      <c r="AG1302" s="26"/>
      <c r="AH1302" s="275"/>
      <c r="AI1302" s="52"/>
      <c r="AJ1302" s="35"/>
      <c r="AK1302" s="289"/>
      <c r="AL1302" s="290"/>
      <c r="AM1302" s="211"/>
      <c r="AN1302" s="164"/>
      <c r="AO1302" s="594"/>
      <c r="AP1302" s="595"/>
      <c r="AQ1302" s="275"/>
      <c r="AR1302" s="52"/>
      <c r="AS1302" s="596"/>
      <c r="AT1302" s="79"/>
      <c r="AU1302" s="212"/>
      <c r="AV1302" s="164"/>
      <c r="AW1302" s="164"/>
      <c r="AX1302" s="76"/>
      <c r="AY1302" s="44"/>
      <c r="AZ1302" s="275"/>
      <c r="BA1302" s="52"/>
      <c r="BB1302" s="35"/>
      <c r="BC1302" s="79"/>
      <c r="BD1302" s="230"/>
      <c r="BE1302" s="211"/>
      <c r="BF1302" s="164"/>
      <c r="BG1302" s="76"/>
      <c r="BH1302" s="44"/>
      <c r="BI1302" s="275"/>
      <c r="BJ1302" s="52"/>
      <c r="BK1302" s="35"/>
      <c r="BL1302" s="79"/>
      <c r="BM1302" s="230"/>
      <c r="BN1302" s="211"/>
      <c r="BO1302" s="164"/>
      <c r="BP1302" s="726"/>
      <c r="BQ1302" s="727"/>
      <c r="BR1302" s="299"/>
      <c r="BS1302" s="35"/>
      <c r="BT1302" s="596"/>
      <c r="BU1302" s="79"/>
      <c r="BV1302" s="212"/>
      <c r="BW1302" s="304"/>
      <c r="BX1302" s="313"/>
      <c r="BY1302" s="138"/>
    </row>
    <row r="1303" spans="1:77" ht="15" customHeight="1" outlineLevel="1" x14ac:dyDescent="0.2">
      <c r="A1303" s="57" t="s">
        <v>24</v>
      </c>
      <c r="B1303" s="583" t="s">
        <v>477</v>
      </c>
      <c r="C1303" s="583" t="s">
        <v>2003</v>
      </c>
      <c r="D1303" s="819">
        <v>4.3369999999999997</v>
      </c>
      <c r="E1303" s="162" t="s">
        <v>631</v>
      </c>
      <c r="F1303" s="358"/>
      <c r="G1303" s="65"/>
      <c r="H1303" s="73"/>
      <c r="I1303" s="90"/>
      <c r="J1303" s="73"/>
      <c r="K1303" s="790"/>
      <c r="L1303" s="717"/>
      <c r="M1303" s="73"/>
      <c r="N1303" s="786">
        <v>1.4066E-2</v>
      </c>
      <c r="O1303" s="1041"/>
      <c r="P1303" s="73"/>
      <c r="Q1303" s="786"/>
      <c r="R1303" s="1041"/>
      <c r="S1303" s="73"/>
      <c r="T1303" s="786"/>
      <c r="U1303" s="73"/>
      <c r="V1303" s="66"/>
      <c r="W1303" s="788">
        <f t="shared" ref="W1303" si="1106">AA1303*(1+AB1303)</f>
        <v>1.0127520000000001E-5</v>
      </c>
      <c r="X1303" s="789">
        <f t="shared" ref="X1303" si="1107">AA1303*(1+AC1303)</f>
        <v>1.0127520000000001E-5</v>
      </c>
      <c r="Y1303" s="52">
        <v>2010</v>
      </c>
      <c r="Z1303" s="52"/>
      <c r="AA1303" s="787">
        <f>+N1303/1000</f>
        <v>1.4066000000000001E-5</v>
      </c>
      <c r="AB1303" s="256">
        <v>-0.28000000000000003</v>
      </c>
      <c r="AC1303" s="688">
        <f t="shared" si="1103"/>
        <v>-0.28000000000000003</v>
      </c>
      <c r="AD1303" s="164"/>
      <c r="AE1303" s="164"/>
      <c r="AF1303" s="25"/>
      <c r="AG1303" s="26"/>
      <c r="AH1303" s="275"/>
      <c r="AI1303" s="52"/>
      <c r="AJ1303" s="35"/>
      <c r="AK1303" s="289"/>
      <c r="AL1303" s="290"/>
      <c r="AM1303" s="211"/>
      <c r="AN1303" s="164"/>
      <c r="AO1303" s="594"/>
      <c r="AP1303" s="595"/>
      <c r="AQ1303" s="275"/>
      <c r="AR1303" s="52"/>
      <c r="AS1303" s="596"/>
      <c r="AT1303" s="79"/>
      <c r="AU1303" s="212"/>
      <c r="AV1303" s="164"/>
      <c r="AW1303" s="164"/>
      <c r="AX1303" s="76"/>
      <c r="AY1303" s="44"/>
      <c r="AZ1303" s="275"/>
      <c r="BA1303" s="52"/>
      <c r="BB1303" s="35"/>
      <c r="BC1303" s="79"/>
      <c r="BD1303" s="230"/>
      <c r="BE1303" s="211"/>
      <c r="BF1303" s="164"/>
      <c r="BG1303" s="76"/>
      <c r="BH1303" s="44"/>
      <c r="BI1303" s="275"/>
      <c r="BJ1303" s="52"/>
      <c r="BK1303" s="35"/>
      <c r="BL1303" s="79"/>
      <c r="BM1303" s="230"/>
      <c r="BN1303" s="211"/>
      <c r="BO1303" s="164"/>
      <c r="BP1303" s="726"/>
      <c r="BQ1303" s="727"/>
      <c r="BR1303" s="299"/>
      <c r="BS1303" s="35"/>
      <c r="BT1303" s="596"/>
      <c r="BU1303" s="79"/>
      <c r="BV1303" s="212"/>
      <c r="BW1303" s="304"/>
      <c r="BX1303" s="313"/>
      <c r="BY1303" s="138"/>
    </row>
    <row r="1304" spans="1:77" ht="15" customHeight="1" outlineLevel="1" x14ac:dyDescent="0.2">
      <c r="A1304" s="57" t="s">
        <v>24</v>
      </c>
      <c r="B1304" s="583" t="s">
        <v>477</v>
      </c>
      <c r="C1304" s="583" t="s">
        <v>1478</v>
      </c>
      <c r="D1304" s="819">
        <v>6.42</v>
      </c>
      <c r="E1304" s="162" t="s">
        <v>631</v>
      </c>
      <c r="F1304" s="358"/>
      <c r="G1304" s="65"/>
      <c r="H1304" s="73"/>
      <c r="I1304" s="90">
        <v>2006</v>
      </c>
      <c r="J1304" s="73"/>
      <c r="K1304" s="734">
        <v>1.2926E-2</v>
      </c>
      <c r="L1304" s="717"/>
      <c r="M1304" s="73"/>
      <c r="N1304" s="359"/>
      <c r="O1304" s="1041"/>
      <c r="P1304" s="73"/>
      <c r="Q1304" s="359"/>
      <c r="R1304" s="1041"/>
      <c r="S1304" s="73"/>
      <c r="T1304" s="359"/>
      <c r="U1304" s="73"/>
      <c r="V1304" s="66"/>
      <c r="W1304" s="788">
        <f>AA1304*(1+AB1304)</f>
        <v>6.2044799999999999E-6</v>
      </c>
      <c r="X1304" s="789">
        <f>AA1304*(1+AC1304)</f>
        <v>6.2044799999999999E-6</v>
      </c>
      <c r="Y1304" s="52">
        <v>2006</v>
      </c>
      <c r="Z1304" s="52"/>
      <c r="AA1304" s="739">
        <f>+K1304/1000</f>
        <v>1.2926E-5</v>
      </c>
      <c r="AB1304" s="256">
        <v>-0.52</v>
      </c>
      <c r="AC1304" s="688">
        <f>AB1304</f>
        <v>-0.52</v>
      </c>
      <c r="AD1304" s="164"/>
      <c r="AE1304" s="164"/>
      <c r="AF1304" s="25"/>
      <c r="AG1304" s="26"/>
      <c r="AH1304" s="275"/>
      <c r="AI1304" s="52"/>
      <c r="AJ1304" s="35"/>
      <c r="AK1304" s="289"/>
      <c r="AL1304" s="290"/>
      <c r="AM1304" s="211"/>
      <c r="AN1304" s="164"/>
      <c r="AO1304" s="594"/>
      <c r="AP1304" s="595"/>
      <c r="AQ1304" s="275"/>
      <c r="AR1304" s="52"/>
      <c r="AS1304" s="596"/>
      <c r="AT1304" s="79"/>
      <c r="AU1304" s="212"/>
      <c r="AV1304" s="164"/>
      <c r="AW1304" s="164"/>
      <c r="AX1304" s="76"/>
      <c r="AY1304" s="44"/>
      <c r="AZ1304" s="275"/>
      <c r="BA1304" s="52"/>
      <c r="BB1304" s="35"/>
      <c r="BC1304" s="79"/>
      <c r="BD1304" s="230"/>
      <c r="BE1304" s="211"/>
      <c r="BF1304" s="164"/>
      <c r="BG1304" s="76"/>
      <c r="BH1304" s="44"/>
      <c r="BI1304" s="275"/>
      <c r="BJ1304" s="52"/>
      <c r="BK1304" s="35"/>
      <c r="BL1304" s="79"/>
      <c r="BM1304" s="230"/>
      <c r="BN1304" s="211"/>
      <c r="BO1304" s="164"/>
      <c r="BP1304" s="726"/>
      <c r="BQ1304" s="727"/>
      <c r="BR1304" s="299"/>
      <c r="BS1304" s="35"/>
      <c r="BT1304" s="596"/>
      <c r="BU1304" s="79"/>
      <c r="BV1304" s="212"/>
      <c r="BW1304" s="304"/>
      <c r="BX1304" s="313"/>
      <c r="BY1304" s="138"/>
    </row>
    <row r="1305" spans="1:77" ht="15" customHeight="1" outlineLevel="1" x14ac:dyDescent="0.2">
      <c r="A1305" s="57" t="s">
        <v>24</v>
      </c>
      <c r="B1305" s="583" t="s">
        <v>477</v>
      </c>
      <c r="C1305" s="583" t="s">
        <v>1284</v>
      </c>
      <c r="D1305" s="801">
        <v>0.46899999999999997</v>
      </c>
      <c r="E1305" s="162" t="s">
        <v>631</v>
      </c>
      <c r="F1305" s="358"/>
      <c r="G1305" s="65"/>
      <c r="H1305" s="73"/>
      <c r="I1305" s="90"/>
      <c r="J1305" s="73"/>
      <c r="K1305" s="66"/>
      <c r="L1305" s="717"/>
      <c r="M1305" s="73"/>
      <c r="N1305" s="786">
        <v>2.2209999999999999E-3</v>
      </c>
      <c r="O1305" s="1041"/>
      <c r="P1305" s="73"/>
      <c r="Q1305" s="786"/>
      <c r="R1305" s="1041"/>
      <c r="S1305" s="73"/>
      <c r="T1305" s="786"/>
      <c r="U1305" s="73"/>
      <c r="V1305" s="66"/>
      <c r="W1305" s="740">
        <f t="shared" ref="W1305:W1310" si="1108">AA1305*(1+AB1305)</f>
        <v>2.2210000000000018E-8</v>
      </c>
      <c r="X1305" s="741">
        <f t="shared" ref="X1305:X1310" si="1109">AA1305*(1+AC1305)</f>
        <v>2.2210000000000018E-8</v>
      </c>
      <c r="Y1305" s="52">
        <v>2010</v>
      </c>
      <c r="Z1305" s="52"/>
      <c r="AA1305" s="787">
        <f>+N1305/1000</f>
        <v>2.221E-6</v>
      </c>
      <c r="AB1305" s="256">
        <v>-0.99</v>
      </c>
      <c r="AC1305" s="688">
        <f t="shared" si="1088"/>
        <v>-0.99</v>
      </c>
      <c r="AD1305" s="164"/>
      <c r="AE1305" s="164"/>
      <c r="AF1305" s="25"/>
      <c r="AG1305" s="26"/>
      <c r="AH1305" s="275"/>
      <c r="AI1305" s="52"/>
      <c r="AJ1305" s="35"/>
      <c r="AK1305" s="289"/>
      <c r="AL1305" s="290"/>
      <c r="AM1305" s="211"/>
      <c r="AN1305" s="164"/>
      <c r="AO1305" s="594"/>
      <c r="AP1305" s="595"/>
      <c r="AQ1305" s="275"/>
      <c r="AR1305" s="52"/>
      <c r="AS1305" s="596"/>
      <c r="AT1305" s="79"/>
      <c r="AU1305" s="212"/>
      <c r="AV1305" s="164"/>
      <c r="AW1305" s="164"/>
      <c r="AX1305" s="76"/>
      <c r="AY1305" s="44"/>
      <c r="AZ1305" s="275"/>
      <c r="BA1305" s="52"/>
      <c r="BB1305" s="35"/>
      <c r="BC1305" s="79"/>
      <c r="BD1305" s="230"/>
      <c r="BE1305" s="211"/>
      <c r="BF1305" s="164"/>
      <c r="BG1305" s="76"/>
      <c r="BH1305" s="44"/>
      <c r="BI1305" s="275"/>
      <c r="BJ1305" s="52"/>
      <c r="BK1305" s="35"/>
      <c r="BL1305" s="79"/>
      <c r="BM1305" s="230"/>
      <c r="BN1305" s="211"/>
      <c r="BO1305" s="164"/>
      <c r="BP1305" s="726"/>
      <c r="BQ1305" s="727"/>
      <c r="BR1305" s="299"/>
      <c r="BS1305" s="35"/>
      <c r="BT1305" s="596"/>
      <c r="BU1305" s="79"/>
      <c r="BV1305" s="212"/>
      <c r="BW1305" s="304"/>
      <c r="BX1305" s="313"/>
      <c r="BY1305" s="138"/>
    </row>
    <row r="1306" spans="1:77" ht="15" customHeight="1" outlineLevel="1" x14ac:dyDescent="0.2">
      <c r="A1306" s="57" t="s">
        <v>24</v>
      </c>
      <c r="B1306" s="583" t="s">
        <v>477</v>
      </c>
      <c r="C1306" s="583" t="s">
        <v>2080</v>
      </c>
      <c r="D1306" s="801">
        <v>0.91400000000000003</v>
      </c>
      <c r="E1306" s="162" t="s">
        <v>631</v>
      </c>
      <c r="F1306" s="358"/>
      <c r="G1306" s="65"/>
      <c r="H1306" s="73"/>
      <c r="I1306" s="90"/>
      <c r="J1306" s="73"/>
      <c r="K1306" s="66"/>
      <c r="L1306" s="717"/>
      <c r="M1306" s="73"/>
      <c r="N1306" s="786">
        <v>3.333E-3</v>
      </c>
      <c r="O1306" s="1041"/>
      <c r="P1306" s="73"/>
      <c r="Q1306" s="786"/>
      <c r="R1306" s="1041"/>
      <c r="S1306" s="73"/>
      <c r="T1306" s="786"/>
      <c r="U1306" s="73"/>
      <c r="V1306" s="66"/>
      <c r="W1306" s="808">
        <f t="shared" ref="W1306" si="1110">AA1306*(1+AB1306)</f>
        <v>2.3664299999999999E-6</v>
      </c>
      <c r="X1306" s="809">
        <f t="shared" ref="X1306" si="1111">AA1306*(1+AC1306)</f>
        <v>2.3664299999999999E-6</v>
      </c>
      <c r="Y1306" s="52">
        <v>2010</v>
      </c>
      <c r="Z1306" s="52"/>
      <c r="AA1306" s="787">
        <f>+N1306/1000</f>
        <v>3.3330000000000001E-6</v>
      </c>
      <c r="AB1306" s="256">
        <v>-0.28999999999999998</v>
      </c>
      <c r="AC1306" s="688">
        <f t="shared" si="1088"/>
        <v>-0.28999999999999998</v>
      </c>
      <c r="AD1306" s="164"/>
      <c r="AE1306" s="164"/>
      <c r="AF1306" s="25"/>
      <c r="AG1306" s="26"/>
      <c r="AH1306" s="275"/>
      <c r="AI1306" s="52"/>
      <c r="AJ1306" s="35"/>
      <c r="AK1306" s="289"/>
      <c r="AL1306" s="290"/>
      <c r="AM1306" s="211"/>
      <c r="AN1306" s="164"/>
      <c r="AO1306" s="594"/>
      <c r="AP1306" s="595"/>
      <c r="AQ1306" s="275"/>
      <c r="AR1306" s="52"/>
      <c r="AS1306" s="596"/>
      <c r="AT1306" s="79"/>
      <c r="AU1306" s="212"/>
      <c r="AV1306" s="164"/>
      <c r="AW1306" s="164"/>
      <c r="AX1306" s="76"/>
      <c r="AY1306" s="44"/>
      <c r="AZ1306" s="275"/>
      <c r="BA1306" s="52"/>
      <c r="BB1306" s="35"/>
      <c r="BC1306" s="79"/>
      <c r="BD1306" s="230"/>
      <c r="BE1306" s="211"/>
      <c r="BF1306" s="164"/>
      <c r="BG1306" s="76"/>
      <c r="BH1306" s="44"/>
      <c r="BI1306" s="275"/>
      <c r="BJ1306" s="52"/>
      <c r="BK1306" s="35"/>
      <c r="BL1306" s="79"/>
      <c r="BM1306" s="230"/>
      <c r="BN1306" s="211"/>
      <c r="BO1306" s="164"/>
      <c r="BP1306" s="726"/>
      <c r="BQ1306" s="727"/>
      <c r="BR1306" s="299"/>
      <c r="BS1306" s="35"/>
      <c r="BT1306" s="596"/>
      <c r="BU1306" s="79"/>
      <c r="BV1306" s="212"/>
      <c r="BW1306" s="304"/>
      <c r="BX1306" s="313"/>
      <c r="BY1306" s="138"/>
    </row>
    <row r="1307" spans="1:77" ht="15" customHeight="1" outlineLevel="1" x14ac:dyDescent="0.2">
      <c r="A1307" s="57" t="s">
        <v>24</v>
      </c>
      <c r="B1307" s="583" t="s">
        <v>477</v>
      </c>
      <c r="C1307" s="583" t="s">
        <v>1392</v>
      </c>
      <c r="D1307" s="801">
        <v>7.8330000000000002</v>
      </c>
      <c r="E1307" s="162" t="s">
        <v>631</v>
      </c>
      <c r="F1307" s="358"/>
      <c r="G1307" s="65"/>
      <c r="H1307" s="73"/>
      <c r="I1307" s="90"/>
      <c r="J1307" s="73"/>
      <c r="K1307" s="734">
        <v>1.8841E-2</v>
      </c>
      <c r="L1307" s="717"/>
      <c r="M1307" s="73"/>
      <c r="N1307" s="359"/>
      <c r="O1307" s="1041"/>
      <c r="P1307" s="73"/>
      <c r="Q1307" s="359"/>
      <c r="R1307" s="1041"/>
      <c r="S1307" s="73"/>
      <c r="T1307" s="359"/>
      <c r="U1307" s="73"/>
      <c r="V1307" s="66"/>
      <c r="W1307" s="740">
        <f t="shared" si="1108"/>
        <v>1.2246650000000001E-5</v>
      </c>
      <c r="X1307" s="741">
        <f t="shared" si="1109"/>
        <v>1.2246650000000001E-5</v>
      </c>
      <c r="Y1307" s="52">
        <v>2005</v>
      </c>
      <c r="Z1307" s="52"/>
      <c r="AA1307" s="739">
        <f t="shared" ref="AA1307" si="1112">+K1307/1000</f>
        <v>1.8841000000000001E-5</v>
      </c>
      <c r="AB1307" s="256">
        <v>-0.35</v>
      </c>
      <c r="AC1307" s="688">
        <f>AB1307</f>
        <v>-0.35</v>
      </c>
      <c r="AD1307" s="164"/>
      <c r="AE1307" s="164"/>
      <c r="AF1307" s="25"/>
      <c r="AG1307" s="26"/>
      <c r="AH1307" s="275"/>
      <c r="AI1307" s="52"/>
      <c r="AJ1307" s="35"/>
      <c r="AK1307" s="289"/>
      <c r="AL1307" s="290"/>
      <c r="AM1307" s="211"/>
      <c r="AN1307" s="164"/>
      <c r="AO1307" s="594"/>
      <c r="AP1307" s="595"/>
      <c r="AQ1307" s="275"/>
      <c r="AR1307" s="52"/>
      <c r="AS1307" s="596"/>
      <c r="AT1307" s="79"/>
      <c r="AU1307" s="212"/>
      <c r="AV1307" s="164"/>
      <c r="AW1307" s="164"/>
      <c r="AX1307" s="76"/>
      <c r="AY1307" s="44"/>
      <c r="AZ1307" s="275"/>
      <c r="BA1307" s="52"/>
      <c r="BB1307" s="35"/>
      <c r="BC1307" s="79"/>
      <c r="BD1307" s="230"/>
      <c r="BE1307" s="211"/>
      <c r="BF1307" s="164"/>
      <c r="BG1307" s="76"/>
      <c r="BH1307" s="44"/>
      <c r="BI1307" s="275"/>
      <c r="BJ1307" s="52"/>
      <c r="BK1307" s="35"/>
      <c r="BL1307" s="79"/>
      <c r="BM1307" s="230"/>
      <c r="BN1307" s="211"/>
      <c r="BO1307" s="164"/>
      <c r="BP1307" s="726"/>
      <c r="BQ1307" s="727"/>
      <c r="BR1307" s="299"/>
      <c r="BS1307" s="35"/>
      <c r="BT1307" s="596"/>
      <c r="BU1307" s="79"/>
      <c r="BV1307" s="212"/>
      <c r="BW1307" s="304"/>
      <c r="BX1307" s="313"/>
      <c r="BY1307" s="138"/>
    </row>
    <row r="1308" spans="1:77" ht="15" customHeight="1" outlineLevel="1" x14ac:dyDescent="0.2">
      <c r="A1308" s="57" t="s">
        <v>24</v>
      </c>
      <c r="B1308" s="583" t="s">
        <v>477</v>
      </c>
      <c r="C1308" s="583" t="s">
        <v>1324</v>
      </c>
      <c r="D1308" s="801">
        <v>2.4780000000000002</v>
      </c>
      <c r="E1308" s="162" t="s">
        <v>631</v>
      </c>
      <c r="F1308" s="358"/>
      <c r="G1308" s="65"/>
      <c r="H1308" s="73"/>
      <c r="I1308" s="90"/>
      <c r="J1308" s="73"/>
      <c r="K1308" s="66"/>
      <c r="L1308" s="717">
        <v>2008</v>
      </c>
      <c r="M1308" s="73"/>
      <c r="N1308" s="786">
        <v>4.6750000000000003E-3</v>
      </c>
      <c r="O1308" s="1041"/>
      <c r="P1308" s="73"/>
      <c r="Q1308" s="786"/>
      <c r="R1308" s="1041"/>
      <c r="S1308" s="73"/>
      <c r="T1308" s="786"/>
      <c r="U1308" s="73"/>
      <c r="V1308" s="66"/>
      <c r="W1308" s="788">
        <f t="shared" si="1108"/>
        <v>3.179E-6</v>
      </c>
      <c r="X1308" s="789">
        <f t="shared" si="1109"/>
        <v>3.179E-6</v>
      </c>
      <c r="Y1308" s="52">
        <v>2008</v>
      </c>
      <c r="Z1308" s="52"/>
      <c r="AA1308" s="787">
        <f>+N1308/1000</f>
        <v>4.6750000000000001E-6</v>
      </c>
      <c r="AB1308" s="256">
        <v>-0.32</v>
      </c>
      <c r="AC1308" s="688">
        <f t="shared" si="1088"/>
        <v>-0.32</v>
      </c>
      <c r="AD1308" s="164"/>
      <c r="AE1308" s="164"/>
      <c r="AF1308" s="25"/>
      <c r="AG1308" s="26"/>
      <c r="AH1308" s="275"/>
      <c r="AI1308" s="52"/>
      <c r="AJ1308" s="35"/>
      <c r="AK1308" s="289"/>
      <c r="AL1308" s="290"/>
      <c r="AM1308" s="211"/>
      <c r="AN1308" s="164"/>
      <c r="AO1308" s="594"/>
      <c r="AP1308" s="595"/>
      <c r="AQ1308" s="275"/>
      <c r="AR1308" s="52"/>
      <c r="AS1308" s="596"/>
      <c r="AT1308" s="79"/>
      <c r="AU1308" s="212"/>
      <c r="AV1308" s="164"/>
      <c r="AW1308" s="164"/>
      <c r="AX1308" s="76"/>
      <c r="AY1308" s="44"/>
      <c r="AZ1308" s="275"/>
      <c r="BA1308" s="52"/>
      <c r="BB1308" s="35"/>
      <c r="BC1308" s="79"/>
      <c r="BD1308" s="230"/>
      <c r="BE1308" s="211"/>
      <c r="BF1308" s="164"/>
      <c r="BG1308" s="76"/>
      <c r="BH1308" s="44"/>
      <c r="BI1308" s="275"/>
      <c r="BJ1308" s="52"/>
      <c r="BK1308" s="35"/>
      <c r="BL1308" s="79"/>
      <c r="BM1308" s="230"/>
      <c r="BN1308" s="211"/>
      <c r="BO1308" s="164"/>
      <c r="BP1308" s="726"/>
      <c r="BQ1308" s="727"/>
      <c r="BR1308" s="299"/>
      <c r="BS1308" s="35"/>
      <c r="BT1308" s="596"/>
      <c r="BU1308" s="79"/>
      <c r="BV1308" s="212"/>
      <c r="BW1308" s="304"/>
      <c r="BX1308" s="313"/>
      <c r="BY1308" s="138"/>
    </row>
    <row r="1309" spans="1:77" ht="15" customHeight="1" outlineLevel="1" x14ac:dyDescent="0.2">
      <c r="A1309" s="57" t="s">
        <v>24</v>
      </c>
      <c r="B1309" s="583" t="s">
        <v>477</v>
      </c>
      <c r="C1309" s="583" t="s">
        <v>2064</v>
      </c>
      <c r="D1309" s="801">
        <v>0.65200000000000002</v>
      </c>
      <c r="E1309" s="162" t="s">
        <v>631</v>
      </c>
      <c r="F1309" s="358"/>
      <c r="G1309" s="65"/>
      <c r="H1309" s="73"/>
      <c r="I1309" s="90">
        <v>2006</v>
      </c>
      <c r="J1309" s="73"/>
      <c r="K1309" s="815">
        <v>1.3780000000000001E-3</v>
      </c>
      <c r="L1309" s="717"/>
      <c r="M1309" s="73"/>
      <c r="N1309" s="786"/>
      <c r="O1309" s="1041"/>
      <c r="P1309" s="73"/>
      <c r="Q1309" s="786"/>
      <c r="R1309" s="1041"/>
      <c r="S1309" s="73"/>
      <c r="T1309" s="786"/>
      <c r="U1309" s="73"/>
      <c r="V1309" s="66"/>
      <c r="W1309" s="788">
        <f t="shared" ref="W1309" si="1113">AA1309*(1+AB1309)</f>
        <v>9.7838000000000011E-7</v>
      </c>
      <c r="X1309" s="789">
        <f t="shared" ref="X1309" si="1114">AA1309*(1+AC1309)</f>
        <v>9.7838000000000011E-7</v>
      </c>
      <c r="Y1309" s="52">
        <v>2006</v>
      </c>
      <c r="Z1309" s="52"/>
      <c r="AA1309" s="787">
        <f>+K1309/1000</f>
        <v>1.3780000000000002E-6</v>
      </c>
      <c r="AB1309" s="256">
        <v>-0.28999999999999998</v>
      </c>
      <c r="AC1309" s="688">
        <f t="shared" si="1088"/>
        <v>-0.28999999999999998</v>
      </c>
      <c r="AD1309" s="164"/>
      <c r="AE1309" s="164"/>
      <c r="AF1309" s="25"/>
      <c r="AG1309" s="26"/>
      <c r="AH1309" s="275"/>
      <c r="AI1309" s="52"/>
      <c r="AJ1309" s="35"/>
      <c r="AK1309" s="289"/>
      <c r="AL1309" s="290"/>
      <c r="AM1309" s="211"/>
      <c r="AN1309" s="164"/>
      <c r="AO1309" s="594"/>
      <c r="AP1309" s="595"/>
      <c r="AQ1309" s="275"/>
      <c r="AR1309" s="52"/>
      <c r="AS1309" s="596"/>
      <c r="AT1309" s="79"/>
      <c r="AU1309" s="212"/>
      <c r="AV1309" s="164"/>
      <c r="AW1309" s="164"/>
      <c r="AX1309" s="76"/>
      <c r="AY1309" s="44"/>
      <c r="AZ1309" s="275"/>
      <c r="BA1309" s="52"/>
      <c r="BB1309" s="35"/>
      <c r="BC1309" s="79"/>
      <c r="BD1309" s="230"/>
      <c r="BE1309" s="211"/>
      <c r="BF1309" s="164"/>
      <c r="BG1309" s="76"/>
      <c r="BH1309" s="44"/>
      <c r="BI1309" s="275"/>
      <c r="BJ1309" s="52"/>
      <c r="BK1309" s="35"/>
      <c r="BL1309" s="79"/>
      <c r="BM1309" s="230"/>
      <c r="BN1309" s="211"/>
      <c r="BO1309" s="164"/>
      <c r="BP1309" s="726"/>
      <c r="BQ1309" s="727"/>
      <c r="BR1309" s="299"/>
      <c r="BS1309" s="35"/>
      <c r="BT1309" s="596"/>
      <c r="BU1309" s="79"/>
      <c r="BV1309" s="212"/>
      <c r="BW1309" s="304"/>
      <c r="BX1309" s="313"/>
      <c r="BY1309" s="138"/>
    </row>
    <row r="1310" spans="1:77" ht="15" customHeight="1" outlineLevel="1" x14ac:dyDescent="0.2">
      <c r="A1310" s="57" t="s">
        <v>24</v>
      </c>
      <c r="B1310" s="583" t="s">
        <v>477</v>
      </c>
      <c r="C1310" s="583" t="s">
        <v>1425</v>
      </c>
      <c r="D1310" s="801">
        <v>1.556</v>
      </c>
      <c r="E1310" s="162" t="s">
        <v>631</v>
      </c>
      <c r="F1310" s="358"/>
      <c r="G1310" s="65"/>
      <c r="H1310" s="73"/>
      <c r="I1310" s="90">
        <v>2007</v>
      </c>
      <c r="J1310" s="73"/>
      <c r="K1310" s="790">
        <v>2.0790000000000001E-3</v>
      </c>
      <c r="L1310" s="717"/>
      <c r="M1310" s="73"/>
      <c r="N1310" s="786"/>
      <c r="O1310" s="1041"/>
      <c r="P1310" s="73"/>
      <c r="Q1310" s="786"/>
      <c r="R1310" s="1041"/>
      <c r="S1310" s="73"/>
      <c r="T1310" s="786"/>
      <c r="U1310" s="73"/>
      <c r="V1310" s="66"/>
      <c r="W1310" s="788">
        <f t="shared" si="1108"/>
        <v>1.35135E-6</v>
      </c>
      <c r="X1310" s="789">
        <f t="shared" si="1109"/>
        <v>1.35135E-6</v>
      </c>
      <c r="Y1310" s="52">
        <v>2007</v>
      </c>
      <c r="Z1310" s="52"/>
      <c r="AA1310" s="787">
        <f>+K1310/1000</f>
        <v>2.0789999999999999E-6</v>
      </c>
      <c r="AB1310" s="256">
        <v>-0.35</v>
      </c>
      <c r="AC1310" s="688">
        <f t="shared" si="1088"/>
        <v>-0.35</v>
      </c>
      <c r="AD1310" s="164"/>
      <c r="AE1310" s="164"/>
      <c r="AF1310" s="25"/>
      <c r="AG1310" s="26"/>
      <c r="AH1310" s="275"/>
      <c r="AI1310" s="52"/>
      <c r="AJ1310" s="35"/>
      <c r="AK1310" s="289"/>
      <c r="AL1310" s="290"/>
      <c r="AM1310" s="211"/>
      <c r="AN1310" s="164"/>
      <c r="AO1310" s="594"/>
      <c r="AP1310" s="595"/>
      <c r="AQ1310" s="275"/>
      <c r="AR1310" s="52"/>
      <c r="AS1310" s="596"/>
      <c r="AT1310" s="79"/>
      <c r="AU1310" s="212"/>
      <c r="AV1310" s="164"/>
      <c r="AW1310" s="164"/>
      <c r="AX1310" s="76"/>
      <c r="AY1310" s="44"/>
      <c r="AZ1310" s="275"/>
      <c r="BA1310" s="52"/>
      <c r="BB1310" s="35"/>
      <c r="BC1310" s="79"/>
      <c r="BD1310" s="230"/>
      <c r="BE1310" s="211"/>
      <c r="BF1310" s="164"/>
      <c r="BG1310" s="76"/>
      <c r="BH1310" s="44"/>
      <c r="BI1310" s="275"/>
      <c r="BJ1310" s="52"/>
      <c r="BK1310" s="35"/>
      <c r="BL1310" s="79"/>
      <c r="BM1310" s="230"/>
      <c r="BN1310" s="211"/>
      <c r="BO1310" s="164"/>
      <c r="BP1310" s="726"/>
      <c r="BQ1310" s="727"/>
      <c r="BR1310" s="299"/>
      <c r="BS1310" s="35"/>
      <c r="BT1310" s="596"/>
      <c r="BU1310" s="79"/>
      <c r="BV1310" s="212"/>
      <c r="BW1310" s="304"/>
      <c r="BX1310" s="313"/>
      <c r="BY1310" s="138"/>
    </row>
    <row r="1311" spans="1:77" ht="15" customHeight="1" outlineLevel="1" x14ac:dyDescent="0.2">
      <c r="A1311" s="57" t="s">
        <v>24</v>
      </c>
      <c r="B1311" s="583" t="s">
        <v>477</v>
      </c>
      <c r="C1311" s="583" t="s">
        <v>1293</v>
      </c>
      <c r="D1311" s="546">
        <v>0.89400000000000002</v>
      </c>
      <c r="E1311" s="162" t="s">
        <v>631</v>
      </c>
      <c r="F1311" s="358"/>
      <c r="G1311" s="65"/>
      <c r="H1311" s="73"/>
      <c r="I1311" s="90"/>
      <c r="J1311" s="73"/>
      <c r="K1311" s="734"/>
      <c r="L1311" s="717">
        <v>2011</v>
      </c>
      <c r="M1311" s="73"/>
      <c r="N1311" s="786">
        <v>2.5509999999999999E-3</v>
      </c>
      <c r="O1311" s="1041"/>
      <c r="P1311" s="73"/>
      <c r="Q1311" s="786"/>
      <c r="R1311" s="1041"/>
      <c r="S1311" s="73"/>
      <c r="T1311" s="786"/>
      <c r="U1311" s="73"/>
      <c r="V1311" s="66"/>
      <c r="W1311" s="788">
        <f t="shared" ref="W1311" si="1115">AA1311*(1+AB1311)</f>
        <v>1.5816199999999999E-6</v>
      </c>
      <c r="X1311" s="789">
        <f t="shared" ref="X1311" si="1116">AA1311*(1+AC1311)</f>
        <v>1.5816199999999999E-6</v>
      </c>
      <c r="Y1311" s="52">
        <v>2011</v>
      </c>
      <c r="Z1311" s="52"/>
      <c r="AA1311" s="787">
        <f t="shared" ref="AA1311:AA1322" si="1117">+N1311/1000</f>
        <v>2.5509999999999998E-6</v>
      </c>
      <c r="AB1311" s="256">
        <v>-0.38</v>
      </c>
      <c r="AC1311" s="688">
        <f t="shared" si="1088"/>
        <v>-0.38</v>
      </c>
      <c r="AD1311" s="164"/>
      <c r="AE1311" s="164"/>
      <c r="AF1311" s="25"/>
      <c r="AG1311" s="26"/>
      <c r="AH1311" s="275"/>
      <c r="AI1311" s="52"/>
      <c r="AJ1311" s="35"/>
      <c r="AK1311" s="289"/>
      <c r="AL1311" s="290"/>
      <c r="AM1311" s="211"/>
      <c r="AN1311" s="164"/>
      <c r="AO1311" s="594"/>
      <c r="AP1311" s="595"/>
      <c r="AQ1311" s="275"/>
      <c r="AR1311" s="52"/>
      <c r="AS1311" s="596"/>
      <c r="AT1311" s="79"/>
      <c r="AU1311" s="212"/>
      <c r="AV1311" s="164"/>
      <c r="AW1311" s="164"/>
      <c r="AX1311" s="76"/>
      <c r="AY1311" s="44"/>
      <c r="AZ1311" s="275"/>
      <c r="BA1311" s="52"/>
      <c r="BB1311" s="35"/>
      <c r="BC1311" s="79"/>
      <c r="BD1311" s="230"/>
      <c r="BE1311" s="211"/>
      <c r="BF1311" s="164"/>
      <c r="BG1311" s="76"/>
      <c r="BH1311" s="44"/>
      <c r="BI1311" s="275"/>
      <c r="BJ1311" s="52"/>
      <c r="BK1311" s="35"/>
      <c r="BL1311" s="79"/>
      <c r="BM1311" s="230"/>
      <c r="BN1311" s="211"/>
      <c r="BO1311" s="164"/>
      <c r="BP1311" s="726"/>
      <c r="BQ1311" s="727"/>
      <c r="BR1311" s="299"/>
      <c r="BS1311" s="35"/>
      <c r="BT1311" s="596"/>
      <c r="BU1311" s="79"/>
      <c r="BV1311" s="212"/>
      <c r="BW1311" s="304"/>
      <c r="BX1311" s="313"/>
      <c r="BY1311" s="138"/>
    </row>
    <row r="1312" spans="1:77" ht="15" customHeight="1" outlineLevel="1" x14ac:dyDescent="0.2">
      <c r="A1312" s="57" t="s">
        <v>24</v>
      </c>
      <c r="B1312" s="583" t="s">
        <v>477</v>
      </c>
      <c r="C1312" s="583" t="s">
        <v>1286</v>
      </c>
      <c r="D1312" s="546">
        <v>0.60299999999999998</v>
      </c>
      <c r="E1312" s="162" t="s">
        <v>631</v>
      </c>
      <c r="F1312" s="358"/>
      <c r="G1312" s="65"/>
      <c r="H1312" s="73"/>
      <c r="I1312" s="90"/>
      <c r="J1312" s="73"/>
      <c r="K1312" s="734"/>
      <c r="L1312" s="717"/>
      <c r="M1312" s="73"/>
      <c r="N1312" s="786">
        <v>3.5869999999999999E-3</v>
      </c>
      <c r="O1312" s="1041"/>
      <c r="P1312" s="73"/>
      <c r="Q1312" s="786"/>
      <c r="R1312" s="1041"/>
      <c r="S1312" s="73"/>
      <c r="T1312" s="786"/>
      <c r="U1312" s="73"/>
      <c r="V1312" s="66"/>
      <c r="W1312" s="808">
        <f t="shared" ref="W1312:W1319" si="1118">AA1312*(1+AB1312)</f>
        <v>7.1740000000000059E-8</v>
      </c>
      <c r="X1312" s="809">
        <f t="shared" ref="X1312:X1319" si="1119">AA1312*(1+AC1312)</f>
        <v>7.1740000000000059E-8</v>
      </c>
      <c r="Y1312" s="52">
        <v>2010</v>
      </c>
      <c r="Z1312" s="52"/>
      <c r="AA1312" s="787">
        <f t="shared" si="1117"/>
        <v>3.5869999999999997E-6</v>
      </c>
      <c r="AB1312" s="256">
        <v>-0.98</v>
      </c>
      <c r="AC1312" s="688">
        <f t="shared" si="1088"/>
        <v>-0.98</v>
      </c>
      <c r="AD1312" s="164"/>
      <c r="AE1312" s="164"/>
      <c r="AF1312" s="25"/>
      <c r="AG1312" s="26"/>
      <c r="AH1312" s="275"/>
      <c r="AI1312" s="52"/>
      <c r="AJ1312" s="35"/>
      <c r="AK1312" s="289"/>
      <c r="AL1312" s="290"/>
      <c r="AM1312" s="211"/>
      <c r="AN1312" s="164"/>
      <c r="AO1312" s="594"/>
      <c r="AP1312" s="595"/>
      <c r="AQ1312" s="275"/>
      <c r="AR1312" s="52"/>
      <c r="AS1312" s="596"/>
      <c r="AT1312" s="79"/>
      <c r="AU1312" s="212"/>
      <c r="AV1312" s="164"/>
      <c r="AW1312" s="164"/>
      <c r="AX1312" s="76"/>
      <c r="AY1312" s="44"/>
      <c r="AZ1312" s="275"/>
      <c r="BA1312" s="52"/>
      <c r="BB1312" s="35"/>
      <c r="BC1312" s="79"/>
      <c r="BD1312" s="230"/>
      <c r="BE1312" s="211"/>
      <c r="BF1312" s="164"/>
      <c r="BG1312" s="76"/>
      <c r="BH1312" s="44"/>
      <c r="BI1312" s="275"/>
      <c r="BJ1312" s="52"/>
      <c r="BK1312" s="35"/>
      <c r="BL1312" s="79"/>
      <c r="BM1312" s="230"/>
      <c r="BN1312" s="211"/>
      <c r="BO1312" s="164"/>
      <c r="BP1312" s="726"/>
      <c r="BQ1312" s="727"/>
      <c r="BR1312" s="299"/>
      <c r="BS1312" s="35"/>
      <c r="BT1312" s="596"/>
      <c r="BU1312" s="79"/>
      <c r="BV1312" s="212"/>
      <c r="BW1312" s="304"/>
      <c r="BX1312" s="313"/>
      <c r="BY1312" s="138"/>
    </row>
    <row r="1313" spans="1:77" ht="15" customHeight="1" outlineLevel="1" x14ac:dyDescent="0.2">
      <c r="A1313" s="57" t="s">
        <v>24</v>
      </c>
      <c r="B1313" s="583" t="s">
        <v>477</v>
      </c>
      <c r="C1313" s="583" t="s">
        <v>1859</v>
      </c>
      <c r="D1313" s="546">
        <v>5.1609999999999996</v>
      </c>
      <c r="E1313" s="162" t="s">
        <v>631</v>
      </c>
      <c r="F1313" s="358"/>
      <c r="G1313" s="65"/>
      <c r="H1313" s="73"/>
      <c r="I1313" s="90"/>
      <c r="J1313" s="73"/>
      <c r="K1313" s="734"/>
      <c r="L1313" s="717">
        <v>2008</v>
      </c>
      <c r="M1313" s="73"/>
      <c r="N1313" s="786">
        <v>1.1795999999999999E-2</v>
      </c>
      <c r="O1313" s="1041"/>
      <c r="P1313" s="73"/>
      <c r="Q1313" s="786"/>
      <c r="R1313" s="1041"/>
      <c r="S1313" s="73"/>
      <c r="T1313" s="786"/>
      <c r="U1313" s="73"/>
      <c r="V1313" s="66"/>
      <c r="W1313" s="788">
        <f t="shared" ref="W1313" si="1120">AA1313*(1+AB1313)</f>
        <v>8.7290399999999983E-6</v>
      </c>
      <c r="X1313" s="789">
        <f t="shared" ref="X1313" si="1121">AA1313*(1+AC1313)</f>
        <v>8.7290399999999983E-6</v>
      </c>
      <c r="Y1313" s="52">
        <v>2008</v>
      </c>
      <c r="Z1313" s="52"/>
      <c r="AA1313" s="787">
        <f t="shared" si="1117"/>
        <v>1.1795999999999999E-5</v>
      </c>
      <c r="AB1313" s="256">
        <v>-0.26</v>
      </c>
      <c r="AC1313" s="688">
        <f t="shared" si="1088"/>
        <v>-0.26</v>
      </c>
      <c r="AD1313" s="164"/>
      <c r="AE1313" s="164"/>
      <c r="AF1313" s="25"/>
      <c r="AG1313" s="26"/>
      <c r="AH1313" s="275"/>
      <c r="AI1313" s="52"/>
      <c r="AJ1313" s="35"/>
      <c r="AK1313" s="289"/>
      <c r="AL1313" s="290"/>
      <c r="AM1313" s="211"/>
      <c r="AN1313" s="164"/>
      <c r="AO1313" s="594"/>
      <c r="AP1313" s="595"/>
      <c r="AQ1313" s="275"/>
      <c r="AR1313" s="52"/>
      <c r="AS1313" s="596"/>
      <c r="AT1313" s="79"/>
      <c r="AU1313" s="212"/>
      <c r="AV1313" s="164"/>
      <c r="AW1313" s="164"/>
      <c r="AX1313" s="76"/>
      <c r="AY1313" s="44"/>
      <c r="AZ1313" s="275"/>
      <c r="BA1313" s="52"/>
      <c r="BB1313" s="35"/>
      <c r="BC1313" s="79"/>
      <c r="BD1313" s="230"/>
      <c r="BE1313" s="211"/>
      <c r="BF1313" s="164"/>
      <c r="BG1313" s="76"/>
      <c r="BH1313" s="44"/>
      <c r="BI1313" s="275"/>
      <c r="BJ1313" s="52"/>
      <c r="BK1313" s="35"/>
      <c r="BL1313" s="79"/>
      <c r="BM1313" s="230"/>
      <c r="BN1313" s="211"/>
      <c r="BO1313" s="164"/>
      <c r="BP1313" s="726"/>
      <c r="BQ1313" s="727"/>
      <c r="BR1313" s="299"/>
      <c r="BS1313" s="35"/>
      <c r="BT1313" s="596"/>
      <c r="BU1313" s="79"/>
      <c r="BV1313" s="212"/>
      <c r="BW1313" s="304"/>
      <c r="BX1313" s="313"/>
      <c r="BY1313" s="138"/>
    </row>
    <row r="1314" spans="1:77" ht="15" customHeight="1" outlineLevel="1" x14ac:dyDescent="0.2">
      <c r="A1314" s="57" t="s">
        <v>24</v>
      </c>
      <c r="B1314" s="583" t="s">
        <v>477</v>
      </c>
      <c r="C1314" s="583" t="s">
        <v>1590</v>
      </c>
      <c r="D1314" s="546">
        <v>6.9169999999999998</v>
      </c>
      <c r="E1314" s="162" t="s">
        <v>631</v>
      </c>
      <c r="F1314" s="358"/>
      <c r="G1314" s="65"/>
      <c r="H1314" s="73"/>
      <c r="I1314" s="90"/>
      <c r="J1314" s="73"/>
      <c r="K1314" s="734"/>
      <c r="L1314" s="717">
        <v>2008</v>
      </c>
      <c r="M1314" s="73"/>
      <c r="N1314" s="738">
        <v>1.2697999999999999E-2</v>
      </c>
      <c r="O1314" s="1041"/>
      <c r="P1314" s="73"/>
      <c r="Q1314" s="738"/>
      <c r="R1314" s="1041"/>
      <c r="S1314" s="73"/>
      <c r="T1314" s="738"/>
      <c r="U1314" s="73"/>
      <c r="V1314" s="66"/>
      <c r="W1314" s="788">
        <f t="shared" ref="W1314:W1316" si="1122">AA1314*(1+AB1314)</f>
        <v>7.618799999999999E-6</v>
      </c>
      <c r="X1314" s="789">
        <f t="shared" ref="X1314:X1316" si="1123">AA1314*(1+AC1314)</f>
        <v>7.618799999999999E-6</v>
      </c>
      <c r="Y1314" s="52">
        <v>2008</v>
      </c>
      <c r="Z1314" s="52"/>
      <c r="AA1314" s="787">
        <f t="shared" ref="AA1314:AA1316" si="1124">+N1314/1000</f>
        <v>1.2697999999999999E-5</v>
      </c>
      <c r="AB1314" s="256">
        <v>-0.4</v>
      </c>
      <c r="AC1314" s="688">
        <f t="shared" ref="AC1314:AC1317" si="1125">AB1314</f>
        <v>-0.4</v>
      </c>
      <c r="AD1314" s="164"/>
      <c r="AE1314" s="164"/>
      <c r="AF1314" s="25"/>
      <c r="AG1314" s="26"/>
      <c r="AH1314" s="275"/>
      <c r="AI1314" s="52"/>
      <c r="AJ1314" s="35"/>
      <c r="AK1314" s="289"/>
      <c r="AL1314" s="290"/>
      <c r="AM1314" s="211"/>
      <c r="AN1314" s="164"/>
      <c r="AO1314" s="594"/>
      <c r="AP1314" s="595"/>
      <c r="AQ1314" s="275"/>
      <c r="AR1314" s="52"/>
      <c r="AS1314" s="596"/>
      <c r="AT1314" s="79"/>
      <c r="AU1314" s="212"/>
      <c r="AV1314" s="164"/>
      <c r="AW1314" s="164"/>
      <c r="AX1314" s="76"/>
      <c r="AY1314" s="44"/>
      <c r="AZ1314" s="275"/>
      <c r="BA1314" s="52"/>
      <c r="BB1314" s="35"/>
      <c r="BC1314" s="79"/>
      <c r="BD1314" s="230"/>
      <c r="BE1314" s="211"/>
      <c r="BF1314" s="164"/>
      <c r="BG1314" s="76"/>
      <c r="BH1314" s="44"/>
      <c r="BI1314" s="275"/>
      <c r="BJ1314" s="52"/>
      <c r="BK1314" s="35"/>
      <c r="BL1314" s="79"/>
      <c r="BM1314" s="230"/>
      <c r="BN1314" s="211"/>
      <c r="BO1314" s="164"/>
      <c r="BP1314" s="726"/>
      <c r="BQ1314" s="727"/>
      <c r="BR1314" s="299"/>
      <c r="BS1314" s="35"/>
      <c r="BT1314" s="596"/>
      <c r="BU1314" s="79"/>
      <c r="BV1314" s="212"/>
      <c r="BW1314" s="304"/>
      <c r="BX1314" s="313"/>
      <c r="BY1314" s="138"/>
    </row>
    <row r="1315" spans="1:77" ht="15" customHeight="1" outlineLevel="1" x14ac:dyDescent="0.2">
      <c r="A1315" s="57" t="s">
        <v>24</v>
      </c>
      <c r="B1315" s="583" t="s">
        <v>477</v>
      </c>
      <c r="C1315" s="583" t="s">
        <v>1687</v>
      </c>
      <c r="D1315" s="546">
        <v>2.044</v>
      </c>
      <c r="E1315" s="162" t="s">
        <v>631</v>
      </c>
      <c r="F1315" s="358"/>
      <c r="G1315" s="65"/>
      <c r="H1315" s="73"/>
      <c r="I1315" s="90"/>
      <c r="J1315" s="73"/>
      <c r="K1315" s="734"/>
      <c r="L1315" s="717">
        <v>2009</v>
      </c>
      <c r="M1315" s="73"/>
      <c r="N1315" s="738">
        <v>1.6508999999999999E-2</v>
      </c>
      <c r="O1315" s="1041"/>
      <c r="P1315" s="73"/>
      <c r="Q1315" s="738"/>
      <c r="R1315" s="1041"/>
      <c r="S1315" s="73"/>
      <c r="T1315" s="738"/>
      <c r="U1315" s="73"/>
      <c r="V1315" s="66"/>
      <c r="W1315" s="788">
        <f t="shared" si="1122"/>
        <v>1.2381750000000001E-5</v>
      </c>
      <c r="X1315" s="789">
        <f t="shared" si="1123"/>
        <v>1.2381750000000001E-5</v>
      </c>
      <c r="Y1315" s="52">
        <v>2009</v>
      </c>
      <c r="Z1315" s="52"/>
      <c r="AA1315" s="787">
        <f t="shared" si="1124"/>
        <v>1.6509000000000001E-5</v>
      </c>
      <c r="AB1315" s="256">
        <v>-0.25</v>
      </c>
      <c r="AC1315" s="688">
        <f t="shared" si="1125"/>
        <v>-0.25</v>
      </c>
      <c r="AD1315" s="164"/>
      <c r="AE1315" s="164"/>
      <c r="AF1315" s="25"/>
      <c r="AG1315" s="26"/>
      <c r="AH1315" s="275"/>
      <c r="AI1315" s="52"/>
      <c r="AJ1315" s="35"/>
      <c r="AK1315" s="289"/>
      <c r="AL1315" s="290"/>
      <c r="AM1315" s="211"/>
      <c r="AN1315" s="164"/>
      <c r="AO1315" s="594"/>
      <c r="AP1315" s="595"/>
      <c r="AQ1315" s="275"/>
      <c r="AR1315" s="52"/>
      <c r="AS1315" s="596"/>
      <c r="AT1315" s="79"/>
      <c r="AU1315" s="212"/>
      <c r="AV1315" s="164"/>
      <c r="AW1315" s="164"/>
      <c r="AX1315" s="76"/>
      <c r="AY1315" s="44"/>
      <c r="AZ1315" s="275"/>
      <c r="BA1315" s="52"/>
      <c r="BB1315" s="35"/>
      <c r="BC1315" s="79"/>
      <c r="BD1315" s="230"/>
      <c r="BE1315" s="211"/>
      <c r="BF1315" s="164"/>
      <c r="BG1315" s="76"/>
      <c r="BH1315" s="44"/>
      <c r="BI1315" s="275"/>
      <c r="BJ1315" s="52"/>
      <c r="BK1315" s="35"/>
      <c r="BL1315" s="79"/>
      <c r="BM1315" s="230"/>
      <c r="BN1315" s="211"/>
      <c r="BO1315" s="164"/>
      <c r="BP1315" s="726"/>
      <c r="BQ1315" s="727"/>
      <c r="BR1315" s="299"/>
      <c r="BS1315" s="35"/>
      <c r="BT1315" s="596"/>
      <c r="BU1315" s="79"/>
      <c r="BV1315" s="212"/>
      <c r="BW1315" s="304"/>
      <c r="BX1315" s="313"/>
      <c r="BY1315" s="138"/>
    </row>
    <row r="1316" spans="1:77" ht="15" customHeight="1" outlineLevel="1" x14ac:dyDescent="0.2">
      <c r="A1316" s="57" t="s">
        <v>24</v>
      </c>
      <c r="B1316" s="583" t="s">
        <v>477</v>
      </c>
      <c r="C1316" s="583" t="s">
        <v>2081</v>
      </c>
      <c r="D1316" s="546">
        <v>0.96599999999999997</v>
      </c>
      <c r="E1316" s="162" t="s">
        <v>631</v>
      </c>
      <c r="F1316" s="358"/>
      <c r="G1316" s="65"/>
      <c r="H1316" s="73"/>
      <c r="I1316" s="90"/>
      <c r="J1316" s="73"/>
      <c r="K1316" s="734"/>
      <c r="L1316" s="717"/>
      <c r="M1316" s="73"/>
      <c r="N1316" s="811">
        <v>2.928E-3</v>
      </c>
      <c r="O1316" s="1041"/>
      <c r="P1316" s="73"/>
      <c r="Q1316" s="738"/>
      <c r="R1316" s="1041"/>
      <c r="S1316" s="73"/>
      <c r="T1316" s="738"/>
      <c r="U1316" s="73"/>
      <c r="V1316" s="66"/>
      <c r="W1316" s="788">
        <f t="shared" si="1122"/>
        <v>2.07888E-6</v>
      </c>
      <c r="X1316" s="789">
        <f t="shared" si="1123"/>
        <v>2.07888E-6</v>
      </c>
      <c r="Y1316" s="52">
        <v>2010</v>
      </c>
      <c r="Z1316" s="52"/>
      <c r="AA1316" s="787">
        <f t="shared" si="1124"/>
        <v>2.9280000000000002E-6</v>
      </c>
      <c r="AB1316" s="256">
        <v>-0.28999999999999998</v>
      </c>
      <c r="AC1316" s="688">
        <f t="shared" si="1125"/>
        <v>-0.28999999999999998</v>
      </c>
      <c r="AD1316" s="164"/>
      <c r="AE1316" s="164"/>
      <c r="AF1316" s="25"/>
      <c r="AG1316" s="26"/>
      <c r="AH1316" s="275"/>
      <c r="AI1316" s="52"/>
      <c r="AJ1316" s="35"/>
      <c r="AK1316" s="289"/>
      <c r="AL1316" s="290"/>
      <c r="AM1316" s="211"/>
      <c r="AN1316" s="164"/>
      <c r="AO1316" s="594"/>
      <c r="AP1316" s="595"/>
      <c r="AQ1316" s="275"/>
      <c r="AR1316" s="52"/>
      <c r="AS1316" s="596"/>
      <c r="AT1316" s="79"/>
      <c r="AU1316" s="212"/>
      <c r="AV1316" s="164"/>
      <c r="AW1316" s="164"/>
      <c r="AX1316" s="76"/>
      <c r="AY1316" s="44"/>
      <c r="AZ1316" s="275"/>
      <c r="BA1316" s="52"/>
      <c r="BB1316" s="35"/>
      <c r="BC1316" s="79"/>
      <c r="BD1316" s="230"/>
      <c r="BE1316" s="211"/>
      <c r="BF1316" s="164"/>
      <c r="BG1316" s="76"/>
      <c r="BH1316" s="44"/>
      <c r="BI1316" s="275"/>
      <c r="BJ1316" s="52"/>
      <c r="BK1316" s="35"/>
      <c r="BL1316" s="79"/>
      <c r="BM1316" s="230"/>
      <c r="BN1316" s="211"/>
      <c r="BO1316" s="164"/>
      <c r="BP1316" s="726"/>
      <c r="BQ1316" s="727"/>
      <c r="BR1316" s="299"/>
      <c r="BS1316" s="35"/>
      <c r="BT1316" s="596"/>
      <c r="BU1316" s="79"/>
      <c r="BV1316" s="212"/>
      <c r="BW1316" s="304"/>
      <c r="BX1316" s="313"/>
      <c r="BY1316" s="138"/>
    </row>
    <row r="1317" spans="1:77" ht="15" customHeight="1" outlineLevel="1" x14ac:dyDescent="0.2">
      <c r="A1317" s="57" t="s">
        <v>24</v>
      </c>
      <c r="B1317" s="583" t="s">
        <v>477</v>
      </c>
      <c r="C1317" s="583" t="s">
        <v>1656</v>
      </c>
      <c r="D1317" s="546">
        <v>0.52700000000000002</v>
      </c>
      <c r="E1317" s="162" t="s">
        <v>631</v>
      </c>
      <c r="F1317" s="358"/>
      <c r="G1317" s="65"/>
      <c r="H1317" s="73"/>
      <c r="I1317" s="90">
        <v>2007</v>
      </c>
      <c r="J1317" s="73"/>
      <c r="K1317" s="870">
        <v>8.00521E-4</v>
      </c>
      <c r="L1317" s="717"/>
      <c r="M1317" s="73"/>
      <c r="N1317" s="738"/>
      <c r="O1317" s="1041"/>
      <c r="P1317" s="73"/>
      <c r="Q1317" s="738"/>
      <c r="R1317" s="1041"/>
      <c r="S1317" s="73"/>
      <c r="T1317" s="738"/>
      <c r="U1317" s="73"/>
      <c r="V1317" s="66"/>
      <c r="W1317" s="808">
        <f t="shared" ref="W1317" si="1126">AA1317*(1+AB1317)</f>
        <v>6.0039075000000001E-7</v>
      </c>
      <c r="X1317" s="809">
        <f t="shared" ref="X1317" si="1127">AA1317*(1+AC1317)</f>
        <v>6.0039075000000001E-7</v>
      </c>
      <c r="Y1317" s="52">
        <v>2007</v>
      </c>
      <c r="Z1317" s="52"/>
      <c r="AA1317" s="807">
        <f>+K1317/1000</f>
        <v>8.0052100000000005E-7</v>
      </c>
      <c r="AB1317" s="256">
        <v>-0.25</v>
      </c>
      <c r="AC1317" s="688">
        <f t="shared" si="1125"/>
        <v>-0.25</v>
      </c>
      <c r="AD1317" s="164"/>
      <c r="AE1317" s="164"/>
      <c r="AF1317" s="25"/>
      <c r="AG1317" s="26"/>
      <c r="AH1317" s="275"/>
      <c r="AI1317" s="52"/>
      <c r="AJ1317" s="35"/>
      <c r="AK1317" s="289"/>
      <c r="AL1317" s="290"/>
      <c r="AM1317" s="211"/>
      <c r="AN1317" s="164"/>
      <c r="AO1317" s="594"/>
      <c r="AP1317" s="595"/>
      <c r="AQ1317" s="275"/>
      <c r="AR1317" s="52"/>
      <c r="AS1317" s="596"/>
      <c r="AT1317" s="79"/>
      <c r="AU1317" s="212"/>
      <c r="AV1317" s="164"/>
      <c r="AW1317" s="164"/>
      <c r="AX1317" s="76"/>
      <c r="AY1317" s="44"/>
      <c r="AZ1317" s="275"/>
      <c r="BA1317" s="52"/>
      <c r="BB1317" s="35"/>
      <c r="BC1317" s="79"/>
      <c r="BD1317" s="230"/>
      <c r="BE1317" s="211"/>
      <c r="BF1317" s="164"/>
      <c r="BG1317" s="76"/>
      <c r="BH1317" s="44"/>
      <c r="BI1317" s="275"/>
      <c r="BJ1317" s="52"/>
      <c r="BK1317" s="35"/>
      <c r="BL1317" s="79"/>
      <c r="BM1317" s="230"/>
      <c r="BN1317" s="211"/>
      <c r="BO1317" s="164"/>
      <c r="BP1317" s="726"/>
      <c r="BQ1317" s="727"/>
      <c r="BR1317" s="299"/>
      <c r="BS1317" s="35"/>
      <c r="BT1317" s="596"/>
      <c r="BU1317" s="79"/>
      <c r="BV1317" s="212"/>
      <c r="BW1317" s="304"/>
      <c r="BX1317" s="313"/>
      <c r="BY1317" s="138"/>
    </row>
    <row r="1318" spans="1:77" ht="15" customHeight="1" outlineLevel="1" x14ac:dyDescent="0.2">
      <c r="A1318" s="57" t="s">
        <v>24</v>
      </c>
      <c r="B1318" s="583" t="s">
        <v>477</v>
      </c>
      <c r="C1318" s="583" t="s">
        <v>1416</v>
      </c>
      <c r="D1318" s="546">
        <v>1.3360000000000001</v>
      </c>
      <c r="E1318" s="162" t="s">
        <v>631</v>
      </c>
      <c r="F1318" s="358"/>
      <c r="G1318" s="65"/>
      <c r="H1318" s="73"/>
      <c r="I1318" s="90"/>
      <c r="J1318" s="73"/>
      <c r="K1318" s="734"/>
      <c r="L1318" s="717">
        <v>2008</v>
      </c>
      <c r="M1318" s="73"/>
      <c r="N1318" s="786">
        <v>1.5679999999999999E-3</v>
      </c>
      <c r="O1318" s="1041"/>
      <c r="P1318" s="73"/>
      <c r="Q1318" s="786"/>
      <c r="R1318" s="1041"/>
      <c r="S1318" s="73"/>
      <c r="T1318" s="786"/>
      <c r="U1318" s="73"/>
      <c r="V1318" s="66"/>
      <c r="W1318" s="808">
        <f t="shared" si="1118"/>
        <v>3.2927999999999989E-7</v>
      </c>
      <c r="X1318" s="809">
        <f t="shared" si="1119"/>
        <v>3.2927999999999989E-7</v>
      </c>
      <c r="Y1318" s="52">
        <v>2008</v>
      </c>
      <c r="Z1318" s="52"/>
      <c r="AA1318" s="787">
        <f t="shared" si="1117"/>
        <v>1.5679999999999999E-6</v>
      </c>
      <c r="AB1318" s="256">
        <v>-0.79</v>
      </c>
      <c r="AC1318" s="688">
        <f t="shared" si="1088"/>
        <v>-0.79</v>
      </c>
      <c r="AD1318" s="164"/>
      <c r="AE1318" s="164"/>
      <c r="AF1318" s="25"/>
      <c r="AG1318" s="26"/>
      <c r="AH1318" s="275"/>
      <c r="AI1318" s="52"/>
      <c r="AJ1318" s="35"/>
      <c r="AK1318" s="289"/>
      <c r="AL1318" s="290"/>
      <c r="AM1318" s="211"/>
      <c r="AN1318" s="164"/>
      <c r="AO1318" s="594"/>
      <c r="AP1318" s="595"/>
      <c r="AQ1318" s="275"/>
      <c r="AR1318" s="52"/>
      <c r="AS1318" s="596"/>
      <c r="AT1318" s="79"/>
      <c r="AU1318" s="212"/>
      <c r="AV1318" s="164"/>
      <c r="AW1318" s="164"/>
      <c r="AX1318" s="76"/>
      <c r="AY1318" s="44"/>
      <c r="AZ1318" s="275"/>
      <c r="BA1318" s="52"/>
      <c r="BB1318" s="35"/>
      <c r="BC1318" s="79"/>
      <c r="BD1318" s="230"/>
      <c r="BE1318" s="211"/>
      <c r="BF1318" s="164"/>
      <c r="BG1318" s="76"/>
      <c r="BH1318" s="44"/>
      <c r="BI1318" s="275"/>
      <c r="BJ1318" s="52"/>
      <c r="BK1318" s="35"/>
      <c r="BL1318" s="79"/>
      <c r="BM1318" s="230"/>
      <c r="BN1318" s="211"/>
      <c r="BO1318" s="164"/>
      <c r="BP1318" s="726"/>
      <c r="BQ1318" s="727"/>
      <c r="BR1318" s="299"/>
      <c r="BS1318" s="35"/>
      <c r="BT1318" s="596"/>
      <c r="BU1318" s="79"/>
      <c r="BV1318" s="212"/>
      <c r="BW1318" s="304"/>
      <c r="BX1318" s="313"/>
      <c r="BY1318" s="138"/>
    </row>
    <row r="1319" spans="1:77" ht="15" customHeight="1" outlineLevel="1" x14ac:dyDescent="0.2">
      <c r="A1319" s="57" t="s">
        <v>24</v>
      </c>
      <c r="B1319" s="583" t="s">
        <v>477</v>
      </c>
      <c r="C1319" s="583" t="s">
        <v>1285</v>
      </c>
      <c r="D1319" s="801">
        <v>0.126</v>
      </c>
      <c r="E1319" s="162" t="s">
        <v>631</v>
      </c>
      <c r="F1319" s="358"/>
      <c r="G1319" s="65"/>
      <c r="H1319" s="73"/>
      <c r="I1319" s="90"/>
      <c r="J1319" s="73"/>
      <c r="K1319" s="734"/>
      <c r="L1319" s="717"/>
      <c r="M1319" s="73"/>
      <c r="N1319" s="811">
        <v>4.9067499999999999E-4</v>
      </c>
      <c r="O1319" s="1041"/>
      <c r="P1319" s="73"/>
      <c r="Q1319" s="811"/>
      <c r="R1319" s="1041"/>
      <c r="S1319" s="73"/>
      <c r="T1319" s="811"/>
      <c r="U1319" s="73"/>
      <c r="V1319" s="66"/>
      <c r="W1319" s="740">
        <f t="shared" si="1118"/>
        <v>9.8135000000000088E-9</v>
      </c>
      <c r="X1319" s="741">
        <f t="shared" si="1119"/>
        <v>9.8135000000000088E-9</v>
      </c>
      <c r="Y1319" s="52">
        <v>2010</v>
      </c>
      <c r="Z1319" s="52"/>
      <c r="AA1319" s="807">
        <f t="shared" si="1117"/>
        <v>4.9067499999999997E-7</v>
      </c>
      <c r="AB1319" s="256">
        <v>-0.98</v>
      </c>
      <c r="AC1319" s="688">
        <f t="shared" si="1088"/>
        <v>-0.98</v>
      </c>
      <c r="AD1319" s="164"/>
      <c r="AE1319" s="164"/>
      <c r="AF1319" s="25"/>
      <c r="AG1319" s="26"/>
      <c r="AH1319" s="275"/>
      <c r="AI1319" s="52"/>
      <c r="AJ1319" s="35"/>
      <c r="AK1319" s="289"/>
      <c r="AL1319" s="290"/>
      <c r="AM1319" s="211"/>
      <c r="AN1319" s="164"/>
      <c r="AO1319" s="594"/>
      <c r="AP1319" s="595"/>
      <c r="AQ1319" s="275"/>
      <c r="AR1319" s="52"/>
      <c r="AS1319" s="596"/>
      <c r="AT1319" s="79"/>
      <c r="AU1319" s="212"/>
      <c r="AV1319" s="164"/>
      <c r="AW1319" s="164"/>
      <c r="AX1319" s="76"/>
      <c r="AY1319" s="44"/>
      <c r="AZ1319" s="275"/>
      <c r="BA1319" s="52"/>
      <c r="BB1319" s="35"/>
      <c r="BC1319" s="79"/>
      <c r="BD1319" s="230"/>
      <c r="BE1319" s="211"/>
      <c r="BF1319" s="164"/>
      <c r="BG1319" s="76"/>
      <c r="BH1319" s="44"/>
      <c r="BI1319" s="275"/>
      <c r="BJ1319" s="52"/>
      <c r="BK1319" s="35"/>
      <c r="BL1319" s="79"/>
      <c r="BM1319" s="230"/>
      <c r="BN1319" s="211"/>
      <c r="BO1319" s="164"/>
      <c r="BP1319" s="726"/>
      <c r="BQ1319" s="727"/>
      <c r="BR1319" s="299"/>
      <c r="BS1319" s="35"/>
      <c r="BT1319" s="596"/>
      <c r="BU1319" s="79"/>
      <c r="BV1319" s="212"/>
      <c r="BW1319" s="304"/>
      <c r="BX1319" s="313"/>
      <c r="BY1319" s="138"/>
    </row>
    <row r="1320" spans="1:77" ht="15" customHeight="1" outlineLevel="1" x14ac:dyDescent="0.2">
      <c r="A1320" s="57" t="s">
        <v>24</v>
      </c>
      <c r="B1320" s="583" t="s">
        <v>477</v>
      </c>
      <c r="C1320" s="583" t="s">
        <v>1277</v>
      </c>
      <c r="D1320" s="546">
        <v>1.806</v>
      </c>
      <c r="E1320" s="162" t="s">
        <v>631</v>
      </c>
      <c r="F1320" s="358"/>
      <c r="G1320" s="65"/>
      <c r="H1320" s="73"/>
      <c r="I1320" s="90"/>
      <c r="J1320" s="73"/>
      <c r="K1320" s="734"/>
      <c r="L1320" s="717">
        <v>2008</v>
      </c>
      <c r="M1320" s="73"/>
      <c r="N1320" s="786">
        <v>2.65E-3</v>
      </c>
      <c r="O1320" s="1041"/>
      <c r="P1320" s="73"/>
      <c r="Q1320" s="786"/>
      <c r="R1320" s="1041"/>
      <c r="S1320" s="73"/>
      <c r="T1320" s="786"/>
      <c r="U1320" s="73"/>
      <c r="V1320" s="66"/>
      <c r="W1320" s="788">
        <f t="shared" ref="W1320" si="1128">AA1320*(1+AB1320)</f>
        <v>1.7754999999999998E-6</v>
      </c>
      <c r="X1320" s="789">
        <f t="shared" ref="X1320" si="1129">AA1320*(1+AC1320)</f>
        <v>1.7754999999999998E-6</v>
      </c>
      <c r="Y1320" s="52">
        <v>2008</v>
      </c>
      <c r="Z1320" s="52"/>
      <c r="AA1320" s="787">
        <f t="shared" si="1117"/>
        <v>2.65E-6</v>
      </c>
      <c r="AB1320" s="256">
        <v>-0.33</v>
      </c>
      <c r="AC1320" s="688">
        <f t="shared" si="1088"/>
        <v>-0.33</v>
      </c>
      <c r="AD1320" s="164"/>
      <c r="AE1320" s="164"/>
      <c r="AF1320" s="25"/>
      <c r="AG1320" s="26"/>
      <c r="AH1320" s="275"/>
      <c r="AI1320" s="52"/>
      <c r="AJ1320" s="35"/>
      <c r="AK1320" s="289"/>
      <c r="AL1320" s="290"/>
      <c r="AM1320" s="211"/>
      <c r="AN1320" s="164"/>
      <c r="AO1320" s="594"/>
      <c r="AP1320" s="595"/>
      <c r="AQ1320" s="275"/>
      <c r="AR1320" s="52"/>
      <c r="AS1320" s="596"/>
      <c r="AT1320" s="79"/>
      <c r="AU1320" s="212"/>
      <c r="AV1320" s="164"/>
      <c r="AW1320" s="164"/>
      <c r="AX1320" s="76"/>
      <c r="AY1320" s="44"/>
      <c r="AZ1320" s="275"/>
      <c r="BA1320" s="52"/>
      <c r="BB1320" s="35"/>
      <c r="BC1320" s="79"/>
      <c r="BD1320" s="230"/>
      <c r="BE1320" s="211"/>
      <c r="BF1320" s="164"/>
      <c r="BG1320" s="76"/>
      <c r="BH1320" s="44"/>
      <c r="BI1320" s="275"/>
      <c r="BJ1320" s="52"/>
      <c r="BK1320" s="35"/>
      <c r="BL1320" s="79"/>
      <c r="BM1320" s="230"/>
      <c r="BN1320" s="211"/>
      <c r="BO1320" s="164"/>
      <c r="BP1320" s="726"/>
      <c r="BQ1320" s="727"/>
      <c r="BR1320" s="299"/>
      <c r="BS1320" s="35"/>
      <c r="BT1320" s="596"/>
      <c r="BU1320" s="79"/>
      <c r="BV1320" s="212"/>
      <c r="BW1320" s="304"/>
      <c r="BX1320" s="313"/>
      <c r="BY1320" s="138"/>
    </row>
    <row r="1321" spans="1:77" ht="15" customHeight="1" outlineLevel="1" x14ac:dyDescent="0.2">
      <c r="A1321" s="57" t="s">
        <v>24</v>
      </c>
      <c r="B1321" s="583" t="s">
        <v>477</v>
      </c>
      <c r="C1321" s="583" t="s">
        <v>2260</v>
      </c>
      <c r="D1321" s="546">
        <v>87</v>
      </c>
      <c r="E1321" s="162" t="s">
        <v>387</v>
      </c>
      <c r="F1321" s="358"/>
      <c r="G1321" s="65"/>
      <c r="H1321" s="73"/>
      <c r="I1321" s="90"/>
      <c r="J1321" s="73"/>
      <c r="K1321" s="734"/>
      <c r="L1321" s="717">
        <v>2009</v>
      </c>
      <c r="M1321" s="73"/>
      <c r="N1321" s="786">
        <v>0.22564000000000001</v>
      </c>
      <c r="O1321" s="1041"/>
      <c r="P1321" s="73"/>
      <c r="Q1321" s="786"/>
      <c r="R1321" s="1041"/>
      <c r="S1321" s="73"/>
      <c r="T1321" s="786"/>
      <c r="U1321" s="73"/>
      <c r="V1321" s="66"/>
      <c r="W1321" s="788">
        <f t="shared" ref="W1321" si="1130">AA1321*(1+AB1321)</f>
        <v>1.6871102800000001E-4</v>
      </c>
      <c r="X1321" s="789">
        <f t="shared" ref="X1321" si="1131">AA1321*(1+AC1321)</f>
        <v>1.6871102800000001E-4</v>
      </c>
      <c r="Y1321" s="52">
        <v>2009</v>
      </c>
      <c r="Z1321" s="52"/>
      <c r="AA1321" s="787">
        <f t="shared" ref="AA1321" si="1132">+N1321/1000</f>
        <v>2.2564000000000001E-4</v>
      </c>
      <c r="AB1321" s="972">
        <v>-0.25230000000000002</v>
      </c>
      <c r="AC1321" s="973">
        <f t="shared" ref="AC1321" si="1133">AB1321</f>
        <v>-0.25230000000000002</v>
      </c>
      <c r="AD1321" s="164"/>
      <c r="AE1321" s="164"/>
      <c r="AF1321" s="25"/>
      <c r="AG1321" s="26"/>
      <c r="AH1321" s="275"/>
      <c r="AI1321" s="52"/>
      <c r="AJ1321" s="35"/>
      <c r="AK1321" s="289"/>
      <c r="AL1321" s="290"/>
      <c r="AM1321" s="211"/>
      <c r="AN1321" s="164"/>
      <c r="AO1321" s="594"/>
      <c r="AP1321" s="595"/>
      <c r="AQ1321" s="275"/>
      <c r="AR1321" s="52"/>
      <c r="AS1321" s="596"/>
      <c r="AT1321" s="79"/>
      <c r="AU1321" s="212"/>
      <c r="AV1321" s="164"/>
      <c r="AW1321" s="164"/>
      <c r="AX1321" s="76"/>
      <c r="AY1321" s="44"/>
      <c r="AZ1321" s="275"/>
      <c r="BA1321" s="52"/>
      <c r="BB1321" s="35"/>
      <c r="BC1321" s="79"/>
      <c r="BD1321" s="230"/>
      <c r="BE1321" s="211"/>
      <c r="BF1321" s="164"/>
      <c r="BG1321" s="76"/>
      <c r="BH1321" s="44"/>
      <c r="BI1321" s="275"/>
      <c r="BJ1321" s="52"/>
      <c r="BK1321" s="35"/>
      <c r="BL1321" s="79"/>
      <c r="BM1321" s="230"/>
      <c r="BN1321" s="211"/>
      <c r="BO1321" s="164"/>
      <c r="BP1321" s="726"/>
      <c r="BQ1321" s="727"/>
      <c r="BR1321" s="299"/>
      <c r="BS1321" s="35"/>
      <c r="BT1321" s="596"/>
      <c r="BU1321" s="79"/>
      <c r="BV1321" s="212"/>
      <c r="BW1321" s="304"/>
      <c r="BX1321" s="313"/>
      <c r="BY1321" s="138"/>
    </row>
    <row r="1322" spans="1:77" ht="15" customHeight="1" outlineLevel="1" x14ac:dyDescent="0.2">
      <c r="A1322" s="57" t="s">
        <v>24</v>
      </c>
      <c r="B1322" s="583" t="s">
        <v>477</v>
      </c>
      <c r="C1322" s="583" t="s">
        <v>1391</v>
      </c>
      <c r="D1322" s="546">
        <v>1.395</v>
      </c>
      <c r="E1322" s="162" t="s">
        <v>631</v>
      </c>
      <c r="F1322" s="358"/>
      <c r="G1322" s="65"/>
      <c r="H1322" s="73"/>
      <c r="I1322" s="90"/>
      <c r="J1322" s="73"/>
      <c r="K1322" s="734"/>
      <c r="L1322" s="717">
        <v>2008</v>
      </c>
      <c r="M1322" s="73"/>
      <c r="N1322" s="786">
        <v>2.2079999999999999E-3</v>
      </c>
      <c r="O1322" s="1041"/>
      <c r="P1322" s="73"/>
      <c r="Q1322" s="786"/>
      <c r="R1322" s="1041"/>
      <c r="S1322" s="73"/>
      <c r="T1322" s="786"/>
      <c r="U1322" s="73"/>
      <c r="V1322" s="66"/>
      <c r="W1322" s="788">
        <f t="shared" ref="W1322:W1323" si="1134">AA1322*(1+AB1322)</f>
        <v>1.3247999999999998E-6</v>
      </c>
      <c r="X1322" s="789">
        <f t="shared" ref="X1322:X1323" si="1135">AA1322*(1+AC1322)</f>
        <v>1.3247999999999998E-6</v>
      </c>
      <c r="Y1322" s="52">
        <v>2008</v>
      </c>
      <c r="Z1322" s="52"/>
      <c r="AA1322" s="787">
        <f t="shared" si="1117"/>
        <v>2.2079999999999999E-6</v>
      </c>
      <c r="AB1322" s="256">
        <v>-0.4</v>
      </c>
      <c r="AC1322" s="688">
        <f t="shared" si="1088"/>
        <v>-0.4</v>
      </c>
      <c r="AD1322" s="164"/>
      <c r="AE1322" s="164"/>
      <c r="AF1322" s="25"/>
      <c r="AG1322" s="26"/>
      <c r="AH1322" s="275"/>
      <c r="AI1322" s="52"/>
      <c r="AJ1322" s="35"/>
      <c r="AK1322" s="289"/>
      <c r="AL1322" s="290"/>
      <c r="AM1322" s="211"/>
      <c r="AN1322" s="164"/>
      <c r="AO1322" s="594"/>
      <c r="AP1322" s="595"/>
      <c r="AQ1322" s="275"/>
      <c r="AR1322" s="52"/>
      <c r="AS1322" s="596"/>
      <c r="AT1322" s="79"/>
      <c r="AU1322" s="212"/>
      <c r="AV1322" s="164"/>
      <c r="AW1322" s="164"/>
      <c r="AX1322" s="76"/>
      <c r="AY1322" s="44"/>
      <c r="AZ1322" s="275"/>
      <c r="BA1322" s="52"/>
      <c r="BB1322" s="35"/>
      <c r="BC1322" s="79"/>
      <c r="BD1322" s="230"/>
      <c r="BE1322" s="211"/>
      <c r="BF1322" s="164"/>
      <c r="BG1322" s="76"/>
      <c r="BH1322" s="44"/>
      <c r="BI1322" s="275"/>
      <c r="BJ1322" s="52"/>
      <c r="BK1322" s="35"/>
      <c r="BL1322" s="79"/>
      <c r="BM1322" s="230"/>
      <c r="BN1322" s="211"/>
      <c r="BO1322" s="164"/>
      <c r="BP1322" s="726"/>
      <c r="BQ1322" s="727"/>
      <c r="BR1322" s="299"/>
      <c r="BS1322" s="35"/>
      <c r="BT1322" s="596"/>
      <c r="BU1322" s="79"/>
      <c r="BV1322" s="212"/>
      <c r="BW1322" s="304"/>
      <c r="BX1322" s="313"/>
      <c r="BY1322" s="138"/>
    </row>
    <row r="1323" spans="1:77" ht="15" customHeight="1" outlineLevel="1" x14ac:dyDescent="0.2">
      <c r="A1323" s="57" t="s">
        <v>24</v>
      </c>
      <c r="B1323" s="583" t="s">
        <v>477</v>
      </c>
      <c r="C1323" s="583" t="s">
        <v>1431</v>
      </c>
      <c r="D1323" s="546">
        <v>0.92500000000000004</v>
      </c>
      <c r="E1323" s="162" t="s">
        <v>631</v>
      </c>
      <c r="F1323" s="358"/>
      <c r="G1323" s="65"/>
      <c r="H1323" s="73"/>
      <c r="I1323" s="90">
        <v>2007</v>
      </c>
      <c r="J1323" s="73"/>
      <c r="K1323" s="790">
        <v>1.4170000000000001E-3</v>
      </c>
      <c r="L1323" s="717"/>
      <c r="M1323" s="73"/>
      <c r="N1323" s="786"/>
      <c r="O1323" s="1041"/>
      <c r="P1323" s="73"/>
      <c r="Q1323" s="786"/>
      <c r="R1323" s="1041"/>
      <c r="S1323" s="73"/>
      <c r="T1323" s="786"/>
      <c r="U1323" s="73"/>
      <c r="V1323" s="66"/>
      <c r="W1323" s="788">
        <f t="shared" si="1134"/>
        <v>6.093100000000001E-7</v>
      </c>
      <c r="X1323" s="789">
        <f t="shared" si="1135"/>
        <v>6.093100000000001E-7</v>
      </c>
      <c r="Y1323" s="52">
        <v>2007</v>
      </c>
      <c r="Z1323" s="52"/>
      <c r="AA1323" s="787">
        <f>+K1323/1000</f>
        <v>1.4170000000000002E-6</v>
      </c>
      <c r="AB1323" s="256">
        <v>-0.56999999999999995</v>
      </c>
      <c r="AC1323" s="688">
        <f t="shared" si="1088"/>
        <v>-0.56999999999999995</v>
      </c>
      <c r="AD1323" s="164"/>
      <c r="AE1323" s="164"/>
      <c r="AF1323" s="25"/>
      <c r="AG1323" s="26"/>
      <c r="AH1323" s="275"/>
      <c r="AI1323" s="52"/>
      <c r="AJ1323" s="35"/>
      <c r="AK1323" s="289"/>
      <c r="AL1323" s="290"/>
      <c r="AM1323" s="211"/>
      <c r="AN1323" s="164"/>
      <c r="AO1323" s="594"/>
      <c r="AP1323" s="595"/>
      <c r="AQ1323" s="275"/>
      <c r="AR1323" s="52"/>
      <c r="AS1323" s="596"/>
      <c r="AT1323" s="79"/>
      <c r="AU1323" s="212"/>
      <c r="AV1323" s="164"/>
      <c r="AW1323" s="164"/>
      <c r="AX1323" s="76"/>
      <c r="AY1323" s="44"/>
      <c r="AZ1323" s="275"/>
      <c r="BA1323" s="52"/>
      <c r="BB1323" s="35"/>
      <c r="BC1323" s="79"/>
      <c r="BD1323" s="230"/>
      <c r="BE1323" s="211"/>
      <c r="BF1323" s="164"/>
      <c r="BG1323" s="76"/>
      <c r="BH1323" s="44"/>
      <c r="BI1323" s="275"/>
      <c r="BJ1323" s="52"/>
      <c r="BK1323" s="35"/>
      <c r="BL1323" s="79"/>
      <c r="BM1323" s="230"/>
      <c r="BN1323" s="211"/>
      <c r="BO1323" s="164"/>
      <c r="BP1323" s="726"/>
      <c r="BQ1323" s="727"/>
      <c r="BR1323" s="299"/>
      <c r="BS1323" s="35"/>
      <c r="BT1323" s="596"/>
      <c r="BU1323" s="79"/>
      <c r="BV1323" s="212"/>
      <c r="BW1323" s="304"/>
      <c r="BX1323" s="313"/>
      <c r="BY1323" s="138"/>
    </row>
    <row r="1324" spans="1:77" ht="15" customHeight="1" outlineLevel="1" x14ac:dyDescent="0.2">
      <c r="A1324" s="57" t="s">
        <v>24</v>
      </c>
      <c r="B1324" s="583" t="s">
        <v>477</v>
      </c>
      <c r="C1324" s="583" t="s">
        <v>476</v>
      </c>
      <c r="D1324" s="546">
        <v>32</v>
      </c>
      <c r="E1324" s="162" t="s">
        <v>387</v>
      </c>
      <c r="F1324" s="358"/>
      <c r="G1324" s="65"/>
      <c r="H1324" s="73"/>
      <c r="I1324" s="90"/>
      <c r="J1324" s="73"/>
      <c r="K1324" s="734">
        <v>0.154534</v>
      </c>
      <c r="L1324" s="717"/>
      <c r="M1324" s="73"/>
      <c r="N1324" s="359"/>
      <c r="O1324" s="1041"/>
      <c r="P1324" s="73"/>
      <c r="Q1324" s="359"/>
      <c r="R1324" s="1041"/>
      <c r="S1324" s="73"/>
      <c r="T1324" s="359"/>
      <c r="U1324" s="73"/>
      <c r="V1324" s="66"/>
      <c r="W1324" s="594">
        <f>AA1324*(1+AB1324)</f>
        <v>1.2208186000000002E-4</v>
      </c>
      <c r="X1324" s="595">
        <f>AA1324*(1+AC1324)</f>
        <v>1.2208186000000002E-4</v>
      </c>
      <c r="Y1324" s="52">
        <v>2005</v>
      </c>
      <c r="Z1324" s="52"/>
      <c r="AA1324" s="596">
        <f>+K1324/1000</f>
        <v>1.5453400000000001E-4</v>
      </c>
      <c r="AB1324" s="256">
        <v>-0.21</v>
      </c>
      <c r="AC1324" s="688">
        <f>AB1324</f>
        <v>-0.21</v>
      </c>
      <c r="AD1324" s="164"/>
      <c r="AE1324" s="164"/>
      <c r="AF1324" s="25"/>
      <c r="AG1324" s="26"/>
      <c r="AH1324" s="275"/>
      <c r="AI1324" s="52"/>
      <c r="AJ1324" s="35"/>
      <c r="AK1324" s="289"/>
      <c r="AL1324" s="290"/>
      <c r="AM1324" s="211"/>
      <c r="AN1324" s="164"/>
      <c r="AO1324" s="594"/>
      <c r="AP1324" s="595"/>
      <c r="AQ1324" s="275"/>
      <c r="AR1324" s="52"/>
      <c r="AS1324" s="596"/>
      <c r="AT1324" s="79"/>
      <c r="AU1324" s="212"/>
      <c r="AV1324" s="164"/>
      <c r="AW1324" s="164"/>
      <c r="AX1324" s="76"/>
      <c r="AY1324" s="44"/>
      <c r="AZ1324" s="275"/>
      <c r="BA1324" s="52"/>
      <c r="BB1324" s="35"/>
      <c r="BC1324" s="79"/>
      <c r="BD1324" s="230"/>
      <c r="BE1324" s="211"/>
      <c r="BF1324" s="164"/>
      <c r="BG1324" s="76"/>
      <c r="BH1324" s="44"/>
      <c r="BI1324" s="275"/>
      <c r="BJ1324" s="52"/>
      <c r="BK1324" s="35"/>
      <c r="BL1324" s="79"/>
      <c r="BM1324" s="230"/>
      <c r="BN1324" s="211"/>
      <c r="BO1324" s="164"/>
      <c r="BP1324" s="726"/>
      <c r="BQ1324" s="727"/>
      <c r="BR1324" s="299"/>
      <c r="BS1324" s="35"/>
      <c r="BT1324" s="596"/>
      <c r="BU1324" s="79"/>
      <c r="BV1324" s="212"/>
      <c r="BW1324" s="304"/>
      <c r="BX1324" s="313"/>
      <c r="BY1324" s="138"/>
    </row>
    <row r="1325" spans="1:77" ht="15" customHeight="1" outlineLevel="1" x14ac:dyDescent="0.2">
      <c r="A1325" s="57" t="s">
        <v>24</v>
      </c>
      <c r="B1325" s="583" t="s">
        <v>477</v>
      </c>
      <c r="C1325" s="583" t="s">
        <v>1340</v>
      </c>
      <c r="D1325" s="546">
        <v>2.4220000000000002</v>
      </c>
      <c r="E1325" s="162" t="s">
        <v>631</v>
      </c>
      <c r="F1325" s="358"/>
      <c r="G1325" s="65"/>
      <c r="H1325" s="73"/>
      <c r="I1325" s="90"/>
      <c r="J1325" s="73"/>
      <c r="K1325" s="734"/>
      <c r="L1325" s="717">
        <v>2008</v>
      </c>
      <c r="M1325" s="73"/>
      <c r="N1325" s="786">
        <v>4.7679999999999997E-3</v>
      </c>
      <c r="O1325" s="1041"/>
      <c r="P1325" s="73"/>
      <c r="Q1325" s="786"/>
      <c r="R1325" s="1041"/>
      <c r="S1325" s="73"/>
      <c r="T1325" s="786"/>
      <c r="U1325" s="73"/>
      <c r="V1325" s="66"/>
      <c r="W1325" s="788">
        <f t="shared" ref="W1325" si="1136">AA1325*(1+AB1325)</f>
        <v>1.3350400000000002E-6</v>
      </c>
      <c r="X1325" s="789">
        <f t="shared" ref="X1325" si="1137">AA1325*(1+AC1325)</f>
        <v>1.3350400000000002E-6</v>
      </c>
      <c r="Y1325" s="52">
        <v>2008</v>
      </c>
      <c r="Z1325" s="52"/>
      <c r="AA1325" s="787">
        <f>+N1325/1000</f>
        <v>4.7679999999999999E-6</v>
      </c>
      <c r="AB1325" s="256">
        <v>-0.72</v>
      </c>
      <c r="AC1325" s="688">
        <f t="shared" si="1088"/>
        <v>-0.72</v>
      </c>
      <c r="AD1325" s="164"/>
      <c r="AE1325" s="164"/>
      <c r="AF1325" s="25"/>
      <c r="AG1325" s="26"/>
      <c r="AH1325" s="275"/>
      <c r="AI1325" s="52"/>
      <c r="AJ1325" s="35"/>
      <c r="AK1325" s="289"/>
      <c r="AL1325" s="290"/>
      <c r="AM1325" s="211"/>
      <c r="AN1325" s="164"/>
      <c r="AO1325" s="594"/>
      <c r="AP1325" s="595"/>
      <c r="AQ1325" s="275"/>
      <c r="AR1325" s="52"/>
      <c r="AS1325" s="596"/>
      <c r="AT1325" s="79"/>
      <c r="AU1325" s="212"/>
      <c r="AV1325" s="164"/>
      <c r="AW1325" s="164"/>
      <c r="AX1325" s="76"/>
      <c r="AY1325" s="44"/>
      <c r="AZ1325" s="275"/>
      <c r="BA1325" s="52"/>
      <c r="BB1325" s="35"/>
      <c r="BC1325" s="79"/>
      <c r="BD1325" s="230"/>
      <c r="BE1325" s="211"/>
      <c r="BF1325" s="164"/>
      <c r="BG1325" s="76"/>
      <c r="BH1325" s="44"/>
      <c r="BI1325" s="275"/>
      <c r="BJ1325" s="52"/>
      <c r="BK1325" s="35"/>
      <c r="BL1325" s="79"/>
      <c r="BM1325" s="230"/>
      <c r="BN1325" s="211"/>
      <c r="BO1325" s="164"/>
      <c r="BP1325" s="726"/>
      <c r="BQ1325" s="727"/>
      <c r="BR1325" s="299"/>
      <c r="BS1325" s="35"/>
      <c r="BT1325" s="596"/>
      <c r="BU1325" s="79"/>
      <c r="BV1325" s="212"/>
      <c r="BW1325" s="304"/>
      <c r="BX1325" s="313"/>
      <c r="BY1325" s="138"/>
    </row>
    <row r="1326" spans="1:77" ht="15" customHeight="1" outlineLevel="1" x14ac:dyDescent="0.2">
      <c r="A1326" s="57" t="s">
        <v>24</v>
      </c>
      <c r="B1326" s="583" t="s">
        <v>477</v>
      </c>
      <c r="C1326" s="583" t="s">
        <v>1600</v>
      </c>
      <c r="D1326" s="546">
        <v>0.71</v>
      </c>
      <c r="E1326" s="162" t="s">
        <v>631</v>
      </c>
      <c r="F1326" s="358"/>
      <c r="G1326" s="65"/>
      <c r="H1326" s="73"/>
      <c r="I1326" s="90"/>
      <c r="J1326" s="73"/>
      <c r="K1326" s="734"/>
      <c r="L1326" s="717"/>
      <c r="M1326" s="73"/>
      <c r="N1326" s="786">
        <v>2.5490000000000001E-3</v>
      </c>
      <c r="O1326" s="1041"/>
      <c r="P1326" s="73"/>
      <c r="Q1326" s="786"/>
      <c r="R1326" s="1041"/>
      <c r="S1326" s="73"/>
      <c r="T1326" s="786"/>
      <c r="U1326" s="73"/>
      <c r="V1326" s="66"/>
      <c r="W1326" s="788">
        <f t="shared" ref="W1326" si="1138">AA1326*(1+AB1326)</f>
        <v>1.6823399999999998E-6</v>
      </c>
      <c r="X1326" s="789">
        <f t="shared" ref="X1326" si="1139">AA1326*(1+AC1326)</f>
        <v>1.6823399999999998E-6</v>
      </c>
      <c r="Y1326" s="52">
        <v>2010</v>
      </c>
      <c r="Z1326" s="52"/>
      <c r="AA1326" s="787">
        <f>+N1326/1000</f>
        <v>2.5490000000000001E-6</v>
      </c>
      <c r="AB1326" s="256">
        <v>-0.34</v>
      </c>
      <c r="AC1326" s="688">
        <f t="shared" ref="AC1326" si="1140">AB1326</f>
        <v>-0.34</v>
      </c>
      <c r="AD1326" s="164"/>
      <c r="AE1326" s="164"/>
      <c r="AF1326" s="25"/>
      <c r="AG1326" s="26"/>
      <c r="AH1326" s="275"/>
      <c r="AI1326" s="52"/>
      <c r="AJ1326" s="35"/>
      <c r="AK1326" s="289"/>
      <c r="AL1326" s="290"/>
      <c r="AM1326" s="211"/>
      <c r="AN1326" s="164"/>
      <c r="AO1326" s="594"/>
      <c r="AP1326" s="595"/>
      <c r="AQ1326" s="275"/>
      <c r="AR1326" s="52"/>
      <c r="AS1326" s="596"/>
      <c r="AT1326" s="79"/>
      <c r="AU1326" s="212"/>
      <c r="AV1326" s="164"/>
      <c r="AW1326" s="164"/>
      <c r="AX1326" s="76"/>
      <c r="AY1326" s="44"/>
      <c r="AZ1326" s="275"/>
      <c r="BA1326" s="52"/>
      <c r="BB1326" s="35"/>
      <c r="BC1326" s="79"/>
      <c r="BD1326" s="230"/>
      <c r="BE1326" s="211"/>
      <c r="BF1326" s="164"/>
      <c r="BG1326" s="76"/>
      <c r="BH1326" s="44"/>
      <c r="BI1326" s="275"/>
      <c r="BJ1326" s="52"/>
      <c r="BK1326" s="35"/>
      <c r="BL1326" s="79"/>
      <c r="BM1326" s="230"/>
      <c r="BN1326" s="211"/>
      <c r="BO1326" s="164"/>
      <c r="BP1326" s="726"/>
      <c r="BQ1326" s="727"/>
      <c r="BR1326" s="299"/>
      <c r="BS1326" s="35"/>
      <c r="BT1326" s="596"/>
      <c r="BU1326" s="79"/>
      <c r="BV1326" s="212"/>
      <c r="BW1326" s="304"/>
      <c r="BX1326" s="313"/>
      <c r="BY1326" s="138"/>
    </row>
    <row r="1327" spans="1:77" ht="15" customHeight="1" outlineLevel="1" x14ac:dyDescent="0.2">
      <c r="A1327" s="57" t="s">
        <v>24</v>
      </c>
      <c r="B1327" s="583" t="s">
        <v>477</v>
      </c>
      <c r="C1327" s="583" t="s">
        <v>194</v>
      </c>
      <c r="D1327" s="546">
        <v>4.4669999999999996</v>
      </c>
      <c r="E1327" s="162" t="s">
        <v>631</v>
      </c>
      <c r="F1327" s="358"/>
      <c r="G1327" s="65"/>
      <c r="H1327" s="73"/>
      <c r="I1327" s="90"/>
      <c r="J1327" s="73"/>
      <c r="K1327" s="734">
        <v>5.6959999999999997E-3</v>
      </c>
      <c r="L1327" s="717"/>
      <c r="M1327" s="73"/>
      <c r="N1327" s="359"/>
      <c r="O1327" s="1041"/>
      <c r="P1327" s="73"/>
      <c r="Q1327" s="359"/>
      <c r="R1327" s="1041"/>
      <c r="S1327" s="73"/>
      <c r="T1327" s="359"/>
      <c r="U1327" s="73"/>
      <c r="V1327" s="66"/>
      <c r="W1327" s="788">
        <f>AA1327*(1+AB1327)</f>
        <v>3.8163199999999991E-6</v>
      </c>
      <c r="X1327" s="789">
        <f>AA1327*(1+AC1327)</f>
        <v>3.8163199999999991E-6</v>
      </c>
      <c r="Y1327" s="52">
        <v>2005</v>
      </c>
      <c r="Z1327" s="52"/>
      <c r="AA1327" s="739">
        <f t="shared" ref="AA1327:AA1330" si="1141">+K1327/1000</f>
        <v>5.6959999999999993E-6</v>
      </c>
      <c r="AB1327" s="256">
        <v>-0.33</v>
      </c>
      <c r="AC1327" s="688">
        <f>AB1327</f>
        <v>-0.33</v>
      </c>
      <c r="AD1327" s="164"/>
      <c r="AE1327" s="164"/>
      <c r="AF1327" s="25"/>
      <c r="AG1327" s="26"/>
      <c r="AH1327" s="275"/>
      <c r="AI1327" s="52"/>
      <c r="AJ1327" s="35"/>
      <c r="AK1327" s="289"/>
      <c r="AL1327" s="290"/>
      <c r="AM1327" s="211"/>
      <c r="AN1327" s="164"/>
      <c r="AO1327" s="594"/>
      <c r="AP1327" s="595"/>
      <c r="AQ1327" s="275"/>
      <c r="AR1327" s="52"/>
      <c r="AS1327" s="596"/>
      <c r="AT1327" s="79"/>
      <c r="AU1327" s="212"/>
      <c r="AV1327" s="164"/>
      <c r="AW1327" s="164"/>
      <c r="AX1327" s="76"/>
      <c r="AY1327" s="44"/>
      <c r="AZ1327" s="275"/>
      <c r="BA1327" s="52"/>
      <c r="BB1327" s="35"/>
      <c r="BC1327" s="79"/>
      <c r="BD1327" s="230"/>
      <c r="BE1327" s="211"/>
      <c r="BF1327" s="164"/>
      <c r="BG1327" s="76"/>
      <c r="BH1327" s="44"/>
      <c r="BI1327" s="275"/>
      <c r="BJ1327" s="52"/>
      <c r="BK1327" s="35"/>
      <c r="BL1327" s="79"/>
      <c r="BM1327" s="230"/>
      <c r="BN1327" s="211"/>
      <c r="BO1327" s="164"/>
      <c r="BP1327" s="726"/>
      <c r="BQ1327" s="727"/>
      <c r="BR1327" s="299"/>
      <c r="BS1327" s="35"/>
      <c r="BT1327" s="596"/>
      <c r="BU1327" s="79"/>
      <c r="BV1327" s="212"/>
      <c r="BW1327" s="304"/>
      <c r="BX1327" s="313"/>
      <c r="BY1327" s="138"/>
    </row>
    <row r="1328" spans="1:77" ht="15" customHeight="1" outlineLevel="1" x14ac:dyDescent="0.2">
      <c r="A1328" s="57" t="s">
        <v>24</v>
      </c>
      <c r="B1328" s="583" t="s">
        <v>477</v>
      </c>
      <c r="C1328" s="583" t="s">
        <v>2043</v>
      </c>
      <c r="D1328" s="546">
        <v>2.871</v>
      </c>
      <c r="E1328" s="162" t="s">
        <v>631</v>
      </c>
      <c r="F1328" s="358"/>
      <c r="G1328" s="65"/>
      <c r="H1328" s="73"/>
      <c r="I1328" s="90"/>
      <c r="J1328" s="73"/>
      <c r="K1328" s="734"/>
      <c r="L1328" s="717"/>
      <c r="M1328" s="73"/>
      <c r="N1328" s="786">
        <v>1.0951000000000001E-2</v>
      </c>
      <c r="O1328" s="1041"/>
      <c r="P1328" s="73"/>
      <c r="Q1328" s="359"/>
      <c r="R1328" s="1041"/>
      <c r="S1328" s="73"/>
      <c r="T1328" s="359"/>
      <c r="U1328" s="73"/>
      <c r="V1328" s="66"/>
      <c r="W1328" s="788"/>
      <c r="X1328" s="789"/>
      <c r="Y1328" s="52">
        <v>2010</v>
      </c>
      <c r="Z1328" s="52"/>
      <c r="AA1328" s="739">
        <f>+N1328/1000</f>
        <v>1.0951000000000001E-5</v>
      </c>
      <c r="AB1328" s="256">
        <v>-0.28000000000000003</v>
      </c>
      <c r="AC1328" s="688">
        <f>AB1328</f>
        <v>-0.28000000000000003</v>
      </c>
      <c r="AD1328" s="164"/>
      <c r="AE1328" s="164"/>
      <c r="AF1328" s="25"/>
      <c r="AG1328" s="26"/>
      <c r="AH1328" s="275"/>
      <c r="AI1328" s="52"/>
      <c r="AJ1328" s="35"/>
      <c r="AK1328" s="289"/>
      <c r="AL1328" s="290"/>
      <c r="AM1328" s="211"/>
      <c r="AN1328" s="164"/>
      <c r="AO1328" s="594"/>
      <c r="AP1328" s="595"/>
      <c r="AQ1328" s="275"/>
      <c r="AR1328" s="52"/>
      <c r="AS1328" s="596"/>
      <c r="AT1328" s="79"/>
      <c r="AU1328" s="212"/>
      <c r="AV1328" s="164"/>
      <c r="AW1328" s="164"/>
      <c r="AX1328" s="76"/>
      <c r="AY1328" s="44"/>
      <c r="AZ1328" s="275"/>
      <c r="BA1328" s="52"/>
      <c r="BB1328" s="35"/>
      <c r="BC1328" s="79"/>
      <c r="BD1328" s="230"/>
      <c r="BE1328" s="211"/>
      <c r="BF1328" s="164"/>
      <c r="BG1328" s="76"/>
      <c r="BH1328" s="44"/>
      <c r="BI1328" s="275"/>
      <c r="BJ1328" s="52"/>
      <c r="BK1328" s="35"/>
      <c r="BL1328" s="79"/>
      <c r="BM1328" s="230"/>
      <c r="BN1328" s="211"/>
      <c r="BO1328" s="164"/>
      <c r="BP1328" s="726"/>
      <c r="BQ1328" s="727"/>
      <c r="BR1328" s="299"/>
      <c r="BS1328" s="35"/>
      <c r="BT1328" s="596"/>
      <c r="BU1328" s="79"/>
      <c r="BV1328" s="212"/>
      <c r="BW1328" s="304"/>
      <c r="BX1328" s="313"/>
      <c r="BY1328" s="138"/>
    </row>
    <row r="1329" spans="1:77" ht="15" customHeight="1" outlineLevel="1" x14ac:dyDescent="0.2">
      <c r="A1329" s="57" t="s">
        <v>24</v>
      </c>
      <c r="B1329" s="583" t="s">
        <v>477</v>
      </c>
      <c r="C1329" s="583" t="s">
        <v>1734</v>
      </c>
      <c r="D1329" s="546">
        <v>5.3380000000000001</v>
      </c>
      <c r="E1329" s="162" t="s">
        <v>631</v>
      </c>
      <c r="F1329" s="358"/>
      <c r="G1329" s="65"/>
      <c r="H1329" s="73"/>
      <c r="I1329" s="90"/>
      <c r="J1329" s="73"/>
      <c r="K1329" s="734"/>
      <c r="L1329" s="717">
        <v>2008</v>
      </c>
      <c r="M1329" s="73"/>
      <c r="N1329" s="738">
        <v>1.0023000000000001E-2</v>
      </c>
      <c r="O1329" s="1041"/>
      <c r="P1329" s="73"/>
      <c r="Q1329" s="738"/>
      <c r="R1329" s="1041"/>
      <c r="S1329" s="73"/>
      <c r="T1329" s="738"/>
      <c r="U1329" s="73"/>
      <c r="V1329" s="66"/>
      <c r="W1329" s="788">
        <f>AA1329*(1+AB1329)</f>
        <v>7.5172499999999999E-6</v>
      </c>
      <c r="X1329" s="789">
        <f>AA1329*(1+AC1329)</f>
        <v>7.5172499999999999E-6</v>
      </c>
      <c r="Y1329" s="52">
        <v>2008</v>
      </c>
      <c r="Z1329" s="52"/>
      <c r="AA1329" s="739">
        <f>+N1329/1000</f>
        <v>1.0023E-5</v>
      </c>
      <c r="AB1329" s="256">
        <v>-0.25</v>
      </c>
      <c r="AC1329" s="688">
        <f>AB1329</f>
        <v>-0.25</v>
      </c>
      <c r="AD1329" s="164"/>
      <c r="AE1329" s="164"/>
      <c r="AF1329" s="25"/>
      <c r="AG1329" s="26"/>
      <c r="AH1329" s="275"/>
      <c r="AI1329" s="52"/>
      <c r="AJ1329" s="35"/>
      <c r="AK1329" s="289"/>
      <c r="AL1329" s="290"/>
      <c r="AM1329" s="211"/>
      <c r="AN1329" s="164"/>
      <c r="AO1329" s="594"/>
      <c r="AP1329" s="595"/>
      <c r="AQ1329" s="275"/>
      <c r="AR1329" s="52"/>
      <c r="AS1329" s="596"/>
      <c r="AT1329" s="79"/>
      <c r="AU1329" s="212"/>
      <c r="AV1329" s="164"/>
      <c r="AW1329" s="164"/>
      <c r="AX1329" s="76"/>
      <c r="AY1329" s="44"/>
      <c r="AZ1329" s="275"/>
      <c r="BA1329" s="52"/>
      <c r="BB1329" s="35"/>
      <c r="BC1329" s="79"/>
      <c r="BD1329" s="230"/>
      <c r="BE1329" s="211"/>
      <c r="BF1329" s="164"/>
      <c r="BG1329" s="76"/>
      <c r="BH1329" s="44"/>
      <c r="BI1329" s="275"/>
      <c r="BJ1329" s="52"/>
      <c r="BK1329" s="35"/>
      <c r="BL1329" s="79"/>
      <c r="BM1329" s="230"/>
      <c r="BN1329" s="211"/>
      <c r="BO1329" s="164"/>
      <c r="BP1329" s="726"/>
      <c r="BQ1329" s="727"/>
      <c r="BR1329" s="299"/>
      <c r="BS1329" s="35"/>
      <c r="BT1329" s="596"/>
      <c r="BU1329" s="79"/>
      <c r="BV1329" s="212"/>
      <c r="BW1329" s="304"/>
      <c r="BX1329" s="313"/>
      <c r="BY1329" s="138"/>
    </row>
    <row r="1330" spans="1:77" ht="15" customHeight="1" outlineLevel="1" x14ac:dyDescent="0.2">
      <c r="A1330" s="57" t="s">
        <v>24</v>
      </c>
      <c r="B1330" s="583" t="s">
        <v>477</v>
      </c>
      <c r="C1330" s="583" t="s">
        <v>1592</v>
      </c>
      <c r="D1330" s="546">
        <v>2.2130000000000001</v>
      </c>
      <c r="E1330" s="162" t="s">
        <v>631</v>
      </c>
      <c r="F1330" s="358"/>
      <c r="G1330" s="65"/>
      <c r="H1330" s="73"/>
      <c r="I1330" s="90">
        <v>2007</v>
      </c>
      <c r="J1330" s="73"/>
      <c r="K1330" s="790">
        <v>4.9309999999999996E-3</v>
      </c>
      <c r="L1330" s="717"/>
      <c r="M1330" s="73"/>
      <c r="N1330" s="786"/>
      <c r="O1330" s="1041"/>
      <c r="P1330" s="73"/>
      <c r="Q1330" s="786"/>
      <c r="R1330" s="1041"/>
      <c r="S1330" s="73"/>
      <c r="T1330" s="786"/>
      <c r="U1330" s="73"/>
      <c r="V1330" s="66"/>
      <c r="W1330" s="788">
        <f t="shared" ref="W1330" si="1142">AA1330*(1+AB1330)</f>
        <v>2.9585999999999999E-6</v>
      </c>
      <c r="X1330" s="789">
        <f t="shared" ref="X1330" si="1143">AA1330*(1+AC1330)</f>
        <v>2.9585999999999999E-6</v>
      </c>
      <c r="Y1330" s="52">
        <v>2007</v>
      </c>
      <c r="Z1330" s="52"/>
      <c r="AA1330" s="787">
        <f t="shared" si="1141"/>
        <v>4.9309999999999999E-6</v>
      </c>
      <c r="AB1330" s="256">
        <v>-0.4</v>
      </c>
      <c r="AC1330" s="688">
        <f t="shared" ref="AC1330" si="1144">AB1330</f>
        <v>-0.4</v>
      </c>
      <c r="AD1330" s="164"/>
      <c r="AE1330" s="164"/>
      <c r="AF1330" s="25"/>
      <c r="AG1330" s="26"/>
      <c r="AH1330" s="275"/>
      <c r="AI1330" s="52"/>
      <c r="AJ1330" s="35"/>
      <c r="AK1330" s="289"/>
      <c r="AL1330" s="290"/>
      <c r="AM1330" s="211"/>
      <c r="AN1330" s="164"/>
      <c r="AO1330" s="594"/>
      <c r="AP1330" s="595"/>
      <c r="AQ1330" s="275"/>
      <c r="AR1330" s="52"/>
      <c r="AS1330" s="596"/>
      <c r="AT1330" s="79"/>
      <c r="AU1330" s="212"/>
      <c r="AV1330" s="164"/>
      <c r="AW1330" s="164"/>
      <c r="AX1330" s="76"/>
      <c r="AY1330" s="44"/>
      <c r="AZ1330" s="275"/>
      <c r="BA1330" s="52"/>
      <c r="BB1330" s="35"/>
      <c r="BC1330" s="79"/>
      <c r="BD1330" s="230"/>
      <c r="BE1330" s="211"/>
      <c r="BF1330" s="164"/>
      <c r="BG1330" s="76"/>
      <c r="BH1330" s="44"/>
      <c r="BI1330" s="275"/>
      <c r="BJ1330" s="52"/>
      <c r="BK1330" s="35"/>
      <c r="BL1330" s="79"/>
      <c r="BM1330" s="230"/>
      <c r="BN1330" s="211"/>
      <c r="BO1330" s="164"/>
      <c r="BP1330" s="726"/>
      <c r="BQ1330" s="727"/>
      <c r="BR1330" s="299"/>
      <c r="BS1330" s="35"/>
      <c r="BT1330" s="596"/>
      <c r="BU1330" s="79"/>
      <c r="BV1330" s="212"/>
      <c r="BW1330" s="304"/>
      <c r="BX1330" s="313"/>
      <c r="BY1330" s="138"/>
    </row>
    <row r="1331" spans="1:77" ht="15" customHeight="1" outlineLevel="1" x14ac:dyDescent="0.2">
      <c r="A1331" s="57" t="s">
        <v>24</v>
      </c>
      <c r="B1331" s="583" t="s">
        <v>477</v>
      </c>
      <c r="C1331" s="583" t="s">
        <v>1342</v>
      </c>
      <c r="D1331" s="546">
        <v>28.643000000000001</v>
      </c>
      <c r="E1331" s="162" t="s">
        <v>631</v>
      </c>
      <c r="F1331" s="358"/>
      <c r="G1331" s="65"/>
      <c r="H1331" s="73"/>
      <c r="I1331" s="90"/>
      <c r="J1331" s="73"/>
      <c r="K1331" s="734">
        <v>5.2789000000000003E-2</v>
      </c>
      <c r="L1331" s="717"/>
      <c r="M1331" s="73"/>
      <c r="N1331" s="359"/>
      <c r="O1331" s="1041"/>
      <c r="P1331" s="73"/>
      <c r="Q1331" s="359"/>
      <c r="R1331" s="1041"/>
      <c r="S1331" s="73"/>
      <c r="T1331" s="359"/>
      <c r="U1331" s="73"/>
      <c r="V1331" s="66"/>
      <c r="W1331" s="740">
        <f>AA1331*(1+AB1331)</f>
        <v>3.5896519999999999E-5</v>
      </c>
      <c r="X1331" s="741">
        <f>AA1331*(1+AC1331)</f>
        <v>3.5896519999999999E-5</v>
      </c>
      <c r="Y1331" s="52">
        <v>2005</v>
      </c>
      <c r="Z1331" s="52"/>
      <c r="AA1331" s="596">
        <f t="shared" ref="AA1331:AA1343" si="1145">+K1331/1000</f>
        <v>5.2789000000000006E-5</v>
      </c>
      <c r="AB1331" s="256">
        <v>-0.32</v>
      </c>
      <c r="AC1331" s="688">
        <f>AB1331</f>
        <v>-0.32</v>
      </c>
      <c r="AD1331" s="164"/>
      <c r="AE1331" s="164"/>
      <c r="AF1331" s="25"/>
      <c r="AG1331" s="26"/>
      <c r="AH1331" s="275"/>
      <c r="AI1331" s="52"/>
      <c r="AJ1331" s="35"/>
      <c r="AK1331" s="289"/>
      <c r="AL1331" s="290"/>
      <c r="AM1331" s="211"/>
      <c r="AN1331" s="164"/>
      <c r="AO1331" s="594"/>
      <c r="AP1331" s="595"/>
      <c r="AQ1331" s="275"/>
      <c r="AR1331" s="52"/>
      <c r="AS1331" s="596"/>
      <c r="AT1331" s="79"/>
      <c r="AU1331" s="212"/>
      <c r="AV1331" s="164"/>
      <c r="AW1331" s="164"/>
      <c r="AX1331" s="76"/>
      <c r="AY1331" s="44"/>
      <c r="AZ1331" s="275"/>
      <c r="BA1331" s="52"/>
      <c r="BB1331" s="35"/>
      <c r="BC1331" s="79"/>
      <c r="BD1331" s="230"/>
      <c r="BE1331" s="211"/>
      <c r="BF1331" s="164"/>
      <c r="BG1331" s="76"/>
      <c r="BH1331" s="44"/>
      <c r="BI1331" s="275"/>
      <c r="BJ1331" s="52"/>
      <c r="BK1331" s="35"/>
      <c r="BL1331" s="79"/>
      <c r="BM1331" s="230"/>
      <c r="BN1331" s="211"/>
      <c r="BO1331" s="164"/>
      <c r="BP1331" s="726"/>
      <c r="BQ1331" s="727"/>
      <c r="BR1331" s="299"/>
      <c r="BS1331" s="35"/>
      <c r="BT1331" s="596"/>
      <c r="BU1331" s="79"/>
      <c r="BV1331" s="212"/>
      <c r="BW1331" s="304"/>
      <c r="BX1331" s="313"/>
      <c r="BY1331" s="138"/>
    </row>
    <row r="1332" spans="1:77" ht="15" customHeight="1" outlineLevel="1" x14ac:dyDescent="0.2">
      <c r="A1332" s="57" t="s">
        <v>24</v>
      </c>
      <c r="B1332" s="583" t="s">
        <v>477</v>
      </c>
      <c r="C1332" s="583" t="s">
        <v>1803</v>
      </c>
      <c r="D1332" s="546">
        <v>0.17399999999999999</v>
      </c>
      <c r="E1332" s="162" t="s">
        <v>631</v>
      </c>
      <c r="F1332" s="358"/>
      <c r="G1332" s="65"/>
      <c r="H1332" s="73"/>
      <c r="I1332" s="90"/>
      <c r="J1332" s="73"/>
      <c r="K1332" s="734"/>
      <c r="L1332" s="717"/>
      <c r="M1332" s="73"/>
      <c r="N1332" s="811">
        <v>5.9599999999999996E-4</v>
      </c>
      <c r="O1332" s="1041"/>
      <c r="P1332" s="73"/>
      <c r="Q1332" s="811"/>
      <c r="R1332" s="1041"/>
      <c r="S1332" s="73"/>
      <c r="T1332" s="811"/>
      <c r="U1332" s="73"/>
      <c r="V1332" s="66"/>
      <c r="W1332" s="808">
        <f>AA1332*(1+AB1332)</f>
        <v>4.4700000000000002E-7</v>
      </c>
      <c r="X1332" s="809">
        <f>AA1332*(1+AC1332)</f>
        <v>4.4700000000000002E-7</v>
      </c>
      <c r="Y1332" s="52">
        <v>2010</v>
      </c>
      <c r="Z1332" s="52"/>
      <c r="AA1332" s="807">
        <f>+N1332/1000</f>
        <v>5.9599999999999999E-7</v>
      </c>
      <c r="AB1332" s="256">
        <v>-0.25</v>
      </c>
      <c r="AC1332" s="688">
        <f>AB1332</f>
        <v>-0.25</v>
      </c>
      <c r="AD1332" s="164"/>
      <c r="AE1332" s="164"/>
      <c r="AF1332" s="25"/>
      <c r="AG1332" s="26"/>
      <c r="AH1332" s="275"/>
      <c r="AI1332" s="52"/>
      <c r="AJ1332" s="35"/>
      <c r="AK1332" s="289"/>
      <c r="AL1332" s="290"/>
      <c r="AM1332" s="211"/>
      <c r="AN1332" s="164"/>
      <c r="AO1332" s="594"/>
      <c r="AP1332" s="595"/>
      <c r="AQ1332" s="275"/>
      <c r="AR1332" s="52"/>
      <c r="AS1332" s="596"/>
      <c r="AT1332" s="79"/>
      <c r="AU1332" s="212"/>
      <c r="AV1332" s="164"/>
      <c r="AW1332" s="164"/>
      <c r="AX1332" s="76"/>
      <c r="AY1332" s="44"/>
      <c r="AZ1332" s="275"/>
      <c r="BA1332" s="52"/>
      <c r="BB1332" s="35"/>
      <c r="BC1332" s="79"/>
      <c r="BD1332" s="230"/>
      <c r="BE1332" s="211"/>
      <c r="BF1332" s="164"/>
      <c r="BG1332" s="76"/>
      <c r="BH1332" s="44"/>
      <c r="BI1332" s="275"/>
      <c r="BJ1332" s="52"/>
      <c r="BK1332" s="35"/>
      <c r="BL1332" s="79"/>
      <c r="BM1332" s="230"/>
      <c r="BN1332" s="211"/>
      <c r="BO1332" s="164"/>
      <c r="BP1332" s="726"/>
      <c r="BQ1332" s="727"/>
      <c r="BR1332" s="299"/>
      <c r="BS1332" s="35"/>
      <c r="BT1332" s="596"/>
      <c r="BU1332" s="79"/>
      <c r="BV1332" s="212"/>
      <c r="BW1332" s="304"/>
      <c r="BX1332" s="313"/>
      <c r="BY1332" s="138"/>
    </row>
    <row r="1333" spans="1:77" ht="15" customHeight="1" outlineLevel="1" x14ac:dyDescent="0.2">
      <c r="A1333" s="57" t="s">
        <v>24</v>
      </c>
      <c r="B1333" s="583" t="s">
        <v>477</v>
      </c>
      <c r="C1333" s="583" t="s">
        <v>1428</v>
      </c>
      <c r="D1333" s="546">
        <v>0.90500000000000003</v>
      </c>
      <c r="E1333" s="162" t="s">
        <v>631</v>
      </c>
      <c r="F1333" s="358"/>
      <c r="G1333" s="65"/>
      <c r="H1333" s="73"/>
      <c r="I1333" s="90">
        <v>2007</v>
      </c>
      <c r="J1333" s="73"/>
      <c r="K1333" s="790">
        <v>1.611E-3</v>
      </c>
      <c r="L1333" s="717"/>
      <c r="M1333" s="73"/>
      <c r="N1333" s="786"/>
      <c r="O1333" s="1041"/>
      <c r="P1333" s="73"/>
      <c r="Q1333" s="786"/>
      <c r="R1333" s="1041"/>
      <c r="S1333" s="73"/>
      <c r="T1333" s="786"/>
      <c r="U1333" s="73"/>
      <c r="V1333" s="66"/>
      <c r="W1333" s="788">
        <f t="shared" ref="W1333" si="1146">AA1333*(1+AB1333)</f>
        <v>0</v>
      </c>
      <c r="X1333" s="789">
        <f t="shared" ref="X1333" si="1147">AA1333*(1+AC1333)</f>
        <v>0</v>
      </c>
      <c r="Y1333" s="52">
        <v>2007</v>
      </c>
      <c r="Z1333" s="52"/>
      <c r="AA1333" s="787">
        <f t="shared" si="1145"/>
        <v>1.6110000000000001E-6</v>
      </c>
      <c r="AB1333" s="256">
        <v>-1</v>
      </c>
      <c r="AC1333" s="688">
        <f t="shared" si="1088"/>
        <v>-1</v>
      </c>
      <c r="AD1333" s="164"/>
      <c r="AE1333" s="164"/>
      <c r="AF1333" s="25"/>
      <c r="AG1333" s="26"/>
      <c r="AH1333" s="275"/>
      <c r="AI1333" s="52"/>
      <c r="AJ1333" s="35"/>
      <c r="AK1333" s="289"/>
      <c r="AL1333" s="290"/>
      <c r="AM1333" s="211"/>
      <c r="AN1333" s="164"/>
      <c r="AO1333" s="594"/>
      <c r="AP1333" s="595"/>
      <c r="AQ1333" s="275"/>
      <c r="AR1333" s="52"/>
      <c r="AS1333" s="596"/>
      <c r="AT1333" s="79"/>
      <c r="AU1333" s="212"/>
      <c r="AV1333" s="164"/>
      <c r="AW1333" s="164"/>
      <c r="AX1333" s="76"/>
      <c r="AY1333" s="44"/>
      <c r="AZ1333" s="275"/>
      <c r="BA1333" s="52"/>
      <c r="BB1333" s="35"/>
      <c r="BC1333" s="79"/>
      <c r="BD1333" s="230"/>
      <c r="BE1333" s="211"/>
      <c r="BF1333" s="164"/>
      <c r="BG1333" s="76"/>
      <c r="BH1333" s="44"/>
      <c r="BI1333" s="275"/>
      <c r="BJ1333" s="52"/>
      <c r="BK1333" s="35"/>
      <c r="BL1333" s="79"/>
      <c r="BM1333" s="230"/>
      <c r="BN1333" s="211"/>
      <c r="BO1333" s="164"/>
      <c r="BP1333" s="726"/>
      <c r="BQ1333" s="727"/>
      <c r="BR1333" s="299"/>
      <c r="BS1333" s="35"/>
      <c r="BT1333" s="596"/>
      <c r="BU1333" s="79"/>
      <c r="BV1333" s="212"/>
      <c r="BW1333" s="304"/>
      <c r="BX1333" s="313"/>
      <c r="BY1333" s="138"/>
    </row>
    <row r="1334" spans="1:77" ht="15" customHeight="1" outlineLevel="1" x14ac:dyDescent="0.2">
      <c r="A1334" s="57" t="s">
        <v>24</v>
      </c>
      <c r="B1334" s="583" t="s">
        <v>477</v>
      </c>
      <c r="C1334" s="583" t="s">
        <v>2008</v>
      </c>
      <c r="D1334" s="546">
        <v>0.57399999999999995</v>
      </c>
      <c r="E1334" s="162" t="s">
        <v>631</v>
      </c>
      <c r="F1334" s="358"/>
      <c r="G1334" s="65"/>
      <c r="H1334" s="73"/>
      <c r="I1334" s="90"/>
      <c r="J1334" s="73"/>
      <c r="K1334" s="790"/>
      <c r="L1334" s="717">
        <v>2008</v>
      </c>
      <c r="M1334" s="73"/>
      <c r="N1334" s="786">
        <v>7.8118000000000003E-4</v>
      </c>
      <c r="O1334" s="1041"/>
      <c r="P1334" s="73"/>
      <c r="Q1334" s="786"/>
      <c r="R1334" s="1041"/>
      <c r="S1334" s="73"/>
      <c r="T1334" s="786"/>
      <c r="U1334" s="73"/>
      <c r="V1334" s="66"/>
      <c r="W1334" s="788">
        <f t="shared" ref="W1334" si="1148">AA1334*(1+AB1334)</f>
        <v>5.6244959999999994E-7</v>
      </c>
      <c r="X1334" s="789">
        <f t="shared" ref="X1334" si="1149">AA1334*(1+AC1334)</f>
        <v>5.6244959999999994E-7</v>
      </c>
      <c r="Y1334" s="52">
        <v>2008</v>
      </c>
      <c r="Z1334" s="52"/>
      <c r="AA1334" s="787">
        <f>+N1334/1000</f>
        <v>7.8118000000000001E-7</v>
      </c>
      <c r="AB1334" s="256">
        <v>-0.28000000000000003</v>
      </c>
      <c r="AC1334" s="688">
        <f t="shared" si="1088"/>
        <v>-0.28000000000000003</v>
      </c>
      <c r="AD1334" s="164"/>
      <c r="AE1334" s="164"/>
      <c r="AF1334" s="25"/>
      <c r="AG1334" s="26"/>
      <c r="AH1334" s="275"/>
      <c r="AI1334" s="52"/>
      <c r="AJ1334" s="35"/>
      <c r="AK1334" s="289"/>
      <c r="AL1334" s="290"/>
      <c r="AM1334" s="211"/>
      <c r="AN1334" s="164"/>
      <c r="AO1334" s="594"/>
      <c r="AP1334" s="595"/>
      <c r="AQ1334" s="275"/>
      <c r="AR1334" s="52"/>
      <c r="AS1334" s="596"/>
      <c r="AT1334" s="79"/>
      <c r="AU1334" s="212"/>
      <c r="AV1334" s="164"/>
      <c r="AW1334" s="164"/>
      <c r="AX1334" s="76"/>
      <c r="AY1334" s="44"/>
      <c r="AZ1334" s="275"/>
      <c r="BA1334" s="52"/>
      <c r="BB1334" s="35"/>
      <c r="BC1334" s="79"/>
      <c r="BD1334" s="230"/>
      <c r="BE1334" s="211"/>
      <c r="BF1334" s="164"/>
      <c r="BG1334" s="76"/>
      <c r="BH1334" s="44"/>
      <c r="BI1334" s="275"/>
      <c r="BJ1334" s="52"/>
      <c r="BK1334" s="35"/>
      <c r="BL1334" s="79"/>
      <c r="BM1334" s="230"/>
      <c r="BN1334" s="211"/>
      <c r="BO1334" s="164"/>
      <c r="BP1334" s="726"/>
      <c r="BQ1334" s="727"/>
      <c r="BR1334" s="299"/>
      <c r="BS1334" s="35"/>
      <c r="BT1334" s="596"/>
      <c r="BU1334" s="79"/>
      <c r="BV1334" s="212"/>
      <c r="BW1334" s="304"/>
      <c r="BX1334" s="313"/>
      <c r="BY1334" s="138"/>
    </row>
    <row r="1335" spans="1:77" ht="15" customHeight="1" outlineLevel="1" x14ac:dyDescent="0.2">
      <c r="A1335" s="57" t="s">
        <v>24</v>
      </c>
      <c r="B1335" s="583" t="s">
        <v>477</v>
      </c>
      <c r="C1335" s="583" t="s">
        <v>2063</v>
      </c>
      <c r="D1335" s="546">
        <v>2.1890000000000001</v>
      </c>
      <c r="E1335" s="162" t="s">
        <v>631</v>
      </c>
      <c r="F1335" s="358"/>
      <c r="G1335" s="65"/>
      <c r="H1335" s="73"/>
      <c r="I1335" s="90"/>
      <c r="J1335" s="73"/>
      <c r="K1335" s="790"/>
      <c r="L1335" s="717">
        <v>2009</v>
      </c>
      <c r="M1335" s="73"/>
      <c r="N1335" s="786">
        <v>3.8709999999999999E-3</v>
      </c>
      <c r="O1335" s="1041"/>
      <c r="P1335" s="73"/>
      <c r="Q1335" s="786"/>
      <c r="R1335" s="1041"/>
      <c r="S1335" s="73"/>
      <c r="T1335" s="786"/>
      <c r="U1335" s="73"/>
      <c r="V1335" s="66"/>
      <c r="W1335" s="788">
        <f t="shared" ref="W1335" si="1150">AA1335*(1+AB1335)</f>
        <v>2.7484099999999997E-6</v>
      </c>
      <c r="X1335" s="789">
        <f t="shared" ref="X1335" si="1151">AA1335*(1+AC1335)</f>
        <v>2.7484099999999997E-6</v>
      </c>
      <c r="Y1335" s="52">
        <v>2009</v>
      </c>
      <c r="Z1335" s="52"/>
      <c r="AA1335" s="787">
        <f>+N1335/1000</f>
        <v>3.8709999999999999E-6</v>
      </c>
      <c r="AB1335" s="256">
        <v>-0.28999999999999998</v>
      </c>
      <c r="AC1335" s="688">
        <f t="shared" si="1088"/>
        <v>-0.28999999999999998</v>
      </c>
      <c r="AD1335" s="164"/>
      <c r="AE1335" s="164"/>
      <c r="AF1335" s="25"/>
      <c r="AG1335" s="26"/>
      <c r="AH1335" s="275"/>
      <c r="AI1335" s="52"/>
      <c r="AJ1335" s="35"/>
      <c r="AK1335" s="289"/>
      <c r="AL1335" s="290"/>
      <c r="AM1335" s="211"/>
      <c r="AN1335" s="164"/>
      <c r="AO1335" s="594"/>
      <c r="AP1335" s="595"/>
      <c r="AQ1335" s="275"/>
      <c r="AR1335" s="52"/>
      <c r="AS1335" s="596"/>
      <c r="AT1335" s="79"/>
      <c r="AU1335" s="212"/>
      <c r="AV1335" s="164"/>
      <c r="AW1335" s="164"/>
      <c r="AX1335" s="76"/>
      <c r="AY1335" s="44"/>
      <c r="AZ1335" s="275"/>
      <c r="BA1335" s="52"/>
      <c r="BB1335" s="35"/>
      <c r="BC1335" s="79"/>
      <c r="BD1335" s="230"/>
      <c r="BE1335" s="211"/>
      <c r="BF1335" s="164"/>
      <c r="BG1335" s="76"/>
      <c r="BH1335" s="44"/>
      <c r="BI1335" s="275"/>
      <c r="BJ1335" s="52"/>
      <c r="BK1335" s="35"/>
      <c r="BL1335" s="79"/>
      <c r="BM1335" s="230"/>
      <c r="BN1335" s="211"/>
      <c r="BO1335" s="164"/>
      <c r="BP1335" s="726"/>
      <c r="BQ1335" s="727"/>
      <c r="BR1335" s="299"/>
      <c r="BS1335" s="35"/>
      <c r="BT1335" s="596"/>
      <c r="BU1335" s="79"/>
      <c r="BV1335" s="212"/>
      <c r="BW1335" s="304"/>
      <c r="BX1335" s="313"/>
      <c r="BY1335" s="138"/>
    </row>
    <row r="1336" spans="1:77" ht="15" customHeight="1" outlineLevel="1" x14ac:dyDescent="0.2">
      <c r="A1336" s="57" t="s">
        <v>24</v>
      </c>
      <c r="B1336" s="583" t="s">
        <v>477</v>
      </c>
      <c r="C1336" s="583" t="s">
        <v>1868</v>
      </c>
      <c r="D1336" s="546">
        <v>14.840999999999999</v>
      </c>
      <c r="E1336" s="162" t="s">
        <v>631</v>
      </c>
      <c r="F1336" s="358"/>
      <c r="G1336" s="65"/>
      <c r="H1336" s="73"/>
      <c r="I1336" s="90"/>
      <c r="J1336" s="73"/>
      <c r="K1336" s="790"/>
      <c r="L1336" s="717"/>
      <c r="M1336" s="73"/>
      <c r="N1336" s="786">
        <v>1.5688000000000001E-2</v>
      </c>
      <c r="O1336" s="1041"/>
      <c r="P1336" s="73"/>
      <c r="Q1336" s="786"/>
      <c r="R1336" s="1041"/>
      <c r="S1336" s="73"/>
      <c r="T1336" s="786"/>
      <c r="U1336" s="73"/>
      <c r="V1336" s="66"/>
      <c r="W1336" s="788">
        <f t="shared" ref="W1336" si="1152">AA1336*(1+AB1336)</f>
        <v>1.160912E-5</v>
      </c>
      <c r="X1336" s="789">
        <f t="shared" ref="X1336" si="1153">AA1336*(1+AC1336)</f>
        <v>1.160912E-5</v>
      </c>
      <c r="Y1336" s="52">
        <v>2010</v>
      </c>
      <c r="Z1336" s="52"/>
      <c r="AA1336" s="787">
        <f>+N1336/1000</f>
        <v>1.5688E-5</v>
      </c>
      <c r="AB1336" s="256">
        <v>-0.26</v>
      </c>
      <c r="AC1336" s="688">
        <f t="shared" si="1088"/>
        <v>-0.26</v>
      </c>
      <c r="AD1336" s="164"/>
      <c r="AE1336" s="164"/>
      <c r="AF1336" s="25"/>
      <c r="AG1336" s="26"/>
      <c r="AH1336" s="275"/>
      <c r="AI1336" s="52"/>
      <c r="AJ1336" s="35"/>
      <c r="AK1336" s="289"/>
      <c r="AL1336" s="290"/>
      <c r="AM1336" s="211"/>
      <c r="AN1336" s="164"/>
      <c r="AO1336" s="594"/>
      <c r="AP1336" s="595"/>
      <c r="AQ1336" s="275"/>
      <c r="AR1336" s="52"/>
      <c r="AS1336" s="596"/>
      <c r="AT1336" s="79"/>
      <c r="AU1336" s="212"/>
      <c r="AV1336" s="164"/>
      <c r="AW1336" s="164"/>
      <c r="AX1336" s="76"/>
      <c r="AY1336" s="44"/>
      <c r="AZ1336" s="275"/>
      <c r="BA1336" s="52"/>
      <c r="BB1336" s="35"/>
      <c r="BC1336" s="79"/>
      <c r="BD1336" s="230"/>
      <c r="BE1336" s="211"/>
      <c r="BF1336" s="164"/>
      <c r="BG1336" s="76"/>
      <c r="BH1336" s="44"/>
      <c r="BI1336" s="275"/>
      <c r="BJ1336" s="52"/>
      <c r="BK1336" s="35"/>
      <c r="BL1336" s="79"/>
      <c r="BM1336" s="230"/>
      <c r="BN1336" s="211"/>
      <c r="BO1336" s="164"/>
      <c r="BP1336" s="726"/>
      <c r="BQ1336" s="727"/>
      <c r="BR1336" s="299"/>
      <c r="BS1336" s="35"/>
      <c r="BT1336" s="596"/>
      <c r="BU1336" s="79"/>
      <c r="BV1336" s="212"/>
      <c r="BW1336" s="304"/>
      <c r="BX1336" s="313"/>
      <c r="BY1336" s="138"/>
    </row>
    <row r="1337" spans="1:77" ht="15" customHeight="1" outlineLevel="1" x14ac:dyDescent="0.2">
      <c r="A1337" s="57" t="s">
        <v>24</v>
      </c>
      <c r="B1337" s="583" t="s">
        <v>477</v>
      </c>
      <c r="C1337" s="583" t="s">
        <v>1387</v>
      </c>
      <c r="D1337" s="546">
        <v>1.149</v>
      </c>
      <c r="E1337" s="162" t="s">
        <v>631</v>
      </c>
      <c r="F1337" s="358"/>
      <c r="G1337" s="65"/>
      <c r="H1337" s="73"/>
      <c r="I1337" s="90">
        <v>2006</v>
      </c>
      <c r="J1337" s="73"/>
      <c r="K1337" s="815">
        <v>1.6249999999999999E-4</v>
      </c>
      <c r="L1337" s="717"/>
      <c r="M1337" s="73"/>
      <c r="N1337" s="359"/>
      <c r="O1337" s="1041"/>
      <c r="P1337" s="73"/>
      <c r="Q1337" s="359"/>
      <c r="R1337" s="1041"/>
      <c r="S1337" s="73"/>
      <c r="T1337" s="359"/>
      <c r="U1337" s="73"/>
      <c r="V1337" s="66"/>
      <c r="W1337" s="906">
        <f>AA1337*(1+AB1337)</f>
        <v>9.9124999999999983E-8</v>
      </c>
      <c r="X1337" s="907">
        <f>AA1337*(1+AC1337)</f>
        <v>9.9124999999999983E-8</v>
      </c>
      <c r="Y1337" s="52">
        <v>2006</v>
      </c>
      <c r="Z1337" s="52"/>
      <c r="AA1337" s="908">
        <f>+K1337/1000</f>
        <v>1.6249999999999998E-7</v>
      </c>
      <c r="AB1337" s="256">
        <v>-0.39</v>
      </c>
      <c r="AC1337" s="688">
        <f>AB1337</f>
        <v>-0.39</v>
      </c>
      <c r="AD1337" s="164"/>
      <c r="AE1337" s="164"/>
      <c r="AF1337" s="25"/>
      <c r="AG1337" s="26"/>
      <c r="AH1337" s="275"/>
      <c r="AI1337" s="52"/>
      <c r="AJ1337" s="35"/>
      <c r="AK1337" s="289"/>
      <c r="AL1337" s="290"/>
      <c r="AM1337" s="211"/>
      <c r="AN1337" s="164"/>
      <c r="AO1337" s="594"/>
      <c r="AP1337" s="595"/>
      <c r="AQ1337" s="275"/>
      <c r="AR1337" s="52"/>
      <c r="AS1337" s="596"/>
      <c r="AT1337" s="79"/>
      <c r="AU1337" s="212"/>
      <c r="AV1337" s="164"/>
      <c r="AW1337" s="164"/>
      <c r="AX1337" s="76"/>
      <c r="AY1337" s="44"/>
      <c r="AZ1337" s="275"/>
      <c r="BA1337" s="52"/>
      <c r="BB1337" s="35"/>
      <c r="BC1337" s="79"/>
      <c r="BD1337" s="230"/>
      <c r="BE1337" s="211"/>
      <c r="BF1337" s="164"/>
      <c r="BG1337" s="76"/>
      <c r="BH1337" s="44"/>
      <c r="BI1337" s="275"/>
      <c r="BJ1337" s="52"/>
      <c r="BK1337" s="35"/>
      <c r="BL1337" s="79"/>
      <c r="BM1337" s="230"/>
      <c r="BN1337" s="211"/>
      <c r="BO1337" s="164"/>
      <c r="BP1337" s="726"/>
      <c r="BQ1337" s="727"/>
      <c r="BR1337" s="299"/>
      <c r="BS1337" s="35"/>
      <c r="BT1337" s="596"/>
      <c r="BU1337" s="79"/>
      <c r="BV1337" s="212"/>
      <c r="BW1337" s="304"/>
      <c r="BX1337" s="313"/>
      <c r="BY1337" s="138"/>
    </row>
    <row r="1338" spans="1:77" ht="15" customHeight="1" outlineLevel="1" x14ac:dyDescent="0.2">
      <c r="A1338" s="583" t="s">
        <v>24</v>
      </c>
      <c r="B1338" s="583" t="s">
        <v>477</v>
      </c>
      <c r="C1338" s="583" t="s">
        <v>1672</v>
      </c>
      <c r="D1338" s="546">
        <v>2.9319999999999999</v>
      </c>
      <c r="E1338" s="162" t="s">
        <v>631</v>
      </c>
      <c r="F1338" s="358"/>
      <c r="G1338" s="65"/>
      <c r="H1338" s="73"/>
      <c r="I1338" s="90"/>
      <c r="J1338" s="73"/>
      <c r="K1338" s="815"/>
      <c r="L1338" s="717"/>
      <c r="M1338" s="73"/>
      <c r="N1338" s="786">
        <v>5.2490000000000002E-3</v>
      </c>
      <c r="O1338" s="1041"/>
      <c r="P1338" s="73"/>
      <c r="Q1338" s="786"/>
      <c r="R1338" s="1041"/>
      <c r="S1338" s="73"/>
      <c r="T1338" s="786"/>
      <c r="U1338" s="73"/>
      <c r="V1338" s="66"/>
      <c r="W1338" s="808">
        <f>AA1338*(1+AB1338)</f>
        <v>3.93675E-6</v>
      </c>
      <c r="X1338" s="809">
        <f>AA1338*(1+AC1338)</f>
        <v>3.93675E-6</v>
      </c>
      <c r="Y1338" s="52">
        <v>2010</v>
      </c>
      <c r="Z1338" s="52"/>
      <c r="AA1338" s="807">
        <f>+N1338/1000</f>
        <v>5.2490000000000001E-6</v>
      </c>
      <c r="AB1338" s="256">
        <v>-0.25</v>
      </c>
      <c r="AC1338" s="688">
        <f>AB1338</f>
        <v>-0.25</v>
      </c>
      <c r="AD1338" s="164"/>
      <c r="AE1338" s="164"/>
      <c r="AF1338" s="25"/>
      <c r="AG1338" s="26"/>
      <c r="AH1338" s="275"/>
      <c r="AI1338" s="52"/>
      <c r="AJ1338" s="35"/>
      <c r="AK1338" s="289"/>
      <c r="AL1338" s="290"/>
      <c r="AM1338" s="211"/>
      <c r="AN1338" s="164"/>
      <c r="AO1338" s="594"/>
      <c r="AP1338" s="595"/>
      <c r="AQ1338" s="275"/>
      <c r="AR1338" s="52"/>
      <c r="AS1338" s="596"/>
      <c r="AT1338" s="79"/>
      <c r="AU1338" s="212"/>
      <c r="AV1338" s="164"/>
      <c r="AW1338" s="164"/>
      <c r="AX1338" s="76"/>
      <c r="AY1338" s="44"/>
      <c r="AZ1338" s="275"/>
      <c r="BA1338" s="52"/>
      <c r="BB1338" s="35"/>
      <c r="BC1338" s="79"/>
      <c r="BD1338" s="230"/>
      <c r="BE1338" s="211"/>
      <c r="BF1338" s="164"/>
      <c r="BG1338" s="76"/>
      <c r="BH1338" s="44"/>
      <c r="BI1338" s="275"/>
      <c r="BJ1338" s="52"/>
      <c r="BK1338" s="35"/>
      <c r="BL1338" s="79"/>
      <c r="BM1338" s="230"/>
      <c r="BN1338" s="211"/>
      <c r="BO1338" s="164"/>
      <c r="BP1338" s="726"/>
      <c r="BQ1338" s="727"/>
      <c r="BR1338" s="299"/>
      <c r="BS1338" s="35"/>
      <c r="BT1338" s="596"/>
      <c r="BU1338" s="79"/>
      <c r="BV1338" s="212"/>
      <c r="BW1338" s="304"/>
      <c r="BX1338" s="313"/>
      <c r="BY1338" s="138"/>
    </row>
    <row r="1339" spans="1:77" ht="15" customHeight="1" outlineLevel="1" x14ac:dyDescent="0.2">
      <c r="A1339" s="583" t="s">
        <v>24</v>
      </c>
      <c r="B1339" s="583" t="s">
        <v>477</v>
      </c>
      <c r="C1339" s="583" t="s">
        <v>2082</v>
      </c>
      <c r="D1339" s="546">
        <v>1.022</v>
      </c>
      <c r="E1339" s="162" t="s">
        <v>631</v>
      </c>
      <c r="F1339" s="358"/>
      <c r="G1339" s="65"/>
      <c r="H1339" s="73"/>
      <c r="I1339" s="90"/>
      <c r="J1339" s="73"/>
      <c r="K1339" s="815"/>
      <c r="L1339" s="717"/>
      <c r="M1339" s="73"/>
      <c r="N1339" s="786">
        <v>6.0010000000000003E-3</v>
      </c>
      <c r="O1339" s="1041"/>
      <c r="P1339" s="73"/>
      <c r="Q1339" s="786"/>
      <c r="R1339" s="1041"/>
      <c r="S1339" s="73"/>
      <c r="T1339" s="786"/>
      <c r="U1339" s="73"/>
      <c r="V1339" s="66"/>
      <c r="W1339" s="808">
        <f>AA1339*(1+AB1339)</f>
        <v>4.2607100000000004E-6</v>
      </c>
      <c r="X1339" s="809">
        <f>AA1339*(1+AC1339)</f>
        <v>4.2607100000000004E-6</v>
      </c>
      <c r="Y1339" s="52">
        <v>2010</v>
      </c>
      <c r="Z1339" s="52"/>
      <c r="AA1339" s="807">
        <f>+N1339/1000</f>
        <v>6.0010000000000007E-6</v>
      </c>
      <c r="AB1339" s="256">
        <v>-0.28999999999999998</v>
      </c>
      <c r="AC1339" s="688">
        <f>AB1339</f>
        <v>-0.28999999999999998</v>
      </c>
      <c r="AD1339" s="164"/>
      <c r="AE1339" s="164"/>
      <c r="AF1339" s="25"/>
      <c r="AG1339" s="26"/>
      <c r="AH1339" s="275"/>
      <c r="AI1339" s="52"/>
      <c r="AJ1339" s="35"/>
      <c r="AK1339" s="289"/>
      <c r="AL1339" s="290"/>
      <c r="AM1339" s="211"/>
      <c r="AN1339" s="164"/>
      <c r="AO1339" s="594"/>
      <c r="AP1339" s="595"/>
      <c r="AQ1339" s="275"/>
      <c r="AR1339" s="52"/>
      <c r="AS1339" s="596"/>
      <c r="AT1339" s="79"/>
      <c r="AU1339" s="212"/>
      <c r="AV1339" s="164"/>
      <c r="AW1339" s="164"/>
      <c r="AX1339" s="76"/>
      <c r="AY1339" s="44"/>
      <c r="AZ1339" s="275"/>
      <c r="BA1339" s="52"/>
      <c r="BB1339" s="35"/>
      <c r="BC1339" s="79"/>
      <c r="BD1339" s="230"/>
      <c r="BE1339" s="211"/>
      <c r="BF1339" s="164"/>
      <c r="BG1339" s="76"/>
      <c r="BH1339" s="44"/>
      <c r="BI1339" s="275"/>
      <c r="BJ1339" s="52"/>
      <c r="BK1339" s="35"/>
      <c r="BL1339" s="79"/>
      <c r="BM1339" s="230"/>
      <c r="BN1339" s="211"/>
      <c r="BO1339" s="164"/>
      <c r="BP1339" s="726"/>
      <c r="BQ1339" s="727"/>
      <c r="BR1339" s="299"/>
      <c r="BS1339" s="35"/>
      <c r="BT1339" s="596"/>
      <c r="BU1339" s="79"/>
      <c r="BV1339" s="212"/>
      <c r="BW1339" s="304"/>
      <c r="BX1339" s="313"/>
      <c r="BY1339" s="138"/>
    </row>
    <row r="1340" spans="1:77" ht="15" customHeight="1" outlineLevel="1" x14ac:dyDescent="0.2">
      <c r="A1340" s="57" t="s">
        <v>24</v>
      </c>
      <c r="B1340" s="583" t="s">
        <v>477</v>
      </c>
      <c r="C1340" s="583" t="s">
        <v>1363</v>
      </c>
      <c r="D1340" s="546">
        <v>1.542</v>
      </c>
      <c r="E1340" s="162" t="s">
        <v>631</v>
      </c>
      <c r="F1340" s="358"/>
      <c r="G1340" s="65"/>
      <c r="H1340" s="73"/>
      <c r="I1340" s="90">
        <v>2006</v>
      </c>
      <c r="J1340" s="73"/>
      <c r="K1340" s="790">
        <v>2.8800000000000002E-3</v>
      </c>
      <c r="L1340" s="717"/>
      <c r="M1340" s="73"/>
      <c r="N1340" s="359"/>
      <c r="O1340" s="1041"/>
      <c r="P1340" s="73"/>
      <c r="Q1340" s="359"/>
      <c r="R1340" s="1041"/>
      <c r="S1340" s="73"/>
      <c r="T1340" s="359"/>
      <c r="U1340" s="73"/>
      <c r="V1340" s="66"/>
      <c r="W1340" s="788">
        <f>AA1340*(1+AB1340)</f>
        <v>8.3520000000000017E-7</v>
      </c>
      <c r="X1340" s="789">
        <f>AA1340*(1+AC1340)</f>
        <v>8.3520000000000017E-7</v>
      </c>
      <c r="Y1340" s="52">
        <v>2006</v>
      </c>
      <c r="Z1340" s="52"/>
      <c r="AA1340" s="739">
        <f t="shared" si="1145"/>
        <v>2.8800000000000004E-6</v>
      </c>
      <c r="AB1340" s="256">
        <v>-0.71</v>
      </c>
      <c r="AC1340" s="688">
        <f>AB1340</f>
        <v>-0.71</v>
      </c>
      <c r="AD1340" s="164"/>
      <c r="AE1340" s="164"/>
      <c r="AF1340" s="25"/>
      <c r="AG1340" s="26"/>
      <c r="AH1340" s="275"/>
      <c r="AI1340" s="52"/>
      <c r="AJ1340" s="35"/>
      <c r="AK1340" s="289"/>
      <c r="AL1340" s="290"/>
      <c r="AM1340" s="211"/>
      <c r="AN1340" s="164"/>
      <c r="AO1340" s="594"/>
      <c r="AP1340" s="595"/>
      <c r="AQ1340" s="275"/>
      <c r="AR1340" s="52"/>
      <c r="AS1340" s="596"/>
      <c r="AT1340" s="79"/>
      <c r="AU1340" s="212"/>
      <c r="AV1340" s="164"/>
      <c r="AW1340" s="164"/>
      <c r="AX1340" s="76"/>
      <c r="AY1340" s="44"/>
      <c r="AZ1340" s="275"/>
      <c r="BA1340" s="52"/>
      <c r="BB1340" s="35"/>
      <c r="BC1340" s="79"/>
      <c r="BD1340" s="230"/>
      <c r="BE1340" s="211"/>
      <c r="BF1340" s="164"/>
      <c r="BG1340" s="76"/>
      <c r="BH1340" s="44"/>
      <c r="BI1340" s="275"/>
      <c r="BJ1340" s="52"/>
      <c r="BK1340" s="35"/>
      <c r="BL1340" s="79"/>
      <c r="BM1340" s="230"/>
      <c r="BN1340" s="211"/>
      <c r="BO1340" s="164"/>
      <c r="BP1340" s="726"/>
      <c r="BQ1340" s="727"/>
      <c r="BR1340" s="299"/>
      <c r="BS1340" s="35"/>
      <c r="BT1340" s="596"/>
      <c r="BU1340" s="79"/>
      <c r="BV1340" s="212"/>
      <c r="BW1340" s="304"/>
      <c r="BX1340" s="313"/>
      <c r="BY1340" s="138"/>
    </row>
    <row r="1341" spans="1:77" ht="15" customHeight="1" outlineLevel="1" x14ac:dyDescent="0.2">
      <c r="A1341" s="57" t="s">
        <v>24</v>
      </c>
      <c r="B1341" s="583" t="s">
        <v>477</v>
      </c>
      <c r="C1341" s="583" t="s">
        <v>1296</v>
      </c>
      <c r="D1341" s="546">
        <v>4.2329999999999997</v>
      </c>
      <c r="E1341" s="162" t="s">
        <v>631</v>
      </c>
      <c r="F1341" s="358"/>
      <c r="G1341" s="65"/>
      <c r="H1341" s="73"/>
      <c r="I1341" s="90">
        <v>2007</v>
      </c>
      <c r="J1341" s="73"/>
      <c r="K1341" s="790">
        <v>4.999E-3</v>
      </c>
      <c r="L1341" s="717"/>
      <c r="M1341" s="73"/>
      <c r="N1341" s="786"/>
      <c r="O1341" s="1041"/>
      <c r="P1341" s="73"/>
      <c r="Q1341" s="786"/>
      <c r="R1341" s="1041"/>
      <c r="S1341" s="73"/>
      <c r="T1341" s="786"/>
      <c r="U1341" s="73"/>
      <c r="V1341" s="66"/>
      <c r="W1341" s="788">
        <f t="shared" ref="W1341" si="1154">AA1341*(1+AB1341)</f>
        <v>3.0493899999999997E-6</v>
      </c>
      <c r="X1341" s="789">
        <f t="shared" ref="X1341" si="1155">AA1341*(1+AC1341)</f>
        <v>3.0493899999999997E-6</v>
      </c>
      <c r="Y1341" s="52">
        <v>2007</v>
      </c>
      <c r="Z1341" s="52"/>
      <c r="AA1341" s="787">
        <f t="shared" si="1145"/>
        <v>4.9989999999999999E-6</v>
      </c>
      <c r="AB1341" s="256">
        <v>-0.39</v>
      </c>
      <c r="AC1341" s="688">
        <f t="shared" si="1088"/>
        <v>-0.39</v>
      </c>
      <c r="AD1341" s="164"/>
      <c r="AE1341" s="164"/>
      <c r="AF1341" s="25"/>
      <c r="AG1341" s="26"/>
      <c r="AH1341" s="275"/>
      <c r="AI1341" s="52"/>
      <c r="AJ1341" s="35"/>
      <c r="AK1341" s="289"/>
      <c r="AL1341" s="290"/>
      <c r="AM1341" s="211"/>
      <c r="AN1341" s="164"/>
      <c r="AO1341" s="594"/>
      <c r="AP1341" s="595"/>
      <c r="AQ1341" s="275"/>
      <c r="AR1341" s="52"/>
      <c r="AS1341" s="596"/>
      <c r="AT1341" s="79"/>
      <c r="AU1341" s="212"/>
      <c r="AV1341" s="164"/>
      <c r="AW1341" s="164"/>
      <c r="AX1341" s="76"/>
      <c r="AY1341" s="44"/>
      <c r="AZ1341" s="275"/>
      <c r="BA1341" s="52"/>
      <c r="BB1341" s="35"/>
      <c r="BC1341" s="79"/>
      <c r="BD1341" s="230"/>
      <c r="BE1341" s="211"/>
      <c r="BF1341" s="164"/>
      <c r="BG1341" s="76"/>
      <c r="BH1341" s="44"/>
      <c r="BI1341" s="275"/>
      <c r="BJ1341" s="52"/>
      <c r="BK1341" s="35"/>
      <c r="BL1341" s="79"/>
      <c r="BM1341" s="230"/>
      <c r="BN1341" s="211"/>
      <c r="BO1341" s="164"/>
      <c r="BP1341" s="726"/>
      <c r="BQ1341" s="727"/>
      <c r="BR1341" s="299"/>
      <c r="BS1341" s="35"/>
      <c r="BT1341" s="596"/>
      <c r="BU1341" s="79"/>
      <c r="BV1341" s="212"/>
      <c r="BW1341" s="304"/>
      <c r="BX1341" s="313"/>
      <c r="BY1341" s="138"/>
    </row>
    <row r="1342" spans="1:77" ht="15" customHeight="1" outlineLevel="1" x14ac:dyDescent="0.2">
      <c r="A1342" s="57" t="s">
        <v>24</v>
      </c>
      <c r="B1342" s="583" t="s">
        <v>477</v>
      </c>
      <c r="C1342" s="583" t="s">
        <v>1804</v>
      </c>
      <c r="D1342" s="546">
        <v>4.1980000000000004</v>
      </c>
      <c r="E1342" s="162" t="s">
        <v>631</v>
      </c>
      <c r="F1342" s="358"/>
      <c r="G1342" s="65"/>
      <c r="H1342" s="73"/>
      <c r="I1342" s="90"/>
      <c r="J1342" s="73"/>
      <c r="K1342" s="790"/>
      <c r="L1342" s="717"/>
      <c r="M1342" s="73"/>
      <c r="N1342" s="786">
        <v>1.7901E-2</v>
      </c>
      <c r="O1342" s="1041"/>
      <c r="P1342" s="73"/>
      <c r="Q1342" s="786"/>
      <c r="R1342" s="1041"/>
      <c r="S1342" s="73"/>
      <c r="T1342" s="786"/>
      <c r="U1342" s="73"/>
      <c r="V1342" s="66"/>
      <c r="W1342" s="788">
        <f t="shared" ref="W1342" si="1156">AA1342*(1+AB1342)</f>
        <v>1.3425749999999999E-5</v>
      </c>
      <c r="X1342" s="789">
        <f t="shared" ref="X1342" si="1157">AA1342*(1+AC1342)</f>
        <v>1.3425749999999999E-5</v>
      </c>
      <c r="Y1342" s="52">
        <v>2010</v>
      </c>
      <c r="Z1342" s="52"/>
      <c r="AA1342" s="787">
        <f>+N1342/1000</f>
        <v>1.7901E-5</v>
      </c>
      <c r="AB1342" s="256">
        <v>-0.25</v>
      </c>
      <c r="AC1342" s="688">
        <f t="shared" si="1088"/>
        <v>-0.25</v>
      </c>
      <c r="AD1342" s="164"/>
      <c r="AE1342" s="164"/>
      <c r="AF1342" s="25"/>
      <c r="AG1342" s="26"/>
      <c r="AH1342" s="275"/>
      <c r="AI1342" s="52"/>
      <c r="AJ1342" s="35"/>
      <c r="AK1342" s="289"/>
      <c r="AL1342" s="290"/>
      <c r="AM1342" s="211"/>
      <c r="AN1342" s="164"/>
      <c r="AO1342" s="594"/>
      <c r="AP1342" s="595"/>
      <c r="AQ1342" s="275"/>
      <c r="AR1342" s="52"/>
      <c r="AS1342" s="596"/>
      <c r="AT1342" s="79"/>
      <c r="AU1342" s="212"/>
      <c r="AV1342" s="164"/>
      <c r="AW1342" s="164"/>
      <c r="AX1342" s="76"/>
      <c r="AY1342" s="44"/>
      <c r="AZ1342" s="275"/>
      <c r="BA1342" s="52"/>
      <c r="BB1342" s="35"/>
      <c r="BC1342" s="79"/>
      <c r="BD1342" s="230"/>
      <c r="BE1342" s="211"/>
      <c r="BF1342" s="164"/>
      <c r="BG1342" s="76"/>
      <c r="BH1342" s="44"/>
      <c r="BI1342" s="275"/>
      <c r="BJ1342" s="52"/>
      <c r="BK1342" s="35"/>
      <c r="BL1342" s="79"/>
      <c r="BM1342" s="230"/>
      <c r="BN1342" s="211"/>
      <c r="BO1342" s="164"/>
      <c r="BP1342" s="726"/>
      <c r="BQ1342" s="727"/>
      <c r="BR1342" s="299"/>
      <c r="BS1342" s="35"/>
      <c r="BT1342" s="596"/>
      <c r="BU1342" s="79"/>
      <c r="BV1342" s="212"/>
      <c r="BW1342" s="304"/>
      <c r="BX1342" s="313"/>
      <c r="BY1342" s="138"/>
    </row>
    <row r="1343" spans="1:77" ht="15" customHeight="1" outlineLevel="1" x14ac:dyDescent="0.2">
      <c r="A1343" s="57" t="s">
        <v>24</v>
      </c>
      <c r="B1343" s="583" t="s">
        <v>477</v>
      </c>
      <c r="C1343" s="583" t="s">
        <v>1426</v>
      </c>
      <c r="D1343" s="546">
        <v>3.4209999999999998</v>
      </c>
      <c r="E1343" s="162" t="s">
        <v>631</v>
      </c>
      <c r="F1343" s="358"/>
      <c r="G1343" s="65"/>
      <c r="H1343" s="73"/>
      <c r="I1343" s="90">
        <v>2007</v>
      </c>
      <c r="J1343" s="73"/>
      <c r="K1343" s="790">
        <v>7.1349999999999998E-3</v>
      </c>
      <c r="L1343" s="717"/>
      <c r="M1343" s="73"/>
      <c r="N1343" s="786"/>
      <c r="O1343" s="1041"/>
      <c r="P1343" s="73"/>
      <c r="Q1343" s="786"/>
      <c r="R1343" s="1041"/>
      <c r="S1343" s="73"/>
      <c r="T1343" s="786"/>
      <c r="U1343" s="73"/>
      <c r="V1343" s="66"/>
      <c r="W1343" s="788">
        <f t="shared" ref="W1343" si="1158">AA1343*(1+AB1343)</f>
        <v>4.2809999999999993E-6</v>
      </c>
      <c r="X1343" s="789">
        <f t="shared" ref="X1343" si="1159">AA1343*(1+AC1343)</f>
        <v>4.2809999999999993E-6</v>
      </c>
      <c r="Y1343" s="52">
        <v>2007</v>
      </c>
      <c r="Z1343" s="52"/>
      <c r="AA1343" s="787">
        <f t="shared" si="1145"/>
        <v>7.1349999999999994E-6</v>
      </c>
      <c r="AB1343" s="256">
        <v>-0.4</v>
      </c>
      <c r="AC1343" s="688">
        <f t="shared" si="1088"/>
        <v>-0.4</v>
      </c>
      <c r="AD1343" s="164"/>
      <c r="AE1343" s="164"/>
      <c r="AF1343" s="25"/>
      <c r="AG1343" s="26"/>
      <c r="AH1343" s="275"/>
      <c r="AI1343" s="52"/>
      <c r="AJ1343" s="35"/>
      <c r="AK1343" s="289"/>
      <c r="AL1343" s="290"/>
      <c r="AM1343" s="211"/>
      <c r="AN1343" s="164"/>
      <c r="AO1343" s="594"/>
      <c r="AP1343" s="595"/>
      <c r="AQ1343" s="275"/>
      <c r="AR1343" s="52"/>
      <c r="AS1343" s="596"/>
      <c r="AT1343" s="79"/>
      <c r="AU1343" s="212"/>
      <c r="AV1343" s="164"/>
      <c r="AW1343" s="164"/>
      <c r="AX1343" s="76"/>
      <c r="AY1343" s="44"/>
      <c r="AZ1343" s="275"/>
      <c r="BA1343" s="52"/>
      <c r="BB1343" s="35"/>
      <c r="BC1343" s="79"/>
      <c r="BD1343" s="230"/>
      <c r="BE1343" s="211"/>
      <c r="BF1343" s="164"/>
      <c r="BG1343" s="76"/>
      <c r="BH1343" s="44"/>
      <c r="BI1343" s="275"/>
      <c r="BJ1343" s="52"/>
      <c r="BK1343" s="35"/>
      <c r="BL1343" s="79"/>
      <c r="BM1343" s="230"/>
      <c r="BN1343" s="211"/>
      <c r="BO1343" s="164"/>
      <c r="BP1343" s="726"/>
      <c r="BQ1343" s="727"/>
      <c r="BR1343" s="299"/>
      <c r="BS1343" s="35"/>
      <c r="BT1343" s="596"/>
      <c r="BU1343" s="79"/>
      <c r="BV1343" s="212"/>
      <c r="BW1343" s="304"/>
      <c r="BX1343" s="313"/>
      <c r="BY1343" s="138"/>
    </row>
    <row r="1344" spans="1:77" ht="15" customHeight="1" outlineLevel="1" x14ac:dyDescent="0.2">
      <c r="A1344" s="57" t="s">
        <v>24</v>
      </c>
      <c r="B1344" s="583" t="s">
        <v>477</v>
      </c>
      <c r="C1344" s="583" t="s">
        <v>1598</v>
      </c>
      <c r="D1344" s="546">
        <v>2.4049999999999998</v>
      </c>
      <c r="E1344" s="162" t="s">
        <v>631</v>
      </c>
      <c r="F1344" s="358"/>
      <c r="G1344" s="65"/>
      <c r="H1344" s="73"/>
      <c r="I1344" s="90"/>
      <c r="J1344" s="73"/>
      <c r="K1344" s="790"/>
      <c r="L1344" s="717"/>
      <c r="M1344" s="73"/>
      <c r="N1344" s="786">
        <v>9.1509999999999994E-3</v>
      </c>
      <c r="O1344" s="1041"/>
      <c r="P1344" s="73"/>
      <c r="Q1344" s="786"/>
      <c r="R1344" s="1041"/>
      <c r="S1344" s="73"/>
      <c r="T1344" s="786"/>
      <c r="U1344" s="73"/>
      <c r="V1344" s="66"/>
      <c r="W1344" s="788">
        <f t="shared" ref="W1344" si="1160">AA1344*(1+AB1344)</f>
        <v>6.3141899999999989E-6</v>
      </c>
      <c r="X1344" s="789">
        <f t="shared" ref="X1344" si="1161">AA1344*(1+AC1344)</f>
        <v>6.3141899999999989E-6</v>
      </c>
      <c r="Y1344" s="52">
        <v>2007</v>
      </c>
      <c r="Z1344" s="52"/>
      <c r="AA1344" s="787">
        <f>+N1344/1000</f>
        <v>9.1509999999999993E-6</v>
      </c>
      <c r="AB1344" s="256">
        <v>-0.31</v>
      </c>
      <c r="AC1344" s="688">
        <f t="shared" ref="AC1344" si="1162">AB1344</f>
        <v>-0.31</v>
      </c>
      <c r="AD1344" s="164"/>
      <c r="AE1344" s="164"/>
      <c r="AF1344" s="25"/>
      <c r="AG1344" s="26"/>
      <c r="AH1344" s="275"/>
      <c r="AI1344" s="52"/>
      <c r="AJ1344" s="35"/>
      <c r="AK1344" s="289"/>
      <c r="AL1344" s="290"/>
      <c r="AM1344" s="211"/>
      <c r="AN1344" s="164"/>
      <c r="AO1344" s="594"/>
      <c r="AP1344" s="595"/>
      <c r="AQ1344" s="275"/>
      <c r="AR1344" s="52"/>
      <c r="AS1344" s="596"/>
      <c r="AT1344" s="79"/>
      <c r="AU1344" s="212"/>
      <c r="AV1344" s="164"/>
      <c r="AW1344" s="164"/>
      <c r="AX1344" s="76"/>
      <c r="AY1344" s="44"/>
      <c r="AZ1344" s="275"/>
      <c r="BA1344" s="52"/>
      <c r="BB1344" s="35"/>
      <c r="BC1344" s="79"/>
      <c r="BD1344" s="230"/>
      <c r="BE1344" s="211"/>
      <c r="BF1344" s="164"/>
      <c r="BG1344" s="76"/>
      <c r="BH1344" s="44"/>
      <c r="BI1344" s="275"/>
      <c r="BJ1344" s="52"/>
      <c r="BK1344" s="35"/>
      <c r="BL1344" s="79"/>
      <c r="BM1344" s="230"/>
      <c r="BN1344" s="211"/>
      <c r="BO1344" s="164"/>
      <c r="BP1344" s="726"/>
      <c r="BQ1344" s="727"/>
      <c r="BR1344" s="299"/>
      <c r="BS1344" s="35"/>
      <c r="BT1344" s="596"/>
      <c r="BU1344" s="79"/>
      <c r="BV1344" s="212"/>
      <c r="BW1344" s="304"/>
      <c r="BX1344" s="313"/>
      <c r="BY1344" s="138"/>
    </row>
    <row r="1345" spans="1:77" ht="15" customHeight="1" outlineLevel="1" x14ac:dyDescent="0.2">
      <c r="A1345" s="57" t="s">
        <v>24</v>
      </c>
      <c r="B1345" s="583" t="s">
        <v>477</v>
      </c>
      <c r="C1345" s="583" t="s">
        <v>1417</v>
      </c>
      <c r="D1345" s="546">
        <v>1.1599999999999999</v>
      </c>
      <c r="E1345" s="162" t="s">
        <v>631</v>
      </c>
      <c r="F1345" s="358"/>
      <c r="G1345" s="65"/>
      <c r="H1345" s="73"/>
      <c r="I1345" s="90"/>
      <c r="J1345" s="73"/>
      <c r="K1345" s="790"/>
      <c r="L1345" s="717">
        <v>2009</v>
      </c>
      <c r="M1345" s="73"/>
      <c r="N1345" s="786">
        <v>1.9689999999999998E-3</v>
      </c>
      <c r="O1345" s="1041"/>
      <c r="P1345" s="73"/>
      <c r="Q1345" s="786"/>
      <c r="R1345" s="1041"/>
      <c r="S1345" s="73"/>
      <c r="T1345" s="786"/>
      <c r="U1345" s="73"/>
      <c r="V1345" s="66"/>
      <c r="W1345" s="788">
        <f t="shared" ref="W1345" si="1163">AA1345*(1+AB1345)</f>
        <v>0</v>
      </c>
      <c r="X1345" s="789">
        <f t="shared" ref="X1345" si="1164">AA1345*(1+AC1345)</f>
        <v>0</v>
      </c>
      <c r="Y1345" s="52">
        <v>2007</v>
      </c>
      <c r="Z1345" s="52"/>
      <c r="AA1345" s="787">
        <f>+N1345/1000</f>
        <v>1.9689999999999997E-6</v>
      </c>
      <c r="AB1345" s="256">
        <v>-1</v>
      </c>
      <c r="AC1345" s="688">
        <f t="shared" si="1088"/>
        <v>-1</v>
      </c>
      <c r="AD1345" s="164"/>
      <c r="AE1345" s="164"/>
      <c r="AF1345" s="25"/>
      <c r="AG1345" s="26"/>
      <c r="AH1345" s="275"/>
      <c r="AI1345" s="52"/>
      <c r="AJ1345" s="35"/>
      <c r="AK1345" s="289"/>
      <c r="AL1345" s="290"/>
      <c r="AM1345" s="211"/>
      <c r="AN1345" s="164"/>
      <c r="AO1345" s="594"/>
      <c r="AP1345" s="595"/>
      <c r="AQ1345" s="275"/>
      <c r="AR1345" s="52"/>
      <c r="AS1345" s="596"/>
      <c r="AT1345" s="79"/>
      <c r="AU1345" s="212"/>
      <c r="AV1345" s="164"/>
      <c r="AW1345" s="164"/>
      <c r="AX1345" s="76"/>
      <c r="AY1345" s="44"/>
      <c r="AZ1345" s="275"/>
      <c r="BA1345" s="52"/>
      <c r="BB1345" s="35"/>
      <c r="BC1345" s="79"/>
      <c r="BD1345" s="230"/>
      <c r="BE1345" s="211"/>
      <c r="BF1345" s="164"/>
      <c r="BG1345" s="76"/>
      <c r="BH1345" s="44"/>
      <c r="BI1345" s="275"/>
      <c r="BJ1345" s="52"/>
      <c r="BK1345" s="35"/>
      <c r="BL1345" s="79"/>
      <c r="BM1345" s="230"/>
      <c r="BN1345" s="211"/>
      <c r="BO1345" s="164"/>
      <c r="BP1345" s="726"/>
      <c r="BQ1345" s="727"/>
      <c r="BR1345" s="299"/>
      <c r="BS1345" s="35"/>
      <c r="BT1345" s="596"/>
      <c r="BU1345" s="79"/>
      <c r="BV1345" s="212"/>
      <c r="BW1345" s="304"/>
      <c r="BX1345" s="313"/>
      <c r="BY1345" s="138"/>
    </row>
    <row r="1346" spans="1:77" ht="15" customHeight="1" outlineLevel="1" x14ac:dyDescent="0.2">
      <c r="A1346" s="57" t="s">
        <v>24</v>
      </c>
      <c r="B1346" s="583" t="s">
        <v>477</v>
      </c>
      <c r="C1346" s="583" t="s">
        <v>1385</v>
      </c>
      <c r="D1346" s="818">
        <v>0.37</v>
      </c>
      <c r="E1346" s="162" t="s">
        <v>631</v>
      </c>
      <c r="F1346" s="358"/>
      <c r="G1346" s="65"/>
      <c r="H1346" s="73"/>
      <c r="I1346" s="90">
        <v>2006</v>
      </c>
      <c r="J1346" s="73"/>
      <c r="K1346" s="790">
        <v>6.6845000000000001E-4</v>
      </c>
      <c r="L1346" s="717"/>
      <c r="M1346" s="73"/>
      <c r="N1346" s="359"/>
      <c r="O1346" s="1041"/>
      <c r="P1346" s="73"/>
      <c r="Q1346" s="359"/>
      <c r="R1346" s="1041"/>
      <c r="S1346" s="73"/>
      <c r="T1346" s="359"/>
      <c r="U1346" s="73"/>
      <c r="V1346" s="66"/>
      <c r="W1346" s="808">
        <f t="shared" ref="W1346:W1501" si="1165">AA1346*(1+AB1346)</f>
        <v>0</v>
      </c>
      <c r="X1346" s="809">
        <f t="shared" ref="X1346:X1501" si="1166">AA1346*(1+AC1346)</f>
        <v>0</v>
      </c>
      <c r="Y1346" s="52">
        <v>2006</v>
      </c>
      <c r="Z1346" s="52"/>
      <c r="AA1346" s="787">
        <f t="shared" ref="AA1346:AA1421" si="1167">+K1346/1000</f>
        <v>6.6845000000000003E-7</v>
      </c>
      <c r="AB1346" s="256">
        <v>-1</v>
      </c>
      <c r="AC1346" s="688">
        <f t="shared" ref="AC1346:AC1502" si="1168">AB1346</f>
        <v>-1</v>
      </c>
      <c r="AD1346" s="164"/>
      <c r="AE1346" s="164"/>
      <c r="AF1346" s="25"/>
      <c r="AG1346" s="26"/>
      <c r="AH1346" s="275"/>
      <c r="AI1346" s="52"/>
      <c r="AJ1346" s="35"/>
      <c r="AK1346" s="289"/>
      <c r="AL1346" s="290"/>
      <c r="AM1346" s="211"/>
      <c r="AN1346" s="164"/>
      <c r="AO1346" s="594"/>
      <c r="AP1346" s="595"/>
      <c r="AQ1346" s="275"/>
      <c r="AR1346" s="52"/>
      <c r="AS1346" s="596"/>
      <c r="AT1346" s="79"/>
      <c r="AU1346" s="212"/>
      <c r="AV1346" s="164"/>
      <c r="AW1346" s="164"/>
      <c r="AX1346" s="76"/>
      <c r="AY1346" s="44"/>
      <c r="AZ1346" s="275"/>
      <c r="BA1346" s="52"/>
      <c r="BB1346" s="35"/>
      <c r="BC1346" s="79"/>
      <c r="BD1346" s="230"/>
      <c r="BE1346" s="211"/>
      <c r="BF1346" s="164"/>
      <c r="BG1346" s="76"/>
      <c r="BH1346" s="44"/>
      <c r="BI1346" s="275"/>
      <c r="BJ1346" s="52"/>
      <c r="BK1346" s="35"/>
      <c r="BL1346" s="79"/>
      <c r="BM1346" s="230"/>
      <c r="BN1346" s="211"/>
      <c r="BO1346" s="164"/>
      <c r="BP1346" s="726"/>
      <c r="BQ1346" s="727"/>
      <c r="BR1346" s="299"/>
      <c r="BS1346" s="35"/>
      <c r="BT1346" s="596"/>
      <c r="BU1346" s="79"/>
      <c r="BV1346" s="212"/>
      <c r="BW1346" s="304"/>
      <c r="BX1346" s="313"/>
      <c r="BY1346" s="138"/>
    </row>
    <row r="1347" spans="1:77" ht="15" customHeight="1" outlineLevel="1" x14ac:dyDescent="0.2">
      <c r="A1347" s="57" t="s">
        <v>24</v>
      </c>
      <c r="B1347" s="583" t="s">
        <v>2251</v>
      </c>
      <c r="C1347" s="583"/>
      <c r="D1347" s="818">
        <v>4.9151230000000004</v>
      </c>
      <c r="E1347" s="162" t="s">
        <v>2344</v>
      </c>
      <c r="F1347" s="800">
        <v>2004</v>
      </c>
      <c r="G1347" s="65"/>
      <c r="H1347" s="73">
        <f>K1347</f>
        <v>44.186</v>
      </c>
      <c r="I1347" s="90">
        <v>2004</v>
      </c>
      <c r="J1347" s="73"/>
      <c r="K1347" s="66">
        <v>44.186</v>
      </c>
      <c r="L1347" s="717"/>
      <c r="M1347" s="73"/>
      <c r="N1347" s="359">
        <v>30.19</v>
      </c>
      <c r="O1347" s="1041"/>
      <c r="P1347" s="73"/>
      <c r="Q1347" s="359"/>
      <c r="R1347" s="1041"/>
      <c r="S1347" s="73"/>
      <c r="T1347" s="359"/>
      <c r="U1347" s="73"/>
      <c r="V1347" s="66"/>
      <c r="W1347" s="808"/>
      <c r="X1347" s="809"/>
      <c r="Y1347" s="52"/>
      <c r="Z1347" s="52"/>
      <c r="AA1347" s="787"/>
      <c r="AB1347" s="256"/>
      <c r="AC1347" s="688"/>
      <c r="AD1347" s="164"/>
      <c r="AE1347" s="164"/>
      <c r="AF1347" s="25"/>
      <c r="AG1347" s="26"/>
      <c r="AH1347" s="275"/>
      <c r="AI1347" s="52"/>
      <c r="AJ1347" s="35"/>
      <c r="AK1347" s="289"/>
      <c r="AL1347" s="290"/>
      <c r="AM1347" s="211"/>
      <c r="AN1347" s="164"/>
      <c r="AO1347" s="594"/>
      <c r="AP1347" s="595"/>
      <c r="AQ1347" s="275"/>
      <c r="AR1347" s="52"/>
      <c r="AS1347" s="596"/>
      <c r="AT1347" s="79"/>
      <c r="AU1347" s="212"/>
      <c r="AV1347" s="164"/>
      <c r="AW1347" s="164"/>
      <c r="AX1347" s="76"/>
      <c r="AY1347" s="44"/>
      <c r="AZ1347" s="275"/>
      <c r="BA1347" s="52"/>
      <c r="BB1347" s="35"/>
      <c r="BC1347" s="79"/>
      <c r="BD1347" s="230"/>
      <c r="BE1347" s="211"/>
      <c r="BF1347" s="164"/>
      <c r="BG1347" s="76"/>
      <c r="BH1347" s="44"/>
      <c r="BI1347" s="275"/>
      <c r="BJ1347" s="52"/>
      <c r="BK1347" s="35"/>
      <c r="BL1347" s="79"/>
      <c r="BM1347" s="230"/>
      <c r="BN1347" s="211"/>
      <c r="BO1347" s="164"/>
      <c r="BP1347" s="584">
        <f>+BT1347*(1+BU1347)</f>
        <v>8.8371999999999982E-3</v>
      </c>
      <c r="BQ1347" s="585">
        <f>BT1347*(1+BV1347)</f>
        <v>2.2093000000000021E-3</v>
      </c>
      <c r="BR1347" s="299">
        <v>2005</v>
      </c>
      <c r="BS1347" s="52"/>
      <c r="BT1347" s="35">
        <f>+K1347/1000</f>
        <v>4.4186000000000003E-2</v>
      </c>
      <c r="BU1347" s="79">
        <v>-0.8</v>
      </c>
      <c r="BV1347" s="212">
        <v>-0.95</v>
      </c>
      <c r="BW1347" s="304"/>
      <c r="BX1347" s="313"/>
      <c r="BY1347" s="300" t="s">
        <v>2252</v>
      </c>
    </row>
    <row r="1348" spans="1:77" ht="15" customHeight="1" outlineLevel="1" x14ac:dyDescent="0.2">
      <c r="A1348" s="57" t="s">
        <v>24</v>
      </c>
      <c r="B1348" s="583" t="s">
        <v>477</v>
      </c>
      <c r="C1348" s="162" t="s">
        <v>1553</v>
      </c>
      <c r="D1348" s="546">
        <v>1.9419999999999999</v>
      </c>
      <c r="E1348" s="162" t="s">
        <v>631</v>
      </c>
      <c r="F1348" s="358"/>
      <c r="G1348" s="65"/>
      <c r="H1348" s="73"/>
      <c r="I1348" s="90"/>
      <c r="J1348" s="73"/>
      <c r="K1348" s="813">
        <v>2.9791000000000002E-2</v>
      </c>
      <c r="L1348" s="717"/>
      <c r="M1348" s="73"/>
      <c r="N1348" s="359"/>
      <c r="O1348" s="1041"/>
      <c r="P1348" s="73"/>
      <c r="Q1348" s="359"/>
      <c r="R1348" s="1041"/>
      <c r="S1348" s="73"/>
      <c r="T1348" s="359"/>
      <c r="U1348" s="73"/>
      <c r="V1348" s="66"/>
      <c r="W1348" s="740">
        <f>AA1348*(1+AB1348)</f>
        <v>1.936415E-5</v>
      </c>
      <c r="X1348" s="741">
        <f>AA1348*(1+AC1348)</f>
        <v>1.936415E-5</v>
      </c>
      <c r="Y1348" s="52">
        <v>2005</v>
      </c>
      <c r="Z1348" s="52"/>
      <c r="AA1348" s="739">
        <f>+K1348/1000</f>
        <v>2.9791E-5</v>
      </c>
      <c r="AB1348" s="256">
        <v>-0.35</v>
      </c>
      <c r="AC1348" s="688">
        <f t="shared" ref="AC1348:AC1367" si="1169">AB1348</f>
        <v>-0.35</v>
      </c>
      <c r="AD1348" s="164"/>
      <c r="AE1348" s="164"/>
      <c r="AF1348" s="25"/>
      <c r="AG1348" s="26"/>
      <c r="AH1348" s="275"/>
      <c r="AI1348" s="52"/>
      <c r="AJ1348" s="35"/>
      <c r="AK1348" s="289"/>
      <c r="AL1348" s="290"/>
      <c r="AM1348" s="211"/>
      <c r="AN1348" s="164"/>
      <c r="AO1348" s="594"/>
      <c r="AP1348" s="595"/>
      <c r="AQ1348" s="275"/>
      <c r="AR1348" s="52"/>
      <c r="AS1348" s="596"/>
      <c r="AT1348" s="79"/>
      <c r="AU1348" s="212"/>
      <c r="AV1348" s="164"/>
      <c r="AW1348" s="164"/>
      <c r="AX1348" s="76"/>
      <c r="AY1348" s="44"/>
      <c r="AZ1348" s="275"/>
      <c r="BA1348" s="52"/>
      <c r="BB1348" s="35"/>
      <c r="BC1348" s="79"/>
      <c r="BD1348" s="230"/>
      <c r="BE1348" s="211"/>
      <c r="BF1348" s="164"/>
      <c r="BG1348" s="76"/>
      <c r="BH1348" s="44"/>
      <c r="BI1348" s="275"/>
      <c r="BJ1348" s="52"/>
      <c r="BK1348" s="35"/>
      <c r="BL1348" s="79"/>
      <c r="BM1348" s="230"/>
      <c r="BN1348" s="211"/>
      <c r="BO1348" s="164"/>
      <c r="BP1348" s="726"/>
      <c r="BQ1348" s="727"/>
      <c r="BR1348" s="299"/>
      <c r="BS1348" s="35"/>
      <c r="BT1348" s="596"/>
      <c r="BU1348" s="79"/>
      <c r="BV1348" s="212"/>
      <c r="BW1348" s="304"/>
      <c r="BX1348" s="313"/>
      <c r="BY1348" s="138"/>
    </row>
    <row r="1349" spans="1:77" ht="15" customHeight="1" outlineLevel="1" x14ac:dyDescent="0.2">
      <c r="A1349" s="583" t="s">
        <v>24</v>
      </c>
      <c r="B1349" s="583" t="s">
        <v>477</v>
      </c>
      <c r="C1349" s="162" t="s">
        <v>1846</v>
      </c>
      <c r="D1349" s="546">
        <v>3.661</v>
      </c>
      <c r="E1349" s="162" t="s">
        <v>631</v>
      </c>
      <c r="F1349" s="358"/>
      <c r="G1349" s="65"/>
      <c r="H1349" s="73"/>
      <c r="I1349" s="90"/>
      <c r="J1349" s="73"/>
      <c r="K1349" s="790"/>
      <c r="L1349" s="717"/>
      <c r="M1349" s="73"/>
      <c r="N1349" s="738">
        <v>2.0382999999999998E-2</v>
      </c>
      <c r="O1349" s="1041"/>
      <c r="P1349" s="73"/>
      <c r="Q1349" s="738"/>
      <c r="R1349" s="1041"/>
      <c r="S1349" s="73"/>
      <c r="T1349" s="738"/>
      <c r="U1349" s="73"/>
      <c r="V1349" s="66"/>
      <c r="W1349" s="788">
        <f t="shared" ref="W1349" si="1170">AA1349*(1+AB1349)</f>
        <v>1.5083419999999998E-5</v>
      </c>
      <c r="X1349" s="789">
        <f t="shared" ref="X1349" si="1171">AA1349*(1+AC1349)</f>
        <v>1.5083419999999998E-5</v>
      </c>
      <c r="Y1349" s="52">
        <v>2010</v>
      </c>
      <c r="Z1349" s="52"/>
      <c r="AA1349" s="787">
        <f>+N1349/1000</f>
        <v>2.0382999999999998E-5</v>
      </c>
      <c r="AB1349" s="256">
        <v>-0.26</v>
      </c>
      <c r="AC1349" s="688">
        <f t="shared" si="1169"/>
        <v>-0.26</v>
      </c>
      <c r="AD1349" s="164"/>
      <c r="AE1349" s="164"/>
      <c r="AF1349" s="25"/>
      <c r="AG1349" s="26"/>
      <c r="AH1349" s="275"/>
      <c r="AI1349" s="52"/>
      <c r="AJ1349" s="35"/>
      <c r="AK1349" s="289"/>
      <c r="AL1349" s="290"/>
      <c r="AM1349" s="211"/>
      <c r="AN1349" s="164"/>
      <c r="AO1349" s="594"/>
      <c r="AP1349" s="595"/>
      <c r="AQ1349" s="275"/>
      <c r="AR1349" s="52"/>
      <c r="AS1349" s="596"/>
      <c r="AT1349" s="79"/>
      <c r="AU1349" s="212"/>
      <c r="AV1349" s="164"/>
      <c r="AW1349" s="164"/>
      <c r="AX1349" s="76"/>
      <c r="AY1349" s="44"/>
      <c r="AZ1349" s="275"/>
      <c r="BA1349" s="52"/>
      <c r="BB1349" s="35"/>
      <c r="BC1349" s="79"/>
      <c r="BD1349" s="230"/>
      <c r="BE1349" s="211"/>
      <c r="BF1349" s="164"/>
      <c r="BG1349" s="76"/>
      <c r="BH1349" s="44"/>
      <c r="BI1349" s="275"/>
      <c r="BJ1349" s="52"/>
      <c r="BK1349" s="35"/>
      <c r="BL1349" s="79"/>
      <c r="BM1349" s="230"/>
      <c r="BN1349" s="211"/>
      <c r="BO1349" s="164"/>
      <c r="BP1349" s="726"/>
      <c r="BQ1349" s="727"/>
      <c r="BR1349" s="299"/>
      <c r="BS1349" s="35"/>
      <c r="BT1349" s="596"/>
      <c r="BU1349" s="79"/>
      <c r="BV1349" s="212"/>
      <c r="BW1349" s="304"/>
      <c r="BX1349" s="313"/>
      <c r="BY1349" s="138"/>
    </row>
    <row r="1350" spans="1:77" ht="15" customHeight="1" outlineLevel="1" x14ac:dyDescent="0.2">
      <c r="A1350" s="57" t="s">
        <v>24</v>
      </c>
      <c r="B1350" s="583" t="s">
        <v>477</v>
      </c>
      <c r="C1350" s="162" t="s">
        <v>1557</v>
      </c>
      <c r="D1350" s="546">
        <v>0.7</v>
      </c>
      <c r="E1350" s="162" t="s">
        <v>631</v>
      </c>
      <c r="F1350" s="358"/>
      <c r="G1350" s="65"/>
      <c r="H1350" s="73"/>
      <c r="I1350" s="90">
        <v>2007</v>
      </c>
      <c r="J1350" s="73"/>
      <c r="K1350" s="790">
        <v>2.9529999999999999E-3</v>
      </c>
      <c r="L1350" s="717"/>
      <c r="M1350" s="73"/>
      <c r="N1350" s="359"/>
      <c r="O1350" s="1041"/>
      <c r="P1350" s="73"/>
      <c r="Q1350" s="359"/>
      <c r="R1350" s="1041"/>
      <c r="S1350" s="73"/>
      <c r="T1350" s="359"/>
      <c r="U1350" s="73"/>
      <c r="V1350" s="66"/>
      <c r="W1350" s="788">
        <f>AA1350*(1+AB1350)</f>
        <v>2.0670999999999997E-6</v>
      </c>
      <c r="X1350" s="789">
        <f>AA1350*(1+AC1350)</f>
        <v>2.0670999999999997E-6</v>
      </c>
      <c r="Y1350" s="52">
        <v>2007</v>
      </c>
      <c r="Z1350" s="52"/>
      <c r="AA1350" s="787">
        <f>+K1350/1000</f>
        <v>2.9529999999999999E-6</v>
      </c>
      <c r="AB1350" s="256">
        <v>-0.3</v>
      </c>
      <c r="AC1350" s="688">
        <f t="shared" si="1169"/>
        <v>-0.3</v>
      </c>
      <c r="AD1350" s="164"/>
      <c r="AE1350" s="164"/>
      <c r="AF1350" s="25"/>
      <c r="AG1350" s="26"/>
      <c r="AH1350" s="275"/>
      <c r="AI1350" s="52"/>
      <c r="AJ1350" s="35"/>
      <c r="AK1350" s="289"/>
      <c r="AL1350" s="290"/>
      <c r="AM1350" s="211"/>
      <c r="AN1350" s="164"/>
      <c r="AO1350" s="594"/>
      <c r="AP1350" s="595"/>
      <c r="AQ1350" s="275"/>
      <c r="AR1350" s="52"/>
      <c r="AS1350" s="596"/>
      <c r="AT1350" s="79"/>
      <c r="AU1350" s="212"/>
      <c r="AV1350" s="164"/>
      <c r="AW1350" s="164"/>
      <c r="AX1350" s="76"/>
      <c r="AY1350" s="44"/>
      <c r="AZ1350" s="275"/>
      <c r="BA1350" s="52"/>
      <c r="BB1350" s="35"/>
      <c r="BC1350" s="79"/>
      <c r="BD1350" s="230"/>
      <c r="BE1350" s="211"/>
      <c r="BF1350" s="164"/>
      <c r="BG1350" s="76"/>
      <c r="BH1350" s="44"/>
      <c r="BI1350" s="275"/>
      <c r="BJ1350" s="52"/>
      <c r="BK1350" s="35"/>
      <c r="BL1350" s="79"/>
      <c r="BM1350" s="230"/>
      <c r="BN1350" s="211"/>
      <c r="BO1350" s="164"/>
      <c r="BP1350" s="726"/>
      <c r="BQ1350" s="727"/>
      <c r="BR1350" s="299"/>
      <c r="BS1350" s="35"/>
      <c r="BT1350" s="596"/>
      <c r="BU1350" s="79"/>
      <c r="BV1350" s="212"/>
      <c r="BW1350" s="304"/>
      <c r="BX1350" s="313"/>
      <c r="BY1350" s="138"/>
    </row>
    <row r="1351" spans="1:77" ht="15" customHeight="1" outlineLevel="1" x14ac:dyDescent="0.2">
      <c r="A1351" s="57" t="s">
        <v>24</v>
      </c>
      <c r="B1351" s="583" t="s">
        <v>477</v>
      </c>
      <c r="C1351" s="162" t="s">
        <v>1422</v>
      </c>
      <c r="D1351" s="546">
        <v>2.617</v>
      </c>
      <c r="E1351" s="162" t="s">
        <v>631</v>
      </c>
      <c r="F1351" s="358"/>
      <c r="G1351" s="65"/>
      <c r="H1351" s="73"/>
      <c r="I1351" s="90"/>
      <c r="J1351" s="73"/>
      <c r="K1351" s="813">
        <v>4.7315000000000003E-2</v>
      </c>
      <c r="L1351" s="717"/>
      <c r="M1351" s="73"/>
      <c r="N1351" s="359"/>
      <c r="O1351" s="1041"/>
      <c r="P1351" s="73"/>
      <c r="Q1351" s="359"/>
      <c r="R1351" s="1041"/>
      <c r="S1351" s="73"/>
      <c r="T1351" s="359"/>
      <c r="U1351" s="73"/>
      <c r="V1351" s="66"/>
      <c r="W1351" s="740">
        <f>AA1351*(1+AB1351)</f>
        <v>3.3120500000000002E-5</v>
      </c>
      <c r="X1351" s="741">
        <f>AA1351*(1+AC1351)</f>
        <v>3.3120500000000002E-5</v>
      </c>
      <c r="Y1351" s="52">
        <v>2005</v>
      </c>
      <c r="Z1351" s="52"/>
      <c r="AA1351" s="739">
        <f>+K1351/1000</f>
        <v>4.7315000000000004E-5</v>
      </c>
      <c r="AB1351" s="256">
        <v>-0.3</v>
      </c>
      <c r="AC1351" s="688">
        <f t="shared" si="1169"/>
        <v>-0.3</v>
      </c>
      <c r="AD1351" s="164"/>
      <c r="AE1351" s="164"/>
      <c r="AF1351" s="25"/>
      <c r="AG1351" s="26"/>
      <c r="AH1351" s="275"/>
      <c r="AI1351" s="52"/>
      <c r="AJ1351" s="35"/>
      <c r="AK1351" s="289"/>
      <c r="AL1351" s="290"/>
      <c r="AM1351" s="211"/>
      <c r="AN1351" s="164"/>
      <c r="AO1351" s="594"/>
      <c r="AP1351" s="595"/>
      <c r="AQ1351" s="275"/>
      <c r="AR1351" s="52"/>
      <c r="AS1351" s="596"/>
      <c r="AT1351" s="79"/>
      <c r="AU1351" s="212"/>
      <c r="AV1351" s="164"/>
      <c r="AW1351" s="164"/>
      <c r="AX1351" s="76"/>
      <c r="AY1351" s="44"/>
      <c r="AZ1351" s="275"/>
      <c r="BA1351" s="52"/>
      <c r="BB1351" s="35"/>
      <c r="BC1351" s="79"/>
      <c r="BD1351" s="230"/>
      <c r="BE1351" s="211"/>
      <c r="BF1351" s="164"/>
      <c r="BG1351" s="76"/>
      <c r="BH1351" s="44"/>
      <c r="BI1351" s="275"/>
      <c r="BJ1351" s="52"/>
      <c r="BK1351" s="35"/>
      <c r="BL1351" s="79"/>
      <c r="BM1351" s="230"/>
      <c r="BN1351" s="211"/>
      <c r="BO1351" s="164"/>
      <c r="BP1351" s="726"/>
      <c r="BQ1351" s="727"/>
      <c r="BR1351" s="299"/>
      <c r="BS1351" s="35"/>
      <c r="BT1351" s="596"/>
      <c r="BU1351" s="79"/>
      <c r="BV1351" s="212"/>
      <c r="BW1351" s="304"/>
      <c r="BX1351" s="313"/>
      <c r="BY1351" s="138"/>
    </row>
    <row r="1352" spans="1:77" ht="15" customHeight="1" outlineLevel="1" x14ac:dyDescent="0.2">
      <c r="A1352" s="583" t="s">
        <v>24</v>
      </c>
      <c r="B1352" s="583" t="s">
        <v>477</v>
      </c>
      <c r="C1352" s="162" t="s">
        <v>1924</v>
      </c>
      <c r="D1352" s="546">
        <v>3.3860000000000001</v>
      </c>
      <c r="E1352" s="162" t="s">
        <v>631</v>
      </c>
      <c r="F1352" s="358"/>
      <c r="G1352" s="65"/>
      <c r="H1352" s="73"/>
      <c r="I1352" s="90"/>
      <c r="J1352" s="73"/>
      <c r="K1352" s="790"/>
      <c r="L1352" s="717">
        <v>2013</v>
      </c>
      <c r="M1352" s="73"/>
      <c r="N1352" s="786">
        <v>3.0661999999999998E-2</v>
      </c>
      <c r="O1352" s="1041"/>
      <c r="P1352" s="73"/>
      <c r="Q1352" s="359"/>
      <c r="R1352" s="1041"/>
      <c r="S1352" s="73"/>
      <c r="T1352" s="359"/>
      <c r="U1352" s="73"/>
      <c r="V1352" s="66"/>
      <c r="W1352" s="788">
        <f t="shared" ref="W1352" si="1172">AA1352*(1+AB1352)</f>
        <v>2.238326E-5</v>
      </c>
      <c r="X1352" s="789">
        <f t="shared" ref="X1352" si="1173">AA1352*(1+AC1352)</f>
        <v>2.238326E-5</v>
      </c>
      <c r="Y1352" s="52">
        <v>2013</v>
      </c>
      <c r="Z1352" s="52"/>
      <c r="AA1352" s="787">
        <f>+N1352/1000</f>
        <v>3.0661999999999999E-5</v>
      </c>
      <c r="AB1352" s="256">
        <v>-0.27</v>
      </c>
      <c r="AC1352" s="688">
        <f t="shared" si="1169"/>
        <v>-0.27</v>
      </c>
      <c r="AD1352" s="164"/>
      <c r="AE1352" s="164"/>
      <c r="AF1352" s="25"/>
      <c r="AG1352" s="26"/>
      <c r="AH1352" s="275"/>
      <c r="AI1352" s="52"/>
      <c r="AJ1352" s="35"/>
      <c r="AK1352" s="289"/>
      <c r="AL1352" s="290"/>
      <c r="AM1352" s="211"/>
      <c r="AN1352" s="164"/>
      <c r="AO1352" s="594"/>
      <c r="AP1352" s="595"/>
      <c r="AQ1352" s="275"/>
      <c r="AR1352" s="52"/>
      <c r="AS1352" s="596"/>
      <c r="AT1352" s="79"/>
      <c r="AU1352" s="212"/>
      <c r="AV1352" s="164"/>
      <c r="AW1352" s="164"/>
      <c r="AX1352" s="76"/>
      <c r="AY1352" s="44"/>
      <c r="AZ1352" s="275"/>
      <c r="BA1352" s="52"/>
      <c r="BB1352" s="35"/>
      <c r="BC1352" s="79"/>
      <c r="BD1352" s="230"/>
      <c r="BE1352" s="211"/>
      <c r="BF1352" s="164"/>
      <c r="BG1352" s="76"/>
      <c r="BH1352" s="44"/>
      <c r="BI1352" s="275"/>
      <c r="BJ1352" s="52"/>
      <c r="BK1352" s="35"/>
      <c r="BL1352" s="79"/>
      <c r="BM1352" s="230"/>
      <c r="BN1352" s="211"/>
      <c r="BO1352" s="164"/>
      <c r="BP1352" s="726"/>
      <c r="BQ1352" s="727"/>
      <c r="BR1352" s="299"/>
      <c r="BS1352" s="35"/>
      <c r="BT1352" s="596"/>
      <c r="BU1352" s="79"/>
      <c r="BV1352" s="212"/>
      <c r="BW1352" s="304"/>
      <c r="BX1352" s="313"/>
      <c r="BY1352" s="138"/>
    </row>
    <row r="1353" spans="1:77" ht="15" customHeight="1" outlineLevel="1" x14ac:dyDescent="0.2">
      <c r="A1353" s="57" t="s">
        <v>24</v>
      </c>
      <c r="B1353" s="583" t="s">
        <v>477</v>
      </c>
      <c r="C1353" s="162" t="s">
        <v>1562</v>
      </c>
      <c r="D1353" s="546">
        <v>3.4750000000000001</v>
      </c>
      <c r="E1353" s="162" t="s">
        <v>631</v>
      </c>
      <c r="F1353" s="358"/>
      <c r="G1353" s="65"/>
      <c r="H1353" s="73"/>
      <c r="I1353" s="90">
        <v>2007</v>
      </c>
      <c r="J1353" s="73"/>
      <c r="K1353" s="734">
        <v>3.0103000000000001E-2</v>
      </c>
      <c r="L1353" s="717"/>
      <c r="M1353" s="73"/>
      <c r="N1353" s="359"/>
      <c r="O1353" s="1041"/>
      <c r="P1353" s="73"/>
      <c r="Q1353" s="359"/>
      <c r="R1353" s="1041"/>
      <c r="S1353" s="73"/>
      <c r="T1353" s="359"/>
      <c r="U1353" s="73"/>
      <c r="V1353" s="66"/>
      <c r="W1353" s="740">
        <f>AA1353*(1+AB1353)</f>
        <v>2.077107E-5</v>
      </c>
      <c r="X1353" s="741">
        <f>AA1353*(1+AC1353)</f>
        <v>2.077107E-5</v>
      </c>
      <c r="Y1353" s="52">
        <v>2007</v>
      </c>
      <c r="Z1353" s="52"/>
      <c r="AA1353" s="739">
        <f>+K1353/1000</f>
        <v>3.0103E-5</v>
      </c>
      <c r="AB1353" s="256">
        <v>-0.31</v>
      </c>
      <c r="AC1353" s="688">
        <f t="shared" si="1169"/>
        <v>-0.31</v>
      </c>
      <c r="AD1353" s="164"/>
      <c r="AE1353" s="164"/>
      <c r="AF1353" s="25"/>
      <c r="AG1353" s="26"/>
      <c r="AH1353" s="275"/>
      <c r="AI1353" s="52"/>
      <c r="AJ1353" s="35"/>
      <c r="AK1353" s="289"/>
      <c r="AL1353" s="290"/>
      <c r="AM1353" s="211"/>
      <c r="AN1353" s="164"/>
      <c r="AO1353" s="594"/>
      <c r="AP1353" s="595"/>
      <c r="AQ1353" s="275"/>
      <c r="AR1353" s="52"/>
      <c r="AS1353" s="596"/>
      <c r="AT1353" s="79"/>
      <c r="AU1353" s="212"/>
      <c r="AV1353" s="164"/>
      <c r="AW1353" s="164"/>
      <c r="AX1353" s="76"/>
      <c r="AY1353" s="44"/>
      <c r="AZ1353" s="275"/>
      <c r="BA1353" s="52"/>
      <c r="BB1353" s="35"/>
      <c r="BC1353" s="79"/>
      <c r="BD1353" s="230"/>
      <c r="BE1353" s="211"/>
      <c r="BF1353" s="164"/>
      <c r="BG1353" s="76"/>
      <c r="BH1353" s="44"/>
      <c r="BI1353" s="275"/>
      <c r="BJ1353" s="52"/>
      <c r="BK1353" s="35"/>
      <c r="BL1353" s="79"/>
      <c r="BM1353" s="230"/>
      <c r="BN1353" s="211"/>
      <c r="BO1353" s="164"/>
      <c r="BP1353" s="726"/>
      <c r="BQ1353" s="727"/>
      <c r="BR1353" s="299"/>
      <c r="BS1353" s="35"/>
      <c r="BT1353" s="596"/>
      <c r="BU1353" s="79"/>
      <c r="BV1353" s="212"/>
      <c r="BW1353" s="304"/>
      <c r="BX1353" s="313"/>
      <c r="BY1353" s="138"/>
    </row>
    <row r="1354" spans="1:77" ht="15" customHeight="1" outlineLevel="1" x14ac:dyDescent="0.2">
      <c r="A1354" s="583" t="s">
        <v>24</v>
      </c>
      <c r="B1354" s="583" t="s">
        <v>477</v>
      </c>
      <c r="C1354" s="162" t="s">
        <v>1980</v>
      </c>
      <c r="D1354" s="546">
        <v>8.6890000000000001</v>
      </c>
      <c r="E1354" s="162" t="s">
        <v>631</v>
      </c>
      <c r="F1354" s="358"/>
      <c r="G1354" s="65"/>
      <c r="H1354" s="73"/>
      <c r="I1354" s="90"/>
      <c r="J1354" s="73"/>
      <c r="K1354" s="734"/>
      <c r="L1354" s="717">
        <v>2012</v>
      </c>
      <c r="M1354" s="73"/>
      <c r="N1354" s="786">
        <v>4.4313999999999999E-2</v>
      </c>
      <c r="O1354" s="1041"/>
      <c r="P1354" s="73"/>
      <c r="Q1354" s="359"/>
      <c r="R1354" s="1041"/>
      <c r="S1354" s="73"/>
      <c r="T1354" s="359"/>
      <c r="U1354" s="73"/>
      <c r="V1354" s="66"/>
      <c r="W1354" s="740">
        <f t="shared" ref="W1354" si="1174">AA1354*(1+AB1354)</f>
        <v>3.2349219999999993E-5</v>
      </c>
      <c r="X1354" s="741">
        <f t="shared" ref="X1354" si="1175">AA1354*(1+AC1354)</f>
        <v>3.2349219999999993E-5</v>
      </c>
      <c r="Y1354" s="52">
        <v>2012</v>
      </c>
      <c r="Z1354" s="52"/>
      <c r="AA1354" s="739">
        <f>+N1354/1000</f>
        <v>4.4313999999999996E-5</v>
      </c>
      <c r="AB1354" s="256">
        <v>-0.27</v>
      </c>
      <c r="AC1354" s="688">
        <f t="shared" si="1169"/>
        <v>-0.27</v>
      </c>
      <c r="AD1354" s="164"/>
      <c r="AE1354" s="164"/>
      <c r="AF1354" s="25"/>
      <c r="AG1354" s="26"/>
      <c r="AH1354" s="275"/>
      <c r="AI1354" s="52"/>
      <c r="AJ1354" s="35"/>
      <c r="AK1354" s="289"/>
      <c r="AL1354" s="290"/>
      <c r="AM1354" s="211"/>
      <c r="AN1354" s="164"/>
      <c r="AO1354" s="594"/>
      <c r="AP1354" s="595"/>
      <c r="AQ1354" s="275"/>
      <c r="AR1354" s="52"/>
      <c r="AS1354" s="596"/>
      <c r="AT1354" s="79"/>
      <c r="AU1354" s="212"/>
      <c r="AV1354" s="164"/>
      <c r="AW1354" s="164"/>
      <c r="AX1354" s="76"/>
      <c r="AY1354" s="44"/>
      <c r="AZ1354" s="275"/>
      <c r="BA1354" s="52"/>
      <c r="BB1354" s="35"/>
      <c r="BC1354" s="79"/>
      <c r="BD1354" s="230"/>
      <c r="BE1354" s="211"/>
      <c r="BF1354" s="164"/>
      <c r="BG1354" s="76"/>
      <c r="BH1354" s="44"/>
      <c r="BI1354" s="275"/>
      <c r="BJ1354" s="52"/>
      <c r="BK1354" s="35"/>
      <c r="BL1354" s="79"/>
      <c r="BM1354" s="230"/>
      <c r="BN1354" s="211"/>
      <c r="BO1354" s="164"/>
      <c r="BP1354" s="726"/>
      <c r="BQ1354" s="727"/>
      <c r="BR1354" s="299"/>
      <c r="BS1354" s="35"/>
      <c r="BT1354" s="596"/>
      <c r="BU1354" s="79"/>
      <c r="BV1354" s="212"/>
      <c r="BW1354" s="304"/>
      <c r="BX1354" s="313"/>
      <c r="BY1354" s="138"/>
    </row>
    <row r="1355" spans="1:77" ht="15" customHeight="1" outlineLevel="1" x14ac:dyDescent="0.2">
      <c r="A1355" s="57" t="s">
        <v>24</v>
      </c>
      <c r="B1355" s="583" t="s">
        <v>477</v>
      </c>
      <c r="C1355" s="162" t="s">
        <v>1328</v>
      </c>
      <c r="D1355" s="546">
        <v>8.0500000000000007</v>
      </c>
      <c r="E1355" s="162" t="s">
        <v>631</v>
      </c>
      <c r="F1355" s="358"/>
      <c r="G1355" s="65"/>
      <c r="H1355" s="73"/>
      <c r="I1355" s="90">
        <v>2006</v>
      </c>
      <c r="J1355" s="73"/>
      <c r="K1355" s="734">
        <v>2.4808E-2</v>
      </c>
      <c r="L1355" s="717"/>
      <c r="M1355" s="73"/>
      <c r="N1355" s="359"/>
      <c r="O1355" s="1041"/>
      <c r="P1355" s="73"/>
      <c r="Q1355" s="359"/>
      <c r="R1355" s="1041"/>
      <c r="S1355" s="73"/>
      <c r="T1355" s="359"/>
      <c r="U1355" s="73"/>
      <c r="V1355" s="66"/>
      <c r="W1355" s="740">
        <f>AA1355*(1+AB1355)</f>
        <v>1.3644400000000001E-5</v>
      </c>
      <c r="X1355" s="741">
        <f>AA1355*(1+AC1355)</f>
        <v>1.3644400000000001E-5</v>
      </c>
      <c r="Y1355" s="52">
        <v>2006</v>
      </c>
      <c r="Z1355" s="52"/>
      <c r="AA1355" s="739">
        <f t="shared" ref="AA1355:AA1362" si="1176">+K1355/1000</f>
        <v>2.4808E-5</v>
      </c>
      <c r="AB1355" s="256">
        <v>-0.45</v>
      </c>
      <c r="AC1355" s="688">
        <f t="shared" si="1169"/>
        <v>-0.45</v>
      </c>
      <c r="AD1355" s="164"/>
      <c r="AE1355" s="164"/>
      <c r="AF1355" s="25"/>
      <c r="AG1355" s="26"/>
      <c r="AH1355" s="275"/>
      <c r="AI1355" s="52"/>
      <c r="AJ1355" s="35"/>
      <c r="AK1355" s="289"/>
      <c r="AL1355" s="290"/>
      <c r="AM1355" s="211"/>
      <c r="AN1355" s="164"/>
      <c r="AO1355" s="594"/>
      <c r="AP1355" s="595"/>
      <c r="AQ1355" s="275"/>
      <c r="AR1355" s="52"/>
      <c r="AS1355" s="596"/>
      <c r="AT1355" s="79"/>
      <c r="AU1355" s="212"/>
      <c r="AV1355" s="164"/>
      <c r="AW1355" s="164"/>
      <c r="AX1355" s="76"/>
      <c r="AY1355" s="44"/>
      <c r="AZ1355" s="275"/>
      <c r="BA1355" s="52"/>
      <c r="BB1355" s="35"/>
      <c r="BC1355" s="79"/>
      <c r="BD1355" s="230"/>
      <c r="BE1355" s="211"/>
      <c r="BF1355" s="164"/>
      <c r="BG1355" s="76"/>
      <c r="BH1355" s="44"/>
      <c r="BI1355" s="275"/>
      <c r="BJ1355" s="52"/>
      <c r="BK1355" s="35"/>
      <c r="BL1355" s="79"/>
      <c r="BM1355" s="230"/>
      <c r="BN1355" s="211"/>
      <c r="BO1355" s="164"/>
      <c r="BP1355" s="726"/>
      <c r="BQ1355" s="727"/>
      <c r="BR1355" s="299"/>
      <c r="BS1355" s="35"/>
      <c r="BT1355" s="596"/>
      <c r="BU1355" s="79"/>
      <c r="BV1355" s="212"/>
      <c r="BW1355" s="304"/>
      <c r="BX1355" s="313"/>
      <c r="BY1355" s="138"/>
    </row>
    <row r="1356" spans="1:77" ht="15" customHeight="1" outlineLevel="1" x14ac:dyDescent="0.2">
      <c r="A1356" s="583" t="s">
        <v>24</v>
      </c>
      <c r="B1356" s="583" t="s">
        <v>477</v>
      </c>
      <c r="C1356" s="162" t="s">
        <v>1950</v>
      </c>
      <c r="D1356" s="818">
        <v>13.08</v>
      </c>
      <c r="E1356" s="162" t="s">
        <v>631</v>
      </c>
      <c r="F1356" s="358"/>
      <c r="G1356" s="65"/>
      <c r="H1356" s="73"/>
      <c r="I1356" s="90"/>
      <c r="J1356" s="73"/>
      <c r="K1356" s="790">
        <v>4.6526999999999999E-2</v>
      </c>
      <c r="L1356" s="717"/>
      <c r="M1356" s="73"/>
      <c r="N1356" s="786"/>
      <c r="O1356" s="1041"/>
      <c r="P1356" s="73"/>
      <c r="Q1356" s="786"/>
      <c r="R1356" s="1041"/>
      <c r="S1356" s="73"/>
      <c r="T1356" s="786"/>
      <c r="U1356" s="73"/>
      <c r="V1356" s="66"/>
      <c r="W1356" s="788">
        <f t="shared" ref="W1356" si="1177">AA1356*(1+AB1356)</f>
        <v>3.3964709999999998E-5</v>
      </c>
      <c r="X1356" s="789">
        <f t="shared" ref="X1356" si="1178">AA1356*(1+AC1356)</f>
        <v>3.3964709999999998E-5</v>
      </c>
      <c r="Y1356" s="52">
        <v>2005</v>
      </c>
      <c r="Z1356" s="52"/>
      <c r="AA1356" s="787">
        <f t="shared" si="1176"/>
        <v>4.6526999999999997E-5</v>
      </c>
      <c r="AB1356" s="256">
        <v>-0.27</v>
      </c>
      <c r="AC1356" s="688">
        <f t="shared" si="1169"/>
        <v>-0.27</v>
      </c>
      <c r="AD1356" s="164"/>
      <c r="AE1356" s="164"/>
      <c r="AF1356" s="25"/>
      <c r="AG1356" s="26"/>
      <c r="AH1356" s="275"/>
      <c r="AI1356" s="52"/>
      <c r="AJ1356" s="35"/>
      <c r="AK1356" s="289"/>
      <c r="AL1356" s="290"/>
      <c r="AM1356" s="211"/>
      <c r="AN1356" s="164"/>
      <c r="AO1356" s="594"/>
      <c r="AP1356" s="595"/>
      <c r="AQ1356" s="275"/>
      <c r="AR1356" s="52"/>
      <c r="AS1356" s="596"/>
      <c r="AT1356" s="79"/>
      <c r="AU1356" s="212"/>
      <c r="AV1356" s="164"/>
      <c r="AW1356" s="164"/>
      <c r="AX1356" s="76"/>
      <c r="AY1356" s="44"/>
      <c r="AZ1356" s="275"/>
      <c r="BA1356" s="52"/>
      <c r="BB1356" s="35"/>
      <c r="BC1356" s="79"/>
      <c r="BD1356" s="230"/>
      <c r="BE1356" s="211"/>
      <c r="BF1356" s="164"/>
      <c r="BG1356" s="76"/>
      <c r="BH1356" s="44"/>
      <c r="BI1356" s="275"/>
      <c r="BJ1356" s="52"/>
      <c r="BK1356" s="35"/>
      <c r="BL1356" s="79"/>
      <c r="BM1356" s="230"/>
      <c r="BN1356" s="211"/>
      <c r="BO1356" s="164"/>
      <c r="BP1356" s="726"/>
      <c r="BQ1356" s="727"/>
      <c r="BR1356" s="299"/>
      <c r="BS1356" s="35"/>
      <c r="BT1356" s="596"/>
      <c r="BU1356" s="79"/>
      <c r="BV1356" s="212"/>
      <c r="BW1356" s="304"/>
      <c r="BX1356" s="313"/>
      <c r="BY1356" s="138"/>
    </row>
    <row r="1357" spans="1:77" ht="15" customHeight="1" outlineLevel="1" x14ac:dyDescent="0.2">
      <c r="A1357" s="57" t="s">
        <v>24</v>
      </c>
      <c r="B1357" s="583" t="s">
        <v>477</v>
      </c>
      <c r="C1357" s="162" t="s">
        <v>1404</v>
      </c>
      <c r="D1357" s="546">
        <v>12</v>
      </c>
      <c r="E1357" s="162" t="s">
        <v>631</v>
      </c>
      <c r="F1357" s="358"/>
      <c r="G1357" s="65"/>
      <c r="H1357" s="73"/>
      <c r="I1357" s="90"/>
      <c r="J1357" s="73"/>
      <c r="K1357" s="813">
        <v>5.9681999999999999E-2</v>
      </c>
      <c r="L1357" s="717"/>
      <c r="M1357" s="73"/>
      <c r="N1357" s="359"/>
      <c r="O1357" s="1041"/>
      <c r="P1357" s="73"/>
      <c r="Q1357" s="359"/>
      <c r="R1357" s="1041"/>
      <c r="S1357" s="73"/>
      <c r="T1357" s="359"/>
      <c r="U1357" s="73"/>
      <c r="V1357" s="66"/>
      <c r="W1357" s="740">
        <f>AA1357*(1+AB1357)</f>
        <v>3.6406019999999998E-5</v>
      </c>
      <c r="X1357" s="741">
        <f>AA1357*(1+AC1357)</f>
        <v>3.6406019999999998E-5</v>
      </c>
      <c r="Y1357" s="52">
        <v>2005</v>
      </c>
      <c r="Z1357" s="52"/>
      <c r="AA1357" s="739">
        <f t="shared" si="1176"/>
        <v>5.9682000000000002E-5</v>
      </c>
      <c r="AB1357" s="256">
        <v>-0.39</v>
      </c>
      <c r="AC1357" s="688">
        <f t="shared" si="1169"/>
        <v>-0.39</v>
      </c>
      <c r="AD1357" s="164"/>
      <c r="AE1357" s="164"/>
      <c r="AF1357" s="25"/>
      <c r="AG1357" s="26"/>
      <c r="AH1357" s="275"/>
      <c r="AI1357" s="52"/>
      <c r="AJ1357" s="35"/>
      <c r="AK1357" s="289"/>
      <c r="AL1357" s="290"/>
      <c r="AM1357" s="211"/>
      <c r="AN1357" s="164"/>
      <c r="AO1357" s="594"/>
      <c r="AP1357" s="595"/>
      <c r="AQ1357" s="275"/>
      <c r="AR1357" s="52"/>
      <c r="AS1357" s="596"/>
      <c r="AT1357" s="79"/>
      <c r="AU1357" s="212"/>
      <c r="AV1357" s="164"/>
      <c r="AW1357" s="164"/>
      <c r="AX1357" s="76"/>
      <c r="AY1357" s="44"/>
      <c r="AZ1357" s="275"/>
      <c r="BA1357" s="52"/>
      <c r="BB1357" s="35"/>
      <c r="BC1357" s="79"/>
      <c r="BD1357" s="230"/>
      <c r="BE1357" s="211"/>
      <c r="BF1357" s="164"/>
      <c r="BG1357" s="76"/>
      <c r="BH1357" s="44"/>
      <c r="BI1357" s="275"/>
      <c r="BJ1357" s="52"/>
      <c r="BK1357" s="35"/>
      <c r="BL1357" s="79"/>
      <c r="BM1357" s="230"/>
      <c r="BN1357" s="211"/>
      <c r="BO1357" s="164"/>
      <c r="BP1357" s="726"/>
      <c r="BQ1357" s="727"/>
      <c r="BR1357" s="299"/>
      <c r="BS1357" s="35"/>
      <c r="BT1357" s="596"/>
      <c r="BU1357" s="79"/>
      <c r="BV1357" s="212"/>
      <c r="BW1357" s="304"/>
      <c r="BX1357" s="313"/>
      <c r="BY1357" s="138"/>
    </row>
    <row r="1358" spans="1:77" ht="15" customHeight="1" outlineLevel="1" x14ac:dyDescent="0.2">
      <c r="A1358" s="583" t="s">
        <v>24</v>
      </c>
      <c r="B1358" s="583" t="s">
        <v>477</v>
      </c>
      <c r="C1358" s="162" t="s">
        <v>1929</v>
      </c>
      <c r="D1358" s="546">
        <v>11.18</v>
      </c>
      <c r="E1358" s="162" t="s">
        <v>631</v>
      </c>
      <c r="F1358" s="358"/>
      <c r="G1358" s="65"/>
      <c r="H1358" s="73"/>
      <c r="I1358" s="90">
        <v>2007</v>
      </c>
      <c r="J1358" s="73"/>
      <c r="K1358" s="813">
        <v>7.0013000000000006E-2</v>
      </c>
      <c r="L1358" s="717"/>
      <c r="M1358" s="73"/>
      <c r="N1358" s="786"/>
      <c r="O1358" s="1041"/>
      <c r="P1358" s="73"/>
      <c r="Q1358" s="786"/>
      <c r="R1358" s="1041"/>
      <c r="S1358" s="73"/>
      <c r="T1358" s="786"/>
      <c r="U1358" s="73"/>
      <c r="V1358" s="66"/>
      <c r="W1358" s="788">
        <f t="shared" ref="W1358" si="1179">AA1358*(1+AB1358)</f>
        <v>5.1109490000000002E-5</v>
      </c>
      <c r="X1358" s="789">
        <f t="shared" ref="X1358" si="1180">AA1358*(1+AC1358)</f>
        <v>5.1109490000000002E-5</v>
      </c>
      <c r="Y1358" s="52">
        <v>2007</v>
      </c>
      <c r="Z1358" s="52"/>
      <c r="AA1358" s="787">
        <f t="shared" si="1176"/>
        <v>7.0013000000000009E-5</v>
      </c>
      <c r="AB1358" s="256">
        <v>-0.27</v>
      </c>
      <c r="AC1358" s="688">
        <f t="shared" si="1169"/>
        <v>-0.27</v>
      </c>
      <c r="AD1358" s="164"/>
      <c r="AE1358" s="164"/>
      <c r="AF1358" s="25"/>
      <c r="AG1358" s="26"/>
      <c r="AH1358" s="275"/>
      <c r="AI1358" s="52"/>
      <c r="AJ1358" s="35"/>
      <c r="AK1358" s="289"/>
      <c r="AL1358" s="290"/>
      <c r="AM1358" s="211"/>
      <c r="AN1358" s="164"/>
      <c r="AO1358" s="594"/>
      <c r="AP1358" s="595"/>
      <c r="AQ1358" s="275"/>
      <c r="AR1358" s="52"/>
      <c r="AS1358" s="596"/>
      <c r="AT1358" s="79"/>
      <c r="AU1358" s="212"/>
      <c r="AV1358" s="164"/>
      <c r="AW1358" s="164"/>
      <c r="AX1358" s="76"/>
      <c r="AY1358" s="44"/>
      <c r="AZ1358" s="275"/>
      <c r="BA1358" s="52"/>
      <c r="BB1358" s="35"/>
      <c r="BC1358" s="79"/>
      <c r="BD1358" s="230"/>
      <c r="BE1358" s="211"/>
      <c r="BF1358" s="164"/>
      <c r="BG1358" s="76"/>
      <c r="BH1358" s="44"/>
      <c r="BI1358" s="275"/>
      <c r="BJ1358" s="52"/>
      <c r="BK1358" s="35"/>
      <c r="BL1358" s="79"/>
      <c r="BM1358" s="230"/>
      <c r="BN1358" s="211"/>
      <c r="BO1358" s="164"/>
      <c r="BP1358" s="726"/>
      <c r="BQ1358" s="727"/>
      <c r="BR1358" s="299"/>
      <c r="BS1358" s="35"/>
      <c r="BT1358" s="596"/>
      <c r="BU1358" s="79"/>
      <c r="BV1358" s="212"/>
      <c r="BW1358" s="304"/>
      <c r="BX1358" s="313"/>
      <c r="BY1358" s="138"/>
    </row>
    <row r="1359" spans="1:77" ht="15" customHeight="1" outlineLevel="1" x14ac:dyDescent="0.2">
      <c r="A1359" s="583" t="s">
        <v>24</v>
      </c>
      <c r="B1359" s="583" t="s">
        <v>477</v>
      </c>
      <c r="C1359" s="162" t="s">
        <v>1901</v>
      </c>
      <c r="D1359" s="546">
        <v>12.789</v>
      </c>
      <c r="E1359" s="162" t="s">
        <v>631</v>
      </c>
      <c r="F1359" s="358"/>
      <c r="G1359" s="65"/>
      <c r="H1359" s="73"/>
      <c r="I1359" s="90">
        <v>2007</v>
      </c>
      <c r="J1359" s="73"/>
      <c r="K1359" s="790">
        <v>8.3931000000000006E-2</v>
      </c>
      <c r="L1359" s="717"/>
      <c r="M1359" s="73"/>
      <c r="N1359" s="359"/>
      <c r="O1359" s="1041"/>
      <c r="P1359" s="73"/>
      <c r="Q1359" s="359"/>
      <c r="R1359" s="1041"/>
      <c r="S1359" s="73"/>
      <c r="T1359" s="359"/>
      <c r="U1359" s="73"/>
      <c r="V1359" s="66"/>
      <c r="W1359" s="740">
        <f>AA1359*(1+AB1359)</f>
        <v>6.1269630000000002E-5</v>
      </c>
      <c r="X1359" s="741">
        <f>AA1359*(1+AC1359)</f>
        <v>6.1269630000000002E-5</v>
      </c>
      <c r="Y1359" s="52">
        <v>2007</v>
      </c>
      <c r="Z1359" s="52"/>
      <c r="AA1359" s="787">
        <f t="shared" si="1176"/>
        <v>8.3931000000000007E-5</v>
      </c>
      <c r="AB1359" s="256">
        <v>-0.27</v>
      </c>
      <c r="AC1359" s="688">
        <f t="shared" si="1169"/>
        <v>-0.27</v>
      </c>
      <c r="AD1359" s="164"/>
      <c r="AE1359" s="164"/>
      <c r="AF1359" s="25"/>
      <c r="AG1359" s="26"/>
      <c r="AH1359" s="275"/>
      <c r="AI1359" s="52"/>
      <c r="AJ1359" s="35"/>
      <c r="AK1359" s="289"/>
      <c r="AL1359" s="290"/>
      <c r="AM1359" s="211"/>
      <c r="AN1359" s="164"/>
      <c r="AO1359" s="594"/>
      <c r="AP1359" s="595"/>
      <c r="AQ1359" s="275"/>
      <c r="AR1359" s="52"/>
      <c r="AS1359" s="596"/>
      <c r="AT1359" s="79"/>
      <c r="AU1359" s="212"/>
      <c r="AV1359" s="164"/>
      <c r="AW1359" s="164"/>
      <c r="AX1359" s="76"/>
      <c r="AY1359" s="44"/>
      <c r="AZ1359" s="275"/>
      <c r="BA1359" s="52"/>
      <c r="BB1359" s="35"/>
      <c r="BC1359" s="79"/>
      <c r="BD1359" s="230"/>
      <c r="BE1359" s="211"/>
      <c r="BF1359" s="164"/>
      <c r="BG1359" s="76"/>
      <c r="BH1359" s="44"/>
      <c r="BI1359" s="275"/>
      <c r="BJ1359" s="52"/>
      <c r="BK1359" s="35"/>
      <c r="BL1359" s="79"/>
      <c r="BM1359" s="230"/>
      <c r="BN1359" s="211"/>
      <c r="BO1359" s="164"/>
      <c r="BP1359" s="726"/>
      <c r="BQ1359" s="727"/>
      <c r="BR1359" s="299"/>
      <c r="BS1359" s="35"/>
      <c r="BT1359" s="596"/>
      <c r="BU1359" s="79"/>
      <c r="BV1359" s="212"/>
      <c r="BW1359" s="304"/>
      <c r="BX1359" s="313"/>
      <c r="BY1359" s="138"/>
    </row>
    <row r="1360" spans="1:77" ht="15" customHeight="1" outlineLevel="1" x14ac:dyDescent="0.2">
      <c r="A1360" s="583" t="s">
        <v>24</v>
      </c>
      <c r="B1360" s="583" t="s">
        <v>477</v>
      </c>
      <c r="C1360" s="162" t="s">
        <v>1900</v>
      </c>
      <c r="D1360" s="546">
        <v>11.093</v>
      </c>
      <c r="E1360" s="162" t="s">
        <v>631</v>
      </c>
      <c r="F1360" s="358"/>
      <c r="G1360" s="65"/>
      <c r="H1360" s="73"/>
      <c r="I1360" s="90">
        <v>2007</v>
      </c>
      <c r="J1360" s="73"/>
      <c r="K1360" s="734">
        <v>7.5303999999999996E-2</v>
      </c>
      <c r="L1360" s="717"/>
      <c r="M1360" s="73"/>
      <c r="N1360" s="359"/>
      <c r="O1360" s="1041"/>
      <c r="P1360" s="73"/>
      <c r="Q1360" s="359"/>
      <c r="R1360" s="1041"/>
      <c r="S1360" s="73"/>
      <c r="T1360" s="359"/>
      <c r="U1360" s="73"/>
      <c r="V1360" s="66"/>
      <c r="W1360" s="740">
        <f>AA1360*(1+AB1360)</f>
        <v>5.5724959999999996E-5</v>
      </c>
      <c r="X1360" s="741">
        <f>AA1360*(1+AC1360)</f>
        <v>5.5724959999999996E-5</v>
      </c>
      <c r="Y1360" s="52">
        <v>2007</v>
      </c>
      <c r="Z1360" s="52"/>
      <c r="AA1360" s="739">
        <f t="shared" si="1176"/>
        <v>7.5303999999999996E-5</v>
      </c>
      <c r="AB1360" s="256">
        <v>-0.26</v>
      </c>
      <c r="AC1360" s="688">
        <f t="shared" si="1169"/>
        <v>-0.26</v>
      </c>
      <c r="AD1360" s="164"/>
      <c r="AE1360" s="164"/>
      <c r="AF1360" s="25"/>
      <c r="AG1360" s="26"/>
      <c r="AH1360" s="275"/>
      <c r="AI1360" s="52"/>
      <c r="AJ1360" s="35"/>
      <c r="AK1360" s="289"/>
      <c r="AL1360" s="290"/>
      <c r="AM1360" s="211"/>
      <c r="AN1360" s="164"/>
      <c r="AO1360" s="594"/>
      <c r="AP1360" s="595"/>
      <c r="AQ1360" s="275"/>
      <c r="AR1360" s="52"/>
      <c r="AS1360" s="596"/>
      <c r="AT1360" s="79"/>
      <c r="AU1360" s="212"/>
      <c r="AV1360" s="164"/>
      <c r="AW1360" s="164"/>
      <c r="AX1360" s="76"/>
      <c r="AY1360" s="44"/>
      <c r="AZ1360" s="275"/>
      <c r="BA1360" s="52"/>
      <c r="BB1360" s="35"/>
      <c r="BC1360" s="79"/>
      <c r="BD1360" s="230"/>
      <c r="BE1360" s="211"/>
      <c r="BF1360" s="164"/>
      <c r="BG1360" s="76"/>
      <c r="BH1360" s="44"/>
      <c r="BI1360" s="275"/>
      <c r="BJ1360" s="52"/>
      <c r="BK1360" s="35"/>
      <c r="BL1360" s="79"/>
      <c r="BM1360" s="230"/>
      <c r="BN1360" s="211"/>
      <c r="BO1360" s="164"/>
      <c r="BP1360" s="726"/>
      <c r="BQ1360" s="727"/>
      <c r="BR1360" s="299"/>
      <c r="BS1360" s="35"/>
      <c r="BT1360" s="596"/>
      <c r="BU1360" s="79"/>
      <c r="BV1360" s="212"/>
      <c r="BW1360" s="304"/>
      <c r="BX1360" s="313"/>
      <c r="BY1360" s="138"/>
    </row>
    <row r="1361" spans="1:77" ht="15" customHeight="1" outlineLevel="1" x14ac:dyDescent="0.2">
      <c r="A1361" s="57" t="s">
        <v>24</v>
      </c>
      <c r="B1361" s="583" t="s">
        <v>477</v>
      </c>
      <c r="C1361" s="162" t="s">
        <v>1275</v>
      </c>
      <c r="D1361" s="546">
        <v>1.625</v>
      </c>
      <c r="E1361" s="162" t="s">
        <v>631</v>
      </c>
      <c r="F1361" s="358"/>
      <c r="G1361" s="65"/>
      <c r="H1361" s="73"/>
      <c r="I1361" s="90">
        <v>2006</v>
      </c>
      <c r="J1361" s="73"/>
      <c r="K1361" s="734">
        <v>1.4862999999999999E-2</v>
      </c>
      <c r="L1361" s="717"/>
      <c r="M1361" s="73"/>
      <c r="N1361" s="359"/>
      <c r="O1361" s="1041"/>
      <c r="P1361" s="73"/>
      <c r="Q1361" s="359"/>
      <c r="R1361" s="1041"/>
      <c r="S1361" s="73"/>
      <c r="T1361" s="359"/>
      <c r="U1361" s="73"/>
      <c r="V1361" s="66"/>
      <c r="W1361" s="788">
        <f>AA1361*(1+AB1361)</f>
        <v>1.0404099999999999E-5</v>
      </c>
      <c r="X1361" s="789">
        <f>AA1361*(1+AC1361)</f>
        <v>1.0404099999999999E-5</v>
      </c>
      <c r="Y1361" s="52">
        <v>2006</v>
      </c>
      <c r="Z1361" s="52"/>
      <c r="AA1361" s="787">
        <f t="shared" si="1176"/>
        <v>1.4863E-5</v>
      </c>
      <c r="AB1361" s="256">
        <v>-0.3</v>
      </c>
      <c r="AC1361" s="688">
        <f t="shared" si="1169"/>
        <v>-0.3</v>
      </c>
      <c r="AD1361" s="164"/>
      <c r="AE1361" s="164"/>
      <c r="AF1361" s="25"/>
      <c r="AG1361" s="26"/>
      <c r="AH1361" s="275"/>
      <c r="AI1361" s="52"/>
      <c r="AJ1361" s="35"/>
      <c r="AK1361" s="289"/>
      <c r="AL1361" s="290"/>
      <c r="AM1361" s="211"/>
      <c r="AN1361" s="164"/>
      <c r="AO1361" s="594"/>
      <c r="AP1361" s="595"/>
      <c r="AQ1361" s="275"/>
      <c r="AR1361" s="52"/>
      <c r="AS1361" s="596"/>
      <c r="AT1361" s="79"/>
      <c r="AU1361" s="212"/>
      <c r="AV1361" s="164"/>
      <c r="AW1361" s="164"/>
      <c r="AX1361" s="76"/>
      <c r="AY1361" s="44"/>
      <c r="AZ1361" s="275"/>
      <c r="BA1361" s="52"/>
      <c r="BB1361" s="35"/>
      <c r="BC1361" s="79"/>
      <c r="BD1361" s="230"/>
      <c r="BE1361" s="211"/>
      <c r="BF1361" s="164"/>
      <c r="BG1361" s="76"/>
      <c r="BH1361" s="44"/>
      <c r="BI1361" s="275"/>
      <c r="BJ1361" s="52"/>
      <c r="BK1361" s="35"/>
      <c r="BL1361" s="79"/>
      <c r="BM1361" s="230"/>
      <c r="BN1361" s="211"/>
      <c r="BO1361" s="164"/>
      <c r="BP1361" s="726"/>
      <c r="BQ1361" s="727"/>
      <c r="BR1361" s="299"/>
      <c r="BS1361" s="35"/>
      <c r="BT1361" s="596"/>
      <c r="BU1361" s="79"/>
      <c r="BV1361" s="212"/>
      <c r="BW1361" s="304"/>
      <c r="BX1361" s="313"/>
      <c r="BY1361" s="138"/>
    </row>
    <row r="1362" spans="1:77" ht="15" customHeight="1" outlineLevel="1" x14ac:dyDescent="0.2">
      <c r="A1362" s="583" t="s">
        <v>24</v>
      </c>
      <c r="B1362" s="583" t="s">
        <v>477</v>
      </c>
      <c r="C1362" s="162" t="s">
        <v>2253</v>
      </c>
      <c r="D1362" s="546">
        <v>12.468999999999999</v>
      </c>
      <c r="E1362" s="162" t="s">
        <v>631</v>
      </c>
      <c r="F1362" s="358"/>
      <c r="G1362" s="65"/>
      <c r="H1362" s="73"/>
      <c r="I1362" s="90"/>
      <c r="J1362" s="73"/>
      <c r="K1362" s="790">
        <v>0.118337</v>
      </c>
      <c r="L1362" s="717"/>
      <c r="M1362" s="73"/>
      <c r="N1362" s="359"/>
      <c r="O1362" s="1041"/>
      <c r="P1362" s="73"/>
      <c r="Q1362" s="359"/>
      <c r="R1362" s="1041"/>
      <c r="S1362" s="73"/>
      <c r="T1362" s="359"/>
      <c r="U1362" s="73"/>
      <c r="V1362" s="66"/>
      <c r="W1362" s="788">
        <f>AA1362*(1+AB1362)</f>
        <v>8.5202639999999992E-5</v>
      </c>
      <c r="X1362" s="789">
        <f>AA1362*(1+AC1362)</f>
        <v>8.5202639999999992E-5</v>
      </c>
      <c r="Y1362" s="52">
        <v>2005</v>
      </c>
      <c r="Z1362" s="52"/>
      <c r="AA1362" s="787">
        <f t="shared" si="1176"/>
        <v>1.18337E-4</v>
      </c>
      <c r="AB1362" s="256">
        <v>-0.28000000000000003</v>
      </c>
      <c r="AC1362" s="688">
        <f t="shared" si="1169"/>
        <v>-0.28000000000000003</v>
      </c>
      <c r="AD1362" s="164"/>
      <c r="AE1362" s="164"/>
      <c r="AF1362" s="25"/>
      <c r="AG1362" s="26"/>
      <c r="AH1362" s="275"/>
      <c r="AI1362" s="52"/>
      <c r="AJ1362" s="35"/>
      <c r="AK1362" s="289"/>
      <c r="AL1362" s="290"/>
      <c r="AM1362" s="211"/>
      <c r="AN1362" s="164"/>
      <c r="AO1362" s="594"/>
      <c r="AP1362" s="595"/>
      <c r="AQ1362" s="275"/>
      <c r="AR1362" s="52"/>
      <c r="AS1362" s="596"/>
      <c r="AT1362" s="79"/>
      <c r="AU1362" s="212"/>
      <c r="AV1362" s="164"/>
      <c r="AW1362" s="164"/>
      <c r="AX1362" s="76"/>
      <c r="AY1362" s="44"/>
      <c r="AZ1362" s="275"/>
      <c r="BA1362" s="52"/>
      <c r="BB1362" s="35"/>
      <c r="BC1362" s="79"/>
      <c r="BD1362" s="230"/>
      <c r="BE1362" s="211"/>
      <c r="BF1362" s="164"/>
      <c r="BG1362" s="76"/>
      <c r="BH1362" s="44"/>
      <c r="BI1362" s="275"/>
      <c r="BJ1362" s="52"/>
      <c r="BK1362" s="35"/>
      <c r="BL1362" s="79"/>
      <c r="BM1362" s="230"/>
      <c r="BN1362" s="211"/>
      <c r="BO1362" s="164"/>
      <c r="BP1362" s="726"/>
      <c r="BQ1362" s="727"/>
      <c r="BR1362" s="299"/>
      <c r="BS1362" s="35"/>
      <c r="BT1362" s="596"/>
      <c r="BU1362" s="79"/>
      <c r="BV1362" s="212"/>
      <c r="BW1362" s="304"/>
      <c r="BX1362" s="313"/>
      <c r="BY1362" s="138"/>
    </row>
    <row r="1363" spans="1:77" ht="15" customHeight="1" outlineLevel="1" x14ac:dyDescent="0.2">
      <c r="A1363" s="583" t="s">
        <v>24</v>
      </c>
      <c r="B1363" s="583" t="s">
        <v>477</v>
      </c>
      <c r="C1363" s="162" t="s">
        <v>1899</v>
      </c>
      <c r="D1363" s="546">
        <v>1.875</v>
      </c>
      <c r="E1363" s="162" t="s">
        <v>631</v>
      </c>
      <c r="F1363" s="358"/>
      <c r="G1363" s="65"/>
      <c r="H1363" s="73"/>
      <c r="I1363" s="90"/>
      <c r="J1363" s="73"/>
      <c r="K1363" s="814"/>
      <c r="L1363" s="717">
        <v>2011</v>
      </c>
      <c r="M1363" s="73"/>
      <c r="N1363" s="359">
        <v>9.6600000000000002E-3</v>
      </c>
      <c r="O1363" s="1041"/>
      <c r="P1363" s="73"/>
      <c r="Q1363" s="359"/>
      <c r="R1363" s="1041"/>
      <c r="S1363" s="73"/>
      <c r="T1363" s="359"/>
      <c r="U1363" s="73"/>
      <c r="V1363" s="66"/>
      <c r="W1363" s="788">
        <f t="shared" ref="W1363" si="1181">AA1363*(1+AB1363)</f>
        <v>7.1484E-6</v>
      </c>
      <c r="X1363" s="789">
        <f t="shared" ref="X1363" si="1182">AA1363*(1+AC1363)</f>
        <v>7.1484E-6</v>
      </c>
      <c r="Y1363" s="52">
        <v>2011</v>
      </c>
      <c r="Z1363" s="52"/>
      <c r="AA1363" s="787">
        <f>+N1363/1000</f>
        <v>9.6600000000000007E-6</v>
      </c>
      <c r="AB1363" s="256">
        <v>-0.26</v>
      </c>
      <c r="AC1363" s="688">
        <f t="shared" si="1169"/>
        <v>-0.26</v>
      </c>
      <c r="AD1363" s="164"/>
      <c r="AE1363" s="164"/>
      <c r="AF1363" s="25"/>
      <c r="AG1363" s="26"/>
      <c r="AH1363" s="275"/>
      <c r="AI1363" s="52"/>
      <c r="AJ1363" s="35"/>
      <c r="AK1363" s="289"/>
      <c r="AL1363" s="290"/>
      <c r="AM1363" s="211"/>
      <c r="AN1363" s="164"/>
      <c r="AO1363" s="594"/>
      <c r="AP1363" s="595"/>
      <c r="AQ1363" s="275"/>
      <c r="AR1363" s="52"/>
      <c r="AS1363" s="596"/>
      <c r="AT1363" s="79"/>
      <c r="AU1363" s="212"/>
      <c r="AV1363" s="164"/>
      <c r="AW1363" s="164"/>
      <c r="AX1363" s="76"/>
      <c r="AY1363" s="44"/>
      <c r="AZ1363" s="275"/>
      <c r="BA1363" s="52"/>
      <c r="BB1363" s="35"/>
      <c r="BC1363" s="79"/>
      <c r="BD1363" s="230"/>
      <c r="BE1363" s="211"/>
      <c r="BF1363" s="164"/>
      <c r="BG1363" s="76"/>
      <c r="BH1363" s="44"/>
      <c r="BI1363" s="275"/>
      <c r="BJ1363" s="52"/>
      <c r="BK1363" s="35"/>
      <c r="BL1363" s="79"/>
      <c r="BM1363" s="230"/>
      <c r="BN1363" s="211"/>
      <c r="BO1363" s="164"/>
      <c r="BP1363" s="726"/>
      <c r="BQ1363" s="727"/>
      <c r="BR1363" s="299"/>
      <c r="BS1363" s="35"/>
      <c r="BT1363" s="596"/>
      <c r="BU1363" s="79"/>
      <c r="BV1363" s="212"/>
      <c r="BW1363" s="304"/>
      <c r="BX1363" s="313"/>
      <c r="BY1363" s="138"/>
    </row>
    <row r="1364" spans="1:77" ht="15" customHeight="1" outlineLevel="1" x14ac:dyDescent="0.2">
      <c r="A1364" s="57" t="s">
        <v>24</v>
      </c>
      <c r="B1364" s="583" t="s">
        <v>477</v>
      </c>
      <c r="C1364" s="162" t="s">
        <v>1278</v>
      </c>
      <c r="D1364" s="546">
        <v>50.673999999999999</v>
      </c>
      <c r="E1364" s="162" t="s">
        <v>631</v>
      </c>
      <c r="F1364" s="358"/>
      <c r="G1364" s="65"/>
      <c r="H1364" s="73"/>
      <c r="I1364" s="90">
        <v>2006</v>
      </c>
      <c r="J1364" s="73"/>
      <c r="K1364" s="734">
        <v>0.13752900000000001</v>
      </c>
      <c r="L1364" s="717"/>
      <c r="M1364" s="73"/>
      <c r="N1364" s="359"/>
      <c r="O1364" s="1041"/>
      <c r="P1364" s="73"/>
      <c r="Q1364" s="359"/>
      <c r="R1364" s="1041"/>
      <c r="S1364" s="73"/>
      <c r="T1364" s="359"/>
      <c r="U1364" s="73"/>
      <c r="V1364" s="66"/>
      <c r="W1364" s="740">
        <f>AA1364*(1+AB1364)</f>
        <v>9.4895009999999993E-5</v>
      </c>
      <c r="X1364" s="741">
        <f>AA1364*(1+AC1364)</f>
        <v>9.4895009999999993E-5</v>
      </c>
      <c r="Y1364" s="52">
        <v>2006</v>
      </c>
      <c r="Z1364" s="52"/>
      <c r="AA1364" s="596">
        <f>+K1364/1000</f>
        <v>1.37529E-4</v>
      </c>
      <c r="AB1364" s="256">
        <v>-0.31</v>
      </c>
      <c r="AC1364" s="688">
        <f t="shared" si="1169"/>
        <v>-0.31</v>
      </c>
      <c r="AD1364" s="164"/>
      <c r="AE1364" s="164"/>
      <c r="AF1364" s="25"/>
      <c r="AG1364" s="26"/>
      <c r="AH1364" s="275"/>
      <c r="AI1364" s="52"/>
      <c r="AJ1364" s="35"/>
      <c r="AK1364" s="289"/>
      <c r="AL1364" s="290"/>
      <c r="AM1364" s="211"/>
      <c r="AN1364" s="164"/>
      <c r="AO1364" s="594"/>
      <c r="AP1364" s="595"/>
      <c r="AQ1364" s="275"/>
      <c r="AR1364" s="52"/>
      <c r="AS1364" s="596"/>
      <c r="AT1364" s="79"/>
      <c r="AU1364" s="212"/>
      <c r="AV1364" s="164"/>
      <c r="AW1364" s="164"/>
      <c r="AX1364" s="76"/>
      <c r="AY1364" s="44"/>
      <c r="AZ1364" s="275"/>
      <c r="BA1364" s="52"/>
      <c r="BB1364" s="35"/>
      <c r="BC1364" s="79"/>
      <c r="BD1364" s="230"/>
      <c r="BE1364" s="211"/>
      <c r="BF1364" s="164"/>
      <c r="BG1364" s="76"/>
      <c r="BH1364" s="44"/>
      <c r="BI1364" s="275"/>
      <c r="BJ1364" s="52"/>
      <c r="BK1364" s="35"/>
      <c r="BL1364" s="79"/>
      <c r="BM1364" s="230"/>
      <c r="BN1364" s="211"/>
      <c r="BO1364" s="164"/>
      <c r="BP1364" s="726"/>
      <c r="BQ1364" s="727"/>
      <c r="BR1364" s="299"/>
      <c r="BS1364" s="35"/>
      <c r="BT1364" s="596"/>
      <c r="BU1364" s="79"/>
      <c r="BV1364" s="212"/>
      <c r="BW1364" s="304"/>
      <c r="BX1364" s="313"/>
      <c r="BY1364" s="138"/>
    </row>
    <row r="1365" spans="1:77" ht="15" customHeight="1" outlineLevel="1" x14ac:dyDescent="0.2">
      <c r="A1365" s="583" t="s">
        <v>24</v>
      </c>
      <c r="B1365" s="583" t="s">
        <v>477</v>
      </c>
      <c r="C1365" s="162" t="s">
        <v>1691</v>
      </c>
      <c r="D1365" s="818">
        <v>2.5529999999999999</v>
      </c>
      <c r="E1365" s="162" t="s">
        <v>631</v>
      </c>
      <c r="F1365" s="358"/>
      <c r="G1365" s="65"/>
      <c r="H1365" s="73"/>
      <c r="I1365" s="90">
        <v>2007</v>
      </c>
      <c r="J1365" s="73"/>
      <c r="K1365" s="790">
        <v>1.5022000000000001E-2</v>
      </c>
      <c r="L1365" s="717"/>
      <c r="M1365" s="73"/>
      <c r="N1365" s="359"/>
      <c r="O1365" s="1041"/>
      <c r="P1365" s="73"/>
      <c r="Q1365" s="359"/>
      <c r="R1365" s="1041"/>
      <c r="S1365" s="73"/>
      <c r="T1365" s="359"/>
      <c r="U1365" s="73"/>
      <c r="V1365" s="66"/>
      <c r="W1365" s="788">
        <f>AA1365*(1+AB1365)</f>
        <v>1.1266500000000001E-5</v>
      </c>
      <c r="X1365" s="789">
        <f>AA1365*(1+AC1365)</f>
        <v>1.1266500000000001E-5</v>
      </c>
      <c r="Y1365" s="52">
        <v>2007</v>
      </c>
      <c r="Z1365" s="52"/>
      <c r="AA1365" s="787">
        <f>+K1365/1000</f>
        <v>1.5022000000000001E-5</v>
      </c>
      <c r="AB1365" s="256">
        <v>-0.25</v>
      </c>
      <c r="AC1365" s="688">
        <f t="shared" si="1169"/>
        <v>-0.25</v>
      </c>
      <c r="AD1365" s="164"/>
      <c r="AE1365" s="164"/>
      <c r="AF1365" s="25"/>
      <c r="AG1365" s="26"/>
      <c r="AH1365" s="275"/>
      <c r="AI1365" s="52"/>
      <c r="AJ1365" s="35"/>
      <c r="AK1365" s="289"/>
      <c r="AL1365" s="290"/>
      <c r="AM1365" s="211"/>
      <c r="AN1365" s="164"/>
      <c r="AO1365" s="594"/>
      <c r="AP1365" s="595"/>
      <c r="AQ1365" s="275"/>
      <c r="AR1365" s="52"/>
      <c r="AS1365" s="596"/>
      <c r="AT1365" s="79"/>
      <c r="AU1365" s="212"/>
      <c r="AV1365" s="164"/>
      <c r="AW1365" s="164"/>
      <c r="AX1365" s="76"/>
      <c r="AY1365" s="44"/>
      <c r="AZ1365" s="275"/>
      <c r="BA1365" s="52"/>
      <c r="BB1365" s="35"/>
      <c r="BC1365" s="79"/>
      <c r="BD1365" s="230"/>
      <c r="BE1365" s="211"/>
      <c r="BF1365" s="164"/>
      <c r="BG1365" s="76"/>
      <c r="BH1365" s="44"/>
      <c r="BI1365" s="275"/>
      <c r="BJ1365" s="52"/>
      <c r="BK1365" s="35"/>
      <c r="BL1365" s="79"/>
      <c r="BM1365" s="230"/>
      <c r="BN1365" s="211"/>
      <c r="BO1365" s="164"/>
      <c r="BP1365" s="726"/>
      <c r="BQ1365" s="727"/>
      <c r="BR1365" s="299"/>
      <c r="BS1365" s="35"/>
      <c r="BT1365" s="596"/>
      <c r="BU1365" s="79"/>
      <c r="BV1365" s="212"/>
      <c r="BW1365" s="304"/>
      <c r="BX1365" s="313"/>
      <c r="BY1365" s="138"/>
    </row>
    <row r="1366" spans="1:77" ht="15" customHeight="1" outlineLevel="1" x14ac:dyDescent="0.2">
      <c r="A1366" s="57" t="s">
        <v>24</v>
      </c>
      <c r="B1366" s="583" t="s">
        <v>477</v>
      </c>
      <c r="C1366" s="162" t="s">
        <v>1281</v>
      </c>
      <c r="D1366" s="546">
        <v>2.0310000000000001</v>
      </c>
      <c r="E1366" s="162" t="s">
        <v>631</v>
      </c>
      <c r="F1366" s="358"/>
      <c r="G1366" s="65"/>
      <c r="H1366" s="73"/>
      <c r="I1366" s="90"/>
      <c r="J1366" s="73"/>
      <c r="K1366" s="734"/>
      <c r="L1366" s="717">
        <v>2008</v>
      </c>
      <c r="M1366" s="73"/>
      <c r="N1366" s="738">
        <v>1.4841E-2</v>
      </c>
      <c r="O1366" s="1041"/>
      <c r="P1366" s="73"/>
      <c r="Q1366" s="738"/>
      <c r="R1366" s="1041"/>
      <c r="S1366" s="73"/>
      <c r="T1366" s="738"/>
      <c r="U1366" s="73"/>
      <c r="V1366" s="66"/>
      <c r="W1366" s="740">
        <f>AA1366*(1+AB1366)</f>
        <v>1.0388699999999999E-5</v>
      </c>
      <c r="X1366" s="741">
        <f>AA1366*(1+AC1366)</f>
        <v>1.0388699999999999E-5</v>
      </c>
      <c r="Y1366" s="52">
        <v>2008</v>
      </c>
      <c r="Z1366" s="52"/>
      <c r="AA1366" s="739">
        <f>+N1366/1000</f>
        <v>1.4841000000000001E-5</v>
      </c>
      <c r="AB1366" s="256">
        <v>-0.3</v>
      </c>
      <c r="AC1366" s="688">
        <f t="shared" si="1169"/>
        <v>-0.3</v>
      </c>
      <c r="AD1366" s="164"/>
      <c r="AE1366" s="164"/>
      <c r="AF1366" s="25"/>
      <c r="AG1366" s="26"/>
      <c r="AH1366" s="275"/>
      <c r="AI1366" s="52"/>
      <c r="AJ1366" s="35"/>
      <c r="AK1366" s="289"/>
      <c r="AL1366" s="290"/>
      <c r="AM1366" s="211"/>
      <c r="AN1366" s="164"/>
      <c r="AO1366" s="594"/>
      <c r="AP1366" s="595"/>
      <c r="AQ1366" s="275"/>
      <c r="AR1366" s="52"/>
      <c r="AS1366" s="596"/>
      <c r="AT1366" s="79"/>
      <c r="AU1366" s="212"/>
      <c r="AV1366" s="164"/>
      <c r="AW1366" s="164"/>
      <c r="AX1366" s="76"/>
      <c r="AY1366" s="44"/>
      <c r="AZ1366" s="275"/>
      <c r="BA1366" s="52"/>
      <c r="BB1366" s="35"/>
      <c r="BC1366" s="79"/>
      <c r="BD1366" s="230"/>
      <c r="BE1366" s="211"/>
      <c r="BF1366" s="164"/>
      <c r="BG1366" s="76"/>
      <c r="BH1366" s="44"/>
      <c r="BI1366" s="275"/>
      <c r="BJ1366" s="52"/>
      <c r="BK1366" s="35"/>
      <c r="BL1366" s="79"/>
      <c r="BM1366" s="230"/>
      <c r="BN1366" s="211"/>
      <c r="BO1366" s="164"/>
      <c r="BP1366" s="726"/>
      <c r="BQ1366" s="727"/>
      <c r="BR1366" s="299"/>
      <c r="BS1366" s="35"/>
      <c r="BT1366" s="596"/>
      <c r="BU1366" s="79"/>
      <c r="BV1366" s="212"/>
      <c r="BW1366" s="304"/>
      <c r="BX1366" s="313"/>
      <c r="BY1366" s="138"/>
    </row>
    <row r="1367" spans="1:77" ht="15" customHeight="1" outlineLevel="1" x14ac:dyDescent="0.2">
      <c r="A1367" s="57" t="s">
        <v>24</v>
      </c>
      <c r="B1367" s="583" t="s">
        <v>477</v>
      </c>
      <c r="C1367" s="162" t="s">
        <v>1320</v>
      </c>
      <c r="D1367" s="546">
        <v>6.9820000000000002</v>
      </c>
      <c r="E1367" s="162" t="s">
        <v>631</v>
      </c>
      <c r="F1367" s="358"/>
      <c r="G1367" s="65"/>
      <c r="H1367" s="73"/>
      <c r="I1367" s="90"/>
      <c r="J1367" s="73"/>
      <c r="K1367" s="734">
        <v>2.9194000000000001E-2</v>
      </c>
      <c r="L1367" s="717"/>
      <c r="M1367" s="73"/>
      <c r="N1367" s="359"/>
      <c r="O1367" s="1041"/>
      <c r="P1367" s="73"/>
      <c r="Q1367" s="359"/>
      <c r="R1367" s="1041"/>
      <c r="S1367" s="73"/>
      <c r="T1367" s="359"/>
      <c r="U1367" s="73"/>
      <c r="V1367" s="66"/>
      <c r="W1367" s="740">
        <f>AA1367*(1+AB1367)</f>
        <v>2.0435800000000002E-5</v>
      </c>
      <c r="X1367" s="741">
        <f>AA1367*(1+AC1367)</f>
        <v>2.0435800000000002E-5</v>
      </c>
      <c r="Y1367" s="52">
        <v>2005</v>
      </c>
      <c r="Z1367" s="52"/>
      <c r="AA1367" s="739">
        <f>+K1367/1000</f>
        <v>2.9194000000000002E-5</v>
      </c>
      <c r="AB1367" s="256">
        <v>-0.3</v>
      </c>
      <c r="AC1367" s="688">
        <f t="shared" si="1169"/>
        <v>-0.3</v>
      </c>
      <c r="AD1367" s="164"/>
      <c r="AE1367" s="164"/>
      <c r="AF1367" s="25"/>
      <c r="AG1367" s="26"/>
      <c r="AH1367" s="275"/>
      <c r="AI1367" s="52"/>
      <c r="AJ1367" s="35"/>
      <c r="AK1367" s="289"/>
      <c r="AL1367" s="290"/>
      <c r="AM1367" s="211"/>
      <c r="AN1367" s="164"/>
      <c r="AO1367" s="594"/>
      <c r="AP1367" s="595"/>
      <c r="AQ1367" s="275"/>
      <c r="AR1367" s="52"/>
      <c r="AS1367" s="596"/>
      <c r="AT1367" s="79"/>
      <c r="AU1367" s="212"/>
      <c r="AV1367" s="164"/>
      <c r="AW1367" s="164"/>
      <c r="AX1367" s="76"/>
      <c r="AY1367" s="44"/>
      <c r="AZ1367" s="275"/>
      <c r="BA1367" s="52"/>
      <c r="BB1367" s="35"/>
      <c r="BC1367" s="79"/>
      <c r="BD1367" s="230"/>
      <c r="BE1367" s="211"/>
      <c r="BF1367" s="164"/>
      <c r="BG1367" s="76"/>
      <c r="BH1367" s="44"/>
      <c r="BI1367" s="275"/>
      <c r="BJ1367" s="52"/>
      <c r="BK1367" s="35"/>
      <c r="BL1367" s="79"/>
      <c r="BM1367" s="230"/>
      <c r="BN1367" s="211"/>
      <c r="BO1367" s="164"/>
      <c r="BP1367" s="726"/>
      <c r="BQ1367" s="727"/>
      <c r="BR1367" s="299"/>
      <c r="BS1367" s="35"/>
      <c r="BT1367" s="596"/>
      <c r="BU1367" s="79"/>
      <c r="BV1367" s="212"/>
      <c r="BW1367" s="304"/>
      <c r="BX1367" s="313"/>
      <c r="BY1367" s="138"/>
    </row>
    <row r="1368" spans="1:77" ht="15" customHeight="1" outlineLevel="1" x14ac:dyDescent="0.2">
      <c r="A1368" s="583" t="s">
        <v>24</v>
      </c>
      <c r="B1368" s="583" t="s">
        <v>477</v>
      </c>
      <c r="C1368" s="162" t="s">
        <v>2071</v>
      </c>
      <c r="D1368" s="546">
        <v>4.3049999999999997</v>
      </c>
      <c r="E1368" s="162" t="s">
        <v>631</v>
      </c>
      <c r="F1368" s="358"/>
      <c r="G1368" s="65"/>
      <c r="H1368" s="73"/>
      <c r="I1368" s="90"/>
      <c r="J1368" s="73"/>
      <c r="K1368" s="734">
        <v>2.3973999999999999E-2</v>
      </c>
      <c r="L1368" s="717"/>
      <c r="M1368" s="73"/>
      <c r="N1368" s="738"/>
      <c r="O1368" s="1041"/>
      <c r="P1368" s="73"/>
      <c r="Q1368" s="738"/>
      <c r="R1368" s="1041"/>
      <c r="S1368" s="73"/>
      <c r="T1368" s="738"/>
      <c r="U1368" s="73"/>
      <c r="V1368" s="66"/>
      <c r="W1368" s="740">
        <f t="shared" ref="W1368" si="1183">AA1368*(1+AB1368)</f>
        <v>1.7021539999999999E-5</v>
      </c>
      <c r="X1368" s="741">
        <f t="shared" ref="X1368" si="1184">AA1368*(1+AC1368)</f>
        <v>1.7021539999999999E-5</v>
      </c>
      <c r="Y1368" s="52">
        <v>2005</v>
      </c>
      <c r="Z1368" s="52"/>
      <c r="AA1368" s="739">
        <f>+K1368/1000</f>
        <v>2.3973999999999998E-5</v>
      </c>
      <c r="AB1368" s="256">
        <v>-0.28999999999999998</v>
      </c>
      <c r="AC1368" s="688">
        <v>-0.28999999999999998</v>
      </c>
      <c r="AD1368" s="164"/>
      <c r="AE1368" s="164"/>
      <c r="AF1368" s="25"/>
      <c r="AG1368" s="26"/>
      <c r="AH1368" s="275"/>
      <c r="AI1368" s="52"/>
      <c r="AJ1368" s="35"/>
      <c r="AK1368" s="289"/>
      <c r="AL1368" s="290"/>
      <c r="AM1368" s="211"/>
      <c r="AN1368" s="164"/>
      <c r="AO1368" s="594"/>
      <c r="AP1368" s="595"/>
      <c r="AQ1368" s="275"/>
      <c r="AR1368" s="52"/>
      <c r="AS1368" s="596"/>
      <c r="AT1368" s="79"/>
      <c r="AU1368" s="212"/>
      <c r="AV1368" s="164"/>
      <c r="AW1368" s="164"/>
      <c r="AX1368" s="76"/>
      <c r="AY1368" s="44"/>
      <c r="AZ1368" s="275"/>
      <c r="BA1368" s="52"/>
      <c r="BB1368" s="35"/>
      <c r="BC1368" s="79"/>
      <c r="BD1368" s="230"/>
      <c r="BE1368" s="211"/>
      <c r="BF1368" s="164"/>
      <c r="BG1368" s="76"/>
      <c r="BH1368" s="44"/>
      <c r="BI1368" s="275"/>
      <c r="BJ1368" s="52"/>
      <c r="BK1368" s="35"/>
      <c r="BL1368" s="79"/>
      <c r="BM1368" s="230"/>
      <c r="BN1368" s="211"/>
      <c r="BO1368" s="164"/>
      <c r="BP1368" s="726"/>
      <c r="BQ1368" s="727"/>
      <c r="BR1368" s="299"/>
      <c r="BS1368" s="35"/>
      <c r="BT1368" s="596"/>
      <c r="BU1368" s="79"/>
      <c r="BV1368" s="212"/>
      <c r="BW1368" s="304"/>
      <c r="BX1368" s="313"/>
      <c r="BY1368" s="138"/>
    </row>
    <row r="1369" spans="1:77" ht="15" customHeight="1" outlineLevel="1" x14ac:dyDescent="0.2">
      <c r="A1369" s="57" t="s">
        <v>24</v>
      </c>
      <c r="B1369" s="583" t="s">
        <v>477</v>
      </c>
      <c r="C1369" s="162" t="s">
        <v>1331</v>
      </c>
      <c r="D1369" s="546">
        <v>1.1619999999999999</v>
      </c>
      <c r="E1369" s="162" t="s">
        <v>631</v>
      </c>
      <c r="F1369" s="358"/>
      <c r="G1369" s="65"/>
      <c r="H1369" s="73"/>
      <c r="I1369" s="90"/>
      <c r="J1369" s="73"/>
      <c r="K1369" s="734"/>
      <c r="L1369" s="717"/>
      <c r="M1369" s="73"/>
      <c r="N1369" s="786">
        <v>3.3040000000000001E-3</v>
      </c>
      <c r="O1369" s="1041"/>
      <c r="P1369" s="73"/>
      <c r="Q1369" s="786"/>
      <c r="R1369" s="1041"/>
      <c r="S1369" s="73"/>
      <c r="T1369" s="786"/>
      <c r="U1369" s="73"/>
      <c r="V1369" s="66"/>
      <c r="W1369" s="788">
        <f>AA1369*(1+AB1369)</f>
        <v>2.0154400000000001E-6</v>
      </c>
      <c r="X1369" s="789">
        <f>AA1369*(1+AC1369)</f>
        <v>2.0154400000000001E-6</v>
      </c>
      <c r="Y1369" s="52">
        <v>2010</v>
      </c>
      <c r="Z1369" s="52"/>
      <c r="AA1369" s="787">
        <f>+N1369/1000</f>
        <v>3.304E-6</v>
      </c>
      <c r="AB1369" s="256">
        <v>-0.39</v>
      </c>
      <c r="AC1369" s="688">
        <f t="shared" ref="AC1369:AC1407" si="1185">AB1369</f>
        <v>-0.39</v>
      </c>
      <c r="AD1369" s="164"/>
      <c r="AE1369" s="164"/>
      <c r="AF1369" s="25"/>
      <c r="AG1369" s="26"/>
      <c r="AH1369" s="275"/>
      <c r="AI1369" s="52"/>
      <c r="AJ1369" s="35"/>
      <c r="AK1369" s="289"/>
      <c r="AL1369" s="290"/>
      <c r="AM1369" s="211"/>
      <c r="AN1369" s="164"/>
      <c r="AO1369" s="594"/>
      <c r="AP1369" s="595"/>
      <c r="AQ1369" s="275"/>
      <c r="AR1369" s="52"/>
      <c r="AS1369" s="596"/>
      <c r="AT1369" s="79"/>
      <c r="AU1369" s="212"/>
      <c r="AV1369" s="164"/>
      <c r="AW1369" s="164"/>
      <c r="AX1369" s="76"/>
      <c r="AY1369" s="44"/>
      <c r="AZ1369" s="275"/>
      <c r="BA1369" s="52"/>
      <c r="BB1369" s="35"/>
      <c r="BC1369" s="79"/>
      <c r="BD1369" s="230"/>
      <c r="BE1369" s="211"/>
      <c r="BF1369" s="164"/>
      <c r="BG1369" s="76"/>
      <c r="BH1369" s="44"/>
      <c r="BI1369" s="275"/>
      <c r="BJ1369" s="52"/>
      <c r="BK1369" s="35"/>
      <c r="BL1369" s="79"/>
      <c r="BM1369" s="230"/>
      <c r="BN1369" s="211"/>
      <c r="BO1369" s="164"/>
      <c r="BP1369" s="726"/>
      <c r="BQ1369" s="727"/>
      <c r="BR1369" s="299"/>
      <c r="BS1369" s="35"/>
      <c r="BT1369" s="596"/>
      <c r="BU1369" s="79"/>
      <c r="BV1369" s="212"/>
      <c r="BW1369" s="304"/>
      <c r="BX1369" s="313"/>
      <c r="BY1369" s="138"/>
    </row>
    <row r="1370" spans="1:77" ht="15" customHeight="1" outlineLevel="1" x14ac:dyDescent="0.2">
      <c r="A1370" s="57" t="s">
        <v>24</v>
      </c>
      <c r="B1370" s="583" t="s">
        <v>477</v>
      </c>
      <c r="C1370" s="162" t="s">
        <v>1329</v>
      </c>
      <c r="D1370" s="546">
        <v>3.012</v>
      </c>
      <c r="E1370" s="162" t="s">
        <v>631</v>
      </c>
      <c r="F1370" s="358"/>
      <c r="G1370" s="65"/>
      <c r="H1370" s="73"/>
      <c r="I1370" s="90"/>
      <c r="J1370" s="73"/>
      <c r="K1370" s="734"/>
      <c r="L1370" s="717"/>
      <c r="M1370" s="73"/>
      <c r="N1370" s="738">
        <v>7.162E-3</v>
      </c>
      <c r="O1370" s="1041"/>
      <c r="P1370" s="73"/>
      <c r="Q1370" s="738"/>
      <c r="R1370" s="1041"/>
      <c r="S1370" s="73"/>
      <c r="T1370" s="738"/>
      <c r="U1370" s="73"/>
      <c r="V1370" s="66"/>
      <c r="W1370" s="788">
        <f>AA1370*(1+AB1370)</f>
        <v>5.0134000000000001E-6</v>
      </c>
      <c r="X1370" s="789">
        <f>AA1370*(1+AC1370)</f>
        <v>5.0134000000000001E-6</v>
      </c>
      <c r="Y1370" s="52">
        <v>2010</v>
      </c>
      <c r="Z1370" s="52"/>
      <c r="AA1370" s="739">
        <f>+N1370/1000</f>
        <v>7.1620000000000002E-6</v>
      </c>
      <c r="AB1370" s="256">
        <v>-0.3</v>
      </c>
      <c r="AC1370" s="688">
        <f t="shared" si="1185"/>
        <v>-0.3</v>
      </c>
      <c r="AD1370" s="164"/>
      <c r="AE1370" s="164"/>
      <c r="AF1370" s="25"/>
      <c r="AG1370" s="26"/>
      <c r="AH1370" s="275"/>
      <c r="AI1370" s="52"/>
      <c r="AJ1370" s="35"/>
      <c r="AK1370" s="289"/>
      <c r="AL1370" s="290"/>
      <c r="AM1370" s="211"/>
      <c r="AN1370" s="164"/>
      <c r="AO1370" s="594"/>
      <c r="AP1370" s="595"/>
      <c r="AQ1370" s="275"/>
      <c r="AR1370" s="52"/>
      <c r="AS1370" s="596"/>
      <c r="AT1370" s="79"/>
      <c r="AU1370" s="212"/>
      <c r="AV1370" s="164"/>
      <c r="AW1370" s="164"/>
      <c r="AX1370" s="76"/>
      <c r="AY1370" s="44"/>
      <c r="AZ1370" s="275"/>
      <c r="BA1370" s="52"/>
      <c r="BB1370" s="35"/>
      <c r="BC1370" s="79"/>
      <c r="BD1370" s="230"/>
      <c r="BE1370" s="211"/>
      <c r="BF1370" s="164"/>
      <c r="BG1370" s="76"/>
      <c r="BH1370" s="44"/>
      <c r="BI1370" s="275"/>
      <c r="BJ1370" s="52"/>
      <c r="BK1370" s="35"/>
      <c r="BL1370" s="79"/>
      <c r="BM1370" s="230"/>
      <c r="BN1370" s="211"/>
      <c r="BO1370" s="164"/>
      <c r="BP1370" s="726"/>
      <c r="BQ1370" s="727"/>
      <c r="BR1370" s="299"/>
      <c r="BS1370" s="35"/>
      <c r="BT1370" s="596"/>
      <c r="BU1370" s="79"/>
      <c r="BV1370" s="212"/>
      <c r="BW1370" s="304"/>
      <c r="BX1370" s="313"/>
      <c r="BY1370" s="138"/>
    </row>
    <row r="1371" spans="1:77" ht="15" customHeight="1" outlineLevel="1" x14ac:dyDescent="0.2">
      <c r="A1371" s="583" t="s">
        <v>24</v>
      </c>
      <c r="B1371" s="583" t="s">
        <v>477</v>
      </c>
      <c r="C1371" s="162" t="s">
        <v>1692</v>
      </c>
      <c r="D1371" s="546">
        <v>5.0270000000000001</v>
      </c>
      <c r="E1371" s="162" t="s">
        <v>631</v>
      </c>
      <c r="F1371" s="358"/>
      <c r="G1371" s="65"/>
      <c r="H1371" s="73"/>
      <c r="I1371" s="90"/>
      <c r="J1371" s="73"/>
      <c r="K1371" s="734"/>
      <c r="L1371" s="717"/>
      <c r="M1371" s="73"/>
      <c r="N1371" s="738">
        <v>1.1601E-2</v>
      </c>
      <c r="O1371" s="1041"/>
      <c r="P1371" s="73"/>
      <c r="Q1371" s="738"/>
      <c r="R1371" s="1041"/>
      <c r="S1371" s="73"/>
      <c r="T1371" s="738"/>
      <c r="U1371" s="73"/>
      <c r="V1371" s="66"/>
      <c r="W1371" s="788">
        <f t="shared" ref="W1371" si="1186">AA1371*(1+AB1371)</f>
        <v>8.7007499999999997E-6</v>
      </c>
      <c r="X1371" s="789">
        <f t="shared" ref="X1371" si="1187">AA1371*(1+AC1371)</f>
        <v>8.7007499999999997E-6</v>
      </c>
      <c r="Y1371" s="52">
        <v>2010</v>
      </c>
      <c r="Z1371" s="52"/>
      <c r="AA1371" s="787">
        <f>+N1371/1000</f>
        <v>1.1601E-5</v>
      </c>
      <c r="AB1371" s="256">
        <v>-0.25</v>
      </c>
      <c r="AC1371" s="688">
        <f t="shared" si="1185"/>
        <v>-0.25</v>
      </c>
      <c r="AD1371" s="164"/>
      <c r="AE1371" s="164"/>
      <c r="AF1371" s="25"/>
      <c r="AG1371" s="26"/>
      <c r="AH1371" s="275"/>
      <c r="AI1371" s="52"/>
      <c r="AJ1371" s="35"/>
      <c r="AK1371" s="289"/>
      <c r="AL1371" s="290"/>
      <c r="AM1371" s="211"/>
      <c r="AN1371" s="164"/>
      <c r="AO1371" s="594"/>
      <c r="AP1371" s="595"/>
      <c r="AQ1371" s="275"/>
      <c r="AR1371" s="52"/>
      <c r="AS1371" s="596"/>
      <c r="AT1371" s="79"/>
      <c r="AU1371" s="212"/>
      <c r="AV1371" s="164"/>
      <c r="AW1371" s="164"/>
      <c r="AX1371" s="76"/>
      <c r="AY1371" s="44"/>
      <c r="AZ1371" s="275"/>
      <c r="BA1371" s="52"/>
      <c r="BB1371" s="35"/>
      <c r="BC1371" s="79"/>
      <c r="BD1371" s="230"/>
      <c r="BE1371" s="211"/>
      <c r="BF1371" s="164"/>
      <c r="BG1371" s="76"/>
      <c r="BH1371" s="44"/>
      <c r="BI1371" s="275"/>
      <c r="BJ1371" s="52"/>
      <c r="BK1371" s="35"/>
      <c r="BL1371" s="79"/>
      <c r="BM1371" s="230"/>
      <c r="BN1371" s="211"/>
      <c r="BO1371" s="164"/>
      <c r="BP1371" s="726"/>
      <c r="BQ1371" s="727"/>
      <c r="BR1371" s="299"/>
      <c r="BS1371" s="35"/>
      <c r="BT1371" s="596"/>
      <c r="BU1371" s="79"/>
      <c r="BV1371" s="212"/>
      <c r="BW1371" s="304"/>
      <c r="BX1371" s="313"/>
      <c r="BY1371" s="138"/>
    </row>
    <row r="1372" spans="1:77" ht="15" customHeight="1" outlineLevel="1" x14ac:dyDescent="0.2">
      <c r="A1372" s="583" t="s">
        <v>24</v>
      </c>
      <c r="B1372" s="583" t="s">
        <v>477</v>
      </c>
      <c r="C1372" s="162" t="s">
        <v>1932</v>
      </c>
      <c r="D1372" s="546">
        <v>4.63</v>
      </c>
      <c r="E1372" s="162" t="s">
        <v>631</v>
      </c>
      <c r="F1372" s="358"/>
      <c r="G1372" s="65"/>
      <c r="H1372" s="73"/>
      <c r="I1372" s="90"/>
      <c r="J1372" s="73"/>
      <c r="K1372" s="734">
        <v>5.1655E-2</v>
      </c>
      <c r="L1372" s="717"/>
      <c r="M1372" s="73"/>
      <c r="N1372" s="811"/>
      <c r="O1372" s="1041"/>
      <c r="P1372" s="73"/>
      <c r="Q1372" s="811"/>
      <c r="R1372" s="1041"/>
      <c r="S1372" s="73"/>
      <c r="T1372" s="811"/>
      <c r="U1372" s="73"/>
      <c r="V1372" s="66"/>
      <c r="W1372" s="788">
        <f t="shared" ref="W1372" si="1188">AA1372*(1+AB1372)</f>
        <v>3.7708149999999996E-5</v>
      </c>
      <c r="X1372" s="789">
        <f t="shared" ref="X1372" si="1189">AA1372*(1+AC1372)</f>
        <v>3.7708149999999996E-5</v>
      </c>
      <c r="Y1372" s="52">
        <v>2005</v>
      </c>
      <c r="Z1372" s="52"/>
      <c r="AA1372" s="807">
        <f>+K1372/1000</f>
        <v>5.1654999999999999E-5</v>
      </c>
      <c r="AB1372" s="256">
        <v>-0.27</v>
      </c>
      <c r="AC1372" s="688">
        <f t="shared" si="1185"/>
        <v>-0.27</v>
      </c>
      <c r="AD1372" s="164"/>
      <c r="AE1372" s="164"/>
      <c r="AF1372" s="25"/>
      <c r="AG1372" s="26"/>
      <c r="AH1372" s="275"/>
      <c r="AI1372" s="52"/>
      <c r="AJ1372" s="35"/>
      <c r="AK1372" s="289"/>
      <c r="AL1372" s="290"/>
      <c r="AM1372" s="211"/>
      <c r="AN1372" s="164"/>
      <c r="AO1372" s="594"/>
      <c r="AP1372" s="595"/>
      <c r="AQ1372" s="275"/>
      <c r="AR1372" s="52"/>
      <c r="AS1372" s="596"/>
      <c r="AT1372" s="79"/>
      <c r="AU1372" s="212"/>
      <c r="AV1372" s="164"/>
      <c r="AW1372" s="164"/>
      <c r="AX1372" s="76"/>
      <c r="AY1372" s="44"/>
      <c r="AZ1372" s="275"/>
      <c r="BA1372" s="52"/>
      <c r="BB1372" s="35"/>
      <c r="BC1372" s="79"/>
      <c r="BD1372" s="230"/>
      <c r="BE1372" s="211"/>
      <c r="BF1372" s="164"/>
      <c r="BG1372" s="76"/>
      <c r="BH1372" s="44"/>
      <c r="BI1372" s="275"/>
      <c r="BJ1372" s="52"/>
      <c r="BK1372" s="35"/>
      <c r="BL1372" s="79"/>
      <c r="BM1372" s="230"/>
      <c r="BN1372" s="211"/>
      <c r="BO1372" s="164"/>
      <c r="BP1372" s="726"/>
      <c r="BQ1372" s="727"/>
      <c r="BR1372" s="299"/>
      <c r="BS1372" s="35"/>
      <c r="BT1372" s="596"/>
      <c r="BU1372" s="79"/>
      <c r="BV1372" s="212"/>
      <c r="BW1372" s="304"/>
      <c r="BX1372" s="313"/>
      <c r="BY1372" s="138"/>
    </row>
    <row r="1373" spans="1:77" ht="15" customHeight="1" outlineLevel="1" x14ac:dyDescent="0.2">
      <c r="A1373" s="583" t="s">
        <v>24</v>
      </c>
      <c r="B1373" s="583" t="s">
        <v>477</v>
      </c>
      <c r="C1373" s="162" t="s">
        <v>1681</v>
      </c>
      <c r="D1373" s="546">
        <v>2.919</v>
      </c>
      <c r="E1373" s="162" t="s">
        <v>631</v>
      </c>
      <c r="F1373" s="358"/>
      <c r="G1373" s="65"/>
      <c r="H1373" s="73"/>
      <c r="I1373" s="90"/>
      <c r="J1373" s="73"/>
      <c r="K1373" s="66"/>
      <c r="L1373" s="717"/>
      <c r="M1373" s="73"/>
      <c r="N1373" s="786">
        <v>1.0919E-2</v>
      </c>
      <c r="O1373" s="1041"/>
      <c r="P1373" s="73"/>
      <c r="Q1373" s="786"/>
      <c r="R1373" s="1041"/>
      <c r="S1373" s="73"/>
      <c r="T1373" s="786"/>
      <c r="U1373" s="73"/>
      <c r="V1373" s="66"/>
      <c r="W1373" s="788">
        <f t="shared" ref="W1373" si="1190">AA1373*(1+AB1373)</f>
        <v>8.1892499999999996E-6</v>
      </c>
      <c r="X1373" s="789">
        <f t="shared" ref="X1373" si="1191">AA1373*(1+AC1373)</f>
        <v>8.1892499999999996E-6</v>
      </c>
      <c r="Y1373" s="52">
        <v>2010</v>
      </c>
      <c r="Z1373" s="52"/>
      <c r="AA1373" s="787">
        <f>+N1373/1000</f>
        <v>1.0919E-5</v>
      </c>
      <c r="AB1373" s="256">
        <v>-0.25</v>
      </c>
      <c r="AC1373" s="688">
        <f t="shared" si="1185"/>
        <v>-0.25</v>
      </c>
      <c r="AD1373" s="164"/>
      <c r="AE1373" s="164"/>
      <c r="AF1373" s="25"/>
      <c r="AG1373" s="26"/>
      <c r="AH1373" s="275"/>
      <c r="AI1373" s="52"/>
      <c r="AJ1373" s="35"/>
      <c r="AK1373" s="289"/>
      <c r="AL1373" s="290"/>
      <c r="AM1373" s="211"/>
      <c r="AN1373" s="164"/>
      <c r="AO1373" s="594"/>
      <c r="AP1373" s="595"/>
      <c r="AQ1373" s="275"/>
      <c r="AR1373" s="52"/>
      <c r="AS1373" s="596"/>
      <c r="AT1373" s="79"/>
      <c r="AU1373" s="212"/>
      <c r="AV1373" s="164"/>
      <c r="AW1373" s="164"/>
      <c r="AX1373" s="76"/>
      <c r="AY1373" s="44"/>
      <c r="AZ1373" s="275"/>
      <c r="BA1373" s="52"/>
      <c r="BB1373" s="35"/>
      <c r="BC1373" s="79"/>
      <c r="BD1373" s="230"/>
      <c r="BE1373" s="211"/>
      <c r="BF1373" s="164"/>
      <c r="BG1373" s="76"/>
      <c r="BH1373" s="44"/>
      <c r="BI1373" s="275"/>
      <c r="BJ1373" s="52"/>
      <c r="BK1373" s="35"/>
      <c r="BL1373" s="79"/>
      <c r="BM1373" s="230"/>
      <c r="BN1373" s="211"/>
      <c r="BO1373" s="164"/>
      <c r="BP1373" s="726"/>
      <c r="BQ1373" s="727"/>
      <c r="BR1373" s="299"/>
      <c r="BS1373" s="35"/>
      <c r="BT1373" s="596"/>
      <c r="BU1373" s="79"/>
      <c r="BV1373" s="212"/>
      <c r="BW1373" s="304"/>
      <c r="BX1373" s="313"/>
      <c r="BY1373" s="138"/>
    </row>
    <row r="1374" spans="1:77" ht="15" customHeight="1" outlineLevel="1" x14ac:dyDescent="0.2">
      <c r="A1374" s="57" t="s">
        <v>24</v>
      </c>
      <c r="B1374" s="583" t="s">
        <v>477</v>
      </c>
      <c r="C1374" s="162" t="s">
        <v>1381</v>
      </c>
      <c r="D1374" s="546">
        <v>7.2089999999999996</v>
      </c>
      <c r="E1374" s="162" t="s">
        <v>631</v>
      </c>
      <c r="F1374" s="358"/>
      <c r="G1374" s="65"/>
      <c r="H1374" s="73"/>
      <c r="I1374" s="90"/>
      <c r="J1374" s="73"/>
      <c r="K1374" s="734"/>
      <c r="L1374" s="717">
        <v>2010</v>
      </c>
      <c r="M1374" s="73"/>
      <c r="N1374" s="738">
        <v>1.7187000000000001E-2</v>
      </c>
      <c r="O1374" s="1041"/>
      <c r="P1374" s="73"/>
      <c r="Q1374" s="738"/>
      <c r="R1374" s="1041"/>
      <c r="S1374" s="73"/>
      <c r="T1374" s="738"/>
      <c r="U1374" s="73"/>
      <c r="V1374" s="66"/>
      <c r="W1374" s="740">
        <f>AA1374*(1+AB1374)</f>
        <v>1.1343419999999999E-5</v>
      </c>
      <c r="X1374" s="741">
        <f>AA1374*(1+AC1374)</f>
        <v>1.1343419999999999E-5</v>
      </c>
      <c r="Y1374" s="52">
        <v>2010</v>
      </c>
      <c r="Z1374" s="52"/>
      <c r="AA1374" s="739">
        <f>+N1374/1000</f>
        <v>1.7187E-5</v>
      </c>
      <c r="AB1374" s="256">
        <v>-0.34</v>
      </c>
      <c r="AC1374" s="688">
        <f t="shared" si="1185"/>
        <v>-0.34</v>
      </c>
      <c r="AD1374" s="164"/>
      <c r="AE1374" s="164"/>
      <c r="AF1374" s="25"/>
      <c r="AG1374" s="26"/>
      <c r="AH1374" s="275"/>
      <c r="AI1374" s="52"/>
      <c r="AJ1374" s="35"/>
      <c r="AK1374" s="289"/>
      <c r="AL1374" s="290"/>
      <c r="AM1374" s="211"/>
      <c r="AN1374" s="164"/>
      <c r="AO1374" s="594"/>
      <c r="AP1374" s="595"/>
      <c r="AQ1374" s="275"/>
      <c r="AR1374" s="52"/>
      <c r="AS1374" s="596"/>
      <c r="AT1374" s="79"/>
      <c r="AU1374" s="212"/>
      <c r="AV1374" s="164"/>
      <c r="AW1374" s="164"/>
      <c r="AX1374" s="76"/>
      <c r="AY1374" s="44"/>
      <c r="AZ1374" s="275"/>
      <c r="BA1374" s="52"/>
      <c r="BB1374" s="35"/>
      <c r="BC1374" s="79"/>
      <c r="BD1374" s="230"/>
      <c r="BE1374" s="211"/>
      <c r="BF1374" s="164"/>
      <c r="BG1374" s="76"/>
      <c r="BH1374" s="44"/>
      <c r="BI1374" s="275"/>
      <c r="BJ1374" s="52"/>
      <c r="BK1374" s="35"/>
      <c r="BL1374" s="79"/>
      <c r="BM1374" s="230"/>
      <c r="BN1374" s="211"/>
      <c r="BO1374" s="164"/>
      <c r="BP1374" s="726"/>
      <c r="BQ1374" s="727"/>
      <c r="BR1374" s="299"/>
      <c r="BS1374" s="35"/>
      <c r="BT1374" s="596"/>
      <c r="BU1374" s="79"/>
      <c r="BV1374" s="212"/>
      <c r="BW1374" s="304"/>
      <c r="BX1374" s="313"/>
      <c r="BY1374" s="138"/>
    </row>
    <row r="1375" spans="1:77" ht="15" customHeight="1" outlineLevel="1" x14ac:dyDescent="0.2">
      <c r="A1375" s="583" t="s">
        <v>24</v>
      </c>
      <c r="B1375" s="583" t="s">
        <v>477</v>
      </c>
      <c r="C1375" s="162" t="s">
        <v>1655</v>
      </c>
      <c r="D1375" s="546">
        <v>3.448</v>
      </c>
      <c r="E1375" s="162" t="s">
        <v>631</v>
      </c>
      <c r="F1375" s="358"/>
      <c r="G1375" s="65"/>
      <c r="H1375" s="73"/>
      <c r="I1375" s="90"/>
      <c r="J1375" s="73"/>
      <c r="K1375" s="734"/>
      <c r="L1375" s="717"/>
      <c r="M1375" s="73"/>
      <c r="N1375" s="738">
        <v>4.1583000000000002E-2</v>
      </c>
      <c r="O1375" s="1041"/>
      <c r="P1375" s="73"/>
      <c r="Q1375" s="738"/>
      <c r="R1375" s="1041"/>
      <c r="S1375" s="73"/>
      <c r="T1375" s="738"/>
      <c r="U1375" s="73"/>
      <c r="V1375" s="66"/>
      <c r="W1375" s="788">
        <f>AA1375*(1+AB1375)</f>
        <v>3.1187250000000002E-5</v>
      </c>
      <c r="X1375" s="789">
        <f t="shared" ref="X1375" si="1192">AA1375*(1+AC1375)</f>
        <v>3.1187250000000002E-5</v>
      </c>
      <c r="Y1375" s="52">
        <v>2010</v>
      </c>
      <c r="Z1375" s="52"/>
      <c r="AA1375" s="787">
        <f>+N1375/1000</f>
        <v>4.1583000000000005E-5</v>
      </c>
      <c r="AB1375" s="256">
        <v>-0.25</v>
      </c>
      <c r="AC1375" s="688">
        <f t="shared" si="1185"/>
        <v>-0.25</v>
      </c>
      <c r="AD1375" s="164"/>
      <c r="AE1375" s="164"/>
      <c r="AF1375" s="25"/>
      <c r="AG1375" s="26"/>
      <c r="AH1375" s="275"/>
      <c r="AI1375" s="52"/>
      <c r="AJ1375" s="35"/>
      <c r="AK1375" s="289"/>
      <c r="AL1375" s="290"/>
      <c r="AM1375" s="211"/>
      <c r="AN1375" s="164"/>
      <c r="AO1375" s="594"/>
      <c r="AP1375" s="595"/>
      <c r="AQ1375" s="275"/>
      <c r="AR1375" s="52"/>
      <c r="AS1375" s="596"/>
      <c r="AT1375" s="79"/>
      <c r="AU1375" s="212"/>
      <c r="AV1375" s="164"/>
      <c r="AW1375" s="164"/>
      <c r="AX1375" s="76"/>
      <c r="AY1375" s="44"/>
      <c r="AZ1375" s="275"/>
      <c r="BA1375" s="52"/>
      <c r="BB1375" s="35"/>
      <c r="BC1375" s="79"/>
      <c r="BD1375" s="230"/>
      <c r="BE1375" s="211"/>
      <c r="BF1375" s="164"/>
      <c r="BG1375" s="76"/>
      <c r="BH1375" s="44"/>
      <c r="BI1375" s="275"/>
      <c r="BJ1375" s="52"/>
      <c r="BK1375" s="35"/>
      <c r="BL1375" s="79"/>
      <c r="BM1375" s="230"/>
      <c r="BN1375" s="211"/>
      <c r="BO1375" s="164"/>
      <c r="BP1375" s="726"/>
      <c r="BQ1375" s="727"/>
      <c r="BR1375" s="299"/>
      <c r="BS1375" s="35"/>
      <c r="BT1375" s="596"/>
      <c r="BU1375" s="79"/>
      <c r="BV1375" s="212"/>
      <c r="BW1375" s="304"/>
      <c r="BX1375" s="313"/>
      <c r="BY1375" s="138"/>
    </row>
    <row r="1376" spans="1:77" ht="15" customHeight="1" outlineLevel="1" x14ac:dyDescent="0.2">
      <c r="A1376" s="583" t="s">
        <v>24</v>
      </c>
      <c r="B1376" s="583" t="s">
        <v>477</v>
      </c>
      <c r="C1376" s="162" t="s">
        <v>1689</v>
      </c>
      <c r="D1376" s="546">
        <v>9.4459999999999997</v>
      </c>
      <c r="E1376" s="162" t="s">
        <v>631</v>
      </c>
      <c r="F1376" s="358"/>
      <c r="G1376" s="65"/>
      <c r="H1376" s="73"/>
      <c r="I1376" s="90"/>
      <c r="J1376" s="73"/>
      <c r="K1376" s="734"/>
      <c r="L1376" s="717">
        <v>2011</v>
      </c>
      <c r="M1376" s="73"/>
      <c r="N1376" s="786">
        <v>4.5444999999999999E-2</v>
      </c>
      <c r="O1376" s="1041"/>
      <c r="P1376" s="73"/>
      <c r="Q1376" s="786"/>
      <c r="R1376" s="1041"/>
      <c r="S1376" s="73"/>
      <c r="T1376" s="786"/>
      <c r="U1376" s="73"/>
      <c r="V1376" s="66"/>
      <c r="W1376" s="740">
        <f t="shared" ref="W1376" si="1193">AA1376*(1+AB1376)</f>
        <v>3.4083749999999997E-5</v>
      </c>
      <c r="X1376" s="741">
        <f t="shared" ref="X1376" si="1194">AA1376*(1+AC1376)</f>
        <v>3.4083749999999997E-5</v>
      </c>
      <c r="Y1376" s="52">
        <v>2011</v>
      </c>
      <c r="Z1376" s="52"/>
      <c r="AA1376" s="739">
        <f>+N1376/1000</f>
        <v>4.5444999999999996E-5</v>
      </c>
      <c r="AB1376" s="256">
        <v>-0.25</v>
      </c>
      <c r="AC1376" s="688">
        <f t="shared" si="1185"/>
        <v>-0.25</v>
      </c>
      <c r="AD1376" s="164"/>
      <c r="AE1376" s="164"/>
      <c r="AF1376" s="25"/>
      <c r="AG1376" s="26"/>
      <c r="AH1376" s="275"/>
      <c r="AI1376" s="52"/>
      <c r="AJ1376" s="35"/>
      <c r="AK1376" s="289"/>
      <c r="AL1376" s="290"/>
      <c r="AM1376" s="211"/>
      <c r="AN1376" s="164"/>
      <c r="AO1376" s="594"/>
      <c r="AP1376" s="595"/>
      <c r="AQ1376" s="275"/>
      <c r="AR1376" s="52"/>
      <c r="AS1376" s="596"/>
      <c r="AT1376" s="79"/>
      <c r="AU1376" s="212"/>
      <c r="AV1376" s="164"/>
      <c r="AW1376" s="164"/>
      <c r="AX1376" s="76"/>
      <c r="AY1376" s="44"/>
      <c r="AZ1376" s="275"/>
      <c r="BA1376" s="52"/>
      <c r="BB1376" s="35"/>
      <c r="BC1376" s="79"/>
      <c r="BD1376" s="230"/>
      <c r="BE1376" s="211"/>
      <c r="BF1376" s="164"/>
      <c r="BG1376" s="76"/>
      <c r="BH1376" s="44"/>
      <c r="BI1376" s="275"/>
      <c r="BJ1376" s="52"/>
      <c r="BK1376" s="35"/>
      <c r="BL1376" s="79"/>
      <c r="BM1376" s="230"/>
      <c r="BN1376" s="211"/>
      <c r="BO1376" s="164"/>
      <c r="BP1376" s="726"/>
      <c r="BQ1376" s="727"/>
      <c r="BR1376" s="299"/>
      <c r="BS1376" s="35"/>
      <c r="BT1376" s="596"/>
      <c r="BU1376" s="79"/>
      <c r="BV1376" s="212"/>
      <c r="BW1376" s="304"/>
      <c r="BX1376" s="313"/>
      <c r="BY1376" s="138"/>
    </row>
    <row r="1377" spans="1:77" ht="15" customHeight="1" outlineLevel="1" x14ac:dyDescent="0.2">
      <c r="A1377" s="583" t="s">
        <v>24</v>
      </c>
      <c r="B1377" s="583" t="s">
        <v>477</v>
      </c>
      <c r="C1377" s="162" t="s">
        <v>1918</v>
      </c>
      <c r="D1377" s="546">
        <v>22.02</v>
      </c>
      <c r="E1377" s="162" t="s">
        <v>631</v>
      </c>
      <c r="F1377" s="358"/>
      <c r="G1377" s="65"/>
      <c r="H1377" s="73"/>
      <c r="I1377" s="90">
        <v>2007</v>
      </c>
      <c r="J1377" s="73"/>
      <c r="K1377" s="734">
        <v>9.1384999999999994E-2</v>
      </c>
      <c r="L1377" s="717"/>
      <c r="M1377" s="73"/>
      <c r="N1377" s="359"/>
      <c r="O1377" s="1041"/>
      <c r="P1377" s="73"/>
      <c r="Q1377" s="359"/>
      <c r="R1377" s="1041"/>
      <c r="S1377" s="73"/>
      <c r="T1377" s="359"/>
      <c r="U1377" s="73"/>
      <c r="V1377" s="66"/>
      <c r="W1377" s="594">
        <f t="shared" ref="W1377" si="1195">AA1377*(1+AB1377)</f>
        <v>6.6711049999999995E-5</v>
      </c>
      <c r="X1377" s="595">
        <f t="shared" ref="X1377" si="1196">AA1377*(1+AC1377)</f>
        <v>6.6711049999999995E-5</v>
      </c>
      <c r="Y1377" s="52">
        <v>2007</v>
      </c>
      <c r="Z1377" s="52"/>
      <c r="AA1377" s="596">
        <f>+K1377/1000</f>
        <v>9.1384999999999993E-5</v>
      </c>
      <c r="AB1377" s="256">
        <v>-0.27</v>
      </c>
      <c r="AC1377" s="688">
        <f t="shared" si="1185"/>
        <v>-0.27</v>
      </c>
      <c r="AD1377" s="164"/>
      <c r="AE1377" s="164"/>
      <c r="AF1377" s="25"/>
      <c r="AG1377" s="26"/>
      <c r="AH1377" s="275"/>
      <c r="AI1377" s="52"/>
      <c r="AJ1377" s="35"/>
      <c r="AK1377" s="289"/>
      <c r="AL1377" s="290"/>
      <c r="AM1377" s="211"/>
      <c r="AN1377" s="164"/>
      <c r="AO1377" s="594"/>
      <c r="AP1377" s="595"/>
      <c r="AQ1377" s="275"/>
      <c r="AR1377" s="52"/>
      <c r="AS1377" s="596"/>
      <c r="AT1377" s="79"/>
      <c r="AU1377" s="212"/>
      <c r="AV1377" s="164"/>
      <c r="AW1377" s="164"/>
      <c r="AX1377" s="76"/>
      <c r="AY1377" s="44"/>
      <c r="AZ1377" s="275"/>
      <c r="BA1377" s="52"/>
      <c r="BB1377" s="35"/>
      <c r="BC1377" s="79"/>
      <c r="BD1377" s="230"/>
      <c r="BE1377" s="211"/>
      <c r="BF1377" s="164"/>
      <c r="BG1377" s="76"/>
      <c r="BH1377" s="44"/>
      <c r="BI1377" s="275"/>
      <c r="BJ1377" s="52"/>
      <c r="BK1377" s="35"/>
      <c r="BL1377" s="79"/>
      <c r="BM1377" s="230"/>
      <c r="BN1377" s="211"/>
      <c r="BO1377" s="164"/>
      <c r="BP1377" s="726"/>
      <c r="BQ1377" s="727"/>
      <c r="BR1377" s="299"/>
      <c r="BS1377" s="35"/>
      <c r="BT1377" s="596"/>
      <c r="BU1377" s="79"/>
      <c r="BV1377" s="212"/>
      <c r="BW1377" s="304"/>
      <c r="BX1377" s="313"/>
      <c r="BY1377" s="138"/>
    </row>
    <row r="1378" spans="1:77" ht="15" customHeight="1" outlineLevel="1" x14ac:dyDescent="0.2">
      <c r="A1378" s="57" t="s">
        <v>24</v>
      </c>
      <c r="B1378" s="583" t="s">
        <v>477</v>
      </c>
      <c r="C1378" s="162" t="s">
        <v>1411</v>
      </c>
      <c r="D1378" s="546">
        <v>1.266</v>
      </c>
      <c r="E1378" s="162" t="s">
        <v>631</v>
      </c>
      <c r="F1378" s="358"/>
      <c r="G1378" s="65"/>
      <c r="H1378" s="73"/>
      <c r="I1378" s="90"/>
      <c r="J1378" s="73"/>
      <c r="K1378" s="814">
        <v>5.8339999999999998E-3</v>
      </c>
      <c r="L1378" s="717"/>
      <c r="M1378" s="73"/>
      <c r="N1378" s="359"/>
      <c r="O1378" s="1041"/>
      <c r="P1378" s="73"/>
      <c r="Q1378" s="359"/>
      <c r="R1378" s="1041"/>
      <c r="S1378" s="73"/>
      <c r="T1378" s="359"/>
      <c r="U1378" s="73"/>
      <c r="V1378" s="66"/>
      <c r="W1378" s="788">
        <f t="shared" ref="W1378:W1383" si="1197">AA1378*(1+AB1378)</f>
        <v>3.850439999999999E-6</v>
      </c>
      <c r="X1378" s="789">
        <f t="shared" ref="X1378:X1383" si="1198">AA1378*(1+AC1378)</f>
        <v>3.850439999999999E-6</v>
      </c>
      <c r="Y1378" s="52">
        <v>2005</v>
      </c>
      <c r="Z1378" s="52"/>
      <c r="AA1378" s="787">
        <f>+K1378/1000</f>
        <v>5.8339999999999995E-6</v>
      </c>
      <c r="AB1378" s="256">
        <v>-0.34</v>
      </c>
      <c r="AC1378" s="688">
        <f t="shared" si="1185"/>
        <v>-0.34</v>
      </c>
      <c r="AD1378" s="164"/>
      <c r="AE1378" s="164"/>
      <c r="AF1378" s="25"/>
      <c r="AG1378" s="26"/>
      <c r="AH1378" s="275"/>
      <c r="AI1378" s="52"/>
      <c r="AJ1378" s="35"/>
      <c r="AK1378" s="289"/>
      <c r="AL1378" s="290"/>
      <c r="AM1378" s="211"/>
      <c r="AN1378" s="164"/>
      <c r="AO1378" s="594"/>
      <c r="AP1378" s="595"/>
      <c r="AQ1378" s="275"/>
      <c r="AR1378" s="52"/>
      <c r="AS1378" s="596"/>
      <c r="AT1378" s="79"/>
      <c r="AU1378" s="212"/>
      <c r="AV1378" s="164"/>
      <c r="AW1378" s="164"/>
      <c r="AX1378" s="76"/>
      <c r="AY1378" s="44"/>
      <c r="AZ1378" s="275"/>
      <c r="BA1378" s="52"/>
      <c r="BB1378" s="35"/>
      <c r="BC1378" s="79"/>
      <c r="BD1378" s="230"/>
      <c r="BE1378" s="211"/>
      <c r="BF1378" s="164"/>
      <c r="BG1378" s="76"/>
      <c r="BH1378" s="44"/>
      <c r="BI1378" s="275"/>
      <c r="BJ1378" s="52"/>
      <c r="BK1378" s="35"/>
      <c r="BL1378" s="79"/>
      <c r="BM1378" s="230"/>
      <c r="BN1378" s="211"/>
      <c r="BO1378" s="164"/>
      <c r="BP1378" s="726"/>
      <c r="BQ1378" s="727"/>
      <c r="BR1378" s="299"/>
      <c r="BS1378" s="35"/>
      <c r="BT1378" s="596"/>
      <c r="BU1378" s="79"/>
      <c r="BV1378" s="212"/>
      <c r="BW1378" s="304"/>
      <c r="BX1378" s="313"/>
      <c r="BY1378" s="138"/>
    </row>
    <row r="1379" spans="1:77" ht="15" customHeight="1" outlineLevel="1" x14ac:dyDescent="0.2">
      <c r="A1379" s="57" t="s">
        <v>24</v>
      </c>
      <c r="B1379" s="583" t="s">
        <v>477</v>
      </c>
      <c r="C1379" s="162" t="s">
        <v>1321</v>
      </c>
      <c r="D1379" s="546">
        <v>4.4969999999999999</v>
      </c>
      <c r="E1379" s="162" t="s">
        <v>631</v>
      </c>
      <c r="F1379" s="358"/>
      <c r="G1379" s="65"/>
      <c r="H1379" s="73"/>
      <c r="I1379" s="90"/>
      <c r="J1379" s="73"/>
      <c r="K1379" s="734"/>
      <c r="L1379" s="717"/>
      <c r="M1379" s="73"/>
      <c r="N1379" s="786">
        <v>7.8799999999999999E-3</v>
      </c>
      <c r="O1379" s="1041"/>
      <c r="P1379" s="73"/>
      <c r="Q1379" s="786"/>
      <c r="R1379" s="1041"/>
      <c r="S1379" s="73"/>
      <c r="T1379" s="786"/>
      <c r="U1379" s="73"/>
      <c r="V1379" s="66"/>
      <c r="W1379" s="788">
        <f t="shared" si="1197"/>
        <v>5.4371999999999994E-6</v>
      </c>
      <c r="X1379" s="789">
        <f t="shared" si="1198"/>
        <v>5.4371999999999994E-6</v>
      </c>
      <c r="Y1379" s="52">
        <v>2010</v>
      </c>
      <c r="Z1379" s="52"/>
      <c r="AA1379" s="787">
        <f>+N1379/1000</f>
        <v>7.8799999999999991E-6</v>
      </c>
      <c r="AB1379" s="256">
        <v>-0.31</v>
      </c>
      <c r="AC1379" s="688">
        <f t="shared" si="1185"/>
        <v>-0.31</v>
      </c>
      <c r="AD1379" s="164"/>
      <c r="AE1379" s="164"/>
      <c r="AF1379" s="25"/>
      <c r="AG1379" s="26"/>
      <c r="AH1379" s="275"/>
      <c r="AI1379" s="52"/>
      <c r="AJ1379" s="35"/>
      <c r="AK1379" s="289"/>
      <c r="AL1379" s="290"/>
      <c r="AM1379" s="211"/>
      <c r="AN1379" s="164"/>
      <c r="AO1379" s="594"/>
      <c r="AP1379" s="595"/>
      <c r="AQ1379" s="275"/>
      <c r="AR1379" s="52"/>
      <c r="AS1379" s="596"/>
      <c r="AT1379" s="79"/>
      <c r="AU1379" s="212"/>
      <c r="AV1379" s="164"/>
      <c r="AW1379" s="164"/>
      <c r="AX1379" s="76"/>
      <c r="AY1379" s="44"/>
      <c r="AZ1379" s="275"/>
      <c r="BA1379" s="52"/>
      <c r="BB1379" s="35"/>
      <c r="BC1379" s="79"/>
      <c r="BD1379" s="230"/>
      <c r="BE1379" s="211"/>
      <c r="BF1379" s="164"/>
      <c r="BG1379" s="76"/>
      <c r="BH1379" s="44"/>
      <c r="BI1379" s="275"/>
      <c r="BJ1379" s="52"/>
      <c r="BK1379" s="35"/>
      <c r="BL1379" s="79"/>
      <c r="BM1379" s="230"/>
      <c r="BN1379" s="211"/>
      <c r="BO1379" s="164"/>
      <c r="BP1379" s="726"/>
      <c r="BQ1379" s="727"/>
      <c r="BR1379" s="299"/>
      <c r="BS1379" s="35"/>
      <c r="BT1379" s="596"/>
      <c r="BU1379" s="79"/>
      <c r="BV1379" s="212"/>
      <c r="BW1379" s="304"/>
      <c r="BX1379" s="313"/>
      <c r="BY1379" s="138"/>
    </row>
    <row r="1380" spans="1:77" ht="15" customHeight="1" outlineLevel="1" x14ac:dyDescent="0.2">
      <c r="A1380" s="57" t="s">
        <v>24</v>
      </c>
      <c r="B1380" s="583" t="s">
        <v>477</v>
      </c>
      <c r="C1380" s="162" t="s">
        <v>1280</v>
      </c>
      <c r="D1380" s="546">
        <v>4.1920000000000002</v>
      </c>
      <c r="E1380" s="162" t="s">
        <v>631</v>
      </c>
      <c r="F1380" s="358"/>
      <c r="G1380" s="65"/>
      <c r="H1380" s="73"/>
      <c r="I1380" s="90"/>
      <c r="J1380" s="73"/>
      <c r="K1380" s="734"/>
      <c r="L1380" s="717">
        <v>2008</v>
      </c>
      <c r="M1380" s="73"/>
      <c r="N1380" s="738">
        <v>1.4871000000000001E-2</v>
      </c>
      <c r="O1380" s="1041"/>
      <c r="P1380" s="73"/>
      <c r="Q1380" s="738"/>
      <c r="R1380" s="1041"/>
      <c r="S1380" s="73"/>
      <c r="T1380" s="738"/>
      <c r="U1380" s="73"/>
      <c r="V1380" s="66"/>
      <c r="W1380" s="740">
        <f t="shared" si="1197"/>
        <v>9.9635699999999985E-6</v>
      </c>
      <c r="X1380" s="741">
        <f t="shared" si="1198"/>
        <v>9.9635699999999985E-6</v>
      </c>
      <c r="Y1380" s="52">
        <v>2008</v>
      </c>
      <c r="Z1380" s="52"/>
      <c r="AA1380" s="739">
        <f>+N1380/1000</f>
        <v>1.4871E-5</v>
      </c>
      <c r="AB1380" s="256">
        <v>-0.33</v>
      </c>
      <c r="AC1380" s="688">
        <f t="shared" si="1185"/>
        <v>-0.33</v>
      </c>
      <c r="AD1380" s="164"/>
      <c r="AE1380" s="164"/>
      <c r="AF1380" s="25"/>
      <c r="AG1380" s="26"/>
      <c r="AH1380" s="275"/>
      <c r="AI1380" s="52"/>
      <c r="AJ1380" s="35"/>
      <c r="AK1380" s="289"/>
      <c r="AL1380" s="290"/>
      <c r="AM1380" s="211"/>
      <c r="AN1380" s="164"/>
      <c r="AO1380" s="594"/>
      <c r="AP1380" s="595"/>
      <c r="AQ1380" s="275"/>
      <c r="AR1380" s="52"/>
      <c r="AS1380" s="596"/>
      <c r="AT1380" s="79"/>
      <c r="AU1380" s="212"/>
      <c r="AV1380" s="164"/>
      <c r="AW1380" s="164"/>
      <c r="AX1380" s="76"/>
      <c r="AY1380" s="44"/>
      <c r="AZ1380" s="275"/>
      <c r="BA1380" s="52"/>
      <c r="BB1380" s="35"/>
      <c r="BC1380" s="79"/>
      <c r="BD1380" s="230"/>
      <c r="BE1380" s="211"/>
      <c r="BF1380" s="164"/>
      <c r="BG1380" s="76"/>
      <c r="BH1380" s="44"/>
      <c r="BI1380" s="275"/>
      <c r="BJ1380" s="52"/>
      <c r="BK1380" s="35"/>
      <c r="BL1380" s="79"/>
      <c r="BM1380" s="230"/>
      <c r="BN1380" s="211"/>
      <c r="BO1380" s="164"/>
      <c r="BP1380" s="726"/>
      <c r="BQ1380" s="727"/>
      <c r="BR1380" s="299"/>
      <c r="BS1380" s="35"/>
      <c r="BT1380" s="596"/>
      <c r="BU1380" s="79"/>
      <c r="BV1380" s="212"/>
      <c r="BW1380" s="304"/>
      <c r="BX1380" s="313"/>
      <c r="BY1380" s="138"/>
    </row>
    <row r="1381" spans="1:77" ht="15" customHeight="1" outlineLevel="1" x14ac:dyDescent="0.2">
      <c r="A1381" s="583" t="s">
        <v>24</v>
      </c>
      <c r="B1381" s="583" t="s">
        <v>477</v>
      </c>
      <c r="C1381" s="162" t="s">
        <v>1695</v>
      </c>
      <c r="D1381" s="546">
        <v>8.1129999999999995</v>
      </c>
      <c r="E1381" s="162" t="s">
        <v>631</v>
      </c>
      <c r="F1381" s="358"/>
      <c r="G1381" s="65"/>
      <c r="H1381" s="73"/>
      <c r="I1381" s="90">
        <v>2007</v>
      </c>
      <c r="J1381" s="73"/>
      <c r="K1381" s="723">
        <v>5.4630999999999999E-2</v>
      </c>
      <c r="L1381" s="717"/>
      <c r="M1381" s="73"/>
      <c r="N1381" s="359"/>
      <c r="O1381" s="1041"/>
      <c r="P1381" s="73"/>
      <c r="Q1381" s="359"/>
      <c r="R1381" s="1041"/>
      <c r="S1381" s="73"/>
      <c r="T1381" s="359"/>
      <c r="U1381" s="73"/>
      <c r="V1381" s="66"/>
      <c r="W1381" s="740">
        <f t="shared" si="1197"/>
        <v>4.0973249999999999E-5</v>
      </c>
      <c r="X1381" s="741">
        <f t="shared" si="1198"/>
        <v>4.0973249999999999E-5</v>
      </c>
      <c r="Y1381" s="52">
        <v>2007</v>
      </c>
      <c r="Z1381" s="52"/>
      <c r="AA1381" s="596">
        <f>+K1381/1000</f>
        <v>5.4630999999999999E-5</v>
      </c>
      <c r="AB1381" s="256">
        <v>-0.25</v>
      </c>
      <c r="AC1381" s="688">
        <f t="shared" si="1185"/>
        <v>-0.25</v>
      </c>
      <c r="AD1381" s="164"/>
      <c r="AE1381" s="164"/>
      <c r="AF1381" s="25"/>
      <c r="AG1381" s="26"/>
      <c r="AH1381" s="275"/>
      <c r="AI1381" s="52"/>
      <c r="AJ1381" s="35"/>
      <c r="AK1381" s="289"/>
      <c r="AL1381" s="290"/>
      <c r="AM1381" s="211"/>
      <c r="AN1381" s="164"/>
      <c r="AO1381" s="594"/>
      <c r="AP1381" s="595"/>
      <c r="AQ1381" s="275"/>
      <c r="AR1381" s="52"/>
      <c r="AS1381" s="596"/>
      <c r="AT1381" s="79"/>
      <c r="AU1381" s="212"/>
      <c r="AV1381" s="164"/>
      <c r="AW1381" s="164"/>
      <c r="AX1381" s="76"/>
      <c r="AY1381" s="44"/>
      <c r="AZ1381" s="275"/>
      <c r="BA1381" s="52"/>
      <c r="BB1381" s="35"/>
      <c r="BC1381" s="79"/>
      <c r="BD1381" s="230"/>
      <c r="BE1381" s="211"/>
      <c r="BF1381" s="164"/>
      <c r="BG1381" s="76"/>
      <c r="BH1381" s="44"/>
      <c r="BI1381" s="275"/>
      <c r="BJ1381" s="52"/>
      <c r="BK1381" s="35"/>
      <c r="BL1381" s="79"/>
      <c r="BM1381" s="230"/>
      <c r="BN1381" s="211"/>
      <c r="BO1381" s="164"/>
      <c r="BP1381" s="726"/>
      <c r="BQ1381" s="727"/>
      <c r="BR1381" s="299"/>
      <c r="BS1381" s="35"/>
      <c r="BT1381" s="596"/>
      <c r="BU1381" s="79"/>
      <c r="BV1381" s="212"/>
      <c r="BW1381" s="304"/>
      <c r="BX1381" s="313"/>
      <c r="BY1381" s="138"/>
    </row>
    <row r="1382" spans="1:77" ht="15" customHeight="1" outlineLevel="1" x14ac:dyDescent="0.2">
      <c r="A1382" s="583" t="s">
        <v>24</v>
      </c>
      <c r="B1382" s="583" t="s">
        <v>477</v>
      </c>
      <c r="C1382" s="162" t="s">
        <v>1837</v>
      </c>
      <c r="D1382" s="546">
        <v>8.5399999999999991</v>
      </c>
      <c r="E1382" s="162" t="s">
        <v>631</v>
      </c>
      <c r="F1382" s="358"/>
      <c r="G1382" s="65"/>
      <c r="H1382" s="73"/>
      <c r="I1382" s="90"/>
      <c r="J1382" s="73"/>
      <c r="K1382" s="723"/>
      <c r="L1382" s="717"/>
      <c r="M1382" s="73"/>
      <c r="N1382" s="786">
        <v>2.2497E-2</v>
      </c>
      <c r="O1382" s="1041"/>
      <c r="P1382" s="73"/>
      <c r="Q1382" s="786"/>
      <c r="R1382" s="1041"/>
      <c r="S1382" s="73"/>
      <c r="T1382" s="786"/>
      <c r="U1382" s="73"/>
      <c r="V1382" s="66"/>
      <c r="W1382" s="740">
        <f t="shared" si="1197"/>
        <v>1.6647779999999999E-5</v>
      </c>
      <c r="X1382" s="741">
        <f t="shared" si="1198"/>
        <v>1.6647779999999999E-5</v>
      </c>
      <c r="Y1382" s="52">
        <v>2010</v>
      </c>
      <c r="Z1382" s="52"/>
      <c r="AA1382" s="739">
        <f>+N1382/1000</f>
        <v>2.2496999999999998E-5</v>
      </c>
      <c r="AB1382" s="256">
        <v>-0.26</v>
      </c>
      <c r="AC1382" s="688">
        <f t="shared" si="1185"/>
        <v>-0.26</v>
      </c>
      <c r="AD1382" s="164"/>
      <c r="AE1382" s="164"/>
      <c r="AF1382" s="25"/>
      <c r="AG1382" s="26"/>
      <c r="AH1382" s="275"/>
      <c r="AI1382" s="52"/>
      <c r="AJ1382" s="35"/>
      <c r="AK1382" s="289"/>
      <c r="AL1382" s="290"/>
      <c r="AM1382" s="211"/>
      <c r="AN1382" s="164"/>
      <c r="AO1382" s="594"/>
      <c r="AP1382" s="595"/>
      <c r="AQ1382" s="275"/>
      <c r="AR1382" s="52"/>
      <c r="AS1382" s="596"/>
      <c r="AT1382" s="79"/>
      <c r="AU1382" s="212"/>
      <c r="AV1382" s="164"/>
      <c r="AW1382" s="164"/>
      <c r="AX1382" s="76"/>
      <c r="AY1382" s="44"/>
      <c r="AZ1382" s="275"/>
      <c r="BA1382" s="52"/>
      <c r="BB1382" s="35"/>
      <c r="BC1382" s="79"/>
      <c r="BD1382" s="230"/>
      <c r="BE1382" s="211"/>
      <c r="BF1382" s="164"/>
      <c r="BG1382" s="76"/>
      <c r="BH1382" s="44"/>
      <c r="BI1382" s="275"/>
      <c r="BJ1382" s="52"/>
      <c r="BK1382" s="35"/>
      <c r="BL1382" s="79"/>
      <c r="BM1382" s="230"/>
      <c r="BN1382" s="211"/>
      <c r="BO1382" s="164"/>
      <c r="BP1382" s="726"/>
      <c r="BQ1382" s="727"/>
      <c r="BR1382" s="299"/>
      <c r="BS1382" s="35"/>
      <c r="BT1382" s="596"/>
      <c r="BU1382" s="79"/>
      <c r="BV1382" s="212"/>
      <c r="BW1382" s="304"/>
      <c r="BX1382" s="313"/>
      <c r="BY1382" s="138"/>
    </row>
    <row r="1383" spans="1:77" ht="15" customHeight="1" outlineLevel="1" x14ac:dyDescent="0.2">
      <c r="A1383" s="583" t="s">
        <v>24</v>
      </c>
      <c r="B1383" s="583" t="s">
        <v>477</v>
      </c>
      <c r="C1383" s="162" t="s">
        <v>1930</v>
      </c>
      <c r="D1383" s="546">
        <v>10.276999999999999</v>
      </c>
      <c r="E1383" s="162" t="s">
        <v>631</v>
      </c>
      <c r="F1383" s="358"/>
      <c r="G1383" s="65"/>
      <c r="H1383" s="73"/>
      <c r="I1383" s="90"/>
      <c r="J1383" s="73"/>
      <c r="K1383" s="813"/>
      <c r="L1383" s="717">
        <v>2008</v>
      </c>
      <c r="M1383" s="73"/>
      <c r="N1383" s="738">
        <v>5.7911999999999998E-2</v>
      </c>
      <c r="O1383" s="1041"/>
      <c r="P1383" s="73"/>
      <c r="Q1383" s="359"/>
      <c r="R1383" s="1041"/>
      <c r="S1383" s="73"/>
      <c r="T1383" s="359"/>
      <c r="U1383" s="73"/>
      <c r="V1383" s="66"/>
      <c r="W1383" s="740">
        <f t="shared" si="1197"/>
        <v>4.2275759999999997E-5</v>
      </c>
      <c r="X1383" s="741">
        <f t="shared" si="1198"/>
        <v>4.2275759999999997E-5</v>
      </c>
      <c r="Y1383" s="52">
        <v>2008</v>
      </c>
      <c r="Z1383" s="52"/>
      <c r="AA1383" s="739">
        <f>+N1383/1000</f>
        <v>5.7911999999999997E-5</v>
      </c>
      <c r="AB1383" s="256">
        <v>-0.27</v>
      </c>
      <c r="AC1383" s="688">
        <f t="shared" si="1185"/>
        <v>-0.27</v>
      </c>
      <c r="AD1383" s="164"/>
      <c r="AE1383" s="164"/>
      <c r="AF1383" s="25"/>
      <c r="AG1383" s="26"/>
      <c r="AH1383" s="275"/>
      <c r="AI1383" s="52"/>
      <c r="AJ1383" s="35"/>
      <c r="AK1383" s="289"/>
      <c r="AL1383" s="290"/>
      <c r="AM1383" s="211"/>
      <c r="AN1383" s="164"/>
      <c r="AO1383" s="594"/>
      <c r="AP1383" s="595"/>
      <c r="AQ1383" s="275"/>
      <c r="AR1383" s="52"/>
      <c r="AS1383" s="596"/>
      <c r="AT1383" s="79"/>
      <c r="AU1383" s="212"/>
      <c r="AV1383" s="164"/>
      <c r="AW1383" s="164"/>
      <c r="AX1383" s="76"/>
      <c r="AY1383" s="44"/>
      <c r="AZ1383" s="275"/>
      <c r="BA1383" s="52"/>
      <c r="BB1383" s="35"/>
      <c r="BC1383" s="79"/>
      <c r="BD1383" s="230"/>
      <c r="BE1383" s="211"/>
      <c r="BF1383" s="164"/>
      <c r="BG1383" s="76"/>
      <c r="BH1383" s="44"/>
      <c r="BI1383" s="275"/>
      <c r="BJ1383" s="52"/>
      <c r="BK1383" s="35"/>
      <c r="BL1383" s="79"/>
      <c r="BM1383" s="230"/>
      <c r="BN1383" s="211"/>
      <c r="BO1383" s="164"/>
      <c r="BP1383" s="726"/>
      <c r="BQ1383" s="727"/>
      <c r="BR1383" s="299"/>
      <c r="BS1383" s="35"/>
      <c r="BT1383" s="596"/>
      <c r="BU1383" s="79"/>
      <c r="BV1383" s="212"/>
      <c r="BW1383" s="304"/>
      <c r="BX1383" s="313"/>
      <c r="BY1383" s="138"/>
    </row>
    <row r="1384" spans="1:77" ht="15" customHeight="1" outlineLevel="1" x14ac:dyDescent="0.2">
      <c r="A1384" s="583" t="s">
        <v>24</v>
      </c>
      <c r="B1384" s="583" t="s">
        <v>477</v>
      </c>
      <c r="C1384" s="162" t="s">
        <v>1975</v>
      </c>
      <c r="D1384" s="546">
        <v>6.9210000000000003</v>
      </c>
      <c r="E1384" s="162" t="s">
        <v>631</v>
      </c>
      <c r="F1384" s="358"/>
      <c r="G1384" s="65"/>
      <c r="H1384" s="73"/>
      <c r="I1384" s="90"/>
      <c r="J1384" s="73"/>
      <c r="K1384" s="813"/>
      <c r="L1384" s="717">
        <v>2012</v>
      </c>
      <c r="M1384" s="73"/>
      <c r="N1384" s="738">
        <v>2.3266999999999999E-2</v>
      </c>
      <c r="O1384" s="1041"/>
      <c r="P1384" s="73"/>
      <c r="Q1384" s="359"/>
      <c r="R1384" s="1041"/>
      <c r="S1384" s="73"/>
      <c r="T1384" s="359"/>
      <c r="U1384" s="73"/>
      <c r="V1384" s="66"/>
      <c r="W1384" s="740">
        <f t="shared" ref="W1384" si="1199">AA1384*(1+AB1384)</f>
        <v>1.6984909999999998E-5</v>
      </c>
      <c r="X1384" s="741">
        <f t="shared" ref="X1384" si="1200">AA1384*(1+AC1384)</f>
        <v>1.6984909999999998E-5</v>
      </c>
      <c r="Y1384" s="52">
        <v>2012</v>
      </c>
      <c r="Z1384" s="52"/>
      <c r="AA1384" s="739">
        <f>+N1384/1000</f>
        <v>2.3266999999999999E-5</v>
      </c>
      <c r="AB1384" s="256">
        <v>-0.27</v>
      </c>
      <c r="AC1384" s="688">
        <f t="shared" si="1185"/>
        <v>-0.27</v>
      </c>
      <c r="AD1384" s="164"/>
      <c r="AE1384" s="164"/>
      <c r="AF1384" s="25"/>
      <c r="AG1384" s="26"/>
      <c r="AH1384" s="275"/>
      <c r="AI1384" s="52"/>
      <c r="AJ1384" s="35"/>
      <c r="AK1384" s="289"/>
      <c r="AL1384" s="290"/>
      <c r="AM1384" s="211"/>
      <c r="AN1384" s="164"/>
      <c r="AO1384" s="594"/>
      <c r="AP1384" s="595"/>
      <c r="AQ1384" s="275"/>
      <c r="AR1384" s="52"/>
      <c r="AS1384" s="596"/>
      <c r="AT1384" s="79"/>
      <c r="AU1384" s="212"/>
      <c r="AV1384" s="164"/>
      <c r="AW1384" s="164"/>
      <c r="AX1384" s="76"/>
      <c r="AY1384" s="44"/>
      <c r="AZ1384" s="275"/>
      <c r="BA1384" s="52"/>
      <c r="BB1384" s="35"/>
      <c r="BC1384" s="79"/>
      <c r="BD1384" s="230"/>
      <c r="BE1384" s="211"/>
      <c r="BF1384" s="164"/>
      <c r="BG1384" s="76"/>
      <c r="BH1384" s="44"/>
      <c r="BI1384" s="275"/>
      <c r="BJ1384" s="52"/>
      <c r="BK1384" s="35"/>
      <c r="BL1384" s="79"/>
      <c r="BM1384" s="230"/>
      <c r="BN1384" s="211"/>
      <c r="BO1384" s="164"/>
      <c r="BP1384" s="726"/>
      <c r="BQ1384" s="727"/>
      <c r="BR1384" s="299"/>
      <c r="BS1384" s="35"/>
      <c r="BT1384" s="596"/>
      <c r="BU1384" s="79"/>
      <c r="BV1384" s="212"/>
      <c r="BW1384" s="304"/>
      <c r="BX1384" s="313"/>
      <c r="BY1384" s="138"/>
    </row>
    <row r="1385" spans="1:77" ht="15" customHeight="1" outlineLevel="1" x14ac:dyDescent="0.2">
      <c r="A1385" s="57" t="s">
        <v>24</v>
      </c>
      <c r="B1385" s="583" t="s">
        <v>477</v>
      </c>
      <c r="C1385" s="162" t="s">
        <v>1326</v>
      </c>
      <c r="D1385" s="546">
        <v>9.3510000000000009</v>
      </c>
      <c r="E1385" s="162" t="s">
        <v>631</v>
      </c>
      <c r="F1385" s="358"/>
      <c r="G1385" s="65"/>
      <c r="H1385" s="73"/>
      <c r="I1385" s="90">
        <v>2007</v>
      </c>
      <c r="J1385" s="73"/>
      <c r="K1385" s="734">
        <v>5.7395000000000002E-2</v>
      </c>
      <c r="L1385" s="717"/>
      <c r="M1385" s="73"/>
      <c r="N1385" s="359"/>
      <c r="O1385" s="1041"/>
      <c r="P1385" s="73"/>
      <c r="Q1385" s="359"/>
      <c r="R1385" s="1041"/>
      <c r="S1385" s="73"/>
      <c r="T1385" s="359"/>
      <c r="U1385" s="73"/>
      <c r="V1385" s="66"/>
      <c r="W1385" s="740">
        <f>AA1385*(1+AB1385)</f>
        <v>3.9602549999999996E-5</v>
      </c>
      <c r="X1385" s="741">
        <f>AA1385*(1+AC1385)</f>
        <v>3.9602549999999996E-5</v>
      </c>
      <c r="Y1385" s="52">
        <v>2007</v>
      </c>
      <c r="Z1385" s="52"/>
      <c r="AA1385" s="739">
        <f>+K1385/1000</f>
        <v>5.7395000000000002E-5</v>
      </c>
      <c r="AB1385" s="256">
        <v>-0.31</v>
      </c>
      <c r="AC1385" s="688">
        <f t="shared" si="1185"/>
        <v>-0.31</v>
      </c>
      <c r="AD1385" s="164"/>
      <c r="AE1385" s="164"/>
      <c r="AF1385" s="25"/>
      <c r="AG1385" s="26"/>
      <c r="AH1385" s="275"/>
      <c r="AI1385" s="52"/>
      <c r="AJ1385" s="35"/>
      <c r="AK1385" s="289"/>
      <c r="AL1385" s="290"/>
      <c r="AM1385" s="211"/>
      <c r="AN1385" s="164"/>
      <c r="AO1385" s="594"/>
      <c r="AP1385" s="595"/>
      <c r="AQ1385" s="275"/>
      <c r="AR1385" s="52"/>
      <c r="AS1385" s="596"/>
      <c r="AT1385" s="79"/>
      <c r="AU1385" s="212"/>
      <c r="AV1385" s="164"/>
      <c r="AW1385" s="164"/>
      <c r="AX1385" s="76"/>
      <c r="AY1385" s="44"/>
      <c r="AZ1385" s="275"/>
      <c r="BA1385" s="52"/>
      <c r="BB1385" s="35"/>
      <c r="BC1385" s="79"/>
      <c r="BD1385" s="230"/>
      <c r="BE1385" s="211"/>
      <c r="BF1385" s="164"/>
      <c r="BG1385" s="76"/>
      <c r="BH1385" s="44"/>
      <c r="BI1385" s="275"/>
      <c r="BJ1385" s="52"/>
      <c r="BK1385" s="35"/>
      <c r="BL1385" s="79"/>
      <c r="BM1385" s="230"/>
      <c r="BN1385" s="211"/>
      <c r="BO1385" s="164"/>
      <c r="BP1385" s="726"/>
      <c r="BQ1385" s="727"/>
      <c r="BR1385" s="299"/>
      <c r="BS1385" s="35"/>
      <c r="BT1385" s="596"/>
      <c r="BU1385" s="79"/>
      <c r="BV1385" s="212"/>
      <c r="BW1385" s="304"/>
      <c r="BX1385" s="313"/>
      <c r="BY1385" s="138"/>
    </row>
    <row r="1386" spans="1:77" ht="15" customHeight="1" outlineLevel="1" x14ac:dyDescent="0.2">
      <c r="A1386" s="57" t="s">
        <v>24</v>
      </c>
      <c r="B1386" s="583" t="s">
        <v>477</v>
      </c>
      <c r="C1386" s="162" t="s">
        <v>1566</v>
      </c>
      <c r="D1386" s="546">
        <v>2.2440000000000002</v>
      </c>
      <c r="E1386" s="162" t="s">
        <v>631</v>
      </c>
      <c r="F1386" s="358"/>
      <c r="G1386" s="65"/>
      <c r="H1386" s="73"/>
      <c r="I1386" s="90">
        <v>2007</v>
      </c>
      <c r="J1386" s="73"/>
      <c r="K1386" s="734">
        <v>1.0024999999999999E-2</v>
      </c>
      <c r="L1386" s="717"/>
      <c r="M1386" s="73"/>
      <c r="N1386" s="359"/>
      <c r="O1386" s="1041"/>
      <c r="P1386" s="73"/>
      <c r="Q1386" s="359"/>
      <c r="R1386" s="1041"/>
      <c r="S1386" s="73"/>
      <c r="T1386" s="359"/>
      <c r="U1386" s="73"/>
      <c r="V1386" s="66"/>
      <c r="W1386" s="740">
        <f>AA1386*(1+AB1386)</f>
        <v>6.9172499999999989E-6</v>
      </c>
      <c r="X1386" s="741">
        <f>AA1386*(1+AC1386)</f>
        <v>6.9172499999999989E-6</v>
      </c>
      <c r="Y1386" s="52">
        <v>2007</v>
      </c>
      <c r="Z1386" s="52"/>
      <c r="AA1386" s="739">
        <f>+K1386/1000</f>
        <v>1.0025E-5</v>
      </c>
      <c r="AB1386" s="256">
        <v>-0.31</v>
      </c>
      <c r="AC1386" s="688">
        <f t="shared" si="1185"/>
        <v>-0.31</v>
      </c>
      <c r="AD1386" s="164"/>
      <c r="AE1386" s="164"/>
      <c r="AF1386" s="25"/>
      <c r="AG1386" s="26"/>
      <c r="AH1386" s="275"/>
      <c r="AI1386" s="52"/>
      <c r="AJ1386" s="35"/>
      <c r="AK1386" s="289"/>
      <c r="AL1386" s="290"/>
      <c r="AM1386" s="211"/>
      <c r="AN1386" s="164"/>
      <c r="AO1386" s="594"/>
      <c r="AP1386" s="595"/>
      <c r="AQ1386" s="275"/>
      <c r="AR1386" s="52"/>
      <c r="AS1386" s="596"/>
      <c r="AT1386" s="79"/>
      <c r="AU1386" s="212"/>
      <c r="AV1386" s="164"/>
      <c r="AW1386" s="164"/>
      <c r="AX1386" s="76"/>
      <c r="AY1386" s="44"/>
      <c r="AZ1386" s="275"/>
      <c r="BA1386" s="52"/>
      <c r="BB1386" s="35"/>
      <c r="BC1386" s="79"/>
      <c r="BD1386" s="230"/>
      <c r="BE1386" s="211"/>
      <c r="BF1386" s="164"/>
      <c r="BG1386" s="76"/>
      <c r="BH1386" s="44"/>
      <c r="BI1386" s="275"/>
      <c r="BJ1386" s="52"/>
      <c r="BK1386" s="35"/>
      <c r="BL1386" s="79"/>
      <c r="BM1386" s="230"/>
      <c r="BN1386" s="211"/>
      <c r="BO1386" s="164"/>
      <c r="BP1386" s="726"/>
      <c r="BQ1386" s="727"/>
      <c r="BR1386" s="299"/>
      <c r="BS1386" s="35"/>
      <c r="BT1386" s="596"/>
      <c r="BU1386" s="79"/>
      <c r="BV1386" s="212"/>
      <c r="BW1386" s="304"/>
      <c r="BX1386" s="313"/>
      <c r="BY1386" s="138"/>
    </row>
    <row r="1387" spans="1:77" ht="15" customHeight="1" outlineLevel="1" x14ac:dyDescent="0.2">
      <c r="A1387" s="57" t="s">
        <v>24</v>
      </c>
      <c r="B1387" s="583" t="s">
        <v>477</v>
      </c>
      <c r="C1387" s="162" t="s">
        <v>1382</v>
      </c>
      <c r="D1387" s="546">
        <v>2.133</v>
      </c>
      <c r="E1387" s="162" t="s">
        <v>631</v>
      </c>
      <c r="F1387" s="358"/>
      <c r="G1387" s="65"/>
      <c r="H1387" s="73"/>
      <c r="I1387" s="90"/>
      <c r="J1387" s="73"/>
      <c r="K1387" s="734">
        <v>1.2873000000000001E-2</v>
      </c>
      <c r="L1387" s="717"/>
      <c r="M1387" s="73"/>
      <c r="N1387" s="359"/>
      <c r="O1387" s="1041"/>
      <c r="P1387" s="73"/>
      <c r="Q1387" s="359"/>
      <c r="R1387" s="1041"/>
      <c r="S1387" s="73"/>
      <c r="T1387" s="359"/>
      <c r="U1387" s="73"/>
      <c r="V1387" s="66"/>
      <c r="W1387" s="740">
        <f>AA1387*(1+AB1387)</f>
        <v>5.2779300000000003E-6</v>
      </c>
      <c r="X1387" s="741">
        <f>AA1387*(1+AC1387)</f>
        <v>5.2779300000000003E-6</v>
      </c>
      <c r="Y1387" s="52">
        <v>2005</v>
      </c>
      <c r="Z1387" s="52"/>
      <c r="AA1387" s="739">
        <f>+K1387/1000</f>
        <v>1.2873E-5</v>
      </c>
      <c r="AB1387" s="256">
        <v>-0.59</v>
      </c>
      <c r="AC1387" s="688">
        <f t="shared" si="1185"/>
        <v>-0.59</v>
      </c>
      <c r="AD1387" s="164"/>
      <c r="AE1387" s="164"/>
      <c r="AF1387" s="25"/>
      <c r="AG1387" s="26"/>
      <c r="AH1387" s="275"/>
      <c r="AI1387" s="52"/>
      <c r="AJ1387" s="35"/>
      <c r="AK1387" s="289"/>
      <c r="AL1387" s="290"/>
      <c r="AM1387" s="211"/>
      <c r="AN1387" s="164"/>
      <c r="AO1387" s="594"/>
      <c r="AP1387" s="595"/>
      <c r="AQ1387" s="275"/>
      <c r="AR1387" s="52"/>
      <c r="AS1387" s="596"/>
      <c r="AT1387" s="79"/>
      <c r="AU1387" s="212"/>
      <c r="AV1387" s="164"/>
      <c r="AW1387" s="164"/>
      <c r="AX1387" s="76"/>
      <c r="AY1387" s="44"/>
      <c r="AZ1387" s="275"/>
      <c r="BA1387" s="52"/>
      <c r="BB1387" s="35"/>
      <c r="BC1387" s="79"/>
      <c r="BD1387" s="230"/>
      <c r="BE1387" s="211"/>
      <c r="BF1387" s="164"/>
      <c r="BG1387" s="76"/>
      <c r="BH1387" s="44"/>
      <c r="BI1387" s="275"/>
      <c r="BJ1387" s="52"/>
      <c r="BK1387" s="35"/>
      <c r="BL1387" s="79"/>
      <c r="BM1387" s="230"/>
      <c r="BN1387" s="211"/>
      <c r="BO1387" s="164"/>
      <c r="BP1387" s="726"/>
      <c r="BQ1387" s="727"/>
      <c r="BR1387" s="299"/>
      <c r="BS1387" s="35"/>
      <c r="BT1387" s="596"/>
      <c r="BU1387" s="79"/>
      <c r="BV1387" s="212"/>
      <c r="BW1387" s="304"/>
      <c r="BX1387" s="313"/>
      <c r="BY1387" s="138"/>
    </row>
    <row r="1388" spans="1:77" ht="15" customHeight="1" outlineLevel="1" x14ac:dyDescent="0.2">
      <c r="A1388" s="583" t="s">
        <v>24</v>
      </c>
      <c r="B1388" s="583" t="s">
        <v>477</v>
      </c>
      <c r="C1388" s="162" t="s">
        <v>1682</v>
      </c>
      <c r="D1388" s="818">
        <v>6.2210000000000001</v>
      </c>
      <c r="E1388" s="162" t="s">
        <v>631</v>
      </c>
      <c r="F1388" s="358"/>
      <c r="G1388" s="65"/>
      <c r="H1388" s="73"/>
      <c r="I1388" s="90"/>
      <c r="J1388" s="73"/>
      <c r="K1388" s="734"/>
      <c r="L1388" s="717">
        <v>2011</v>
      </c>
      <c r="M1388" s="73"/>
      <c r="N1388" s="738">
        <v>2.1158E-2</v>
      </c>
      <c r="O1388" s="1041"/>
      <c r="P1388" s="73"/>
      <c r="Q1388" s="738"/>
      <c r="R1388" s="1041"/>
      <c r="S1388" s="73"/>
      <c r="T1388" s="738"/>
      <c r="U1388" s="73"/>
      <c r="V1388" s="66"/>
      <c r="W1388" s="788">
        <f t="shared" ref="W1388" si="1201">AA1388*(1+AB1388)</f>
        <v>1.5868499999999999E-5</v>
      </c>
      <c r="X1388" s="789">
        <f t="shared" ref="X1388" si="1202">AA1388*(1+AC1388)</f>
        <v>1.5868499999999999E-5</v>
      </c>
      <c r="Y1388" s="52">
        <v>2011</v>
      </c>
      <c r="Z1388" s="52"/>
      <c r="AA1388" s="787">
        <f>+N1388/1000</f>
        <v>2.1158E-5</v>
      </c>
      <c r="AB1388" s="256">
        <v>-0.25</v>
      </c>
      <c r="AC1388" s="688">
        <f t="shared" si="1185"/>
        <v>-0.25</v>
      </c>
      <c r="AD1388" s="164"/>
      <c r="AE1388" s="164"/>
      <c r="AF1388" s="25"/>
      <c r="AG1388" s="26"/>
      <c r="AH1388" s="275"/>
      <c r="AI1388" s="52"/>
      <c r="AJ1388" s="35"/>
      <c r="AK1388" s="289"/>
      <c r="AL1388" s="290"/>
      <c r="AM1388" s="211"/>
      <c r="AN1388" s="164"/>
      <c r="AO1388" s="594"/>
      <c r="AP1388" s="595"/>
      <c r="AQ1388" s="275"/>
      <c r="AR1388" s="52"/>
      <c r="AS1388" s="596"/>
      <c r="AT1388" s="79"/>
      <c r="AU1388" s="212"/>
      <c r="AV1388" s="164"/>
      <c r="AW1388" s="164"/>
      <c r="AX1388" s="76"/>
      <c r="AY1388" s="44"/>
      <c r="AZ1388" s="275"/>
      <c r="BA1388" s="52"/>
      <c r="BB1388" s="35"/>
      <c r="BC1388" s="79"/>
      <c r="BD1388" s="230"/>
      <c r="BE1388" s="211"/>
      <c r="BF1388" s="164"/>
      <c r="BG1388" s="76"/>
      <c r="BH1388" s="44"/>
      <c r="BI1388" s="275"/>
      <c r="BJ1388" s="52"/>
      <c r="BK1388" s="35"/>
      <c r="BL1388" s="79"/>
      <c r="BM1388" s="230"/>
      <c r="BN1388" s="211"/>
      <c r="BO1388" s="164"/>
      <c r="BP1388" s="726"/>
      <c r="BQ1388" s="727"/>
      <c r="BR1388" s="299"/>
      <c r="BS1388" s="35"/>
      <c r="BT1388" s="596"/>
      <c r="BU1388" s="79"/>
      <c r="BV1388" s="212"/>
      <c r="BW1388" s="304"/>
      <c r="BX1388" s="313"/>
      <c r="BY1388" s="138"/>
    </row>
    <row r="1389" spans="1:77" ht="15" customHeight="1" outlineLevel="1" x14ac:dyDescent="0.2">
      <c r="A1389" s="583" t="s">
        <v>24</v>
      </c>
      <c r="B1389" s="583" t="s">
        <v>477</v>
      </c>
      <c r="C1389" s="162" t="s">
        <v>1898</v>
      </c>
      <c r="D1389" s="546">
        <v>1.552</v>
      </c>
      <c r="E1389" s="162" t="s">
        <v>631</v>
      </c>
      <c r="F1389" s="358"/>
      <c r="G1389" s="65"/>
      <c r="H1389" s="73"/>
      <c r="I1389" s="90"/>
      <c r="J1389" s="73"/>
      <c r="K1389" s="734">
        <v>1.6907999999999999E-2</v>
      </c>
      <c r="L1389" s="717"/>
      <c r="M1389" s="73"/>
      <c r="N1389" s="359"/>
      <c r="O1389" s="1041"/>
      <c r="P1389" s="73"/>
      <c r="Q1389" s="359"/>
      <c r="R1389" s="1041"/>
      <c r="S1389" s="73"/>
      <c r="T1389" s="359"/>
      <c r="U1389" s="73"/>
      <c r="V1389" s="66"/>
      <c r="W1389" s="740">
        <f>AA1389*(1+AB1389)</f>
        <v>1.2511919999999998E-5</v>
      </c>
      <c r="X1389" s="741">
        <f>AA1389*(1+AC1389)</f>
        <v>1.2511919999999998E-5</v>
      </c>
      <c r="Y1389" s="52">
        <v>2005</v>
      </c>
      <c r="Z1389" s="52"/>
      <c r="AA1389" s="739">
        <f>+K1389/1000</f>
        <v>1.6907999999999998E-5</v>
      </c>
      <c r="AB1389" s="256">
        <v>-0.26</v>
      </c>
      <c r="AC1389" s="688">
        <f t="shared" si="1185"/>
        <v>-0.26</v>
      </c>
      <c r="AD1389" s="164"/>
      <c r="AE1389" s="164"/>
      <c r="AF1389" s="25"/>
      <c r="AG1389" s="26"/>
      <c r="AH1389" s="275"/>
      <c r="AI1389" s="52"/>
      <c r="AJ1389" s="35"/>
      <c r="AK1389" s="289"/>
      <c r="AL1389" s="290"/>
      <c r="AM1389" s="211"/>
      <c r="AN1389" s="164"/>
      <c r="AO1389" s="594"/>
      <c r="AP1389" s="595"/>
      <c r="AQ1389" s="275"/>
      <c r="AR1389" s="52"/>
      <c r="AS1389" s="596"/>
      <c r="AT1389" s="79"/>
      <c r="AU1389" s="212"/>
      <c r="AV1389" s="164"/>
      <c r="AW1389" s="164"/>
      <c r="AX1389" s="76"/>
      <c r="AY1389" s="44"/>
      <c r="AZ1389" s="275"/>
      <c r="BA1389" s="52"/>
      <c r="BB1389" s="35"/>
      <c r="BC1389" s="79"/>
      <c r="BD1389" s="230"/>
      <c r="BE1389" s="211"/>
      <c r="BF1389" s="164"/>
      <c r="BG1389" s="76"/>
      <c r="BH1389" s="44"/>
      <c r="BI1389" s="275"/>
      <c r="BJ1389" s="52"/>
      <c r="BK1389" s="35"/>
      <c r="BL1389" s="79"/>
      <c r="BM1389" s="230"/>
      <c r="BN1389" s="211"/>
      <c r="BO1389" s="164"/>
      <c r="BP1389" s="726"/>
      <c r="BQ1389" s="727"/>
      <c r="BR1389" s="299"/>
      <c r="BS1389" s="35"/>
      <c r="BT1389" s="596"/>
      <c r="BU1389" s="79"/>
      <c r="BV1389" s="212"/>
      <c r="BW1389" s="304"/>
      <c r="BX1389" s="313"/>
      <c r="BY1389" s="138"/>
    </row>
    <row r="1390" spans="1:77" ht="15" customHeight="1" outlineLevel="1" x14ac:dyDescent="0.2">
      <c r="A1390" s="57" t="s">
        <v>24</v>
      </c>
      <c r="B1390" s="583" t="s">
        <v>477</v>
      </c>
      <c r="C1390" s="162" t="s">
        <v>1269</v>
      </c>
      <c r="D1390" s="546">
        <v>1.1679999999999999</v>
      </c>
      <c r="E1390" s="162" t="s">
        <v>631</v>
      </c>
      <c r="F1390" s="358"/>
      <c r="G1390" s="65"/>
      <c r="H1390" s="73"/>
      <c r="I1390" s="90"/>
      <c r="J1390" s="73"/>
      <c r="K1390" s="734"/>
      <c r="L1390" s="717">
        <v>2008</v>
      </c>
      <c r="M1390" s="73"/>
      <c r="N1390" s="738">
        <v>1.3802E-2</v>
      </c>
      <c r="O1390" s="1041"/>
      <c r="P1390" s="73"/>
      <c r="Q1390" s="738"/>
      <c r="R1390" s="1041"/>
      <c r="S1390" s="73"/>
      <c r="T1390" s="738"/>
      <c r="U1390" s="73"/>
      <c r="V1390" s="66"/>
      <c r="W1390" s="740">
        <f>AA1390*(1+AB1390)</f>
        <v>9.5233799999999996E-6</v>
      </c>
      <c r="X1390" s="741">
        <f>AA1390*(1+AC1390)</f>
        <v>9.5233799999999996E-6</v>
      </c>
      <c r="Y1390" s="52">
        <v>2008</v>
      </c>
      <c r="Z1390" s="52"/>
      <c r="AA1390" s="739">
        <f>+N1390/1000</f>
        <v>1.3801999999999999E-5</v>
      </c>
      <c r="AB1390" s="256">
        <v>-0.31</v>
      </c>
      <c r="AC1390" s="688">
        <f t="shared" si="1185"/>
        <v>-0.31</v>
      </c>
      <c r="AD1390" s="164"/>
      <c r="AE1390" s="164"/>
      <c r="AF1390" s="25"/>
      <c r="AG1390" s="26"/>
      <c r="AH1390" s="275"/>
      <c r="AI1390" s="52"/>
      <c r="AJ1390" s="35"/>
      <c r="AK1390" s="289"/>
      <c r="AL1390" s="290"/>
      <c r="AM1390" s="211"/>
      <c r="AN1390" s="164"/>
      <c r="AO1390" s="594"/>
      <c r="AP1390" s="595"/>
      <c r="AQ1390" s="275"/>
      <c r="AR1390" s="52"/>
      <c r="AS1390" s="596"/>
      <c r="AT1390" s="79"/>
      <c r="AU1390" s="212"/>
      <c r="AV1390" s="164"/>
      <c r="AW1390" s="164"/>
      <c r="AX1390" s="76"/>
      <c r="AY1390" s="44"/>
      <c r="AZ1390" s="275"/>
      <c r="BA1390" s="52"/>
      <c r="BB1390" s="35"/>
      <c r="BC1390" s="79"/>
      <c r="BD1390" s="230"/>
      <c r="BE1390" s="211"/>
      <c r="BF1390" s="164"/>
      <c r="BG1390" s="76"/>
      <c r="BH1390" s="44"/>
      <c r="BI1390" s="275"/>
      <c r="BJ1390" s="52"/>
      <c r="BK1390" s="35"/>
      <c r="BL1390" s="79"/>
      <c r="BM1390" s="230"/>
      <c r="BN1390" s="211"/>
      <c r="BO1390" s="164"/>
      <c r="BP1390" s="726"/>
      <c r="BQ1390" s="727"/>
      <c r="BR1390" s="299"/>
      <c r="BS1390" s="35"/>
      <c r="BT1390" s="596"/>
      <c r="BU1390" s="79"/>
      <c r="BV1390" s="212"/>
      <c r="BW1390" s="304"/>
      <c r="BX1390" s="313"/>
      <c r="BY1390" s="138"/>
    </row>
    <row r="1391" spans="1:77" ht="15" customHeight="1" outlineLevel="1" x14ac:dyDescent="0.2">
      <c r="A1391" s="583" t="s">
        <v>24</v>
      </c>
      <c r="B1391" s="583" t="s">
        <v>477</v>
      </c>
      <c r="C1391" s="162" t="s">
        <v>1937</v>
      </c>
      <c r="D1391" s="546">
        <v>1.179</v>
      </c>
      <c r="E1391" s="162" t="s">
        <v>631</v>
      </c>
      <c r="F1391" s="358"/>
      <c r="G1391" s="65"/>
      <c r="H1391" s="73"/>
      <c r="I1391" s="90">
        <v>2006</v>
      </c>
      <c r="J1391" s="73"/>
      <c r="K1391" s="734">
        <v>5.3049999999999998E-3</v>
      </c>
      <c r="L1391" s="717"/>
      <c r="M1391" s="73"/>
      <c r="N1391" s="359"/>
      <c r="O1391" s="1041"/>
      <c r="P1391" s="73"/>
      <c r="Q1391" s="359"/>
      <c r="R1391" s="1041"/>
      <c r="S1391" s="73"/>
      <c r="T1391" s="359"/>
      <c r="U1391" s="73"/>
      <c r="V1391" s="66"/>
      <c r="W1391" s="788">
        <f t="shared" ref="W1391" si="1203">AA1391*(1+AB1391)</f>
        <v>3.8726500000000001E-6</v>
      </c>
      <c r="X1391" s="789">
        <f t="shared" ref="X1391" si="1204">AA1391*(1+AC1391)</f>
        <v>3.8726500000000001E-6</v>
      </c>
      <c r="Y1391" s="52">
        <v>2006</v>
      </c>
      <c r="Z1391" s="52"/>
      <c r="AA1391" s="787">
        <f>+K1391/1000</f>
        <v>5.305E-6</v>
      </c>
      <c r="AB1391" s="256">
        <v>-0.27</v>
      </c>
      <c r="AC1391" s="688">
        <f t="shared" si="1185"/>
        <v>-0.27</v>
      </c>
      <c r="AD1391" s="164"/>
      <c r="AE1391" s="164"/>
      <c r="AF1391" s="25"/>
      <c r="AG1391" s="26"/>
      <c r="AH1391" s="275"/>
      <c r="AI1391" s="52"/>
      <c r="AJ1391" s="35"/>
      <c r="AK1391" s="289"/>
      <c r="AL1391" s="290"/>
      <c r="AM1391" s="211"/>
      <c r="AN1391" s="164"/>
      <c r="AO1391" s="594"/>
      <c r="AP1391" s="595"/>
      <c r="AQ1391" s="275"/>
      <c r="AR1391" s="52"/>
      <c r="AS1391" s="596"/>
      <c r="AT1391" s="79"/>
      <c r="AU1391" s="212"/>
      <c r="AV1391" s="164"/>
      <c r="AW1391" s="164"/>
      <c r="AX1391" s="76"/>
      <c r="AY1391" s="44"/>
      <c r="AZ1391" s="275"/>
      <c r="BA1391" s="52"/>
      <c r="BB1391" s="35"/>
      <c r="BC1391" s="79"/>
      <c r="BD1391" s="230"/>
      <c r="BE1391" s="211"/>
      <c r="BF1391" s="164"/>
      <c r="BG1391" s="76"/>
      <c r="BH1391" s="44"/>
      <c r="BI1391" s="275"/>
      <c r="BJ1391" s="52"/>
      <c r="BK1391" s="35"/>
      <c r="BL1391" s="79"/>
      <c r="BM1391" s="230"/>
      <c r="BN1391" s="211"/>
      <c r="BO1391" s="164"/>
      <c r="BP1391" s="726"/>
      <c r="BQ1391" s="727"/>
      <c r="BR1391" s="299"/>
      <c r="BS1391" s="35"/>
      <c r="BT1391" s="596"/>
      <c r="BU1391" s="79"/>
      <c r="BV1391" s="212"/>
      <c r="BW1391" s="304"/>
      <c r="BX1391" s="313"/>
      <c r="BY1391" s="138"/>
    </row>
    <row r="1392" spans="1:77" ht="15" customHeight="1" outlineLevel="1" x14ac:dyDescent="0.2">
      <c r="A1392" s="583" t="s">
        <v>24</v>
      </c>
      <c r="B1392" s="583" t="s">
        <v>477</v>
      </c>
      <c r="C1392" s="162" t="s">
        <v>1977</v>
      </c>
      <c r="D1392" s="546">
        <v>4.032</v>
      </c>
      <c r="E1392" s="162" t="s">
        <v>631</v>
      </c>
      <c r="F1392" s="358"/>
      <c r="G1392" s="65"/>
      <c r="H1392" s="73"/>
      <c r="I1392" s="90">
        <v>2006</v>
      </c>
      <c r="J1392" s="73"/>
      <c r="K1392" s="734">
        <v>2.6346000000000001E-2</v>
      </c>
      <c r="L1392" s="717"/>
      <c r="M1392" s="73"/>
      <c r="N1392" s="738"/>
      <c r="O1392" s="1041"/>
      <c r="P1392" s="73"/>
      <c r="Q1392" s="738"/>
      <c r="R1392" s="1041"/>
      <c r="S1392" s="73"/>
      <c r="T1392" s="738"/>
      <c r="U1392" s="73"/>
      <c r="V1392" s="66"/>
      <c r="W1392" s="740">
        <f t="shared" ref="W1392" si="1205">AA1392*(1+AB1392)</f>
        <v>1.9232580000000001E-5</v>
      </c>
      <c r="X1392" s="741">
        <f t="shared" ref="X1392" si="1206">AA1392*(1+AC1392)</f>
        <v>1.9232580000000001E-5</v>
      </c>
      <c r="Y1392" s="52">
        <v>2006</v>
      </c>
      <c r="Z1392" s="52"/>
      <c r="AA1392" s="739">
        <f>+K1392/1000</f>
        <v>2.6346000000000002E-5</v>
      </c>
      <c r="AB1392" s="256">
        <v>-0.27</v>
      </c>
      <c r="AC1392" s="688">
        <f t="shared" si="1185"/>
        <v>-0.27</v>
      </c>
      <c r="AD1392" s="164"/>
      <c r="AE1392" s="164"/>
      <c r="AF1392" s="25"/>
      <c r="AG1392" s="26"/>
      <c r="AH1392" s="275"/>
      <c r="AI1392" s="52"/>
      <c r="AJ1392" s="35"/>
      <c r="AK1392" s="289"/>
      <c r="AL1392" s="290"/>
      <c r="AM1392" s="211"/>
      <c r="AN1392" s="164"/>
      <c r="AO1392" s="594"/>
      <c r="AP1392" s="595"/>
      <c r="AQ1392" s="275"/>
      <c r="AR1392" s="52"/>
      <c r="AS1392" s="596"/>
      <c r="AT1392" s="79"/>
      <c r="AU1392" s="212"/>
      <c r="AV1392" s="164"/>
      <c r="AW1392" s="164"/>
      <c r="AX1392" s="76"/>
      <c r="AY1392" s="44"/>
      <c r="AZ1392" s="275"/>
      <c r="BA1392" s="52"/>
      <c r="BB1392" s="35"/>
      <c r="BC1392" s="79"/>
      <c r="BD1392" s="230"/>
      <c r="BE1392" s="211"/>
      <c r="BF1392" s="164"/>
      <c r="BG1392" s="76"/>
      <c r="BH1392" s="44"/>
      <c r="BI1392" s="275"/>
      <c r="BJ1392" s="52"/>
      <c r="BK1392" s="35"/>
      <c r="BL1392" s="79"/>
      <c r="BM1392" s="230"/>
      <c r="BN1392" s="211"/>
      <c r="BO1392" s="164"/>
      <c r="BP1392" s="726"/>
      <c r="BQ1392" s="727"/>
      <c r="BR1392" s="299"/>
      <c r="BS1392" s="35"/>
      <c r="BT1392" s="596"/>
      <c r="BU1392" s="79"/>
      <c r="BV1392" s="212"/>
      <c r="BW1392" s="304"/>
      <c r="BX1392" s="313"/>
      <c r="BY1392" s="138"/>
    </row>
    <row r="1393" spans="1:77" ht="15" customHeight="1" outlineLevel="1" x14ac:dyDescent="0.2">
      <c r="A1393" s="583" t="s">
        <v>24</v>
      </c>
      <c r="B1393" s="583" t="s">
        <v>477</v>
      </c>
      <c r="C1393" s="162" t="s">
        <v>1836</v>
      </c>
      <c r="D1393" s="546">
        <v>3.024</v>
      </c>
      <c r="E1393" s="162" t="s">
        <v>631</v>
      </c>
      <c r="F1393" s="358"/>
      <c r="G1393" s="65"/>
      <c r="H1393" s="73"/>
      <c r="I1393" s="90"/>
      <c r="J1393" s="73"/>
      <c r="K1393" s="814"/>
      <c r="L1393" s="717">
        <v>2011</v>
      </c>
      <c r="M1393" s="73"/>
      <c r="N1393" s="738">
        <v>1.3965999999999999E-2</v>
      </c>
      <c r="O1393" s="1041"/>
      <c r="P1393" s="73"/>
      <c r="Q1393" s="738"/>
      <c r="R1393" s="1041"/>
      <c r="S1393" s="73"/>
      <c r="T1393" s="738"/>
      <c r="U1393" s="73"/>
      <c r="V1393" s="66"/>
      <c r="W1393" s="788">
        <f t="shared" ref="W1393" si="1207">AA1393*(1+AB1393)</f>
        <v>1.0334839999999999E-5</v>
      </c>
      <c r="X1393" s="789">
        <f t="shared" ref="X1393" si="1208">AA1393*(1+AC1393)</f>
        <v>1.0334839999999999E-5</v>
      </c>
      <c r="Y1393" s="52">
        <v>2011</v>
      </c>
      <c r="Z1393" s="52"/>
      <c r="AA1393" s="787">
        <f>+N1393/1000</f>
        <v>1.3966E-5</v>
      </c>
      <c r="AB1393" s="256">
        <v>-0.26</v>
      </c>
      <c r="AC1393" s="688">
        <f t="shared" si="1185"/>
        <v>-0.26</v>
      </c>
      <c r="AD1393" s="164"/>
      <c r="AE1393" s="164"/>
      <c r="AF1393" s="25"/>
      <c r="AG1393" s="26"/>
      <c r="AH1393" s="275"/>
      <c r="AI1393" s="52"/>
      <c r="AJ1393" s="35"/>
      <c r="AK1393" s="289"/>
      <c r="AL1393" s="290"/>
      <c r="AM1393" s="211"/>
      <c r="AN1393" s="164"/>
      <c r="AO1393" s="594"/>
      <c r="AP1393" s="595"/>
      <c r="AQ1393" s="275"/>
      <c r="AR1393" s="52"/>
      <c r="AS1393" s="596"/>
      <c r="AT1393" s="79"/>
      <c r="AU1393" s="212"/>
      <c r="AV1393" s="164"/>
      <c r="AW1393" s="164"/>
      <c r="AX1393" s="76"/>
      <c r="AY1393" s="44"/>
      <c r="AZ1393" s="275"/>
      <c r="BA1393" s="52"/>
      <c r="BB1393" s="35"/>
      <c r="BC1393" s="79"/>
      <c r="BD1393" s="230"/>
      <c r="BE1393" s="211"/>
      <c r="BF1393" s="164"/>
      <c r="BG1393" s="76"/>
      <c r="BH1393" s="44"/>
      <c r="BI1393" s="275"/>
      <c r="BJ1393" s="52"/>
      <c r="BK1393" s="35"/>
      <c r="BL1393" s="79"/>
      <c r="BM1393" s="230"/>
      <c r="BN1393" s="211"/>
      <c r="BO1393" s="164"/>
      <c r="BP1393" s="726"/>
      <c r="BQ1393" s="727"/>
      <c r="BR1393" s="299"/>
      <c r="BS1393" s="35"/>
      <c r="BT1393" s="596"/>
      <c r="BU1393" s="79"/>
      <c r="BV1393" s="212"/>
      <c r="BW1393" s="304"/>
      <c r="BX1393" s="313"/>
      <c r="BY1393" s="138"/>
    </row>
    <row r="1394" spans="1:77" ht="15" customHeight="1" outlineLevel="1" x14ac:dyDescent="0.2">
      <c r="A1394" s="583" t="s">
        <v>24</v>
      </c>
      <c r="B1394" s="583" t="s">
        <v>477</v>
      </c>
      <c r="C1394" s="162" t="s">
        <v>1690</v>
      </c>
      <c r="D1394" s="546">
        <v>7.9480000000000004</v>
      </c>
      <c r="E1394" s="162" t="s">
        <v>631</v>
      </c>
      <c r="F1394" s="358"/>
      <c r="G1394" s="65"/>
      <c r="H1394" s="73"/>
      <c r="I1394" s="90">
        <v>2007</v>
      </c>
      <c r="J1394" s="73"/>
      <c r="K1394" s="734">
        <v>5.2184000000000001E-2</v>
      </c>
      <c r="L1394" s="717"/>
      <c r="M1394" s="73"/>
      <c r="N1394" s="786"/>
      <c r="O1394" s="1041"/>
      <c r="P1394" s="73"/>
      <c r="Q1394" s="786"/>
      <c r="R1394" s="1041"/>
      <c r="S1394" s="73"/>
      <c r="T1394" s="786"/>
      <c r="U1394" s="73"/>
      <c r="V1394" s="66"/>
      <c r="W1394" s="788">
        <f t="shared" ref="W1394" si="1209">AA1394*(1+AB1394)</f>
        <v>3.9138000000000004E-5</v>
      </c>
      <c r="X1394" s="789">
        <f t="shared" ref="X1394" si="1210">AA1394*(1+AC1394)</f>
        <v>3.9138000000000004E-5</v>
      </c>
      <c r="Y1394" s="52">
        <v>2007</v>
      </c>
      <c r="Z1394" s="52"/>
      <c r="AA1394" s="787">
        <f>+K1394/1000</f>
        <v>5.2184E-5</v>
      </c>
      <c r="AB1394" s="256">
        <v>-0.25</v>
      </c>
      <c r="AC1394" s="688">
        <f t="shared" si="1185"/>
        <v>-0.25</v>
      </c>
      <c r="AD1394" s="164"/>
      <c r="AE1394" s="164"/>
      <c r="AF1394" s="25"/>
      <c r="AG1394" s="26"/>
      <c r="AH1394" s="275"/>
      <c r="AI1394" s="52"/>
      <c r="AJ1394" s="35"/>
      <c r="AK1394" s="289"/>
      <c r="AL1394" s="290"/>
      <c r="AM1394" s="211"/>
      <c r="AN1394" s="164"/>
      <c r="AO1394" s="594"/>
      <c r="AP1394" s="595"/>
      <c r="AQ1394" s="275"/>
      <c r="AR1394" s="52"/>
      <c r="AS1394" s="596"/>
      <c r="AT1394" s="79"/>
      <c r="AU1394" s="212"/>
      <c r="AV1394" s="164"/>
      <c r="AW1394" s="164"/>
      <c r="AX1394" s="76"/>
      <c r="AY1394" s="44"/>
      <c r="AZ1394" s="275"/>
      <c r="BA1394" s="52"/>
      <c r="BB1394" s="35"/>
      <c r="BC1394" s="79"/>
      <c r="BD1394" s="230"/>
      <c r="BE1394" s="211"/>
      <c r="BF1394" s="164"/>
      <c r="BG1394" s="76"/>
      <c r="BH1394" s="44"/>
      <c r="BI1394" s="275"/>
      <c r="BJ1394" s="52"/>
      <c r="BK1394" s="35"/>
      <c r="BL1394" s="79"/>
      <c r="BM1394" s="230"/>
      <c r="BN1394" s="211"/>
      <c r="BO1394" s="164"/>
      <c r="BP1394" s="726"/>
      <c r="BQ1394" s="727"/>
      <c r="BR1394" s="299"/>
      <c r="BS1394" s="35"/>
      <c r="BT1394" s="596"/>
      <c r="BU1394" s="79"/>
      <c r="BV1394" s="212"/>
      <c r="BW1394" s="304"/>
      <c r="BX1394" s="313"/>
      <c r="BY1394" s="138"/>
    </row>
    <row r="1395" spans="1:77" ht="15" customHeight="1" outlineLevel="1" x14ac:dyDescent="0.2">
      <c r="A1395" s="583" t="s">
        <v>24</v>
      </c>
      <c r="B1395" s="583" t="s">
        <v>477</v>
      </c>
      <c r="C1395" s="162" t="s">
        <v>1997</v>
      </c>
      <c r="D1395" s="546">
        <v>5.859</v>
      </c>
      <c r="E1395" s="162" t="s">
        <v>631</v>
      </c>
      <c r="F1395" s="358"/>
      <c r="G1395" s="65"/>
      <c r="H1395" s="73"/>
      <c r="I1395" s="90"/>
      <c r="J1395" s="73"/>
      <c r="K1395" s="813"/>
      <c r="L1395" s="717">
        <v>2008</v>
      </c>
      <c r="M1395" s="73"/>
      <c r="N1395" s="786">
        <v>1.536E-2</v>
      </c>
      <c r="O1395" s="1041"/>
      <c r="P1395" s="73"/>
      <c r="Q1395" s="359"/>
      <c r="R1395" s="1041"/>
      <c r="S1395" s="73"/>
      <c r="T1395" s="359"/>
      <c r="U1395" s="73"/>
      <c r="V1395" s="66"/>
      <c r="W1395" s="740">
        <f t="shared" ref="W1395" si="1211">AA1395*(1+AB1395)</f>
        <v>1.1059200000000001E-5</v>
      </c>
      <c r="X1395" s="741">
        <f t="shared" ref="X1395" si="1212">AA1395*(1+AC1395)</f>
        <v>1.1059200000000001E-5</v>
      </c>
      <c r="Y1395" s="52">
        <v>2008</v>
      </c>
      <c r="Z1395" s="52"/>
      <c r="AA1395" s="739">
        <f>+N1395/1000</f>
        <v>1.5360000000000002E-5</v>
      </c>
      <c r="AB1395" s="256">
        <v>-0.28000000000000003</v>
      </c>
      <c r="AC1395" s="688">
        <f t="shared" si="1185"/>
        <v>-0.28000000000000003</v>
      </c>
      <c r="AD1395" s="164"/>
      <c r="AE1395" s="164"/>
      <c r="AF1395" s="25"/>
      <c r="AG1395" s="26"/>
      <c r="AH1395" s="275"/>
      <c r="AI1395" s="52"/>
      <c r="AJ1395" s="35"/>
      <c r="AK1395" s="289"/>
      <c r="AL1395" s="290"/>
      <c r="AM1395" s="211"/>
      <c r="AN1395" s="164"/>
      <c r="AO1395" s="594"/>
      <c r="AP1395" s="595"/>
      <c r="AQ1395" s="275"/>
      <c r="AR1395" s="52"/>
      <c r="AS1395" s="596"/>
      <c r="AT1395" s="79"/>
      <c r="AU1395" s="212"/>
      <c r="AV1395" s="164"/>
      <c r="AW1395" s="164"/>
      <c r="AX1395" s="76"/>
      <c r="AY1395" s="44"/>
      <c r="AZ1395" s="275"/>
      <c r="BA1395" s="52"/>
      <c r="BB1395" s="35"/>
      <c r="BC1395" s="79"/>
      <c r="BD1395" s="230"/>
      <c r="BE1395" s="211"/>
      <c r="BF1395" s="164"/>
      <c r="BG1395" s="76"/>
      <c r="BH1395" s="44"/>
      <c r="BI1395" s="275"/>
      <c r="BJ1395" s="52"/>
      <c r="BK1395" s="35"/>
      <c r="BL1395" s="79"/>
      <c r="BM1395" s="230"/>
      <c r="BN1395" s="211"/>
      <c r="BO1395" s="164"/>
      <c r="BP1395" s="726"/>
      <c r="BQ1395" s="727"/>
      <c r="BR1395" s="299"/>
      <c r="BS1395" s="35"/>
      <c r="BT1395" s="596"/>
      <c r="BU1395" s="79"/>
      <c r="BV1395" s="212"/>
      <c r="BW1395" s="304"/>
      <c r="BX1395" s="313"/>
      <c r="BY1395" s="138"/>
    </row>
    <row r="1396" spans="1:77" ht="15" customHeight="1" outlineLevel="1" x14ac:dyDescent="0.2">
      <c r="A1396" s="57" t="s">
        <v>24</v>
      </c>
      <c r="B1396" s="583" t="s">
        <v>477</v>
      </c>
      <c r="C1396" s="162" t="s">
        <v>1325</v>
      </c>
      <c r="D1396" s="546">
        <v>1.3140000000000001</v>
      </c>
      <c r="E1396" s="162" t="s">
        <v>631</v>
      </c>
      <c r="F1396" s="358"/>
      <c r="G1396" s="65"/>
      <c r="H1396" s="73"/>
      <c r="I1396" s="90"/>
      <c r="J1396" s="73"/>
      <c r="K1396" s="734"/>
      <c r="L1396" s="717"/>
      <c r="M1396" s="73"/>
      <c r="N1396" s="738">
        <v>9.8279999999999999E-3</v>
      </c>
      <c r="O1396" s="1041"/>
      <c r="P1396" s="73"/>
      <c r="Q1396" s="738"/>
      <c r="R1396" s="1041"/>
      <c r="S1396" s="73"/>
      <c r="T1396" s="738"/>
      <c r="U1396" s="73"/>
      <c r="V1396" s="66"/>
      <c r="W1396" s="788">
        <f>AA1396*(1+AB1396)</f>
        <v>4.6191599999999995E-6</v>
      </c>
      <c r="X1396" s="789">
        <f>AA1396*(1+AC1396)</f>
        <v>4.6191599999999995E-6</v>
      </c>
      <c r="Y1396" s="52">
        <v>2010</v>
      </c>
      <c r="Z1396" s="52"/>
      <c r="AA1396" s="739">
        <f>+N1396/1000</f>
        <v>9.8279999999999998E-6</v>
      </c>
      <c r="AB1396" s="256">
        <v>-0.53</v>
      </c>
      <c r="AC1396" s="688">
        <f t="shared" si="1185"/>
        <v>-0.53</v>
      </c>
      <c r="AD1396" s="164"/>
      <c r="AE1396" s="164"/>
      <c r="AF1396" s="25"/>
      <c r="AG1396" s="26"/>
      <c r="AH1396" s="275"/>
      <c r="AI1396" s="52"/>
      <c r="AJ1396" s="35"/>
      <c r="AK1396" s="289"/>
      <c r="AL1396" s="290"/>
      <c r="AM1396" s="211"/>
      <c r="AN1396" s="164"/>
      <c r="AO1396" s="594"/>
      <c r="AP1396" s="595"/>
      <c r="AQ1396" s="275"/>
      <c r="AR1396" s="52"/>
      <c r="AS1396" s="596"/>
      <c r="AT1396" s="79"/>
      <c r="AU1396" s="212"/>
      <c r="AV1396" s="164"/>
      <c r="AW1396" s="164"/>
      <c r="AX1396" s="76"/>
      <c r="AY1396" s="44"/>
      <c r="AZ1396" s="275"/>
      <c r="BA1396" s="52"/>
      <c r="BB1396" s="35"/>
      <c r="BC1396" s="79"/>
      <c r="BD1396" s="230"/>
      <c r="BE1396" s="211"/>
      <c r="BF1396" s="164"/>
      <c r="BG1396" s="76"/>
      <c r="BH1396" s="44"/>
      <c r="BI1396" s="275"/>
      <c r="BJ1396" s="52"/>
      <c r="BK1396" s="35"/>
      <c r="BL1396" s="79"/>
      <c r="BM1396" s="230"/>
      <c r="BN1396" s="211"/>
      <c r="BO1396" s="164"/>
      <c r="BP1396" s="726"/>
      <c r="BQ1396" s="727"/>
      <c r="BR1396" s="299"/>
      <c r="BS1396" s="35"/>
      <c r="BT1396" s="596"/>
      <c r="BU1396" s="79"/>
      <c r="BV1396" s="212"/>
      <c r="BW1396" s="304"/>
      <c r="BX1396" s="313"/>
      <c r="BY1396" s="138"/>
    </row>
    <row r="1397" spans="1:77" ht="15" customHeight="1" outlineLevel="1" x14ac:dyDescent="0.2">
      <c r="A1397" s="57" t="s">
        <v>24</v>
      </c>
      <c r="B1397" s="583" t="s">
        <v>477</v>
      </c>
      <c r="C1397" s="162" t="s">
        <v>1384</v>
      </c>
      <c r="D1397" s="546">
        <v>5.3159999999999998</v>
      </c>
      <c r="E1397" s="162" t="s">
        <v>631</v>
      </c>
      <c r="F1397" s="358"/>
      <c r="G1397" s="65"/>
      <c r="H1397" s="73"/>
      <c r="I1397" s="90"/>
      <c r="J1397" s="73"/>
      <c r="K1397" s="734">
        <v>2.6107000000000002E-2</v>
      </c>
      <c r="L1397" s="717"/>
      <c r="M1397" s="73"/>
      <c r="N1397" s="359"/>
      <c r="O1397" s="1041"/>
      <c r="P1397" s="73"/>
      <c r="Q1397" s="359"/>
      <c r="R1397" s="1041"/>
      <c r="S1397" s="73"/>
      <c r="T1397" s="359"/>
      <c r="U1397" s="73"/>
      <c r="V1397" s="66"/>
      <c r="W1397" s="740">
        <f>AA1397*(1+AB1397)</f>
        <v>1.7230619999999999E-5</v>
      </c>
      <c r="X1397" s="741">
        <f>AA1397*(1+AC1397)</f>
        <v>1.7230619999999999E-5</v>
      </c>
      <c r="Y1397" s="52">
        <v>2005</v>
      </c>
      <c r="Z1397" s="52"/>
      <c r="AA1397" s="739">
        <f>+K1397/1000</f>
        <v>2.6107000000000003E-5</v>
      </c>
      <c r="AB1397" s="256">
        <v>-0.34</v>
      </c>
      <c r="AC1397" s="688">
        <f t="shared" si="1185"/>
        <v>-0.34</v>
      </c>
      <c r="AD1397" s="164"/>
      <c r="AE1397" s="164"/>
      <c r="AF1397" s="25"/>
      <c r="AG1397" s="26"/>
      <c r="AH1397" s="275"/>
      <c r="AI1397" s="52"/>
      <c r="AJ1397" s="35"/>
      <c r="AK1397" s="289"/>
      <c r="AL1397" s="290"/>
      <c r="AM1397" s="211"/>
      <c r="AN1397" s="164"/>
      <c r="AO1397" s="594"/>
      <c r="AP1397" s="595"/>
      <c r="AQ1397" s="275"/>
      <c r="AR1397" s="52"/>
      <c r="AS1397" s="596"/>
      <c r="AT1397" s="79"/>
      <c r="AU1397" s="212"/>
      <c r="AV1397" s="164"/>
      <c r="AW1397" s="164"/>
      <c r="AX1397" s="76"/>
      <c r="AY1397" s="44"/>
      <c r="AZ1397" s="275"/>
      <c r="BA1397" s="52"/>
      <c r="BB1397" s="35"/>
      <c r="BC1397" s="79"/>
      <c r="BD1397" s="230"/>
      <c r="BE1397" s="211"/>
      <c r="BF1397" s="164"/>
      <c r="BG1397" s="76"/>
      <c r="BH1397" s="44"/>
      <c r="BI1397" s="275"/>
      <c r="BJ1397" s="52"/>
      <c r="BK1397" s="35"/>
      <c r="BL1397" s="79"/>
      <c r="BM1397" s="230"/>
      <c r="BN1397" s="211"/>
      <c r="BO1397" s="164"/>
      <c r="BP1397" s="726"/>
      <c r="BQ1397" s="727"/>
      <c r="BR1397" s="299"/>
      <c r="BS1397" s="35"/>
      <c r="BT1397" s="596"/>
      <c r="BU1397" s="79"/>
      <c r="BV1397" s="212"/>
      <c r="BW1397" s="304"/>
      <c r="BX1397" s="313"/>
      <c r="BY1397" s="138"/>
    </row>
    <row r="1398" spans="1:77" ht="15" customHeight="1" outlineLevel="1" x14ac:dyDescent="0.2">
      <c r="A1398" s="57" t="s">
        <v>24</v>
      </c>
      <c r="B1398" s="583" t="s">
        <v>477</v>
      </c>
      <c r="C1398" s="162" t="s">
        <v>1319</v>
      </c>
      <c r="D1398" s="546">
        <v>0.94199999999999995</v>
      </c>
      <c r="E1398" s="162" t="s">
        <v>631</v>
      </c>
      <c r="F1398" s="358"/>
      <c r="G1398" s="65"/>
      <c r="H1398" s="73"/>
      <c r="I1398" s="90"/>
      <c r="J1398" s="73"/>
      <c r="K1398" s="734"/>
      <c r="L1398" s="717">
        <v>2011</v>
      </c>
      <c r="M1398" s="73"/>
      <c r="N1398" s="786">
        <v>4.9189999999999998E-3</v>
      </c>
      <c r="O1398" s="1041"/>
      <c r="P1398" s="73"/>
      <c r="Q1398" s="786"/>
      <c r="R1398" s="1041"/>
      <c r="S1398" s="73"/>
      <c r="T1398" s="786"/>
      <c r="U1398" s="73"/>
      <c r="V1398" s="66"/>
      <c r="W1398" s="788">
        <f>AA1398*(1+AB1398)</f>
        <v>3.2465399999999996E-6</v>
      </c>
      <c r="X1398" s="789">
        <f>AA1398*(1+AC1398)</f>
        <v>3.2465399999999996E-6</v>
      </c>
      <c r="Y1398" s="52">
        <v>2011</v>
      </c>
      <c r="Z1398" s="52"/>
      <c r="AA1398" s="787">
        <f>+N1398/1000</f>
        <v>4.9189999999999998E-6</v>
      </c>
      <c r="AB1398" s="256">
        <v>-0.34</v>
      </c>
      <c r="AC1398" s="688">
        <f t="shared" si="1185"/>
        <v>-0.34</v>
      </c>
      <c r="AD1398" s="164"/>
      <c r="AE1398" s="164"/>
      <c r="AF1398" s="25"/>
      <c r="AG1398" s="26"/>
      <c r="AH1398" s="275"/>
      <c r="AI1398" s="52"/>
      <c r="AJ1398" s="35"/>
      <c r="AK1398" s="289"/>
      <c r="AL1398" s="290"/>
      <c r="AM1398" s="211"/>
      <c r="AN1398" s="164"/>
      <c r="AO1398" s="594"/>
      <c r="AP1398" s="595"/>
      <c r="AQ1398" s="275"/>
      <c r="AR1398" s="52"/>
      <c r="AS1398" s="596"/>
      <c r="AT1398" s="79"/>
      <c r="AU1398" s="212"/>
      <c r="AV1398" s="164"/>
      <c r="AW1398" s="164"/>
      <c r="AX1398" s="76"/>
      <c r="AY1398" s="44"/>
      <c r="AZ1398" s="275"/>
      <c r="BA1398" s="52"/>
      <c r="BB1398" s="35"/>
      <c r="BC1398" s="79"/>
      <c r="BD1398" s="230"/>
      <c r="BE1398" s="211"/>
      <c r="BF1398" s="164"/>
      <c r="BG1398" s="76"/>
      <c r="BH1398" s="44"/>
      <c r="BI1398" s="275"/>
      <c r="BJ1398" s="52"/>
      <c r="BK1398" s="35"/>
      <c r="BL1398" s="79"/>
      <c r="BM1398" s="230"/>
      <c r="BN1398" s="211"/>
      <c r="BO1398" s="164"/>
      <c r="BP1398" s="726"/>
      <c r="BQ1398" s="727"/>
      <c r="BR1398" s="299"/>
      <c r="BS1398" s="35"/>
      <c r="BT1398" s="596"/>
      <c r="BU1398" s="79"/>
      <c r="BV1398" s="212"/>
      <c r="BW1398" s="304"/>
      <c r="BX1398" s="313"/>
      <c r="BY1398" s="138"/>
    </row>
    <row r="1399" spans="1:77" ht="15" customHeight="1" outlineLevel="1" x14ac:dyDescent="0.2">
      <c r="A1399" s="583" t="s">
        <v>24</v>
      </c>
      <c r="B1399" s="583" t="s">
        <v>477</v>
      </c>
      <c r="C1399" s="162" t="s">
        <v>1998</v>
      </c>
      <c r="D1399" s="546">
        <v>6.3689999999999998</v>
      </c>
      <c r="E1399" s="162" t="s">
        <v>631</v>
      </c>
      <c r="F1399" s="358"/>
      <c r="G1399" s="65"/>
      <c r="H1399" s="73"/>
      <c r="I1399" s="90"/>
      <c r="J1399" s="73"/>
      <c r="K1399" s="734"/>
      <c r="L1399" s="717"/>
      <c r="M1399" s="73"/>
      <c r="N1399" s="359">
        <v>3.4500999999999997E-2</v>
      </c>
      <c r="O1399" s="1041"/>
      <c r="P1399" s="73"/>
      <c r="Q1399" s="359"/>
      <c r="R1399" s="1041"/>
      <c r="S1399" s="73"/>
      <c r="T1399" s="359"/>
      <c r="U1399" s="73"/>
      <c r="V1399" s="66"/>
      <c r="W1399" s="740">
        <f t="shared" ref="W1399" si="1213">AA1399*(1+AB1399)</f>
        <v>2.4840719999999995E-5</v>
      </c>
      <c r="X1399" s="741">
        <f t="shared" ref="X1399" si="1214">AA1399*(1+AC1399)</f>
        <v>2.4840719999999995E-5</v>
      </c>
      <c r="Y1399" s="52">
        <v>2010</v>
      </c>
      <c r="Z1399" s="52"/>
      <c r="AA1399" s="739">
        <f>+N1399/1000</f>
        <v>3.4500999999999994E-5</v>
      </c>
      <c r="AB1399" s="256">
        <v>-0.28000000000000003</v>
      </c>
      <c r="AC1399" s="688">
        <f t="shared" si="1185"/>
        <v>-0.28000000000000003</v>
      </c>
      <c r="AD1399" s="164"/>
      <c r="AE1399" s="164"/>
      <c r="AF1399" s="25"/>
      <c r="AG1399" s="26"/>
      <c r="AH1399" s="275"/>
      <c r="AI1399" s="52"/>
      <c r="AJ1399" s="35"/>
      <c r="AK1399" s="289"/>
      <c r="AL1399" s="290"/>
      <c r="AM1399" s="211"/>
      <c r="AN1399" s="164"/>
      <c r="AO1399" s="594"/>
      <c r="AP1399" s="595"/>
      <c r="AQ1399" s="275"/>
      <c r="AR1399" s="52"/>
      <c r="AS1399" s="596"/>
      <c r="AT1399" s="79"/>
      <c r="AU1399" s="212"/>
      <c r="AV1399" s="164"/>
      <c r="AW1399" s="164"/>
      <c r="AX1399" s="76"/>
      <c r="AY1399" s="44"/>
      <c r="AZ1399" s="275"/>
      <c r="BA1399" s="52"/>
      <c r="BB1399" s="35"/>
      <c r="BC1399" s="79"/>
      <c r="BD1399" s="230"/>
      <c r="BE1399" s="211"/>
      <c r="BF1399" s="164"/>
      <c r="BG1399" s="76"/>
      <c r="BH1399" s="44"/>
      <c r="BI1399" s="275"/>
      <c r="BJ1399" s="52"/>
      <c r="BK1399" s="35"/>
      <c r="BL1399" s="79"/>
      <c r="BM1399" s="230"/>
      <c r="BN1399" s="211"/>
      <c r="BO1399" s="164"/>
      <c r="BP1399" s="726"/>
      <c r="BQ1399" s="727"/>
      <c r="BR1399" s="299"/>
      <c r="BS1399" s="35"/>
      <c r="BT1399" s="596"/>
      <c r="BU1399" s="79"/>
      <c r="BV1399" s="212"/>
      <c r="BW1399" s="304"/>
      <c r="BX1399" s="313"/>
      <c r="BY1399" s="138"/>
    </row>
    <row r="1400" spans="1:77" ht="15" customHeight="1" outlineLevel="1" x14ac:dyDescent="0.2">
      <c r="A1400" s="583" t="s">
        <v>24</v>
      </c>
      <c r="B1400" s="583" t="s">
        <v>477</v>
      </c>
      <c r="C1400" s="162" t="s">
        <v>1949</v>
      </c>
      <c r="D1400" s="546">
        <v>8.5489999999999995</v>
      </c>
      <c r="E1400" s="162" t="s">
        <v>631</v>
      </c>
      <c r="F1400" s="358"/>
      <c r="G1400" s="65"/>
      <c r="H1400" s="73"/>
      <c r="I1400" s="90"/>
      <c r="J1400" s="73"/>
      <c r="K1400" s="734"/>
      <c r="L1400" s="717"/>
      <c r="M1400" s="73"/>
      <c r="N1400" s="738">
        <v>2.5829999999999999E-2</v>
      </c>
      <c r="O1400" s="1041"/>
      <c r="P1400" s="73"/>
      <c r="Q1400" s="738"/>
      <c r="R1400" s="1041"/>
      <c r="S1400" s="73"/>
      <c r="T1400" s="738"/>
      <c r="U1400" s="73"/>
      <c r="V1400" s="66"/>
      <c r="W1400" s="788">
        <f t="shared" ref="W1400" si="1215">AA1400*(1+AB1400)</f>
        <v>1.8855899999999997E-5</v>
      </c>
      <c r="X1400" s="789">
        <f t="shared" ref="X1400" si="1216">AA1400*(1+AC1400)</f>
        <v>1.8855899999999997E-5</v>
      </c>
      <c r="Y1400" s="52">
        <v>2010</v>
      </c>
      <c r="Z1400" s="52"/>
      <c r="AA1400" s="787">
        <f>+N1400/1000</f>
        <v>2.5829999999999998E-5</v>
      </c>
      <c r="AB1400" s="256">
        <v>-0.27</v>
      </c>
      <c r="AC1400" s="688">
        <f t="shared" si="1185"/>
        <v>-0.27</v>
      </c>
      <c r="AD1400" s="164"/>
      <c r="AE1400" s="164"/>
      <c r="AF1400" s="25"/>
      <c r="AG1400" s="26"/>
      <c r="AH1400" s="275"/>
      <c r="AI1400" s="52"/>
      <c r="AJ1400" s="35"/>
      <c r="AK1400" s="289"/>
      <c r="AL1400" s="290"/>
      <c r="AM1400" s="211"/>
      <c r="AN1400" s="164"/>
      <c r="AO1400" s="594"/>
      <c r="AP1400" s="595"/>
      <c r="AQ1400" s="275"/>
      <c r="AR1400" s="52"/>
      <c r="AS1400" s="596"/>
      <c r="AT1400" s="79"/>
      <c r="AU1400" s="212"/>
      <c r="AV1400" s="164"/>
      <c r="AW1400" s="164"/>
      <c r="AX1400" s="76"/>
      <c r="AY1400" s="44"/>
      <c r="AZ1400" s="275"/>
      <c r="BA1400" s="52"/>
      <c r="BB1400" s="35"/>
      <c r="BC1400" s="79"/>
      <c r="BD1400" s="230"/>
      <c r="BE1400" s="211"/>
      <c r="BF1400" s="164"/>
      <c r="BG1400" s="76"/>
      <c r="BH1400" s="44"/>
      <c r="BI1400" s="275"/>
      <c r="BJ1400" s="52"/>
      <c r="BK1400" s="35"/>
      <c r="BL1400" s="79"/>
      <c r="BM1400" s="230"/>
      <c r="BN1400" s="211"/>
      <c r="BO1400" s="164"/>
      <c r="BP1400" s="726"/>
      <c r="BQ1400" s="727"/>
      <c r="BR1400" s="299"/>
      <c r="BS1400" s="35"/>
      <c r="BT1400" s="596"/>
      <c r="BU1400" s="79"/>
      <c r="BV1400" s="212"/>
      <c r="BW1400" s="304"/>
      <c r="BX1400" s="313"/>
      <c r="BY1400" s="138"/>
    </row>
    <row r="1401" spans="1:77" ht="15" customHeight="1" outlineLevel="1" x14ac:dyDescent="0.2">
      <c r="A1401" s="57" t="s">
        <v>24</v>
      </c>
      <c r="B1401" s="583" t="s">
        <v>477</v>
      </c>
      <c r="C1401" s="162" t="s">
        <v>1383</v>
      </c>
      <c r="D1401" s="546">
        <v>4.758</v>
      </c>
      <c r="E1401" s="162" t="s">
        <v>631</v>
      </c>
      <c r="F1401" s="358"/>
      <c r="G1401" s="65"/>
      <c r="H1401" s="73"/>
      <c r="I1401" s="90"/>
      <c r="J1401" s="73"/>
      <c r="K1401" s="734">
        <v>1.8943000000000002E-2</v>
      </c>
      <c r="L1401" s="717"/>
      <c r="M1401" s="73"/>
      <c r="N1401" s="359"/>
      <c r="O1401" s="1041"/>
      <c r="P1401" s="73"/>
      <c r="Q1401" s="359"/>
      <c r="R1401" s="1041"/>
      <c r="S1401" s="73"/>
      <c r="T1401" s="359"/>
      <c r="U1401" s="73"/>
      <c r="V1401" s="66"/>
      <c r="W1401" s="740">
        <f>AA1401*(1+AB1401)</f>
        <v>1.2123520000000001E-5</v>
      </c>
      <c r="X1401" s="741">
        <f>AA1401*(1+AC1401)</f>
        <v>1.2123520000000001E-5</v>
      </c>
      <c r="Y1401" s="52">
        <v>2005</v>
      </c>
      <c r="Z1401" s="52"/>
      <c r="AA1401" s="739">
        <f>+K1401/1000</f>
        <v>1.8943000000000001E-5</v>
      </c>
      <c r="AB1401" s="256">
        <v>-0.36</v>
      </c>
      <c r="AC1401" s="688">
        <f t="shared" si="1185"/>
        <v>-0.36</v>
      </c>
      <c r="AD1401" s="164"/>
      <c r="AE1401" s="164"/>
      <c r="AF1401" s="25"/>
      <c r="AG1401" s="26"/>
      <c r="AH1401" s="275"/>
      <c r="AI1401" s="52"/>
      <c r="AJ1401" s="35"/>
      <c r="AK1401" s="289"/>
      <c r="AL1401" s="290"/>
      <c r="AM1401" s="211"/>
      <c r="AN1401" s="164"/>
      <c r="AO1401" s="594"/>
      <c r="AP1401" s="595"/>
      <c r="AQ1401" s="275"/>
      <c r="AR1401" s="52"/>
      <c r="AS1401" s="596"/>
      <c r="AT1401" s="79"/>
      <c r="AU1401" s="212"/>
      <c r="AV1401" s="164"/>
      <c r="AW1401" s="164"/>
      <c r="AX1401" s="76"/>
      <c r="AY1401" s="44"/>
      <c r="AZ1401" s="275"/>
      <c r="BA1401" s="52"/>
      <c r="BB1401" s="35"/>
      <c r="BC1401" s="79"/>
      <c r="BD1401" s="230"/>
      <c r="BE1401" s="211"/>
      <c r="BF1401" s="164"/>
      <c r="BG1401" s="76"/>
      <c r="BH1401" s="44"/>
      <c r="BI1401" s="275"/>
      <c r="BJ1401" s="52"/>
      <c r="BK1401" s="35"/>
      <c r="BL1401" s="79"/>
      <c r="BM1401" s="230"/>
      <c r="BN1401" s="211"/>
      <c r="BO1401" s="164"/>
      <c r="BP1401" s="726"/>
      <c r="BQ1401" s="727"/>
      <c r="BR1401" s="299"/>
      <c r="BS1401" s="35"/>
      <c r="BT1401" s="596"/>
      <c r="BU1401" s="79"/>
      <c r="BV1401" s="212"/>
      <c r="BW1401" s="304"/>
      <c r="BX1401" s="313"/>
      <c r="BY1401" s="138"/>
    </row>
    <row r="1402" spans="1:77" ht="15" customHeight="1" outlineLevel="1" x14ac:dyDescent="0.2">
      <c r="A1402" s="583" t="s">
        <v>24</v>
      </c>
      <c r="B1402" s="583" t="s">
        <v>477</v>
      </c>
      <c r="C1402" s="162" t="s">
        <v>1878</v>
      </c>
      <c r="D1402" s="546">
        <v>10.981</v>
      </c>
      <c r="E1402" s="162" t="s">
        <v>631</v>
      </c>
      <c r="F1402" s="358"/>
      <c r="G1402" s="65"/>
      <c r="H1402" s="73"/>
      <c r="I1402" s="90"/>
      <c r="J1402" s="73"/>
      <c r="K1402" s="790">
        <v>6.4797999999999994E-2</v>
      </c>
      <c r="L1402" s="717"/>
      <c r="M1402" s="73"/>
      <c r="N1402" s="786"/>
      <c r="O1402" s="1041"/>
      <c r="P1402" s="73"/>
      <c r="Q1402" s="786"/>
      <c r="R1402" s="1041"/>
      <c r="S1402" s="73"/>
      <c r="T1402" s="786"/>
      <c r="U1402" s="73"/>
      <c r="V1402" s="66"/>
      <c r="W1402" s="788">
        <f t="shared" ref="W1402" si="1217">AA1402*(1+AB1402)</f>
        <v>4.7950519999999996E-5</v>
      </c>
      <c r="X1402" s="789">
        <f t="shared" ref="X1402" si="1218">AA1402*(1+AC1402)</f>
        <v>4.7950519999999996E-5</v>
      </c>
      <c r="Y1402" s="52">
        <v>2005</v>
      </c>
      <c r="Z1402" s="52"/>
      <c r="AA1402" s="787">
        <f>+K1402/1000</f>
        <v>6.4797999999999999E-5</v>
      </c>
      <c r="AB1402" s="256">
        <v>-0.26</v>
      </c>
      <c r="AC1402" s="688">
        <f t="shared" si="1185"/>
        <v>-0.26</v>
      </c>
      <c r="AD1402" s="164"/>
      <c r="AE1402" s="164"/>
      <c r="AF1402" s="25"/>
      <c r="AG1402" s="26"/>
      <c r="AH1402" s="275"/>
      <c r="AI1402" s="52"/>
      <c r="AJ1402" s="35"/>
      <c r="AK1402" s="289"/>
      <c r="AL1402" s="290"/>
      <c r="AM1402" s="211"/>
      <c r="AN1402" s="164"/>
      <c r="AO1402" s="594"/>
      <c r="AP1402" s="595"/>
      <c r="AQ1402" s="275"/>
      <c r="AR1402" s="52"/>
      <c r="AS1402" s="596"/>
      <c r="AT1402" s="79"/>
      <c r="AU1402" s="212"/>
      <c r="AV1402" s="164"/>
      <c r="AW1402" s="164"/>
      <c r="AX1402" s="76"/>
      <c r="AY1402" s="44"/>
      <c r="AZ1402" s="275"/>
      <c r="BA1402" s="52"/>
      <c r="BB1402" s="35"/>
      <c r="BC1402" s="79"/>
      <c r="BD1402" s="230"/>
      <c r="BE1402" s="211"/>
      <c r="BF1402" s="164"/>
      <c r="BG1402" s="76"/>
      <c r="BH1402" s="44"/>
      <c r="BI1402" s="275"/>
      <c r="BJ1402" s="52"/>
      <c r="BK1402" s="35"/>
      <c r="BL1402" s="79"/>
      <c r="BM1402" s="230"/>
      <c r="BN1402" s="211"/>
      <c r="BO1402" s="164"/>
      <c r="BP1402" s="726"/>
      <c r="BQ1402" s="727"/>
      <c r="BR1402" s="299"/>
      <c r="BS1402" s="35"/>
      <c r="BT1402" s="596"/>
      <c r="BU1402" s="79"/>
      <c r="BV1402" s="212"/>
      <c r="BW1402" s="304"/>
      <c r="BX1402" s="313"/>
      <c r="BY1402" s="138"/>
    </row>
    <row r="1403" spans="1:77" ht="15" customHeight="1" outlineLevel="1" x14ac:dyDescent="0.2">
      <c r="A1403" s="583" t="s">
        <v>24</v>
      </c>
      <c r="B1403" s="583" t="s">
        <v>477</v>
      </c>
      <c r="C1403" s="162" t="s">
        <v>1825</v>
      </c>
      <c r="D1403" s="546">
        <v>16.72</v>
      </c>
      <c r="E1403" s="162" t="s">
        <v>631</v>
      </c>
      <c r="F1403" s="358"/>
      <c r="G1403" s="65"/>
      <c r="H1403" s="73"/>
      <c r="I1403" s="90">
        <v>2007</v>
      </c>
      <c r="J1403" s="73"/>
      <c r="K1403" s="813">
        <v>6.6196000000000005E-2</v>
      </c>
      <c r="L1403" s="717"/>
      <c r="M1403" s="73"/>
      <c r="N1403" s="359"/>
      <c r="O1403" s="1041"/>
      <c r="P1403" s="73"/>
      <c r="Q1403" s="359"/>
      <c r="R1403" s="1041"/>
      <c r="S1403" s="73"/>
      <c r="T1403" s="359"/>
      <c r="U1403" s="73"/>
      <c r="V1403" s="66"/>
      <c r="W1403" s="788">
        <f t="shared" ref="W1403" si="1219">AA1403*(1+AB1403)</f>
        <v>4.8985040000000002E-5</v>
      </c>
      <c r="X1403" s="789">
        <f t="shared" ref="X1403" si="1220">AA1403*(1+AC1403)</f>
        <v>4.8985040000000002E-5</v>
      </c>
      <c r="Y1403" s="52">
        <v>2007</v>
      </c>
      <c r="Z1403" s="52"/>
      <c r="AA1403" s="787">
        <f>+K1403/1000</f>
        <v>6.6196000000000001E-5</v>
      </c>
      <c r="AB1403" s="256">
        <v>-0.26</v>
      </c>
      <c r="AC1403" s="688">
        <f t="shared" si="1185"/>
        <v>-0.26</v>
      </c>
      <c r="AD1403" s="164"/>
      <c r="AE1403" s="164"/>
      <c r="AF1403" s="25"/>
      <c r="AG1403" s="26"/>
      <c r="AH1403" s="275"/>
      <c r="AI1403" s="52"/>
      <c r="AJ1403" s="35"/>
      <c r="AK1403" s="289"/>
      <c r="AL1403" s="290"/>
      <c r="AM1403" s="211"/>
      <c r="AN1403" s="164"/>
      <c r="AO1403" s="594"/>
      <c r="AP1403" s="595"/>
      <c r="AQ1403" s="275"/>
      <c r="AR1403" s="52"/>
      <c r="AS1403" s="596"/>
      <c r="AT1403" s="79"/>
      <c r="AU1403" s="212"/>
      <c r="AV1403" s="164"/>
      <c r="AW1403" s="164"/>
      <c r="AX1403" s="76"/>
      <c r="AY1403" s="44"/>
      <c r="AZ1403" s="275"/>
      <c r="BA1403" s="52"/>
      <c r="BB1403" s="35"/>
      <c r="BC1403" s="79"/>
      <c r="BD1403" s="230"/>
      <c r="BE1403" s="211"/>
      <c r="BF1403" s="164"/>
      <c r="BG1403" s="76"/>
      <c r="BH1403" s="44"/>
      <c r="BI1403" s="275"/>
      <c r="BJ1403" s="52"/>
      <c r="BK1403" s="35"/>
      <c r="BL1403" s="79"/>
      <c r="BM1403" s="230"/>
      <c r="BN1403" s="211"/>
      <c r="BO1403" s="164"/>
      <c r="BP1403" s="726"/>
      <c r="BQ1403" s="727"/>
      <c r="BR1403" s="299"/>
      <c r="BS1403" s="35"/>
      <c r="BT1403" s="596"/>
      <c r="BU1403" s="79"/>
      <c r="BV1403" s="212"/>
      <c r="BW1403" s="304"/>
      <c r="BX1403" s="313"/>
      <c r="BY1403" s="138"/>
    </row>
    <row r="1404" spans="1:77" ht="15" customHeight="1" outlineLevel="1" x14ac:dyDescent="0.2">
      <c r="A1404" s="583" t="s">
        <v>24</v>
      </c>
      <c r="B1404" s="583" t="s">
        <v>477</v>
      </c>
      <c r="C1404" s="162" t="s">
        <v>1683</v>
      </c>
      <c r="D1404" s="546">
        <v>0.78700000000000003</v>
      </c>
      <c r="E1404" s="162" t="s">
        <v>631</v>
      </c>
      <c r="F1404" s="358"/>
      <c r="G1404" s="65"/>
      <c r="H1404" s="73"/>
      <c r="I1404" s="90"/>
      <c r="J1404" s="73"/>
      <c r="K1404" s="813"/>
      <c r="L1404" s="717">
        <v>2012</v>
      </c>
      <c r="M1404" s="73"/>
      <c r="N1404" s="786">
        <v>3.5829999999999998E-3</v>
      </c>
      <c r="O1404" s="1041"/>
      <c r="P1404" s="73"/>
      <c r="Q1404" s="786"/>
      <c r="R1404" s="1041"/>
      <c r="S1404" s="73"/>
      <c r="T1404" s="786"/>
      <c r="U1404" s="73"/>
      <c r="V1404" s="66"/>
      <c r="W1404" s="788">
        <f t="shared" ref="W1404" si="1221">AA1404*(1+AB1404)</f>
        <v>2.68725E-6</v>
      </c>
      <c r="X1404" s="789">
        <f t="shared" ref="X1404" si="1222">AA1404*(1+AC1404)</f>
        <v>2.68725E-6</v>
      </c>
      <c r="Y1404" s="52">
        <v>2012</v>
      </c>
      <c r="Z1404" s="52"/>
      <c r="AA1404" s="787">
        <f>+N1404/1000</f>
        <v>3.5829999999999998E-6</v>
      </c>
      <c r="AB1404" s="256">
        <v>-0.25</v>
      </c>
      <c r="AC1404" s="688">
        <f t="shared" si="1185"/>
        <v>-0.25</v>
      </c>
      <c r="AD1404" s="164"/>
      <c r="AE1404" s="164"/>
      <c r="AF1404" s="25"/>
      <c r="AG1404" s="26"/>
      <c r="AH1404" s="275"/>
      <c r="AI1404" s="52"/>
      <c r="AJ1404" s="35"/>
      <c r="AK1404" s="289"/>
      <c r="AL1404" s="290"/>
      <c r="AM1404" s="211"/>
      <c r="AN1404" s="164"/>
      <c r="AO1404" s="594"/>
      <c r="AP1404" s="595"/>
      <c r="AQ1404" s="275"/>
      <c r="AR1404" s="52"/>
      <c r="AS1404" s="596"/>
      <c r="AT1404" s="79"/>
      <c r="AU1404" s="212"/>
      <c r="AV1404" s="164"/>
      <c r="AW1404" s="164"/>
      <c r="AX1404" s="76"/>
      <c r="AY1404" s="44"/>
      <c r="AZ1404" s="275"/>
      <c r="BA1404" s="52"/>
      <c r="BB1404" s="35"/>
      <c r="BC1404" s="79"/>
      <c r="BD1404" s="230"/>
      <c r="BE1404" s="211"/>
      <c r="BF1404" s="164"/>
      <c r="BG1404" s="76"/>
      <c r="BH1404" s="44"/>
      <c r="BI1404" s="275"/>
      <c r="BJ1404" s="52"/>
      <c r="BK1404" s="35"/>
      <c r="BL1404" s="79"/>
      <c r="BM1404" s="230"/>
      <c r="BN1404" s="211"/>
      <c r="BO1404" s="164"/>
      <c r="BP1404" s="726"/>
      <c r="BQ1404" s="727"/>
      <c r="BR1404" s="299"/>
      <c r="BS1404" s="35"/>
      <c r="BT1404" s="596"/>
      <c r="BU1404" s="79"/>
      <c r="BV1404" s="212"/>
      <c r="BW1404" s="304"/>
      <c r="BX1404" s="313"/>
      <c r="BY1404" s="138"/>
    </row>
    <row r="1405" spans="1:77" ht="15" customHeight="1" outlineLevel="1" x14ac:dyDescent="0.2">
      <c r="A1405" s="57" t="s">
        <v>24</v>
      </c>
      <c r="B1405" s="583" t="s">
        <v>477</v>
      </c>
      <c r="C1405" s="162" t="s">
        <v>481</v>
      </c>
      <c r="D1405" s="546">
        <v>272</v>
      </c>
      <c r="E1405" s="162" t="s">
        <v>2215</v>
      </c>
      <c r="F1405" s="358"/>
      <c r="G1405" s="65"/>
      <c r="H1405" s="73"/>
      <c r="I1405" s="90"/>
      <c r="J1405" s="73"/>
      <c r="K1405" s="66">
        <v>1.175959</v>
      </c>
      <c r="L1405" s="717"/>
      <c r="M1405" s="73"/>
      <c r="N1405" s="359"/>
      <c r="O1405" s="1041">
        <v>2016</v>
      </c>
      <c r="P1405" s="73"/>
      <c r="Q1405" s="359">
        <v>1.418344</v>
      </c>
      <c r="R1405" s="1041">
        <v>2016</v>
      </c>
      <c r="S1405" s="73"/>
      <c r="T1405" s="359">
        <v>1.418344</v>
      </c>
      <c r="U1405" s="73"/>
      <c r="V1405" s="66"/>
      <c r="W1405" s="594">
        <f>AA1405*(1+AB1405)</f>
        <v>8.8196925000000011E-4</v>
      </c>
      <c r="X1405" s="595">
        <f>AA1405*(1+AC1405)</f>
        <v>8.8196925000000011E-4</v>
      </c>
      <c r="Y1405" s="52">
        <v>2005</v>
      </c>
      <c r="Z1405" s="52"/>
      <c r="AA1405" s="596">
        <f>+K1405/1000</f>
        <v>1.1759590000000001E-3</v>
      </c>
      <c r="AB1405" s="256">
        <v>-0.25</v>
      </c>
      <c r="AC1405" s="688">
        <f t="shared" si="1185"/>
        <v>-0.25</v>
      </c>
      <c r="AD1405" s="164"/>
      <c r="AE1405" s="164"/>
      <c r="AF1405" s="25"/>
      <c r="AG1405" s="26"/>
      <c r="AH1405" s="275"/>
      <c r="AI1405" s="52"/>
      <c r="AJ1405" s="35"/>
      <c r="AK1405" s="289"/>
      <c r="AL1405" s="290"/>
      <c r="AM1405" s="211"/>
      <c r="AN1405" s="164"/>
      <c r="AO1405" s="594"/>
      <c r="AP1405" s="595"/>
      <c r="AQ1405" s="275"/>
      <c r="AR1405" s="52"/>
      <c r="AS1405" s="596"/>
      <c r="AT1405" s="79"/>
      <c r="AU1405" s="212"/>
      <c r="AV1405" s="164"/>
      <c r="AW1405" s="164"/>
      <c r="AX1405" s="76"/>
      <c r="AY1405" s="44"/>
      <c r="AZ1405" s="275"/>
      <c r="BA1405" s="52"/>
      <c r="BB1405" s="35"/>
      <c r="BC1405" s="79"/>
      <c r="BD1405" s="230"/>
      <c r="BE1405" s="211"/>
      <c r="BF1405" s="164"/>
      <c r="BG1405" s="76"/>
      <c r="BH1405" s="44"/>
      <c r="BI1405" s="275"/>
      <c r="BJ1405" s="52"/>
      <c r="BK1405" s="35"/>
      <c r="BL1405" s="79"/>
      <c r="BM1405" s="230"/>
      <c r="BN1405" s="211"/>
      <c r="BO1405" s="164"/>
      <c r="BP1405" s="726"/>
      <c r="BQ1405" s="727"/>
      <c r="BR1405" s="299"/>
      <c r="BS1405" s="35"/>
      <c r="BT1405" s="596"/>
      <c r="BU1405" s="79"/>
      <c r="BV1405" s="212"/>
      <c r="BW1405" s="304"/>
      <c r="BX1405" s="313"/>
      <c r="BY1405" s="138"/>
    </row>
    <row r="1406" spans="1:77" ht="15" customHeight="1" outlineLevel="1" x14ac:dyDescent="0.2">
      <c r="A1406" s="583" t="s">
        <v>24</v>
      </c>
      <c r="B1406" s="583" t="s">
        <v>477</v>
      </c>
      <c r="C1406" s="162" t="s">
        <v>2051</v>
      </c>
      <c r="D1406" s="546">
        <v>2.407</v>
      </c>
      <c r="E1406" s="162" t="s">
        <v>631</v>
      </c>
      <c r="F1406" s="358"/>
      <c r="G1406" s="65"/>
      <c r="H1406" s="73"/>
      <c r="I1406" s="90"/>
      <c r="J1406" s="73"/>
      <c r="K1406" s="734"/>
      <c r="L1406" s="717">
        <v>2008</v>
      </c>
      <c r="M1406" s="73"/>
      <c r="N1406" s="738">
        <v>1.3671000000000001E-2</v>
      </c>
      <c r="O1406" s="1041"/>
      <c r="P1406" s="73"/>
      <c r="Q1406" s="738"/>
      <c r="R1406" s="1041"/>
      <c r="S1406" s="73"/>
      <c r="T1406" s="738"/>
      <c r="U1406" s="73"/>
      <c r="V1406" s="66"/>
      <c r="W1406" s="740">
        <f t="shared" ref="W1406" si="1223">AA1406*(1+AB1406)</f>
        <v>9.7064099999999998E-6</v>
      </c>
      <c r="X1406" s="741">
        <f t="shared" ref="X1406" si="1224">AA1406*(1+AC1406)</f>
        <v>9.7064099999999998E-6</v>
      </c>
      <c r="Y1406" s="52">
        <v>2008</v>
      </c>
      <c r="Z1406" s="52"/>
      <c r="AA1406" s="739">
        <f>+N1406/1000</f>
        <v>1.3671E-5</v>
      </c>
      <c r="AB1406" s="256">
        <v>-0.28999999999999998</v>
      </c>
      <c r="AC1406" s="688">
        <f t="shared" si="1185"/>
        <v>-0.28999999999999998</v>
      </c>
      <c r="AD1406" s="164"/>
      <c r="AE1406" s="164"/>
      <c r="AF1406" s="25"/>
      <c r="AG1406" s="26"/>
      <c r="AH1406" s="275"/>
      <c r="AI1406" s="52"/>
      <c r="AJ1406" s="35"/>
      <c r="AK1406" s="289"/>
      <c r="AL1406" s="290"/>
      <c r="AM1406" s="211"/>
      <c r="AN1406" s="164"/>
      <c r="AO1406" s="594"/>
      <c r="AP1406" s="595"/>
      <c r="AQ1406" s="275"/>
      <c r="AR1406" s="52"/>
      <c r="AS1406" s="596"/>
      <c r="AT1406" s="79"/>
      <c r="AU1406" s="212"/>
      <c r="AV1406" s="164"/>
      <c r="AW1406" s="164"/>
      <c r="AX1406" s="76"/>
      <c r="AY1406" s="44"/>
      <c r="AZ1406" s="275"/>
      <c r="BA1406" s="52"/>
      <c r="BB1406" s="35"/>
      <c r="BC1406" s="79"/>
      <c r="BD1406" s="230"/>
      <c r="BE1406" s="211"/>
      <c r="BF1406" s="164"/>
      <c r="BG1406" s="76"/>
      <c r="BH1406" s="44"/>
      <c r="BI1406" s="275"/>
      <c r="BJ1406" s="52"/>
      <c r="BK1406" s="35"/>
      <c r="BL1406" s="79"/>
      <c r="BM1406" s="230"/>
      <c r="BN1406" s="211"/>
      <c r="BO1406" s="164"/>
      <c r="BP1406" s="726"/>
      <c r="BQ1406" s="727"/>
      <c r="BR1406" s="299"/>
      <c r="BS1406" s="35"/>
      <c r="BT1406" s="596"/>
      <c r="BU1406" s="79"/>
      <c r="BV1406" s="212"/>
      <c r="BW1406" s="304"/>
      <c r="BX1406" s="313"/>
      <c r="BY1406" s="138"/>
    </row>
    <row r="1407" spans="1:77" ht="15" customHeight="1" outlineLevel="1" x14ac:dyDescent="0.2">
      <c r="A1407" s="583" t="s">
        <v>24</v>
      </c>
      <c r="B1407" s="583" t="s">
        <v>477</v>
      </c>
      <c r="C1407" s="162" t="s">
        <v>1856</v>
      </c>
      <c r="D1407" s="546">
        <v>28.963999999999999</v>
      </c>
      <c r="E1407" s="162" t="s">
        <v>631</v>
      </c>
      <c r="F1407" s="358"/>
      <c r="G1407" s="65"/>
      <c r="H1407" s="73"/>
      <c r="I1407" s="90">
        <v>2004</v>
      </c>
      <c r="J1407" s="73"/>
      <c r="K1407" s="734">
        <v>9.9484000000000003E-2</v>
      </c>
      <c r="L1407" s="717"/>
      <c r="M1407" s="73"/>
      <c r="N1407" s="359"/>
      <c r="O1407" s="1041"/>
      <c r="P1407" s="73"/>
      <c r="Q1407" s="359"/>
      <c r="R1407" s="1041"/>
      <c r="S1407" s="73"/>
      <c r="T1407" s="359"/>
      <c r="U1407" s="73"/>
      <c r="V1407" s="66"/>
      <c r="W1407" s="740">
        <f t="shared" ref="W1407" si="1225">AA1407*(1+AB1407)</f>
        <v>7.3618159999999997E-5</v>
      </c>
      <c r="X1407" s="741">
        <f t="shared" ref="X1407" si="1226">AA1407*(1+AC1407)</f>
        <v>7.3618159999999997E-5</v>
      </c>
      <c r="Y1407" s="52">
        <v>2004</v>
      </c>
      <c r="Z1407" s="52"/>
      <c r="AA1407" s="739">
        <f>+K1407/1000</f>
        <v>9.9483999999999998E-5</v>
      </c>
      <c r="AB1407" s="256">
        <v>-0.26</v>
      </c>
      <c r="AC1407" s="688">
        <f t="shared" si="1185"/>
        <v>-0.26</v>
      </c>
      <c r="AD1407" s="164"/>
      <c r="AE1407" s="164"/>
      <c r="AF1407" s="25"/>
      <c r="AG1407" s="26"/>
      <c r="AH1407" s="275"/>
      <c r="AI1407" s="52"/>
      <c r="AJ1407" s="35"/>
      <c r="AK1407" s="289"/>
      <c r="AL1407" s="290"/>
      <c r="AM1407" s="211"/>
      <c r="AN1407" s="164"/>
      <c r="AO1407" s="594"/>
      <c r="AP1407" s="595"/>
      <c r="AQ1407" s="275"/>
      <c r="AR1407" s="52"/>
      <c r="AS1407" s="596"/>
      <c r="AT1407" s="79"/>
      <c r="AU1407" s="212"/>
      <c r="AV1407" s="164"/>
      <c r="AW1407" s="164"/>
      <c r="AX1407" s="76"/>
      <c r="AY1407" s="44"/>
      <c r="AZ1407" s="275"/>
      <c r="BA1407" s="52"/>
      <c r="BB1407" s="35"/>
      <c r="BC1407" s="79"/>
      <c r="BD1407" s="230"/>
      <c r="BE1407" s="211"/>
      <c r="BF1407" s="164"/>
      <c r="BG1407" s="76"/>
      <c r="BH1407" s="44"/>
      <c r="BI1407" s="275"/>
      <c r="BJ1407" s="52"/>
      <c r="BK1407" s="35"/>
      <c r="BL1407" s="79"/>
      <c r="BM1407" s="230"/>
      <c r="BN1407" s="211"/>
      <c r="BO1407" s="164"/>
      <c r="BP1407" s="726"/>
      <c r="BQ1407" s="727"/>
      <c r="BR1407" s="299"/>
      <c r="BS1407" s="35"/>
      <c r="BT1407" s="596"/>
      <c r="BU1407" s="79"/>
      <c r="BV1407" s="212"/>
      <c r="BW1407" s="304"/>
      <c r="BX1407" s="313"/>
      <c r="BY1407" s="138"/>
    </row>
    <row r="1408" spans="1:77" ht="15" customHeight="1" outlineLevel="1" x14ac:dyDescent="0.2">
      <c r="A1408" s="583" t="s">
        <v>24</v>
      </c>
      <c r="B1408" s="583"/>
      <c r="C1408" s="583" t="s">
        <v>2061</v>
      </c>
      <c r="D1408" s="818">
        <v>1.617</v>
      </c>
      <c r="E1408" s="162" t="s">
        <v>631</v>
      </c>
      <c r="F1408" s="358"/>
      <c r="G1408" s="65"/>
      <c r="H1408" s="73"/>
      <c r="I1408" s="90"/>
      <c r="J1408" s="73"/>
      <c r="K1408" s="790"/>
      <c r="L1408" s="717">
        <v>2009</v>
      </c>
      <c r="M1408" s="73"/>
      <c r="N1408" s="359">
        <v>5.4669999999999996E-3</v>
      </c>
      <c r="O1408" s="1041"/>
      <c r="P1408" s="73"/>
      <c r="Q1408" s="359"/>
      <c r="R1408" s="1041"/>
      <c r="S1408" s="73"/>
      <c r="T1408" s="359"/>
      <c r="U1408" s="73"/>
      <c r="V1408" s="66"/>
      <c r="W1408" s="808">
        <f t="shared" ref="W1408" si="1227">AA1408*(1+AB1408)</f>
        <v>3.8815699999999998E-6</v>
      </c>
      <c r="X1408" s="809">
        <f t="shared" ref="X1408" si="1228">AA1408*(1+AC1408)</f>
        <v>3.8815699999999998E-6</v>
      </c>
      <c r="Y1408" s="52">
        <v>2009</v>
      </c>
      <c r="Z1408" s="52"/>
      <c r="AA1408" s="787">
        <f>+N1408/1000</f>
        <v>5.4669999999999995E-6</v>
      </c>
      <c r="AB1408" s="256">
        <v>-0.28999999999999998</v>
      </c>
      <c r="AC1408" s="688">
        <f t="shared" si="1168"/>
        <v>-0.28999999999999998</v>
      </c>
      <c r="AD1408" s="164"/>
      <c r="AE1408" s="164"/>
      <c r="AF1408" s="25"/>
      <c r="AG1408" s="26"/>
      <c r="AH1408" s="275"/>
      <c r="AI1408" s="52"/>
      <c r="AJ1408" s="35"/>
      <c r="AK1408" s="289"/>
      <c r="AL1408" s="290"/>
      <c r="AM1408" s="211"/>
      <c r="AN1408" s="164"/>
      <c r="AO1408" s="594"/>
      <c r="AP1408" s="595"/>
      <c r="AQ1408" s="275"/>
      <c r="AR1408" s="52"/>
      <c r="AS1408" s="596"/>
      <c r="AT1408" s="79"/>
      <c r="AU1408" s="212"/>
      <c r="AV1408" s="164"/>
      <c r="AW1408" s="164"/>
      <c r="AX1408" s="76"/>
      <c r="AY1408" s="44"/>
      <c r="AZ1408" s="275"/>
      <c r="BA1408" s="52"/>
      <c r="BB1408" s="35"/>
      <c r="BC1408" s="79"/>
      <c r="BD1408" s="230"/>
      <c r="BE1408" s="211"/>
      <c r="BF1408" s="164"/>
      <c r="BG1408" s="76"/>
      <c r="BH1408" s="44"/>
      <c r="BI1408" s="275"/>
      <c r="BJ1408" s="52"/>
      <c r="BK1408" s="35"/>
      <c r="BL1408" s="79"/>
      <c r="BM1408" s="230"/>
      <c r="BN1408" s="211"/>
      <c r="BO1408" s="164"/>
      <c r="BP1408" s="726"/>
      <c r="BQ1408" s="727"/>
      <c r="BR1408" s="299"/>
      <c r="BS1408" s="35"/>
      <c r="BT1408" s="596"/>
      <c r="BU1408" s="79"/>
      <c r="BV1408" s="212"/>
      <c r="BW1408" s="304"/>
      <c r="BX1408" s="313"/>
      <c r="BY1408" s="138"/>
    </row>
    <row r="1409" spans="1:77" ht="15" customHeight="1" outlineLevel="1" x14ac:dyDescent="0.2">
      <c r="A1409" s="583" t="s">
        <v>24</v>
      </c>
      <c r="B1409" s="583"/>
      <c r="C1409" s="583" t="s">
        <v>1808</v>
      </c>
      <c r="D1409" s="818">
        <v>0.36799999999999999</v>
      </c>
      <c r="E1409" s="162" t="s">
        <v>631</v>
      </c>
      <c r="F1409" s="358"/>
      <c r="G1409" s="65"/>
      <c r="H1409" s="73"/>
      <c r="I1409" s="90"/>
      <c r="J1409" s="73"/>
      <c r="K1409" s="790">
        <v>1.3320000000000001E-3</v>
      </c>
      <c r="L1409" s="717"/>
      <c r="M1409" s="73"/>
      <c r="N1409" s="359"/>
      <c r="O1409" s="1041"/>
      <c r="P1409" s="73"/>
      <c r="Q1409" s="359"/>
      <c r="R1409" s="1041"/>
      <c r="S1409" s="73"/>
      <c r="T1409" s="359"/>
      <c r="U1409" s="73"/>
      <c r="V1409" s="66"/>
      <c r="W1409" s="808">
        <f t="shared" ref="W1409" si="1229">AA1409*(1+AB1409)</f>
        <v>9.9900000000000009E-7</v>
      </c>
      <c r="X1409" s="809">
        <f t="shared" ref="X1409" si="1230">AA1409*(1+AC1409)</f>
        <v>9.9900000000000009E-7</v>
      </c>
      <c r="Y1409" s="52">
        <v>2005</v>
      </c>
      <c r="Z1409" s="52"/>
      <c r="AA1409" s="787">
        <f t="shared" si="1167"/>
        <v>1.3320000000000001E-6</v>
      </c>
      <c r="AB1409" s="256">
        <v>-0.25</v>
      </c>
      <c r="AC1409" s="688">
        <f t="shared" si="1168"/>
        <v>-0.25</v>
      </c>
      <c r="AD1409" s="164"/>
      <c r="AE1409" s="164"/>
      <c r="AF1409" s="25"/>
      <c r="AG1409" s="26"/>
      <c r="AH1409" s="275"/>
      <c r="AI1409" s="52"/>
      <c r="AJ1409" s="35"/>
      <c r="AK1409" s="289"/>
      <c r="AL1409" s="290"/>
      <c r="AM1409" s="211"/>
      <c r="AN1409" s="164"/>
      <c r="AO1409" s="594"/>
      <c r="AP1409" s="595"/>
      <c r="AQ1409" s="275"/>
      <c r="AR1409" s="52"/>
      <c r="AS1409" s="596"/>
      <c r="AT1409" s="79"/>
      <c r="AU1409" s="212"/>
      <c r="AV1409" s="164"/>
      <c r="AW1409" s="164"/>
      <c r="AX1409" s="76"/>
      <c r="AY1409" s="44"/>
      <c r="AZ1409" s="275"/>
      <c r="BA1409" s="52"/>
      <c r="BB1409" s="35"/>
      <c r="BC1409" s="79"/>
      <c r="BD1409" s="230"/>
      <c r="BE1409" s="211"/>
      <c r="BF1409" s="164"/>
      <c r="BG1409" s="76"/>
      <c r="BH1409" s="44"/>
      <c r="BI1409" s="275"/>
      <c r="BJ1409" s="52"/>
      <c r="BK1409" s="35"/>
      <c r="BL1409" s="79"/>
      <c r="BM1409" s="230"/>
      <c r="BN1409" s="211"/>
      <c r="BO1409" s="164"/>
      <c r="BP1409" s="726"/>
      <c r="BQ1409" s="727"/>
      <c r="BR1409" s="299"/>
      <c r="BS1409" s="35"/>
      <c r="BT1409" s="596"/>
      <c r="BU1409" s="79"/>
      <c r="BV1409" s="212"/>
      <c r="BW1409" s="304"/>
      <c r="BX1409" s="313"/>
      <c r="BY1409" s="138"/>
    </row>
    <row r="1410" spans="1:77" ht="15" customHeight="1" outlineLevel="1" x14ac:dyDescent="0.2">
      <c r="A1410" s="583" t="s">
        <v>24</v>
      </c>
      <c r="B1410" s="583"/>
      <c r="C1410" s="583" t="s">
        <v>2839</v>
      </c>
      <c r="D1410" s="818">
        <v>29.661999999999999</v>
      </c>
      <c r="E1410" s="162" t="s">
        <v>631</v>
      </c>
      <c r="F1410" s="358"/>
      <c r="G1410" s="65"/>
      <c r="H1410" s="73"/>
      <c r="I1410" s="90"/>
      <c r="J1410" s="73"/>
      <c r="K1410" s="790"/>
      <c r="L1410" s="717"/>
      <c r="M1410" s="73"/>
      <c r="N1410" s="786">
        <v>9.1642000000000001E-2</v>
      </c>
      <c r="O1410" s="1041"/>
      <c r="P1410" s="73"/>
      <c r="Q1410" s="359"/>
      <c r="R1410" s="1041"/>
      <c r="S1410" s="73"/>
      <c r="T1410" s="359"/>
      <c r="U1410" s="73"/>
      <c r="V1410" s="66"/>
      <c r="W1410" s="808"/>
      <c r="X1410" s="809"/>
      <c r="Y1410" s="52"/>
      <c r="Z1410" s="52"/>
      <c r="AA1410" s="787"/>
      <c r="AB1410" s="256"/>
      <c r="AC1410" s="688"/>
      <c r="AD1410" s="164"/>
      <c r="AE1410" s="164"/>
      <c r="AF1410" s="25"/>
      <c r="AG1410" s="26"/>
      <c r="AH1410" s="275"/>
      <c r="AI1410" s="52"/>
      <c r="AJ1410" s="35"/>
      <c r="AK1410" s="289"/>
      <c r="AL1410" s="290"/>
      <c r="AM1410" s="211"/>
      <c r="AN1410" s="164"/>
      <c r="AO1410" s="594"/>
      <c r="AP1410" s="805">
        <f>AS1410*(1+AU1410)</f>
        <v>5.3967973799999999E-2</v>
      </c>
      <c r="AQ1410" s="275">
        <v>2010</v>
      </c>
      <c r="AR1410" s="52"/>
      <c r="AS1410" s="35">
        <f>+N1410</f>
        <v>9.1642000000000001E-2</v>
      </c>
      <c r="AT1410" s="79">
        <v>-0.41110000000000002</v>
      </c>
      <c r="AU1410" s="212">
        <f>AT1410</f>
        <v>-0.41110000000000002</v>
      </c>
      <c r="AV1410" s="164"/>
      <c r="AW1410" s="164"/>
      <c r="AX1410" s="76"/>
      <c r="AY1410" s="44"/>
      <c r="AZ1410" s="275"/>
      <c r="BA1410" s="52"/>
      <c r="BB1410" s="35"/>
      <c r="BC1410" s="79"/>
      <c r="BD1410" s="230"/>
      <c r="BE1410" s="211"/>
      <c r="BF1410" s="164"/>
      <c r="BG1410" s="76"/>
      <c r="BH1410" s="44"/>
      <c r="BI1410" s="275"/>
      <c r="BJ1410" s="52"/>
      <c r="BK1410" s="35"/>
      <c r="BL1410" s="79"/>
      <c r="BM1410" s="230"/>
      <c r="BN1410" s="211"/>
      <c r="BO1410" s="164"/>
      <c r="BP1410" s="726"/>
      <c r="BQ1410" s="727"/>
      <c r="BR1410" s="299"/>
      <c r="BS1410" s="35"/>
      <c r="BT1410" s="596"/>
      <c r="BU1410" s="79"/>
      <c r="BV1410" s="212"/>
      <c r="BW1410" s="304"/>
      <c r="BX1410" s="313"/>
      <c r="BY1410" s="138"/>
    </row>
    <row r="1411" spans="1:77" ht="15" customHeight="1" outlineLevel="1" x14ac:dyDescent="0.2">
      <c r="A1411" s="583" t="s">
        <v>24</v>
      </c>
      <c r="B1411" s="583"/>
      <c r="C1411" s="583" t="s">
        <v>2002</v>
      </c>
      <c r="D1411" s="546">
        <v>5.2530000000000001</v>
      </c>
      <c r="E1411" s="162" t="s">
        <v>631</v>
      </c>
      <c r="F1411" s="358"/>
      <c r="G1411" s="65"/>
      <c r="H1411" s="73"/>
      <c r="I1411" s="90"/>
      <c r="J1411" s="73"/>
      <c r="K1411" s="813">
        <v>1.6674000000000001E-2</v>
      </c>
      <c r="L1411" s="717"/>
      <c r="M1411" s="73"/>
      <c r="N1411" s="359"/>
      <c r="O1411" s="1041"/>
      <c r="P1411" s="73"/>
      <c r="Q1411" s="359"/>
      <c r="R1411" s="1041"/>
      <c r="S1411" s="73"/>
      <c r="T1411" s="359"/>
      <c r="U1411" s="73"/>
      <c r="V1411" s="66"/>
      <c r="W1411" s="740">
        <f>AA1411*(1+AB1411)</f>
        <v>1.2005279999999999E-5</v>
      </c>
      <c r="X1411" s="741">
        <f>AA1411*(1+AC1411)</f>
        <v>1.2005279999999999E-5</v>
      </c>
      <c r="Y1411" s="52">
        <v>2005</v>
      </c>
      <c r="Z1411" s="52"/>
      <c r="AA1411" s="739">
        <f>+K1411/1000</f>
        <v>1.6674E-5</v>
      </c>
      <c r="AB1411" s="256">
        <v>-0.28000000000000003</v>
      </c>
      <c r="AC1411" s="688">
        <f>AB1411</f>
        <v>-0.28000000000000003</v>
      </c>
      <c r="AD1411" s="164"/>
      <c r="AE1411" s="164"/>
      <c r="AF1411" s="25"/>
      <c r="AG1411" s="26"/>
      <c r="AH1411" s="275"/>
      <c r="AI1411" s="52"/>
      <c r="AJ1411" s="35"/>
      <c r="AK1411" s="289"/>
      <c r="AL1411" s="290"/>
      <c r="AM1411" s="211"/>
      <c r="AN1411" s="164"/>
      <c r="AO1411" s="594"/>
      <c r="AP1411" s="595"/>
      <c r="AQ1411" s="275"/>
      <c r="AR1411" s="52"/>
      <c r="AS1411" s="596"/>
      <c r="AT1411" s="79"/>
      <c r="AU1411" s="212"/>
      <c r="AV1411" s="164"/>
      <c r="AW1411" s="164"/>
      <c r="AX1411" s="76"/>
      <c r="AY1411" s="44"/>
      <c r="AZ1411" s="275"/>
      <c r="BA1411" s="52"/>
      <c r="BB1411" s="35"/>
      <c r="BC1411" s="79"/>
      <c r="BD1411" s="230"/>
      <c r="BE1411" s="211"/>
      <c r="BF1411" s="164"/>
      <c r="BG1411" s="76"/>
      <c r="BH1411" s="44"/>
      <c r="BI1411" s="275"/>
      <c r="BJ1411" s="52"/>
      <c r="BK1411" s="35"/>
      <c r="BL1411" s="79"/>
      <c r="BM1411" s="230"/>
      <c r="BN1411" s="211"/>
      <c r="BO1411" s="164"/>
      <c r="BP1411" s="726"/>
      <c r="BQ1411" s="727"/>
      <c r="BR1411" s="299"/>
      <c r="BS1411" s="35"/>
      <c r="BT1411" s="596"/>
      <c r="BU1411" s="79"/>
      <c r="BV1411" s="212"/>
      <c r="BW1411" s="304"/>
      <c r="BX1411" s="313"/>
      <c r="BY1411" s="138"/>
    </row>
    <row r="1412" spans="1:77" ht="15" customHeight="1" outlineLevel="1" x14ac:dyDescent="0.2">
      <c r="A1412" s="583" t="s">
        <v>24</v>
      </c>
      <c r="B1412" s="583"/>
      <c r="C1412" s="583" t="s">
        <v>2660</v>
      </c>
      <c r="D1412" s="546">
        <v>1.1599999999999999</v>
      </c>
      <c r="E1412" s="162" t="s">
        <v>631</v>
      </c>
      <c r="F1412" s="358"/>
      <c r="G1412" s="65"/>
      <c r="H1412" s="73"/>
      <c r="I1412" s="90"/>
      <c r="J1412" s="73"/>
      <c r="K1412" s="813"/>
      <c r="L1412" s="717">
        <v>2008</v>
      </c>
      <c r="M1412" s="73"/>
      <c r="N1412" s="738">
        <v>0.102505</v>
      </c>
      <c r="O1412" s="1041"/>
      <c r="P1412" s="73"/>
      <c r="Q1412" s="359"/>
      <c r="R1412" s="1041"/>
      <c r="S1412" s="73"/>
      <c r="T1412" s="359"/>
      <c r="U1412" s="73"/>
      <c r="V1412" s="66"/>
      <c r="W1412" s="740">
        <f>AA1412*(1+AB1412)</f>
        <v>6.8678349999999993E-5</v>
      </c>
      <c r="X1412" s="741">
        <f>AA1412*(1+AC1412)</f>
        <v>6.8678349999999993E-5</v>
      </c>
      <c r="Y1412" s="52">
        <v>2008</v>
      </c>
      <c r="Z1412" s="52"/>
      <c r="AA1412" s="739">
        <f>+N1412/1000</f>
        <v>1.02505E-4</v>
      </c>
      <c r="AB1412" s="256">
        <v>-0.33</v>
      </c>
      <c r="AC1412" s="688">
        <f>AB1412</f>
        <v>-0.33</v>
      </c>
      <c r="AD1412" s="164"/>
      <c r="AE1412" s="164"/>
      <c r="AF1412" s="25"/>
      <c r="AG1412" s="26"/>
      <c r="AH1412" s="275"/>
      <c r="AI1412" s="52"/>
      <c r="AJ1412" s="35"/>
      <c r="AK1412" s="289"/>
      <c r="AL1412" s="290"/>
      <c r="AM1412" s="211"/>
      <c r="AN1412" s="164"/>
      <c r="AO1412" s="594"/>
      <c r="AP1412" s="595"/>
      <c r="AQ1412" s="275"/>
      <c r="AR1412" s="52"/>
      <c r="AS1412" s="596"/>
      <c r="AT1412" s="79"/>
      <c r="AU1412" s="212"/>
      <c r="AV1412" s="164"/>
      <c r="AW1412" s="164"/>
      <c r="AX1412" s="76"/>
      <c r="AY1412" s="44"/>
      <c r="AZ1412" s="275"/>
      <c r="BA1412" s="52"/>
      <c r="BB1412" s="35"/>
      <c r="BC1412" s="79"/>
      <c r="BD1412" s="230"/>
      <c r="BE1412" s="211"/>
      <c r="BF1412" s="164"/>
      <c r="BG1412" s="76"/>
      <c r="BH1412" s="44"/>
      <c r="BI1412" s="275"/>
      <c r="BJ1412" s="52"/>
      <c r="BK1412" s="35"/>
      <c r="BL1412" s="79"/>
      <c r="BM1412" s="230"/>
      <c r="BN1412" s="211"/>
      <c r="BO1412" s="164"/>
      <c r="BP1412" s="726"/>
      <c r="BQ1412" s="727"/>
      <c r="BR1412" s="299"/>
      <c r="BS1412" s="35"/>
      <c r="BT1412" s="596"/>
      <c r="BU1412" s="79"/>
      <c r="BV1412" s="212"/>
      <c r="BW1412" s="304"/>
      <c r="BX1412" s="313"/>
      <c r="BY1412" s="138"/>
    </row>
    <row r="1413" spans="1:77" ht="15" customHeight="1" outlineLevel="1" x14ac:dyDescent="0.2">
      <c r="A1413" s="583" t="s">
        <v>24</v>
      </c>
      <c r="B1413" s="583"/>
      <c r="C1413" s="583" t="s">
        <v>2659</v>
      </c>
      <c r="D1413" s="546">
        <v>5.359</v>
      </c>
      <c r="E1413" s="162" t="s">
        <v>631</v>
      </c>
      <c r="F1413" s="358"/>
      <c r="G1413" s="65"/>
      <c r="H1413" s="73"/>
      <c r="I1413" s="90"/>
      <c r="J1413" s="73"/>
      <c r="K1413" s="813"/>
      <c r="L1413" s="717">
        <v>2008</v>
      </c>
      <c r="M1413" s="73"/>
      <c r="N1413" s="786">
        <v>5.1949000000000002E-2</v>
      </c>
      <c r="O1413" s="1041"/>
      <c r="P1413" s="73"/>
      <c r="Q1413" s="359"/>
      <c r="R1413" s="1041"/>
      <c r="S1413" s="73"/>
      <c r="T1413" s="359"/>
      <c r="U1413" s="73"/>
      <c r="V1413" s="66"/>
      <c r="W1413" s="740">
        <f>AA1413*(1+AB1413)</f>
        <v>3.688379E-5</v>
      </c>
      <c r="X1413" s="741">
        <f>AA1413*(1+AC1413)</f>
        <v>3.688379E-5</v>
      </c>
      <c r="Y1413" s="52">
        <v>2008</v>
      </c>
      <c r="Z1413" s="52"/>
      <c r="AA1413" s="739">
        <f>+N1413/1000</f>
        <v>5.1949E-5</v>
      </c>
      <c r="AB1413" s="256">
        <v>-0.28999999999999998</v>
      </c>
      <c r="AC1413" s="688">
        <f>AB1413</f>
        <v>-0.28999999999999998</v>
      </c>
      <c r="AD1413" s="164"/>
      <c r="AE1413" s="164"/>
      <c r="AF1413" s="25"/>
      <c r="AG1413" s="26"/>
      <c r="AH1413" s="275"/>
      <c r="AI1413" s="52"/>
      <c r="AJ1413" s="35"/>
      <c r="AK1413" s="289"/>
      <c r="AL1413" s="290"/>
      <c r="AM1413" s="211"/>
      <c r="AN1413" s="164"/>
      <c r="AO1413" s="594"/>
      <c r="AP1413" s="595"/>
      <c r="AQ1413" s="275"/>
      <c r="AR1413" s="52"/>
      <c r="AS1413" s="596"/>
      <c r="AT1413" s="79"/>
      <c r="AU1413" s="212"/>
      <c r="AV1413" s="164"/>
      <c r="AW1413" s="164"/>
      <c r="AX1413" s="76"/>
      <c r="AY1413" s="44"/>
      <c r="AZ1413" s="275"/>
      <c r="BA1413" s="52"/>
      <c r="BB1413" s="35"/>
      <c r="BC1413" s="79"/>
      <c r="BD1413" s="230"/>
      <c r="BE1413" s="211"/>
      <c r="BF1413" s="164"/>
      <c r="BG1413" s="76"/>
      <c r="BH1413" s="44"/>
      <c r="BI1413" s="275"/>
      <c r="BJ1413" s="52"/>
      <c r="BK1413" s="35"/>
      <c r="BL1413" s="79"/>
      <c r="BM1413" s="230"/>
      <c r="BN1413" s="211"/>
      <c r="BO1413" s="164"/>
      <c r="BP1413" s="726"/>
      <c r="BQ1413" s="727"/>
      <c r="BR1413" s="299"/>
      <c r="BS1413" s="35"/>
      <c r="BT1413" s="596"/>
      <c r="BU1413" s="79"/>
      <c r="BV1413" s="212"/>
      <c r="BW1413" s="304"/>
      <c r="BX1413" s="313"/>
      <c r="BY1413" s="138"/>
    </row>
    <row r="1414" spans="1:77" ht="15" customHeight="1" outlineLevel="1" x14ac:dyDescent="0.2">
      <c r="A1414" s="583" t="s">
        <v>24</v>
      </c>
      <c r="B1414" s="583"/>
      <c r="C1414" s="583" t="s">
        <v>2661</v>
      </c>
      <c r="D1414" s="546">
        <v>7.8529999999999998</v>
      </c>
      <c r="E1414" s="162" t="s">
        <v>631</v>
      </c>
      <c r="F1414" s="358"/>
      <c r="G1414" s="65"/>
      <c r="H1414" s="73"/>
      <c r="I1414" s="90"/>
      <c r="J1414" s="73"/>
      <c r="K1414" s="813"/>
      <c r="L1414" s="717">
        <v>2008</v>
      </c>
      <c r="M1414" s="73"/>
      <c r="N1414" s="786">
        <v>6.9556000000000007E-2</v>
      </c>
      <c r="O1414" s="1041"/>
      <c r="P1414" s="73"/>
      <c r="Q1414" s="359"/>
      <c r="R1414" s="1041"/>
      <c r="S1414" s="73"/>
      <c r="T1414" s="359"/>
      <c r="U1414" s="73"/>
      <c r="V1414" s="66"/>
      <c r="W1414" s="740">
        <f>AA1414*(1+AB1414)</f>
        <v>5.0775880000000008E-5</v>
      </c>
      <c r="X1414" s="741">
        <f>AA1414*(1+AC1414)</f>
        <v>5.0775880000000008E-5</v>
      </c>
      <c r="Y1414" s="52">
        <v>2008</v>
      </c>
      <c r="Z1414" s="52"/>
      <c r="AA1414" s="739">
        <f>+N1414/1000</f>
        <v>6.955600000000001E-5</v>
      </c>
      <c r="AB1414" s="256">
        <v>-0.27</v>
      </c>
      <c r="AC1414" s="688">
        <f>AB1414</f>
        <v>-0.27</v>
      </c>
      <c r="AD1414" s="164"/>
      <c r="AE1414" s="164"/>
      <c r="AF1414" s="25"/>
      <c r="AG1414" s="26"/>
      <c r="AH1414" s="275"/>
      <c r="AI1414" s="52"/>
      <c r="AJ1414" s="35"/>
      <c r="AK1414" s="289"/>
      <c r="AL1414" s="290"/>
      <c r="AM1414" s="211"/>
      <c r="AN1414" s="164"/>
      <c r="AO1414" s="594"/>
      <c r="AP1414" s="595"/>
      <c r="AQ1414" s="275"/>
      <c r="AR1414" s="52"/>
      <c r="AS1414" s="596"/>
      <c r="AT1414" s="79"/>
      <c r="AU1414" s="212"/>
      <c r="AV1414" s="164"/>
      <c r="AW1414" s="164"/>
      <c r="AX1414" s="76"/>
      <c r="AY1414" s="44"/>
      <c r="AZ1414" s="275"/>
      <c r="BA1414" s="52"/>
      <c r="BB1414" s="35"/>
      <c r="BC1414" s="79"/>
      <c r="BD1414" s="230"/>
      <c r="BE1414" s="211"/>
      <c r="BF1414" s="164"/>
      <c r="BG1414" s="76"/>
      <c r="BH1414" s="44"/>
      <c r="BI1414" s="275"/>
      <c r="BJ1414" s="52"/>
      <c r="BK1414" s="35"/>
      <c r="BL1414" s="79"/>
      <c r="BM1414" s="230"/>
      <c r="BN1414" s="211"/>
      <c r="BO1414" s="164"/>
      <c r="BP1414" s="726"/>
      <c r="BQ1414" s="727"/>
      <c r="BR1414" s="299"/>
      <c r="BS1414" s="35"/>
      <c r="BT1414" s="596"/>
      <c r="BU1414" s="79"/>
      <c r="BV1414" s="212"/>
      <c r="BW1414" s="304"/>
      <c r="BX1414" s="313"/>
      <c r="BY1414" s="138"/>
    </row>
    <row r="1415" spans="1:77" ht="15" customHeight="1" outlineLevel="1" x14ac:dyDescent="0.2">
      <c r="A1415" s="583" t="s">
        <v>24</v>
      </c>
      <c r="B1415" s="583"/>
      <c r="C1415" s="583" t="s">
        <v>2416</v>
      </c>
      <c r="D1415" s="546"/>
      <c r="E1415" s="162" t="s">
        <v>631</v>
      </c>
      <c r="F1415" s="358"/>
      <c r="G1415" s="65"/>
      <c r="H1415" s="73"/>
      <c r="I1415" s="90">
        <v>2007</v>
      </c>
      <c r="J1415" s="73"/>
      <c r="K1415" s="813">
        <v>7.9950000000000004E-3</v>
      </c>
      <c r="L1415" s="717"/>
      <c r="M1415" s="73"/>
      <c r="N1415" s="359"/>
      <c r="O1415" s="1041"/>
      <c r="P1415" s="73"/>
      <c r="Q1415" s="359"/>
      <c r="R1415" s="1041"/>
      <c r="S1415" s="73"/>
      <c r="T1415" s="359"/>
      <c r="U1415" s="73"/>
      <c r="V1415" s="66"/>
      <c r="W1415" s="788">
        <f>AA1415*(1+AB1415)</f>
        <v>4.2373500000000002E-6</v>
      </c>
      <c r="X1415" s="789">
        <f>AA1415*(1+AC1415)</f>
        <v>4.2373500000000002E-6</v>
      </c>
      <c r="Y1415" s="52">
        <v>2007</v>
      </c>
      <c r="Z1415" s="52"/>
      <c r="AA1415" s="787">
        <f>+K1415/1000</f>
        <v>7.9950000000000005E-6</v>
      </c>
      <c r="AB1415" s="256">
        <v>-0.47</v>
      </c>
      <c r="AC1415" s="688">
        <f>AB1415</f>
        <v>-0.47</v>
      </c>
      <c r="AD1415" s="164"/>
      <c r="AE1415" s="164"/>
      <c r="AF1415" s="25"/>
      <c r="AG1415" s="26"/>
      <c r="AH1415" s="275"/>
      <c r="AI1415" s="52"/>
      <c r="AJ1415" s="35"/>
      <c r="AK1415" s="289"/>
      <c r="AL1415" s="290"/>
      <c r="AM1415" s="211"/>
      <c r="AN1415" s="164"/>
      <c r="AO1415" s="594"/>
      <c r="AP1415" s="595"/>
      <c r="AQ1415" s="275"/>
      <c r="AR1415" s="52"/>
      <c r="AS1415" s="596"/>
      <c r="AT1415" s="79"/>
      <c r="AU1415" s="212"/>
      <c r="AV1415" s="164"/>
      <c r="AW1415" s="164"/>
      <c r="AX1415" s="76"/>
      <c r="AY1415" s="44"/>
      <c r="AZ1415" s="275"/>
      <c r="BA1415" s="52"/>
      <c r="BB1415" s="35"/>
      <c r="BC1415" s="79"/>
      <c r="BD1415" s="230"/>
      <c r="BE1415" s="211"/>
      <c r="BF1415" s="164"/>
      <c r="BG1415" s="76"/>
      <c r="BH1415" s="44"/>
      <c r="BI1415" s="275"/>
      <c r="BJ1415" s="52"/>
      <c r="BK1415" s="35"/>
      <c r="BL1415" s="79"/>
      <c r="BM1415" s="230"/>
      <c r="BN1415" s="211"/>
      <c r="BO1415" s="164"/>
      <c r="BP1415" s="726"/>
      <c r="BQ1415" s="727"/>
      <c r="BR1415" s="299"/>
      <c r="BS1415" s="35"/>
      <c r="BT1415" s="596"/>
      <c r="BU1415" s="79"/>
      <c r="BV1415" s="212"/>
      <c r="BW1415" s="304"/>
      <c r="BX1415" s="313"/>
      <c r="BY1415" s="138"/>
    </row>
    <row r="1416" spans="1:77" ht="15" customHeight="1" outlineLevel="1" x14ac:dyDescent="0.2">
      <c r="A1416" s="583" t="s">
        <v>24</v>
      </c>
      <c r="B1416" s="583"/>
      <c r="C1416" s="583" t="s">
        <v>1822</v>
      </c>
      <c r="D1416" s="546">
        <v>3.6829999999999998</v>
      </c>
      <c r="E1416" s="162" t="s">
        <v>631</v>
      </c>
      <c r="F1416" s="358"/>
      <c r="G1416" s="65"/>
      <c r="H1416" s="73"/>
      <c r="I1416" s="90"/>
      <c r="J1416" s="73"/>
      <c r="K1416" s="813"/>
      <c r="L1416" s="717">
        <v>2009</v>
      </c>
      <c r="M1416" s="73"/>
      <c r="N1416" s="786">
        <v>1.2244E-2</v>
      </c>
      <c r="O1416" s="1041"/>
      <c r="P1416" s="73"/>
      <c r="Q1416" s="786"/>
      <c r="R1416" s="1041"/>
      <c r="S1416" s="73"/>
      <c r="T1416" s="786"/>
      <c r="U1416" s="73"/>
      <c r="V1416" s="66"/>
      <c r="W1416" s="740">
        <f t="shared" ref="W1416" si="1231">AA1416*(1+AB1416)</f>
        <v>9.0605599999999999E-6</v>
      </c>
      <c r="X1416" s="741">
        <f t="shared" ref="X1416" si="1232">AA1416*(1+AC1416)</f>
        <v>9.0605599999999999E-6</v>
      </c>
      <c r="Y1416" s="52">
        <v>2009</v>
      </c>
      <c r="Z1416" s="52"/>
      <c r="AA1416" s="739">
        <f>+N1416/1000</f>
        <v>1.2244E-5</v>
      </c>
      <c r="AB1416" s="256">
        <v>-0.26</v>
      </c>
      <c r="AC1416" s="688">
        <f t="shared" si="1168"/>
        <v>-0.26</v>
      </c>
      <c r="AD1416" s="164"/>
      <c r="AE1416" s="164"/>
      <c r="AF1416" s="25"/>
      <c r="AG1416" s="26"/>
      <c r="AH1416" s="275"/>
      <c r="AI1416" s="52"/>
      <c r="AJ1416" s="35"/>
      <c r="AK1416" s="289"/>
      <c r="AL1416" s="290"/>
      <c r="AM1416" s="211"/>
      <c r="AN1416" s="164"/>
      <c r="AO1416" s="594"/>
      <c r="AP1416" s="595"/>
      <c r="AQ1416" s="275"/>
      <c r="AR1416" s="52"/>
      <c r="AS1416" s="596"/>
      <c r="AT1416" s="79"/>
      <c r="AU1416" s="212"/>
      <c r="AV1416" s="164"/>
      <c r="AW1416" s="164"/>
      <c r="AX1416" s="76"/>
      <c r="AY1416" s="44"/>
      <c r="AZ1416" s="275"/>
      <c r="BA1416" s="52"/>
      <c r="BB1416" s="35"/>
      <c r="BC1416" s="79"/>
      <c r="BD1416" s="230"/>
      <c r="BE1416" s="211"/>
      <c r="BF1416" s="164"/>
      <c r="BG1416" s="76"/>
      <c r="BH1416" s="44"/>
      <c r="BI1416" s="275"/>
      <c r="BJ1416" s="52"/>
      <c r="BK1416" s="35"/>
      <c r="BL1416" s="79"/>
      <c r="BM1416" s="230"/>
      <c r="BN1416" s="211"/>
      <c r="BO1416" s="164"/>
      <c r="BP1416" s="726"/>
      <c r="BQ1416" s="727"/>
      <c r="BR1416" s="299"/>
      <c r="BS1416" s="35"/>
      <c r="BT1416" s="596"/>
      <c r="BU1416" s="79"/>
      <c r="BV1416" s="212"/>
      <c r="BW1416" s="304"/>
      <c r="BX1416" s="313"/>
      <c r="BY1416" s="138"/>
    </row>
    <row r="1417" spans="1:77" ht="15" customHeight="1" outlineLevel="1" x14ac:dyDescent="0.2">
      <c r="A1417" s="583" t="s">
        <v>24</v>
      </c>
      <c r="B1417" s="583"/>
      <c r="C1417" s="583" t="s">
        <v>1730</v>
      </c>
      <c r="D1417" s="546">
        <v>40.5</v>
      </c>
      <c r="E1417" s="162" t="s">
        <v>631</v>
      </c>
      <c r="F1417" s="358"/>
      <c r="G1417" s="65"/>
      <c r="H1417" s="73"/>
      <c r="I1417" s="90">
        <v>2004</v>
      </c>
      <c r="J1417" s="73"/>
      <c r="K1417" s="813">
        <v>0.176759</v>
      </c>
      <c r="L1417" s="717"/>
      <c r="M1417" s="73"/>
      <c r="N1417" s="359"/>
      <c r="O1417" s="1041"/>
      <c r="P1417" s="73"/>
      <c r="Q1417" s="359"/>
      <c r="R1417" s="1041"/>
      <c r="S1417" s="73"/>
      <c r="T1417" s="359"/>
      <c r="U1417" s="73"/>
      <c r="V1417" s="66"/>
      <c r="W1417" s="740">
        <f t="shared" ref="W1417" si="1233">AA1417*(1+AB1417)</f>
        <v>1.3256925E-4</v>
      </c>
      <c r="X1417" s="741">
        <f t="shared" ref="X1417" si="1234">AA1417*(1+AC1417)</f>
        <v>1.3256925E-4</v>
      </c>
      <c r="Y1417" s="52">
        <v>2004</v>
      </c>
      <c r="Z1417" s="52"/>
      <c r="AA1417" s="739">
        <f t="shared" si="1167"/>
        <v>1.7675899999999999E-4</v>
      </c>
      <c r="AB1417" s="256">
        <v>-0.25</v>
      </c>
      <c r="AC1417" s="688">
        <f t="shared" si="1168"/>
        <v>-0.25</v>
      </c>
      <c r="AD1417" s="164"/>
      <c r="AE1417" s="164"/>
      <c r="AF1417" s="25"/>
      <c r="AG1417" s="26"/>
      <c r="AH1417" s="275"/>
      <c r="AI1417" s="52"/>
      <c r="AJ1417" s="35"/>
      <c r="AK1417" s="289"/>
      <c r="AL1417" s="290"/>
      <c r="AM1417" s="211"/>
      <c r="AN1417" s="164"/>
      <c r="AO1417" s="594"/>
      <c r="AP1417" s="595"/>
      <c r="AQ1417" s="275"/>
      <c r="AR1417" s="52"/>
      <c r="AS1417" s="596"/>
      <c r="AT1417" s="79"/>
      <c r="AU1417" s="212"/>
      <c r="AV1417" s="164"/>
      <c r="AW1417" s="164"/>
      <c r="AX1417" s="76"/>
      <c r="AY1417" s="44"/>
      <c r="AZ1417" s="275"/>
      <c r="BA1417" s="52"/>
      <c r="BB1417" s="35"/>
      <c r="BC1417" s="79"/>
      <c r="BD1417" s="230"/>
      <c r="BE1417" s="211"/>
      <c r="BF1417" s="164"/>
      <c r="BG1417" s="76"/>
      <c r="BH1417" s="44"/>
      <c r="BI1417" s="275"/>
      <c r="BJ1417" s="52"/>
      <c r="BK1417" s="35"/>
      <c r="BL1417" s="79"/>
      <c r="BM1417" s="230"/>
      <c r="BN1417" s="211"/>
      <c r="BO1417" s="164"/>
      <c r="BP1417" s="726"/>
      <c r="BQ1417" s="727"/>
      <c r="BR1417" s="299"/>
      <c r="BS1417" s="35"/>
      <c r="BT1417" s="596"/>
      <c r="BU1417" s="79"/>
      <c r="BV1417" s="212"/>
      <c r="BW1417" s="304"/>
      <c r="BX1417" s="313"/>
      <c r="BY1417" s="138"/>
    </row>
    <row r="1418" spans="1:77" ht="15" customHeight="1" outlineLevel="1" x14ac:dyDescent="0.2">
      <c r="A1418" s="583" t="s">
        <v>24</v>
      </c>
      <c r="B1418" s="583"/>
      <c r="C1418" s="583" t="s">
        <v>2841</v>
      </c>
      <c r="D1418" s="546">
        <v>5.1790000000000003</v>
      </c>
      <c r="E1418" s="162" t="s">
        <v>631</v>
      </c>
      <c r="F1418" s="358"/>
      <c r="G1418" s="65"/>
      <c r="H1418" s="73"/>
      <c r="I1418" s="90">
        <v>2006</v>
      </c>
      <c r="J1418" s="73"/>
      <c r="K1418" s="814">
        <v>2.2995000000000002E-2</v>
      </c>
      <c r="L1418" s="717"/>
      <c r="M1418" s="73"/>
      <c r="N1418" s="359"/>
      <c r="O1418" s="1041"/>
      <c r="P1418" s="73"/>
      <c r="Q1418" s="359"/>
      <c r="R1418" s="1041"/>
      <c r="S1418" s="73"/>
      <c r="T1418" s="359"/>
      <c r="U1418" s="73"/>
      <c r="V1418" s="66"/>
      <c r="W1418" s="740"/>
      <c r="X1418" s="741"/>
      <c r="Y1418" s="52"/>
      <c r="Z1418" s="52"/>
      <c r="AA1418" s="739"/>
      <c r="AB1418" s="256"/>
      <c r="AC1418" s="688"/>
      <c r="AD1418" s="164"/>
      <c r="AE1418" s="164"/>
      <c r="AF1418" s="25"/>
      <c r="AG1418" s="26"/>
      <c r="AH1418" s="275"/>
      <c r="AI1418" s="52"/>
      <c r="AJ1418" s="35"/>
      <c r="AK1418" s="289"/>
      <c r="AL1418" s="290"/>
      <c r="AM1418" s="211"/>
      <c r="AN1418" s="164"/>
      <c r="AO1418" s="788">
        <f>AP1418</f>
        <v>1.3337100000000003E-5</v>
      </c>
      <c r="AP1418" s="789">
        <f>AS1418*(1+AU1418)</f>
        <v>1.3337100000000003E-5</v>
      </c>
      <c r="AQ1418" s="275">
        <v>2006</v>
      </c>
      <c r="AR1418" s="52"/>
      <c r="AS1418" s="787">
        <f>+K1418/1000</f>
        <v>2.2995000000000003E-5</v>
      </c>
      <c r="AT1418" s="79">
        <v>-0.42</v>
      </c>
      <c r="AU1418" s="212">
        <f>AT1418</f>
        <v>-0.42</v>
      </c>
      <c r="AV1418" s="164"/>
      <c r="AW1418" s="164"/>
      <c r="AX1418" s="76"/>
      <c r="AY1418" s="44"/>
      <c r="AZ1418" s="275"/>
      <c r="BA1418" s="52"/>
      <c r="BB1418" s="35"/>
      <c r="BC1418" s="79"/>
      <c r="BD1418" s="230"/>
      <c r="BE1418" s="211"/>
      <c r="BF1418" s="164"/>
      <c r="BG1418" s="76"/>
      <c r="BH1418" s="44"/>
      <c r="BI1418" s="275"/>
      <c r="BJ1418" s="52"/>
      <c r="BK1418" s="35"/>
      <c r="BL1418" s="79"/>
      <c r="BM1418" s="230"/>
      <c r="BN1418" s="211"/>
      <c r="BO1418" s="164"/>
      <c r="BP1418" s="726"/>
      <c r="BQ1418" s="727"/>
      <c r="BR1418" s="299"/>
      <c r="BS1418" s="35"/>
      <c r="BT1418" s="596"/>
      <c r="BU1418" s="79"/>
      <c r="BV1418" s="212"/>
      <c r="BW1418" s="304"/>
      <c r="BX1418" s="313"/>
      <c r="BY1418" s="138"/>
    </row>
    <row r="1419" spans="1:77" ht="15" customHeight="1" outlineLevel="1" x14ac:dyDescent="0.2">
      <c r="A1419" s="57" t="s">
        <v>24</v>
      </c>
      <c r="B1419" s="583"/>
      <c r="C1419" s="583" t="s">
        <v>1351</v>
      </c>
      <c r="D1419" s="546">
        <v>10.484999999999999</v>
      </c>
      <c r="E1419" s="162" t="s">
        <v>631</v>
      </c>
      <c r="F1419" s="358"/>
      <c r="G1419" s="65"/>
      <c r="H1419" s="73"/>
      <c r="I1419" s="90"/>
      <c r="J1419" s="73"/>
      <c r="K1419" s="734">
        <v>3.1730000000000001E-2</v>
      </c>
      <c r="L1419" s="717"/>
      <c r="M1419" s="73"/>
      <c r="N1419" s="359"/>
      <c r="O1419" s="1041"/>
      <c r="P1419" s="73"/>
      <c r="Q1419" s="359"/>
      <c r="R1419" s="1041"/>
      <c r="S1419" s="73"/>
      <c r="T1419" s="359"/>
      <c r="U1419" s="73"/>
      <c r="V1419" s="66"/>
      <c r="W1419" s="740">
        <f t="shared" si="1165"/>
        <v>2.18937E-5</v>
      </c>
      <c r="X1419" s="741">
        <f t="shared" si="1166"/>
        <v>2.18937E-5</v>
      </c>
      <c r="Y1419" s="52">
        <v>2005</v>
      </c>
      <c r="Z1419" s="52"/>
      <c r="AA1419" s="739">
        <f t="shared" si="1167"/>
        <v>3.1730000000000003E-5</v>
      </c>
      <c r="AB1419" s="256">
        <v>-0.31</v>
      </c>
      <c r="AC1419" s="688">
        <f t="shared" si="1168"/>
        <v>-0.31</v>
      </c>
      <c r="AD1419" s="164"/>
      <c r="AE1419" s="164"/>
      <c r="AF1419" s="25"/>
      <c r="AG1419" s="26"/>
      <c r="AH1419" s="275"/>
      <c r="AI1419" s="52"/>
      <c r="AJ1419" s="35"/>
      <c r="AK1419" s="289"/>
      <c r="AL1419" s="290"/>
      <c r="AM1419" s="211"/>
      <c r="AN1419" s="164"/>
      <c r="AO1419" s="594"/>
      <c r="AP1419" s="595"/>
      <c r="AQ1419" s="275"/>
      <c r="AR1419" s="52"/>
      <c r="AS1419" s="596"/>
      <c r="AT1419" s="79"/>
      <c r="AU1419" s="212"/>
      <c r="AV1419" s="164"/>
      <c r="AW1419" s="164"/>
      <c r="AX1419" s="76"/>
      <c r="AY1419" s="44"/>
      <c r="AZ1419" s="275"/>
      <c r="BA1419" s="52"/>
      <c r="BB1419" s="35"/>
      <c r="BC1419" s="79"/>
      <c r="BD1419" s="230"/>
      <c r="BE1419" s="211"/>
      <c r="BF1419" s="164"/>
      <c r="BG1419" s="76"/>
      <c r="BH1419" s="44"/>
      <c r="BI1419" s="275"/>
      <c r="BJ1419" s="52"/>
      <c r="BK1419" s="35"/>
      <c r="BL1419" s="79"/>
      <c r="BM1419" s="230"/>
      <c r="BN1419" s="211"/>
      <c r="BO1419" s="164"/>
      <c r="BP1419" s="726"/>
      <c r="BQ1419" s="727"/>
      <c r="BR1419" s="299"/>
      <c r="BS1419" s="35"/>
      <c r="BT1419" s="596"/>
      <c r="BU1419" s="79"/>
      <c r="BV1419" s="212"/>
      <c r="BW1419" s="304"/>
      <c r="BX1419" s="313"/>
      <c r="BY1419" s="138"/>
    </row>
    <row r="1420" spans="1:77" ht="15" customHeight="1" outlineLevel="1" x14ac:dyDescent="0.2">
      <c r="A1420" s="57" t="s">
        <v>24</v>
      </c>
      <c r="B1420" s="583"/>
      <c r="C1420" s="864" t="s">
        <v>1554</v>
      </c>
      <c r="D1420" s="546">
        <v>85.438000000000002</v>
      </c>
      <c r="E1420" s="162" t="s">
        <v>631</v>
      </c>
      <c r="F1420" s="358"/>
      <c r="G1420" s="65"/>
      <c r="H1420" s="73"/>
      <c r="I1420" s="90"/>
      <c r="J1420" s="73"/>
      <c r="K1420" s="723">
        <v>0.51751999999999998</v>
      </c>
      <c r="L1420" s="717"/>
      <c r="M1420" s="73"/>
      <c r="N1420" s="359"/>
      <c r="O1420" s="1041"/>
      <c r="P1420" s="73"/>
      <c r="Q1420" s="359"/>
      <c r="R1420" s="1041"/>
      <c r="S1420" s="73"/>
      <c r="T1420" s="359"/>
      <c r="U1420" s="73"/>
      <c r="V1420" s="66"/>
      <c r="W1420" s="594">
        <f t="shared" si="1165"/>
        <v>3.2603759999999998E-4</v>
      </c>
      <c r="X1420" s="595">
        <f t="shared" si="1166"/>
        <v>3.2603759999999998E-4</v>
      </c>
      <c r="Y1420" s="52">
        <v>2005</v>
      </c>
      <c r="Z1420" s="52"/>
      <c r="AA1420" s="596">
        <f t="shared" si="1167"/>
        <v>5.1751999999999994E-4</v>
      </c>
      <c r="AB1420" s="256">
        <v>-0.37</v>
      </c>
      <c r="AC1420" s="688">
        <f t="shared" si="1168"/>
        <v>-0.37</v>
      </c>
      <c r="AD1420" s="164"/>
      <c r="AE1420" s="164"/>
      <c r="AF1420" s="25"/>
      <c r="AG1420" s="26"/>
      <c r="AH1420" s="275"/>
      <c r="AI1420" s="52"/>
      <c r="AJ1420" s="35"/>
      <c r="AK1420" s="289"/>
      <c r="AL1420" s="290"/>
      <c r="AM1420" s="211"/>
      <c r="AN1420" s="164"/>
      <c r="AO1420" s="594"/>
      <c r="AP1420" s="595"/>
      <c r="AQ1420" s="275"/>
      <c r="AR1420" s="52"/>
      <c r="AS1420" s="596"/>
      <c r="AT1420" s="79"/>
      <c r="AU1420" s="212"/>
      <c r="AV1420" s="164"/>
      <c r="AW1420" s="164"/>
      <c r="AX1420" s="76"/>
      <c r="AY1420" s="44"/>
      <c r="AZ1420" s="275"/>
      <c r="BA1420" s="52"/>
      <c r="BB1420" s="35"/>
      <c r="BC1420" s="79"/>
      <c r="BD1420" s="230"/>
      <c r="BE1420" s="211"/>
      <c r="BF1420" s="164"/>
      <c r="BG1420" s="76"/>
      <c r="BH1420" s="44"/>
      <c r="BI1420" s="275"/>
      <c r="BJ1420" s="52"/>
      <c r="BK1420" s="35"/>
      <c r="BL1420" s="79"/>
      <c r="BM1420" s="230"/>
      <c r="BN1420" s="211"/>
      <c r="BO1420" s="164"/>
      <c r="BP1420" s="726"/>
      <c r="BQ1420" s="727"/>
      <c r="BR1420" s="299"/>
      <c r="BS1420" s="35"/>
      <c r="BT1420" s="596"/>
      <c r="BU1420" s="79"/>
      <c r="BV1420" s="212"/>
      <c r="BW1420" s="304"/>
      <c r="BX1420" s="313"/>
      <c r="BY1420" s="138"/>
    </row>
    <row r="1421" spans="1:77" ht="15" customHeight="1" outlineLevel="1" x14ac:dyDescent="0.2">
      <c r="A1421" s="57" t="s">
        <v>24</v>
      </c>
      <c r="B1421" s="583"/>
      <c r="C1421" s="864" t="s">
        <v>1353</v>
      </c>
      <c r="D1421" s="546">
        <v>6.5519999999999996</v>
      </c>
      <c r="E1421" s="162" t="s">
        <v>631</v>
      </c>
      <c r="F1421" s="358"/>
      <c r="G1421" s="65"/>
      <c r="H1421" s="73"/>
      <c r="I1421" s="90">
        <v>2007</v>
      </c>
      <c r="J1421" s="73"/>
      <c r="K1421" s="734">
        <v>1.4017999999999999E-2</v>
      </c>
      <c r="L1421" s="717"/>
      <c r="M1421" s="73"/>
      <c r="N1421" s="359"/>
      <c r="O1421" s="1041"/>
      <c r="P1421" s="73"/>
      <c r="Q1421" s="359"/>
      <c r="R1421" s="1041"/>
      <c r="S1421" s="73"/>
      <c r="T1421" s="359"/>
      <c r="U1421" s="73"/>
      <c r="V1421" s="66"/>
      <c r="W1421" s="740">
        <f t="shared" si="1165"/>
        <v>5.6071999999999994E-6</v>
      </c>
      <c r="X1421" s="741">
        <f>AA1421*(1+AC1421)</f>
        <v>5.6071999999999994E-6</v>
      </c>
      <c r="Y1421" s="52">
        <v>2007</v>
      </c>
      <c r="Z1421" s="52"/>
      <c r="AA1421" s="739">
        <f t="shared" si="1167"/>
        <v>1.4017999999999999E-5</v>
      </c>
      <c r="AB1421" s="256">
        <v>-0.6</v>
      </c>
      <c r="AC1421" s="688">
        <f t="shared" si="1168"/>
        <v>-0.6</v>
      </c>
      <c r="AD1421" s="164"/>
      <c r="AE1421" s="164"/>
      <c r="AF1421" s="25"/>
      <c r="AG1421" s="26"/>
      <c r="AH1421" s="275"/>
      <c r="AI1421" s="52"/>
      <c r="AJ1421" s="35"/>
      <c r="AK1421" s="289"/>
      <c r="AL1421" s="290"/>
      <c r="AM1421" s="211"/>
      <c r="AN1421" s="164"/>
      <c r="AO1421" s="594"/>
      <c r="AP1421" s="595"/>
      <c r="AQ1421" s="275"/>
      <c r="AR1421" s="52"/>
      <c r="AS1421" s="596"/>
      <c r="AT1421" s="79"/>
      <c r="AU1421" s="212"/>
      <c r="AV1421" s="164"/>
      <c r="AW1421" s="164"/>
      <c r="AX1421" s="76"/>
      <c r="AY1421" s="44"/>
      <c r="AZ1421" s="275"/>
      <c r="BA1421" s="52"/>
      <c r="BB1421" s="35"/>
      <c r="BC1421" s="79"/>
      <c r="BD1421" s="230"/>
      <c r="BE1421" s="211"/>
      <c r="BF1421" s="164"/>
      <c r="BG1421" s="76"/>
      <c r="BH1421" s="44"/>
      <c r="BI1421" s="275"/>
      <c r="BJ1421" s="52"/>
      <c r="BK1421" s="35"/>
      <c r="BL1421" s="79"/>
      <c r="BM1421" s="230"/>
      <c r="BN1421" s="211"/>
      <c r="BO1421" s="164"/>
      <c r="BP1421" s="726"/>
      <c r="BQ1421" s="727"/>
      <c r="BR1421" s="299"/>
      <c r="BS1421" s="35"/>
      <c r="BT1421" s="596"/>
      <c r="BU1421" s="79"/>
      <c r="BV1421" s="212"/>
      <c r="BW1421" s="304"/>
      <c r="BX1421" s="313"/>
      <c r="BY1421" s="138"/>
    </row>
    <row r="1422" spans="1:77" ht="15" customHeight="1" outlineLevel="1" x14ac:dyDescent="0.2">
      <c r="A1422" s="583" t="s">
        <v>24</v>
      </c>
      <c r="B1422" s="583"/>
      <c r="C1422" s="864" t="s">
        <v>2089</v>
      </c>
      <c r="D1422" s="546">
        <v>1.1100000000000001</v>
      </c>
      <c r="E1422" s="162" t="s">
        <v>631</v>
      </c>
      <c r="F1422" s="358"/>
      <c r="G1422" s="65"/>
      <c r="H1422" s="73"/>
      <c r="I1422" s="90"/>
      <c r="J1422" s="73"/>
      <c r="K1422" s="734"/>
      <c r="L1422" s="717">
        <v>2011</v>
      </c>
      <c r="M1422" s="73"/>
      <c r="N1422" s="786">
        <v>2.0219999999999999E-3</v>
      </c>
      <c r="O1422" s="1041"/>
      <c r="P1422" s="73"/>
      <c r="Q1422" s="359"/>
      <c r="R1422" s="1041"/>
      <c r="S1422" s="73"/>
      <c r="T1422" s="359"/>
      <c r="U1422" s="73"/>
      <c r="V1422" s="66"/>
      <c r="W1422" s="788">
        <f t="shared" si="1165"/>
        <v>1.5164999999999998E-6</v>
      </c>
      <c r="X1422" s="789">
        <f>AA1422*(1+AC1422)</f>
        <v>1.5164999999999998E-6</v>
      </c>
      <c r="Y1422" s="52">
        <v>2011</v>
      </c>
      <c r="Z1422" s="52"/>
      <c r="AA1422" s="739">
        <f>+N1422/1000</f>
        <v>2.0219999999999999E-6</v>
      </c>
      <c r="AB1422" s="256">
        <v>-0.25</v>
      </c>
      <c r="AC1422" s="688">
        <f t="shared" si="1168"/>
        <v>-0.25</v>
      </c>
      <c r="AD1422" s="164"/>
      <c r="AE1422" s="164"/>
      <c r="AF1422" s="25"/>
      <c r="AG1422" s="26"/>
      <c r="AH1422" s="275"/>
      <c r="AI1422" s="52"/>
      <c r="AJ1422" s="35"/>
      <c r="AK1422" s="289"/>
      <c r="AL1422" s="290"/>
      <c r="AM1422" s="211"/>
      <c r="AN1422" s="164"/>
      <c r="AO1422" s="594"/>
      <c r="AP1422" s="595"/>
      <c r="AQ1422" s="275"/>
      <c r="AR1422" s="52"/>
      <c r="AS1422" s="596"/>
      <c r="AT1422" s="79"/>
      <c r="AU1422" s="212"/>
      <c r="AV1422" s="164"/>
      <c r="AW1422" s="164"/>
      <c r="AX1422" s="76"/>
      <c r="AY1422" s="44"/>
      <c r="AZ1422" s="275"/>
      <c r="BA1422" s="52"/>
      <c r="BB1422" s="35"/>
      <c r="BC1422" s="79"/>
      <c r="BD1422" s="230"/>
      <c r="BE1422" s="211"/>
      <c r="BF1422" s="164"/>
      <c r="BG1422" s="76"/>
      <c r="BH1422" s="44"/>
      <c r="BI1422" s="275"/>
      <c r="BJ1422" s="52"/>
      <c r="BK1422" s="35"/>
      <c r="BL1422" s="79"/>
      <c r="BM1422" s="230"/>
      <c r="BN1422" s="211"/>
      <c r="BO1422" s="164"/>
      <c r="BP1422" s="726"/>
      <c r="BQ1422" s="727"/>
      <c r="BR1422" s="299"/>
      <c r="BS1422" s="35"/>
      <c r="BT1422" s="596"/>
      <c r="BU1422" s="79"/>
      <c r="BV1422" s="212"/>
      <c r="BW1422" s="304"/>
      <c r="BX1422" s="313"/>
      <c r="BY1422" s="138"/>
    </row>
    <row r="1423" spans="1:77" ht="15" customHeight="1" outlineLevel="1" x14ac:dyDescent="0.2">
      <c r="A1423" s="583" t="s">
        <v>24</v>
      </c>
      <c r="B1423" s="583"/>
      <c r="C1423" s="864" t="s">
        <v>2054</v>
      </c>
      <c r="D1423" s="546">
        <v>3.7269999999999999</v>
      </c>
      <c r="E1423" s="162" t="s">
        <v>631</v>
      </c>
      <c r="F1423" s="358"/>
      <c r="G1423" s="65"/>
      <c r="H1423" s="73"/>
      <c r="I1423" s="90"/>
      <c r="J1423" s="73"/>
      <c r="K1423" s="734"/>
      <c r="L1423" s="717">
        <v>2011</v>
      </c>
      <c r="M1423" s="73"/>
      <c r="N1423" s="786">
        <v>9.4640000000000002E-3</v>
      </c>
      <c r="O1423" s="1041"/>
      <c r="P1423" s="73"/>
      <c r="Q1423" s="359"/>
      <c r="R1423" s="1041"/>
      <c r="S1423" s="73"/>
      <c r="T1423" s="359"/>
      <c r="U1423" s="73"/>
      <c r="V1423" s="66"/>
      <c r="W1423" s="740">
        <f t="shared" ref="W1423" si="1235">AA1423*(1+AB1423)</f>
        <v>6.719439999999999E-6</v>
      </c>
      <c r="X1423" s="741">
        <f t="shared" ref="X1423" si="1236">AA1423*(1+AC1423)</f>
        <v>6.719439999999999E-6</v>
      </c>
      <c r="Y1423" s="52">
        <v>2011</v>
      </c>
      <c r="Z1423" s="52"/>
      <c r="AA1423" s="739">
        <f>+N1423/1000</f>
        <v>9.4639999999999995E-6</v>
      </c>
      <c r="AB1423" s="256">
        <v>-0.28999999999999998</v>
      </c>
      <c r="AC1423" s="688">
        <f t="shared" si="1168"/>
        <v>-0.28999999999999998</v>
      </c>
      <c r="AD1423" s="164"/>
      <c r="AE1423" s="164"/>
      <c r="AF1423" s="25"/>
      <c r="AG1423" s="26"/>
      <c r="AH1423" s="275"/>
      <c r="AI1423" s="52"/>
      <c r="AJ1423" s="35"/>
      <c r="AK1423" s="289"/>
      <c r="AL1423" s="290"/>
      <c r="AM1423" s="211"/>
      <c r="AN1423" s="164"/>
      <c r="AO1423" s="594"/>
      <c r="AP1423" s="595"/>
      <c r="AQ1423" s="275"/>
      <c r="AR1423" s="52"/>
      <c r="AS1423" s="596"/>
      <c r="AT1423" s="79"/>
      <c r="AU1423" s="212"/>
      <c r="AV1423" s="164"/>
      <c r="AW1423" s="164"/>
      <c r="AX1423" s="76"/>
      <c r="AY1423" s="44"/>
      <c r="AZ1423" s="275"/>
      <c r="BA1423" s="52"/>
      <c r="BB1423" s="35"/>
      <c r="BC1423" s="79"/>
      <c r="BD1423" s="230"/>
      <c r="BE1423" s="211"/>
      <c r="BF1423" s="164"/>
      <c r="BG1423" s="76"/>
      <c r="BH1423" s="44"/>
      <c r="BI1423" s="275"/>
      <c r="BJ1423" s="52"/>
      <c r="BK1423" s="35"/>
      <c r="BL1423" s="79"/>
      <c r="BM1423" s="230"/>
      <c r="BN1423" s="211"/>
      <c r="BO1423" s="164"/>
      <c r="BP1423" s="726"/>
      <c r="BQ1423" s="727"/>
      <c r="BR1423" s="299"/>
      <c r="BS1423" s="35"/>
      <c r="BT1423" s="596"/>
      <c r="BU1423" s="79"/>
      <c r="BV1423" s="212"/>
      <c r="BW1423" s="304"/>
      <c r="BX1423" s="313"/>
      <c r="BY1423" s="138"/>
    </row>
    <row r="1424" spans="1:77" ht="15" customHeight="1" outlineLevel="1" x14ac:dyDescent="0.2">
      <c r="A1424" s="57" t="s">
        <v>24</v>
      </c>
      <c r="B1424" s="583"/>
      <c r="C1424" s="864" t="s">
        <v>1358</v>
      </c>
      <c r="D1424" s="546">
        <v>1.1100000000000001</v>
      </c>
      <c r="E1424" s="162" t="s">
        <v>631</v>
      </c>
      <c r="F1424" s="358"/>
      <c r="G1424" s="65"/>
      <c r="H1424" s="73"/>
      <c r="I1424" s="90"/>
      <c r="J1424" s="73"/>
      <c r="K1424" s="734"/>
      <c r="L1424" s="717">
        <v>2009</v>
      </c>
      <c r="M1424" s="73"/>
      <c r="N1424" s="786">
        <v>3.026E-3</v>
      </c>
      <c r="O1424" s="1041"/>
      <c r="P1424" s="73"/>
      <c r="Q1424" s="786"/>
      <c r="R1424" s="1041"/>
      <c r="S1424" s="73"/>
      <c r="T1424" s="786"/>
      <c r="U1424" s="73"/>
      <c r="V1424" s="66"/>
      <c r="W1424" s="788">
        <f t="shared" si="1165"/>
        <v>1.7550800000000002E-6</v>
      </c>
      <c r="X1424" s="789">
        <f t="shared" si="1166"/>
        <v>1.7550800000000002E-6</v>
      </c>
      <c r="Y1424" s="52">
        <v>2009</v>
      </c>
      <c r="Z1424" s="52"/>
      <c r="AA1424" s="787">
        <f>+N1424/1000</f>
        <v>3.0259999999999999E-6</v>
      </c>
      <c r="AB1424" s="256">
        <v>-0.42</v>
      </c>
      <c r="AC1424" s="688">
        <f t="shared" si="1168"/>
        <v>-0.42</v>
      </c>
      <c r="AD1424" s="164"/>
      <c r="AE1424" s="164"/>
      <c r="AF1424" s="25"/>
      <c r="AG1424" s="26"/>
      <c r="AH1424" s="275"/>
      <c r="AI1424" s="52"/>
      <c r="AJ1424" s="35"/>
      <c r="AK1424" s="289"/>
      <c r="AL1424" s="290"/>
      <c r="AM1424" s="211"/>
      <c r="AN1424" s="164"/>
      <c r="AO1424" s="594"/>
      <c r="AP1424" s="595"/>
      <c r="AQ1424" s="275"/>
      <c r="AR1424" s="52"/>
      <c r="AS1424" s="596"/>
      <c r="AT1424" s="79"/>
      <c r="AU1424" s="212"/>
      <c r="AV1424" s="164"/>
      <c r="AW1424" s="164"/>
      <c r="AX1424" s="76"/>
      <c r="AY1424" s="44"/>
      <c r="AZ1424" s="275"/>
      <c r="BA1424" s="52"/>
      <c r="BB1424" s="35"/>
      <c r="BC1424" s="79"/>
      <c r="BD1424" s="230"/>
      <c r="BE1424" s="211"/>
      <c r="BF1424" s="164"/>
      <c r="BG1424" s="76"/>
      <c r="BH1424" s="44"/>
      <c r="BI1424" s="275"/>
      <c r="BJ1424" s="52"/>
      <c r="BK1424" s="35"/>
      <c r="BL1424" s="79"/>
      <c r="BM1424" s="230"/>
      <c r="BN1424" s="211"/>
      <c r="BO1424" s="164"/>
      <c r="BP1424" s="726"/>
      <c r="BQ1424" s="727"/>
      <c r="BR1424" s="299"/>
      <c r="BS1424" s="35"/>
      <c r="BT1424" s="596"/>
      <c r="BU1424" s="79"/>
      <c r="BV1424" s="212"/>
      <c r="BW1424" s="304"/>
      <c r="BX1424" s="313"/>
      <c r="BY1424" s="138"/>
    </row>
    <row r="1425" spans="1:77" ht="15" customHeight="1" outlineLevel="1" x14ac:dyDescent="0.2">
      <c r="A1425" s="57" t="s">
        <v>24</v>
      </c>
      <c r="B1425" s="583"/>
      <c r="C1425" s="864" t="s">
        <v>1673</v>
      </c>
      <c r="D1425" s="546">
        <v>1.2689999999999999</v>
      </c>
      <c r="E1425" s="162" t="s">
        <v>631</v>
      </c>
      <c r="F1425" s="358"/>
      <c r="G1425" s="65"/>
      <c r="H1425" s="73"/>
      <c r="I1425" s="90"/>
      <c r="J1425" s="73"/>
      <c r="K1425" s="734"/>
      <c r="L1425" s="717">
        <v>2011</v>
      </c>
      <c r="M1425" s="73"/>
      <c r="N1425" s="786">
        <v>3.0000000000000001E-3</v>
      </c>
      <c r="O1425" s="1041"/>
      <c r="P1425" s="73"/>
      <c r="Q1425" s="786"/>
      <c r="R1425" s="1041"/>
      <c r="S1425" s="73"/>
      <c r="T1425" s="786"/>
      <c r="U1425" s="73"/>
      <c r="V1425" s="66"/>
      <c r="W1425" s="788">
        <f>AA1425*(1+AB1425)</f>
        <v>2.2500000000000001E-6</v>
      </c>
      <c r="X1425" s="789">
        <f>AA1425*(1+AC1425)</f>
        <v>2.2500000000000001E-6</v>
      </c>
      <c r="Y1425" s="52">
        <v>2011</v>
      </c>
      <c r="Z1425" s="52"/>
      <c r="AA1425" s="787">
        <f>+N1425/1000</f>
        <v>3.0000000000000001E-6</v>
      </c>
      <c r="AB1425" s="256">
        <v>-0.25</v>
      </c>
      <c r="AC1425" s="688">
        <f t="shared" si="1168"/>
        <v>-0.25</v>
      </c>
      <c r="AD1425" s="164"/>
      <c r="AE1425" s="164"/>
      <c r="AF1425" s="25"/>
      <c r="AG1425" s="26"/>
      <c r="AH1425" s="275"/>
      <c r="AI1425" s="52"/>
      <c r="AJ1425" s="35"/>
      <c r="AK1425" s="289"/>
      <c r="AL1425" s="290"/>
      <c r="AM1425" s="211"/>
      <c r="AN1425" s="164"/>
      <c r="AO1425" s="594"/>
      <c r="AP1425" s="595"/>
      <c r="AQ1425" s="275"/>
      <c r="AR1425" s="52"/>
      <c r="AS1425" s="596"/>
      <c r="AT1425" s="79"/>
      <c r="AU1425" s="212"/>
      <c r="AV1425" s="164"/>
      <c r="AW1425" s="164"/>
      <c r="AX1425" s="76"/>
      <c r="AY1425" s="44"/>
      <c r="AZ1425" s="275"/>
      <c r="BA1425" s="52"/>
      <c r="BB1425" s="35"/>
      <c r="BC1425" s="79"/>
      <c r="BD1425" s="230"/>
      <c r="BE1425" s="211"/>
      <c r="BF1425" s="164"/>
      <c r="BG1425" s="76"/>
      <c r="BH1425" s="44"/>
      <c r="BI1425" s="275"/>
      <c r="BJ1425" s="52"/>
      <c r="BK1425" s="35"/>
      <c r="BL1425" s="79"/>
      <c r="BM1425" s="230"/>
      <c r="BN1425" s="211"/>
      <c r="BO1425" s="164"/>
      <c r="BP1425" s="726"/>
      <c r="BQ1425" s="727"/>
      <c r="BR1425" s="299"/>
      <c r="BS1425" s="35"/>
      <c r="BT1425" s="596"/>
      <c r="BU1425" s="79"/>
      <c r="BV1425" s="212"/>
      <c r="BW1425" s="304"/>
      <c r="BX1425" s="313"/>
      <c r="BY1425" s="138"/>
    </row>
    <row r="1426" spans="1:77" ht="15" customHeight="1" outlineLevel="1" x14ac:dyDescent="0.2">
      <c r="A1426" s="583" t="s">
        <v>24</v>
      </c>
      <c r="B1426" s="583"/>
      <c r="C1426" s="864" t="s">
        <v>2072</v>
      </c>
      <c r="D1426" s="546">
        <v>6.4080000000000004</v>
      </c>
      <c r="E1426" s="162" t="s">
        <v>631</v>
      </c>
      <c r="F1426" s="358"/>
      <c r="G1426" s="65"/>
      <c r="H1426" s="73"/>
      <c r="I1426" s="90">
        <v>2000</v>
      </c>
      <c r="J1426" s="73"/>
      <c r="K1426" s="734">
        <v>2.2922000000000001E-2</v>
      </c>
      <c r="L1426" s="717"/>
      <c r="M1426" s="73"/>
      <c r="N1426" s="786"/>
      <c r="O1426" s="1041"/>
      <c r="P1426" s="73"/>
      <c r="Q1426" s="786"/>
      <c r="R1426" s="1041"/>
      <c r="S1426" s="73"/>
      <c r="T1426" s="786"/>
      <c r="U1426" s="73"/>
      <c r="V1426" s="66"/>
      <c r="W1426" s="788">
        <f>AA1426*(1+AB1426)</f>
        <v>1.627462E-5</v>
      </c>
      <c r="X1426" s="789">
        <f>AA1426*(1+AC1426)</f>
        <v>1.627462E-5</v>
      </c>
      <c r="Y1426" s="52">
        <v>2000</v>
      </c>
      <c r="Z1426" s="52"/>
      <c r="AA1426" s="787">
        <f>+K1426/1000</f>
        <v>2.2922000000000002E-5</v>
      </c>
      <c r="AB1426" s="256">
        <v>-0.28999999999999998</v>
      </c>
      <c r="AC1426" s="688">
        <f t="shared" si="1168"/>
        <v>-0.28999999999999998</v>
      </c>
      <c r="AD1426" s="164"/>
      <c r="AE1426" s="164"/>
      <c r="AF1426" s="25"/>
      <c r="AG1426" s="26"/>
      <c r="AH1426" s="275"/>
      <c r="AI1426" s="52"/>
      <c r="AJ1426" s="35"/>
      <c r="AK1426" s="289"/>
      <c r="AL1426" s="290"/>
      <c r="AM1426" s="211"/>
      <c r="AN1426" s="164"/>
      <c r="AO1426" s="594"/>
      <c r="AP1426" s="595"/>
      <c r="AQ1426" s="275"/>
      <c r="AR1426" s="52"/>
      <c r="AS1426" s="596"/>
      <c r="AT1426" s="79"/>
      <c r="AU1426" s="212"/>
      <c r="AV1426" s="164"/>
      <c r="AW1426" s="164"/>
      <c r="AX1426" s="76"/>
      <c r="AY1426" s="44"/>
      <c r="AZ1426" s="275"/>
      <c r="BA1426" s="52"/>
      <c r="BB1426" s="35"/>
      <c r="BC1426" s="79"/>
      <c r="BD1426" s="230"/>
      <c r="BE1426" s="211"/>
      <c r="BF1426" s="164"/>
      <c r="BG1426" s="76"/>
      <c r="BH1426" s="44"/>
      <c r="BI1426" s="275"/>
      <c r="BJ1426" s="52"/>
      <c r="BK1426" s="35"/>
      <c r="BL1426" s="79"/>
      <c r="BM1426" s="230"/>
      <c r="BN1426" s="211"/>
      <c r="BO1426" s="164"/>
      <c r="BP1426" s="726"/>
      <c r="BQ1426" s="727"/>
      <c r="BR1426" s="299"/>
      <c r="BS1426" s="35"/>
      <c r="BT1426" s="596"/>
      <c r="BU1426" s="79"/>
      <c r="BV1426" s="212"/>
      <c r="BW1426" s="304"/>
      <c r="BX1426" s="313"/>
      <c r="BY1426" s="138"/>
    </row>
    <row r="1427" spans="1:77" ht="15" customHeight="1" outlineLevel="1" x14ac:dyDescent="0.2">
      <c r="A1427" s="57" t="s">
        <v>24</v>
      </c>
      <c r="B1427" s="583"/>
      <c r="C1427" s="864" t="s">
        <v>1291</v>
      </c>
      <c r="D1427" s="546">
        <v>7.2990000000000004</v>
      </c>
      <c r="E1427" s="162" t="s">
        <v>631</v>
      </c>
      <c r="F1427" s="358"/>
      <c r="G1427" s="65"/>
      <c r="H1427" s="73"/>
      <c r="I1427" s="90"/>
      <c r="J1427" s="73"/>
      <c r="K1427" s="734"/>
      <c r="L1427" s="717">
        <v>2011</v>
      </c>
      <c r="M1427" s="73"/>
      <c r="N1427" s="738">
        <v>3.2388E-2</v>
      </c>
      <c r="O1427" s="1041"/>
      <c r="P1427" s="73"/>
      <c r="Q1427" s="738"/>
      <c r="R1427" s="1041"/>
      <c r="S1427" s="73"/>
      <c r="T1427" s="738"/>
      <c r="U1427" s="73"/>
      <c r="V1427" s="66"/>
      <c r="W1427" s="740">
        <f t="shared" si="1165"/>
        <v>2.202384E-5</v>
      </c>
      <c r="X1427" s="741">
        <f t="shared" si="1166"/>
        <v>2.202384E-5</v>
      </c>
      <c r="Y1427" s="52">
        <v>2011</v>
      </c>
      <c r="Z1427" s="52"/>
      <c r="AA1427" s="739">
        <f>+N1427/1000</f>
        <v>3.2388000000000002E-5</v>
      </c>
      <c r="AB1427" s="256">
        <v>-0.32</v>
      </c>
      <c r="AC1427" s="688">
        <f t="shared" si="1168"/>
        <v>-0.32</v>
      </c>
      <c r="AD1427" s="164"/>
      <c r="AE1427" s="164"/>
      <c r="AF1427" s="25"/>
      <c r="AG1427" s="26"/>
      <c r="AH1427" s="275"/>
      <c r="AI1427" s="52"/>
      <c r="AJ1427" s="35"/>
      <c r="AK1427" s="289"/>
      <c r="AL1427" s="290"/>
      <c r="AM1427" s="211"/>
      <c r="AN1427" s="164"/>
      <c r="AO1427" s="594"/>
      <c r="AP1427" s="595"/>
      <c r="AQ1427" s="275"/>
      <c r="AR1427" s="52"/>
      <c r="AS1427" s="596"/>
      <c r="AT1427" s="79"/>
      <c r="AU1427" s="212"/>
      <c r="AV1427" s="164"/>
      <c r="AW1427" s="164"/>
      <c r="AX1427" s="76"/>
      <c r="AY1427" s="44"/>
      <c r="AZ1427" s="275"/>
      <c r="BA1427" s="52"/>
      <c r="BB1427" s="35"/>
      <c r="BC1427" s="79"/>
      <c r="BD1427" s="230"/>
      <c r="BE1427" s="211"/>
      <c r="BF1427" s="164"/>
      <c r="BG1427" s="76"/>
      <c r="BH1427" s="44"/>
      <c r="BI1427" s="275"/>
      <c r="BJ1427" s="52"/>
      <c r="BK1427" s="35"/>
      <c r="BL1427" s="79"/>
      <c r="BM1427" s="230"/>
      <c r="BN1427" s="211"/>
      <c r="BO1427" s="164"/>
      <c r="BP1427" s="726"/>
      <c r="BQ1427" s="727"/>
      <c r="BR1427" s="299"/>
      <c r="BS1427" s="35"/>
      <c r="BT1427" s="596"/>
      <c r="BU1427" s="79"/>
      <c r="BV1427" s="212"/>
      <c r="BW1427" s="304"/>
      <c r="BX1427" s="313"/>
      <c r="BY1427" s="138"/>
    </row>
    <row r="1428" spans="1:77" ht="15" customHeight="1" outlineLevel="1" x14ac:dyDescent="0.2">
      <c r="A1428" s="57" t="s">
        <v>24</v>
      </c>
      <c r="B1428" s="583"/>
      <c r="C1428" s="864" t="s">
        <v>1346</v>
      </c>
      <c r="D1428" s="546">
        <v>7.7910000000000004</v>
      </c>
      <c r="E1428" s="162" t="s">
        <v>631</v>
      </c>
      <c r="F1428" s="358"/>
      <c r="G1428" s="65"/>
      <c r="H1428" s="73"/>
      <c r="I1428" s="90"/>
      <c r="J1428" s="73"/>
      <c r="K1428" s="734"/>
      <c r="L1428" s="717">
        <v>2013</v>
      </c>
      <c r="M1428" s="73"/>
      <c r="N1428" s="738">
        <v>7.7910000000000002E-3</v>
      </c>
      <c r="O1428" s="1041">
        <v>2013</v>
      </c>
      <c r="P1428" s="73"/>
      <c r="Q1428" s="738">
        <v>7.7910000000000002E-3</v>
      </c>
      <c r="R1428" s="1041"/>
      <c r="S1428" s="73"/>
      <c r="T1428" s="738"/>
      <c r="U1428" s="73"/>
      <c r="V1428" s="66"/>
      <c r="W1428" s="740">
        <f t="shared" si="1165"/>
        <v>5.2199699999999996E-6</v>
      </c>
      <c r="X1428" s="741">
        <f t="shared" si="1166"/>
        <v>5.2199699999999996E-6</v>
      </c>
      <c r="Y1428" s="52">
        <v>2013</v>
      </c>
      <c r="Z1428" s="52"/>
      <c r="AA1428" s="739">
        <f>+N1428/1000</f>
        <v>7.7910000000000005E-6</v>
      </c>
      <c r="AB1428" s="256">
        <v>-0.33</v>
      </c>
      <c r="AC1428" s="688">
        <f t="shared" si="1168"/>
        <v>-0.33</v>
      </c>
      <c r="AD1428" s="164"/>
      <c r="AE1428" s="164"/>
      <c r="AF1428" s="25"/>
      <c r="AG1428" s="26"/>
      <c r="AH1428" s="275"/>
      <c r="AI1428" s="52"/>
      <c r="AJ1428" s="35"/>
      <c r="AK1428" s="289"/>
      <c r="AL1428" s="290"/>
      <c r="AM1428" s="211"/>
      <c r="AN1428" s="164"/>
      <c r="AO1428" s="594"/>
      <c r="AP1428" s="595"/>
      <c r="AQ1428" s="275"/>
      <c r="AR1428" s="52"/>
      <c r="AS1428" s="596"/>
      <c r="AT1428" s="79"/>
      <c r="AU1428" s="212"/>
      <c r="AV1428" s="164"/>
      <c r="AW1428" s="164"/>
      <c r="AX1428" s="76"/>
      <c r="AY1428" s="44"/>
      <c r="AZ1428" s="275"/>
      <c r="BA1428" s="52"/>
      <c r="BB1428" s="35"/>
      <c r="BC1428" s="79"/>
      <c r="BD1428" s="230"/>
      <c r="BE1428" s="211"/>
      <c r="BF1428" s="164"/>
      <c r="BG1428" s="76"/>
      <c r="BH1428" s="44"/>
      <c r="BI1428" s="275"/>
      <c r="BJ1428" s="52"/>
      <c r="BK1428" s="35"/>
      <c r="BL1428" s="79"/>
      <c r="BM1428" s="230"/>
      <c r="BN1428" s="211"/>
      <c r="BO1428" s="164"/>
      <c r="BP1428" s="726"/>
      <c r="BQ1428" s="727"/>
      <c r="BR1428" s="299"/>
      <c r="BS1428" s="35"/>
      <c r="BT1428" s="596"/>
      <c r="BU1428" s="79"/>
      <c r="BV1428" s="212"/>
      <c r="BW1428" s="304"/>
      <c r="BX1428" s="313"/>
      <c r="BY1428" s="138"/>
    </row>
    <row r="1429" spans="1:77" ht="15" customHeight="1" outlineLevel="1" x14ac:dyDescent="0.2">
      <c r="A1429" s="57" t="s">
        <v>24</v>
      </c>
      <c r="B1429" s="583"/>
      <c r="C1429" s="864" t="s">
        <v>2401</v>
      </c>
      <c r="D1429" s="546">
        <v>6.8280000000000003</v>
      </c>
      <c r="E1429" s="162" t="s">
        <v>631</v>
      </c>
      <c r="F1429" s="358"/>
      <c r="G1429" s="65"/>
      <c r="H1429" s="73"/>
      <c r="I1429" s="90">
        <v>2007</v>
      </c>
      <c r="J1429" s="73"/>
      <c r="K1429" s="734">
        <v>1.9167E-2</v>
      </c>
      <c r="L1429" s="717"/>
      <c r="M1429" s="73"/>
      <c r="N1429" s="738"/>
      <c r="O1429" s="1041"/>
      <c r="P1429" s="73"/>
      <c r="Q1429" s="738"/>
      <c r="R1429" s="1041"/>
      <c r="S1429" s="73"/>
      <c r="T1429" s="738"/>
      <c r="U1429" s="73"/>
      <c r="V1429" s="66"/>
      <c r="W1429" s="740">
        <f t="shared" ref="W1429" si="1237">AA1429*(1+AB1429)</f>
        <v>1.4375250000000001E-5</v>
      </c>
      <c r="X1429" s="741">
        <f t="shared" ref="X1429" si="1238">AA1429*(1+AC1429)</f>
        <v>1.4375250000000001E-5</v>
      </c>
      <c r="Y1429" s="52">
        <v>2013</v>
      </c>
      <c r="Z1429" s="52"/>
      <c r="AA1429" s="739">
        <f>+K1429/1000</f>
        <v>1.9167000000000001E-5</v>
      </c>
      <c r="AB1429" s="256">
        <v>-0.25</v>
      </c>
      <c r="AC1429" s="688">
        <f t="shared" ref="AC1429" si="1239">AB1429</f>
        <v>-0.25</v>
      </c>
      <c r="AD1429" s="164"/>
      <c r="AE1429" s="164"/>
      <c r="AF1429" s="25"/>
      <c r="AG1429" s="26"/>
      <c r="AH1429" s="275"/>
      <c r="AI1429" s="52"/>
      <c r="AJ1429" s="35"/>
      <c r="AK1429" s="289"/>
      <c r="AL1429" s="290"/>
      <c r="AM1429" s="211"/>
      <c r="AN1429" s="164"/>
      <c r="AO1429" s="594"/>
      <c r="AP1429" s="595"/>
      <c r="AQ1429" s="275"/>
      <c r="AR1429" s="52"/>
      <c r="AS1429" s="596"/>
      <c r="AT1429" s="79"/>
      <c r="AU1429" s="212"/>
      <c r="AV1429" s="164"/>
      <c r="AW1429" s="164"/>
      <c r="AX1429" s="76"/>
      <c r="AY1429" s="44"/>
      <c r="AZ1429" s="275"/>
      <c r="BA1429" s="52"/>
      <c r="BB1429" s="35"/>
      <c r="BC1429" s="79"/>
      <c r="BD1429" s="230"/>
      <c r="BE1429" s="211"/>
      <c r="BF1429" s="164"/>
      <c r="BG1429" s="76"/>
      <c r="BH1429" s="44"/>
      <c r="BI1429" s="275"/>
      <c r="BJ1429" s="52"/>
      <c r="BK1429" s="35"/>
      <c r="BL1429" s="79"/>
      <c r="BM1429" s="230"/>
      <c r="BN1429" s="211"/>
      <c r="BO1429" s="164"/>
      <c r="BP1429" s="726"/>
      <c r="BQ1429" s="727"/>
      <c r="BR1429" s="299"/>
      <c r="BS1429" s="35"/>
      <c r="BT1429" s="596"/>
      <c r="BU1429" s="79"/>
      <c r="BV1429" s="212"/>
      <c r="BW1429" s="304"/>
      <c r="BX1429" s="313"/>
      <c r="BY1429" s="138"/>
    </row>
    <row r="1430" spans="1:77" ht="15" customHeight="1" outlineLevel="1" x14ac:dyDescent="0.2">
      <c r="A1430" s="583" t="s">
        <v>24</v>
      </c>
      <c r="B1430" s="583"/>
      <c r="C1430" s="864" t="s">
        <v>1762</v>
      </c>
      <c r="D1430" s="546">
        <v>0.749</v>
      </c>
      <c r="E1430" s="162" t="s">
        <v>631</v>
      </c>
      <c r="F1430" s="358"/>
      <c r="G1430" s="65"/>
      <c r="H1430" s="73"/>
      <c r="I1430" s="90"/>
      <c r="J1430" s="73"/>
      <c r="K1430" s="790"/>
      <c r="L1430" s="717"/>
      <c r="M1430" s="73"/>
      <c r="N1430" s="786">
        <v>2.1459999999999999E-3</v>
      </c>
      <c r="O1430" s="1041"/>
      <c r="P1430" s="73"/>
      <c r="Q1430" s="786"/>
      <c r="R1430" s="1041"/>
      <c r="S1430" s="73"/>
      <c r="T1430" s="786"/>
      <c r="U1430" s="73"/>
      <c r="V1430" s="66"/>
      <c r="W1430" s="788">
        <f t="shared" ref="W1430" si="1240">AA1430*(1+AB1430)</f>
        <v>1.6095E-6</v>
      </c>
      <c r="X1430" s="789">
        <f t="shared" ref="X1430" si="1241">AA1430*(1+AC1430)</f>
        <v>1.6095E-6</v>
      </c>
      <c r="Y1430" s="52">
        <v>2010</v>
      </c>
      <c r="Z1430" s="52"/>
      <c r="AA1430" s="787">
        <f>+N1430/1000</f>
        <v>2.1459999999999999E-6</v>
      </c>
      <c r="AB1430" s="256">
        <v>-0.25</v>
      </c>
      <c r="AC1430" s="688">
        <f t="shared" si="1168"/>
        <v>-0.25</v>
      </c>
      <c r="AD1430" s="164"/>
      <c r="AE1430" s="164"/>
      <c r="AF1430" s="25"/>
      <c r="AG1430" s="26"/>
      <c r="AH1430" s="275"/>
      <c r="AI1430" s="52"/>
      <c r="AJ1430" s="35"/>
      <c r="AK1430" s="289"/>
      <c r="AL1430" s="290"/>
      <c r="AM1430" s="211"/>
      <c r="AN1430" s="164"/>
      <c r="AO1430" s="594"/>
      <c r="AP1430" s="595"/>
      <c r="AQ1430" s="275"/>
      <c r="AR1430" s="52"/>
      <c r="AS1430" s="596"/>
      <c r="AT1430" s="79"/>
      <c r="AU1430" s="212"/>
      <c r="AV1430" s="164"/>
      <c r="AW1430" s="164"/>
      <c r="AX1430" s="76"/>
      <c r="AY1430" s="44"/>
      <c r="AZ1430" s="275"/>
      <c r="BA1430" s="52"/>
      <c r="BB1430" s="35"/>
      <c r="BC1430" s="79"/>
      <c r="BD1430" s="230"/>
      <c r="BE1430" s="211"/>
      <c r="BF1430" s="164"/>
      <c r="BG1430" s="76"/>
      <c r="BH1430" s="44"/>
      <c r="BI1430" s="275"/>
      <c r="BJ1430" s="52"/>
      <c r="BK1430" s="35"/>
      <c r="BL1430" s="79"/>
      <c r="BM1430" s="230"/>
      <c r="BN1430" s="211"/>
      <c r="BO1430" s="164"/>
      <c r="BP1430" s="726"/>
      <c r="BQ1430" s="727"/>
      <c r="BR1430" s="299"/>
      <c r="BS1430" s="35"/>
      <c r="BT1430" s="596"/>
      <c r="BU1430" s="79"/>
      <c r="BV1430" s="212"/>
      <c r="BW1430" s="304"/>
      <c r="BX1430" s="313"/>
      <c r="BY1430" s="138"/>
    </row>
    <row r="1431" spans="1:77" ht="15" customHeight="1" outlineLevel="1" x14ac:dyDescent="0.2">
      <c r="A1431" s="57" t="s">
        <v>24</v>
      </c>
      <c r="B1431" s="583"/>
      <c r="C1431" s="864" t="s">
        <v>1437</v>
      </c>
      <c r="D1431" s="546">
        <v>1.921</v>
      </c>
      <c r="E1431" s="162" t="s">
        <v>631</v>
      </c>
      <c r="F1431" s="358"/>
      <c r="G1431" s="65"/>
      <c r="H1431" s="73"/>
      <c r="I1431" s="90"/>
      <c r="J1431" s="73"/>
      <c r="K1431" s="790">
        <v>6.4859999999999996E-3</v>
      </c>
      <c r="L1431" s="717"/>
      <c r="M1431" s="73"/>
      <c r="N1431" s="359"/>
      <c r="O1431" s="1041"/>
      <c r="P1431" s="73"/>
      <c r="Q1431" s="359"/>
      <c r="R1431" s="1041"/>
      <c r="S1431" s="73"/>
      <c r="T1431" s="359"/>
      <c r="U1431" s="73"/>
      <c r="V1431" s="66"/>
      <c r="W1431" s="788">
        <f t="shared" si="1165"/>
        <v>4.2158999999999997E-6</v>
      </c>
      <c r="X1431" s="789">
        <f t="shared" si="1166"/>
        <v>4.2158999999999997E-6</v>
      </c>
      <c r="Y1431" s="52">
        <v>2005</v>
      </c>
      <c r="Z1431" s="52"/>
      <c r="AA1431" s="787">
        <f>+K1431/1000</f>
        <v>6.4859999999999994E-6</v>
      </c>
      <c r="AB1431" s="256">
        <v>-0.35</v>
      </c>
      <c r="AC1431" s="688">
        <f t="shared" si="1168"/>
        <v>-0.35</v>
      </c>
      <c r="AD1431" s="164"/>
      <c r="AE1431" s="164"/>
      <c r="AF1431" s="25"/>
      <c r="AG1431" s="26"/>
      <c r="AH1431" s="275"/>
      <c r="AI1431" s="52"/>
      <c r="AJ1431" s="35"/>
      <c r="AK1431" s="289"/>
      <c r="AL1431" s="290"/>
      <c r="AM1431" s="211"/>
      <c r="AN1431" s="164"/>
      <c r="AO1431" s="594"/>
      <c r="AP1431" s="595"/>
      <c r="AQ1431" s="275"/>
      <c r="AR1431" s="52"/>
      <c r="AS1431" s="596"/>
      <c r="AT1431" s="79"/>
      <c r="AU1431" s="212"/>
      <c r="AV1431" s="164"/>
      <c r="AW1431" s="164"/>
      <c r="AX1431" s="76"/>
      <c r="AY1431" s="44"/>
      <c r="AZ1431" s="275"/>
      <c r="BA1431" s="52"/>
      <c r="BB1431" s="35"/>
      <c r="BC1431" s="79"/>
      <c r="BD1431" s="230"/>
      <c r="BE1431" s="211"/>
      <c r="BF1431" s="164"/>
      <c r="BG1431" s="76"/>
      <c r="BH1431" s="44"/>
      <c r="BI1431" s="275"/>
      <c r="BJ1431" s="52"/>
      <c r="BK1431" s="35"/>
      <c r="BL1431" s="79"/>
      <c r="BM1431" s="230"/>
      <c r="BN1431" s="211"/>
      <c r="BO1431" s="164"/>
      <c r="BP1431" s="726"/>
      <c r="BQ1431" s="727"/>
      <c r="BR1431" s="299"/>
      <c r="BS1431" s="35"/>
      <c r="BT1431" s="596"/>
      <c r="BU1431" s="79"/>
      <c r="BV1431" s="212"/>
      <c r="BW1431" s="304"/>
      <c r="BX1431" s="313"/>
      <c r="BY1431" s="138"/>
    </row>
    <row r="1432" spans="1:77" ht="15" customHeight="1" outlineLevel="1" x14ac:dyDescent="0.2">
      <c r="A1432" s="583" t="s">
        <v>24</v>
      </c>
      <c r="B1432" s="583"/>
      <c r="C1432" s="864" t="s">
        <v>1974</v>
      </c>
      <c r="D1432" s="546">
        <v>7.657</v>
      </c>
      <c r="E1432" s="162" t="s">
        <v>631</v>
      </c>
      <c r="F1432" s="358"/>
      <c r="G1432" s="65"/>
      <c r="H1432" s="73"/>
      <c r="I1432" s="90">
        <v>2004</v>
      </c>
      <c r="J1432" s="73"/>
      <c r="K1432" s="790">
        <v>3.9239000000000003E-2</v>
      </c>
      <c r="L1432" s="717"/>
      <c r="M1432" s="73"/>
      <c r="N1432" s="359"/>
      <c r="O1432" s="1041"/>
      <c r="P1432" s="73"/>
      <c r="Q1432" s="359"/>
      <c r="R1432" s="1041"/>
      <c r="S1432" s="73"/>
      <c r="T1432" s="359"/>
      <c r="U1432" s="73"/>
      <c r="V1432" s="66"/>
      <c r="W1432" s="788">
        <f t="shared" ref="W1432" si="1242">AA1432*(1+AB1432)</f>
        <v>2.8644470000000001E-5</v>
      </c>
      <c r="X1432" s="789">
        <f t="shared" ref="X1432" si="1243">AA1432*(1+AC1432)</f>
        <v>2.8644470000000001E-5</v>
      </c>
      <c r="Y1432" s="52">
        <v>2004</v>
      </c>
      <c r="Z1432" s="52"/>
      <c r="AA1432" s="787">
        <f>+K1432/1000</f>
        <v>3.9239000000000002E-5</v>
      </c>
      <c r="AB1432" s="256">
        <v>-0.27</v>
      </c>
      <c r="AC1432" s="688">
        <f t="shared" si="1168"/>
        <v>-0.27</v>
      </c>
      <c r="AD1432" s="164"/>
      <c r="AE1432" s="164"/>
      <c r="AF1432" s="25"/>
      <c r="AG1432" s="26"/>
      <c r="AH1432" s="275"/>
      <c r="AI1432" s="52"/>
      <c r="AJ1432" s="35"/>
      <c r="AK1432" s="289"/>
      <c r="AL1432" s="290"/>
      <c r="AM1432" s="211"/>
      <c r="AN1432" s="164"/>
      <c r="AO1432" s="594"/>
      <c r="AP1432" s="595"/>
      <c r="AQ1432" s="275"/>
      <c r="AR1432" s="52"/>
      <c r="AS1432" s="596"/>
      <c r="AT1432" s="79"/>
      <c r="AU1432" s="212"/>
      <c r="AV1432" s="164"/>
      <c r="AW1432" s="164"/>
      <c r="AX1432" s="76"/>
      <c r="AY1432" s="44"/>
      <c r="AZ1432" s="275"/>
      <c r="BA1432" s="52"/>
      <c r="BB1432" s="35"/>
      <c r="BC1432" s="79"/>
      <c r="BD1432" s="230"/>
      <c r="BE1432" s="211"/>
      <c r="BF1432" s="164"/>
      <c r="BG1432" s="76"/>
      <c r="BH1432" s="44"/>
      <c r="BI1432" s="275"/>
      <c r="BJ1432" s="52"/>
      <c r="BK1432" s="35"/>
      <c r="BL1432" s="79"/>
      <c r="BM1432" s="230"/>
      <c r="BN1432" s="211"/>
      <c r="BO1432" s="164"/>
      <c r="BP1432" s="726"/>
      <c r="BQ1432" s="727"/>
      <c r="BR1432" s="299"/>
      <c r="BS1432" s="35"/>
      <c r="BT1432" s="596"/>
      <c r="BU1432" s="79"/>
      <c r="BV1432" s="212"/>
      <c r="BW1432" s="304"/>
      <c r="BX1432" s="313"/>
      <c r="BY1432" s="138"/>
    </row>
    <row r="1433" spans="1:77" ht="15" customHeight="1" outlineLevel="1" x14ac:dyDescent="0.2">
      <c r="A1433" s="583" t="s">
        <v>24</v>
      </c>
      <c r="B1433" s="583"/>
      <c r="C1433" s="864" t="s">
        <v>2413</v>
      </c>
      <c r="D1433" s="546">
        <v>4.5119999999999996</v>
      </c>
      <c r="E1433" s="162" t="s">
        <v>631</v>
      </c>
      <c r="F1433" s="358"/>
      <c r="G1433" s="65"/>
      <c r="H1433" s="73"/>
      <c r="I1433" s="90"/>
      <c r="J1433" s="73"/>
      <c r="K1433" s="790"/>
      <c r="L1433" s="717">
        <v>2008</v>
      </c>
      <c r="M1433" s="73"/>
      <c r="N1433" s="738">
        <v>2.2020000000000001E-2</v>
      </c>
      <c r="O1433" s="1041"/>
      <c r="P1433" s="73"/>
      <c r="Q1433" s="359"/>
      <c r="R1433" s="1041"/>
      <c r="S1433" s="73"/>
      <c r="T1433" s="359"/>
      <c r="U1433" s="73"/>
      <c r="V1433" s="66"/>
      <c r="W1433" s="788">
        <f t="shared" ref="W1433" si="1244">AA1433*(1+AB1433)</f>
        <v>1.56342E-5</v>
      </c>
      <c r="X1433" s="789">
        <f t="shared" ref="X1433" si="1245">AA1433*(1+AC1433)</f>
        <v>1.56342E-5</v>
      </c>
      <c r="Y1433" s="52">
        <v>2008</v>
      </c>
      <c r="Z1433" s="52"/>
      <c r="AA1433" s="787">
        <f>+N1433/1000</f>
        <v>2.2020000000000003E-5</v>
      </c>
      <c r="AB1433" s="256">
        <v>-0.28999999999999998</v>
      </c>
      <c r="AC1433" s="688">
        <f t="shared" ref="AC1433" si="1246">AB1433</f>
        <v>-0.28999999999999998</v>
      </c>
      <c r="AD1433" s="164"/>
      <c r="AE1433" s="164"/>
      <c r="AF1433" s="25"/>
      <c r="AG1433" s="26"/>
      <c r="AH1433" s="275"/>
      <c r="AI1433" s="52"/>
      <c r="AJ1433" s="35"/>
      <c r="AK1433" s="289"/>
      <c r="AL1433" s="290"/>
      <c r="AM1433" s="211"/>
      <c r="AN1433" s="164"/>
      <c r="AO1433" s="594"/>
      <c r="AP1433" s="595"/>
      <c r="AQ1433" s="275"/>
      <c r="AR1433" s="52"/>
      <c r="AS1433" s="596"/>
      <c r="AT1433" s="79"/>
      <c r="AU1433" s="212"/>
      <c r="AV1433" s="164"/>
      <c r="AW1433" s="164"/>
      <c r="AX1433" s="76"/>
      <c r="AY1433" s="44"/>
      <c r="AZ1433" s="275"/>
      <c r="BA1433" s="52"/>
      <c r="BB1433" s="35"/>
      <c r="BC1433" s="79"/>
      <c r="BD1433" s="230"/>
      <c r="BE1433" s="211"/>
      <c r="BF1433" s="164"/>
      <c r="BG1433" s="76"/>
      <c r="BH1433" s="44"/>
      <c r="BI1433" s="275"/>
      <c r="BJ1433" s="52"/>
      <c r="BK1433" s="35"/>
      <c r="BL1433" s="79"/>
      <c r="BM1433" s="230"/>
      <c r="BN1433" s="211"/>
      <c r="BO1433" s="164"/>
      <c r="BP1433" s="726"/>
      <c r="BQ1433" s="727"/>
      <c r="BR1433" s="299"/>
      <c r="BS1433" s="35"/>
      <c r="BT1433" s="596"/>
      <c r="BU1433" s="79"/>
      <c r="BV1433" s="212"/>
      <c r="BW1433" s="304"/>
      <c r="BX1433" s="313"/>
      <c r="BY1433" s="138"/>
    </row>
    <row r="1434" spans="1:77" ht="15" customHeight="1" outlineLevel="1" x14ac:dyDescent="0.2">
      <c r="A1434" s="583" t="s">
        <v>24</v>
      </c>
      <c r="B1434" s="583"/>
      <c r="C1434" s="864" t="s">
        <v>1882</v>
      </c>
      <c r="D1434" s="546">
        <v>1.825</v>
      </c>
      <c r="E1434" s="162" t="s">
        <v>631</v>
      </c>
      <c r="F1434" s="358"/>
      <c r="G1434" s="65"/>
      <c r="H1434" s="73"/>
      <c r="I1434" s="90"/>
      <c r="J1434" s="73"/>
      <c r="K1434" s="790"/>
      <c r="L1434" s="717">
        <v>2009</v>
      </c>
      <c r="M1434" s="73"/>
      <c r="N1434" s="786">
        <v>1.5082E-2</v>
      </c>
      <c r="O1434" s="1041"/>
      <c r="P1434" s="73"/>
      <c r="Q1434" s="786"/>
      <c r="R1434" s="1041"/>
      <c r="S1434" s="73"/>
      <c r="T1434" s="786"/>
      <c r="U1434" s="73"/>
      <c r="V1434" s="66"/>
      <c r="W1434" s="788">
        <f t="shared" ref="W1434" si="1247">AA1434*(1+AB1434)</f>
        <v>1.116068E-5</v>
      </c>
      <c r="X1434" s="789">
        <f t="shared" ref="X1434" si="1248">AA1434*(1+AC1434)</f>
        <v>1.116068E-5</v>
      </c>
      <c r="Y1434" s="52">
        <v>2009</v>
      </c>
      <c r="Z1434" s="52"/>
      <c r="AA1434" s="787">
        <f>+N1434/1000</f>
        <v>1.5082000000000001E-5</v>
      </c>
      <c r="AB1434" s="256">
        <v>-0.26</v>
      </c>
      <c r="AC1434" s="688">
        <f t="shared" si="1168"/>
        <v>-0.26</v>
      </c>
      <c r="AD1434" s="164"/>
      <c r="AE1434" s="164"/>
      <c r="AF1434" s="25"/>
      <c r="AG1434" s="26"/>
      <c r="AH1434" s="275"/>
      <c r="AI1434" s="52"/>
      <c r="AJ1434" s="35"/>
      <c r="AK1434" s="289"/>
      <c r="AL1434" s="290"/>
      <c r="AM1434" s="211"/>
      <c r="AN1434" s="164"/>
      <c r="AO1434" s="594"/>
      <c r="AP1434" s="595"/>
      <c r="AQ1434" s="275"/>
      <c r="AR1434" s="52"/>
      <c r="AS1434" s="596"/>
      <c r="AT1434" s="79"/>
      <c r="AU1434" s="212"/>
      <c r="AV1434" s="164"/>
      <c r="AW1434" s="164"/>
      <c r="AX1434" s="76"/>
      <c r="AY1434" s="44"/>
      <c r="AZ1434" s="275"/>
      <c r="BA1434" s="52"/>
      <c r="BB1434" s="35"/>
      <c r="BC1434" s="79"/>
      <c r="BD1434" s="230"/>
      <c r="BE1434" s="211"/>
      <c r="BF1434" s="164"/>
      <c r="BG1434" s="76"/>
      <c r="BH1434" s="44"/>
      <c r="BI1434" s="275"/>
      <c r="BJ1434" s="52"/>
      <c r="BK1434" s="35"/>
      <c r="BL1434" s="79"/>
      <c r="BM1434" s="230"/>
      <c r="BN1434" s="211"/>
      <c r="BO1434" s="164"/>
      <c r="BP1434" s="726"/>
      <c r="BQ1434" s="727"/>
      <c r="BR1434" s="299"/>
      <c r="BS1434" s="35"/>
      <c r="BT1434" s="596"/>
      <c r="BU1434" s="79"/>
      <c r="BV1434" s="212"/>
      <c r="BW1434" s="304"/>
      <c r="BX1434" s="313"/>
      <c r="BY1434" s="138"/>
    </row>
    <row r="1435" spans="1:77" ht="15" customHeight="1" outlineLevel="1" x14ac:dyDescent="0.2">
      <c r="A1435" s="583" t="s">
        <v>24</v>
      </c>
      <c r="B1435" s="583"/>
      <c r="C1435" s="864" t="s">
        <v>1994</v>
      </c>
      <c r="D1435" s="546">
        <v>0.57299999999999995</v>
      </c>
      <c r="E1435" s="162" t="s">
        <v>631</v>
      </c>
      <c r="F1435" s="358"/>
      <c r="G1435" s="65"/>
      <c r="H1435" s="73"/>
      <c r="I1435" s="90"/>
      <c r="J1435" s="73"/>
      <c r="K1435" s="790">
        <v>1.9710000000000001E-3</v>
      </c>
      <c r="L1435" s="717"/>
      <c r="M1435" s="73"/>
      <c r="N1435" s="786"/>
      <c r="O1435" s="1041"/>
      <c r="P1435" s="73"/>
      <c r="Q1435" s="786"/>
      <c r="R1435" s="1041"/>
      <c r="S1435" s="73"/>
      <c r="T1435" s="786"/>
      <c r="U1435" s="73"/>
      <c r="V1435" s="66"/>
      <c r="W1435" s="788">
        <f t="shared" ref="W1435" si="1249">AA1435*(1+AB1435)</f>
        <v>1.4191200000000002E-6</v>
      </c>
      <c r="X1435" s="789">
        <f t="shared" ref="X1435" si="1250">AA1435*(1+AC1435)</f>
        <v>1.4191200000000002E-6</v>
      </c>
      <c r="Y1435" s="52">
        <v>2005</v>
      </c>
      <c r="Z1435" s="52"/>
      <c r="AA1435" s="787">
        <f>+K1435/1000</f>
        <v>1.9710000000000003E-6</v>
      </c>
      <c r="AB1435" s="256">
        <v>-0.28000000000000003</v>
      </c>
      <c r="AC1435" s="688">
        <f t="shared" si="1168"/>
        <v>-0.28000000000000003</v>
      </c>
      <c r="AD1435" s="164"/>
      <c r="AE1435" s="164"/>
      <c r="AF1435" s="25"/>
      <c r="AG1435" s="26"/>
      <c r="AH1435" s="275"/>
      <c r="AI1435" s="52"/>
      <c r="AJ1435" s="35"/>
      <c r="AK1435" s="289"/>
      <c r="AL1435" s="290"/>
      <c r="AM1435" s="211"/>
      <c r="AN1435" s="164"/>
      <c r="AO1435" s="594"/>
      <c r="AP1435" s="595"/>
      <c r="AQ1435" s="275"/>
      <c r="AR1435" s="52"/>
      <c r="AS1435" s="596"/>
      <c r="AT1435" s="79"/>
      <c r="AU1435" s="212"/>
      <c r="AV1435" s="164"/>
      <c r="AW1435" s="164"/>
      <c r="AX1435" s="76"/>
      <c r="AY1435" s="44"/>
      <c r="AZ1435" s="275"/>
      <c r="BA1435" s="52"/>
      <c r="BB1435" s="35"/>
      <c r="BC1435" s="79"/>
      <c r="BD1435" s="230"/>
      <c r="BE1435" s="211"/>
      <c r="BF1435" s="164"/>
      <c r="BG1435" s="76"/>
      <c r="BH1435" s="44"/>
      <c r="BI1435" s="275"/>
      <c r="BJ1435" s="52"/>
      <c r="BK1435" s="35"/>
      <c r="BL1435" s="79"/>
      <c r="BM1435" s="230"/>
      <c r="BN1435" s="211"/>
      <c r="BO1435" s="164"/>
      <c r="BP1435" s="726"/>
      <c r="BQ1435" s="727"/>
      <c r="BR1435" s="299"/>
      <c r="BS1435" s="35"/>
      <c r="BT1435" s="596"/>
      <c r="BU1435" s="79"/>
      <c r="BV1435" s="212"/>
      <c r="BW1435" s="304"/>
      <c r="BX1435" s="313"/>
      <c r="BY1435" s="138"/>
    </row>
    <row r="1436" spans="1:77" ht="15" customHeight="1" outlineLevel="1" x14ac:dyDescent="0.2">
      <c r="A1436" s="583" t="s">
        <v>24</v>
      </c>
      <c r="B1436" s="583"/>
      <c r="C1436" s="864" t="s">
        <v>2000</v>
      </c>
      <c r="D1436" s="546">
        <v>70.349000000000004</v>
      </c>
      <c r="E1436" s="162" t="s">
        <v>631</v>
      </c>
      <c r="F1436" s="358"/>
      <c r="G1436" s="65"/>
      <c r="H1436" s="73"/>
      <c r="I1436" s="90"/>
      <c r="J1436" s="73"/>
      <c r="K1436" s="790"/>
      <c r="L1436" s="717">
        <v>2008</v>
      </c>
      <c r="M1436" s="73"/>
      <c r="N1436" s="786">
        <v>0.46049400000000001</v>
      </c>
      <c r="O1436" s="1041"/>
      <c r="P1436" s="73"/>
      <c r="Q1436" s="786"/>
      <c r="R1436" s="1041"/>
      <c r="S1436" s="73"/>
      <c r="T1436" s="786"/>
      <c r="U1436" s="73"/>
      <c r="V1436" s="66"/>
      <c r="W1436" s="788">
        <f t="shared" ref="W1436" si="1251">AA1436*(1+AB1436)</f>
        <v>3.3155568000000003E-4</v>
      </c>
      <c r="X1436" s="789">
        <f t="shared" ref="X1436" si="1252">AA1436*(1+AC1436)</f>
        <v>3.3155568000000003E-4</v>
      </c>
      <c r="Y1436" s="52">
        <v>2008</v>
      </c>
      <c r="Z1436" s="52"/>
      <c r="AA1436" s="787">
        <f>+N1436/1000</f>
        <v>4.6049400000000004E-4</v>
      </c>
      <c r="AB1436" s="256">
        <v>-0.28000000000000003</v>
      </c>
      <c r="AC1436" s="688">
        <f t="shared" si="1168"/>
        <v>-0.28000000000000003</v>
      </c>
      <c r="AD1436" s="164"/>
      <c r="AE1436" s="164"/>
      <c r="AF1436" s="25"/>
      <c r="AG1436" s="26"/>
      <c r="AH1436" s="275"/>
      <c r="AI1436" s="52"/>
      <c r="AJ1436" s="35"/>
      <c r="AK1436" s="289"/>
      <c r="AL1436" s="290"/>
      <c r="AM1436" s="211"/>
      <c r="AN1436" s="164"/>
      <c r="AO1436" s="594"/>
      <c r="AP1436" s="595"/>
      <c r="AQ1436" s="275"/>
      <c r="AR1436" s="52"/>
      <c r="AS1436" s="596"/>
      <c r="AT1436" s="79"/>
      <c r="AU1436" s="212"/>
      <c r="AV1436" s="164"/>
      <c r="AW1436" s="164"/>
      <c r="AX1436" s="76"/>
      <c r="AY1436" s="44"/>
      <c r="AZ1436" s="275"/>
      <c r="BA1436" s="52"/>
      <c r="BB1436" s="35"/>
      <c r="BC1436" s="79"/>
      <c r="BD1436" s="230"/>
      <c r="BE1436" s="211"/>
      <c r="BF1436" s="164"/>
      <c r="BG1436" s="76"/>
      <c r="BH1436" s="44"/>
      <c r="BI1436" s="275"/>
      <c r="BJ1436" s="52"/>
      <c r="BK1436" s="35"/>
      <c r="BL1436" s="79"/>
      <c r="BM1436" s="230"/>
      <c r="BN1436" s="211"/>
      <c r="BO1436" s="164"/>
      <c r="BP1436" s="726"/>
      <c r="BQ1436" s="727"/>
      <c r="BR1436" s="299"/>
      <c r="BS1436" s="35"/>
      <c r="BT1436" s="596"/>
      <c r="BU1436" s="79"/>
      <c r="BV1436" s="212"/>
      <c r="BW1436" s="304"/>
      <c r="BX1436" s="313"/>
      <c r="BY1436" s="138"/>
    </row>
    <row r="1437" spans="1:77" ht="15" customHeight="1" outlineLevel="1" x14ac:dyDescent="0.2">
      <c r="A1437" s="583" t="s">
        <v>24</v>
      </c>
      <c r="B1437" s="583"/>
      <c r="C1437" s="864" t="s">
        <v>1752</v>
      </c>
      <c r="D1437" s="546">
        <v>2.2999999999999998</v>
      </c>
      <c r="E1437" s="162" t="s">
        <v>631</v>
      </c>
      <c r="F1437" s="358"/>
      <c r="G1437" s="65"/>
      <c r="H1437" s="73"/>
      <c r="I1437" s="90"/>
      <c r="J1437" s="73"/>
      <c r="K1437" s="790">
        <v>6.9239999999999996E-3</v>
      </c>
      <c r="L1437" s="717"/>
      <c r="M1437" s="73"/>
      <c r="N1437" s="359"/>
      <c r="O1437" s="1041"/>
      <c r="P1437" s="73"/>
      <c r="Q1437" s="359"/>
      <c r="R1437" s="1041"/>
      <c r="S1437" s="73"/>
      <c r="T1437" s="359"/>
      <c r="U1437" s="73"/>
      <c r="V1437" s="66"/>
      <c r="W1437" s="788">
        <f t="shared" ref="W1437" si="1253">AA1437*(1+AB1437)</f>
        <v>5.1929999999999992E-6</v>
      </c>
      <c r="X1437" s="789">
        <f t="shared" ref="X1437" si="1254">AA1437*(1+AC1437)</f>
        <v>5.1929999999999992E-6</v>
      </c>
      <c r="Y1437" s="52">
        <v>2005</v>
      </c>
      <c r="Z1437" s="52"/>
      <c r="AA1437" s="787">
        <f>+K1437/1000</f>
        <v>6.9239999999999993E-6</v>
      </c>
      <c r="AB1437" s="256">
        <v>-0.25</v>
      </c>
      <c r="AC1437" s="688">
        <f t="shared" si="1168"/>
        <v>-0.25</v>
      </c>
      <c r="AD1437" s="164"/>
      <c r="AE1437" s="164"/>
      <c r="AF1437" s="25"/>
      <c r="AG1437" s="26"/>
      <c r="AH1437" s="275"/>
      <c r="AI1437" s="52"/>
      <c r="AJ1437" s="35"/>
      <c r="AK1437" s="289"/>
      <c r="AL1437" s="290"/>
      <c r="AM1437" s="211"/>
      <c r="AN1437" s="164"/>
      <c r="AO1437" s="594"/>
      <c r="AP1437" s="595"/>
      <c r="AQ1437" s="275"/>
      <c r="AR1437" s="52"/>
      <c r="AS1437" s="596"/>
      <c r="AT1437" s="79"/>
      <c r="AU1437" s="212"/>
      <c r="AV1437" s="164"/>
      <c r="AW1437" s="164"/>
      <c r="AX1437" s="76"/>
      <c r="AY1437" s="44"/>
      <c r="AZ1437" s="275"/>
      <c r="BA1437" s="52"/>
      <c r="BB1437" s="35"/>
      <c r="BC1437" s="79"/>
      <c r="BD1437" s="230"/>
      <c r="BE1437" s="211"/>
      <c r="BF1437" s="164"/>
      <c r="BG1437" s="76"/>
      <c r="BH1437" s="44"/>
      <c r="BI1437" s="275"/>
      <c r="BJ1437" s="52"/>
      <c r="BK1437" s="35"/>
      <c r="BL1437" s="79"/>
      <c r="BM1437" s="230"/>
      <c r="BN1437" s="211"/>
      <c r="BO1437" s="164"/>
      <c r="BP1437" s="726"/>
      <c r="BQ1437" s="727"/>
      <c r="BR1437" s="299"/>
      <c r="BS1437" s="35"/>
      <c r="BT1437" s="596"/>
      <c r="BU1437" s="79"/>
      <c r="BV1437" s="212"/>
      <c r="BW1437" s="304"/>
      <c r="BX1437" s="313"/>
      <c r="BY1437" s="138"/>
    </row>
    <row r="1438" spans="1:77" ht="15" customHeight="1" outlineLevel="1" x14ac:dyDescent="0.2">
      <c r="A1438" s="583" t="s">
        <v>24</v>
      </c>
      <c r="B1438" s="583"/>
      <c r="C1438" s="864" t="s">
        <v>2471</v>
      </c>
      <c r="D1438" s="546">
        <v>33.012999999999998</v>
      </c>
      <c r="E1438" s="162" t="s">
        <v>631</v>
      </c>
      <c r="F1438" s="358"/>
      <c r="G1438" s="65"/>
      <c r="H1438" s="73"/>
      <c r="I1438" s="90">
        <v>2006</v>
      </c>
      <c r="J1438" s="73"/>
      <c r="K1438" s="734">
        <v>0.14621200000000001</v>
      </c>
      <c r="L1438" s="717"/>
      <c r="M1438" s="73"/>
      <c r="N1438" s="359"/>
      <c r="O1438" s="1041"/>
      <c r="P1438" s="73"/>
      <c r="Q1438" s="359"/>
      <c r="R1438" s="1041"/>
      <c r="S1438" s="73"/>
      <c r="T1438" s="359"/>
      <c r="U1438" s="73"/>
      <c r="V1438" s="66"/>
      <c r="W1438" s="788"/>
      <c r="X1438" s="789"/>
      <c r="Y1438" s="52"/>
      <c r="Z1438" s="52"/>
      <c r="AA1438" s="787"/>
      <c r="AB1438" s="256"/>
      <c r="AC1438" s="688"/>
      <c r="AD1438" s="164"/>
      <c r="AE1438" s="164"/>
      <c r="AF1438" s="25"/>
      <c r="AG1438" s="26"/>
      <c r="AH1438" s="275"/>
      <c r="AI1438" s="52"/>
      <c r="AJ1438" s="35"/>
      <c r="AK1438" s="289"/>
      <c r="AL1438" s="290"/>
      <c r="AM1438" s="211"/>
      <c r="AN1438" s="164"/>
      <c r="AO1438" s="788">
        <f>AS1438*(1+AT1438)</f>
        <v>7.7492360000000008E-5</v>
      </c>
      <c r="AP1438" s="789">
        <f>AS1438*(1+AU1438)</f>
        <v>7.7492360000000008E-5</v>
      </c>
      <c r="AQ1438" s="275">
        <v>2006</v>
      </c>
      <c r="AR1438" s="52"/>
      <c r="AS1438" s="739">
        <f>+K1438/1000</f>
        <v>1.46212E-4</v>
      </c>
      <c r="AT1438" s="79">
        <v>-0.47</v>
      </c>
      <c r="AU1438" s="212">
        <f>AT1438</f>
        <v>-0.47</v>
      </c>
      <c r="AV1438" s="164"/>
      <c r="AW1438" s="164"/>
      <c r="AX1438" s="76"/>
      <c r="AY1438" s="44"/>
      <c r="AZ1438" s="275"/>
      <c r="BA1438" s="52"/>
      <c r="BB1438" s="35"/>
      <c r="BC1438" s="79"/>
      <c r="BD1438" s="230"/>
      <c r="BE1438" s="211"/>
      <c r="BF1438" s="164"/>
      <c r="BG1438" s="76"/>
      <c r="BH1438" s="44"/>
      <c r="BI1438" s="275"/>
      <c r="BJ1438" s="52"/>
      <c r="BK1438" s="35"/>
      <c r="BL1438" s="79"/>
      <c r="BM1438" s="230"/>
      <c r="BN1438" s="211"/>
      <c r="BO1438" s="164"/>
      <c r="BP1438" s="726"/>
      <c r="BQ1438" s="727"/>
      <c r="BR1438" s="299"/>
      <c r="BS1438" s="35"/>
      <c r="BT1438" s="596"/>
      <c r="BU1438" s="79"/>
      <c r="BV1438" s="212"/>
      <c r="BW1438" s="304"/>
      <c r="BX1438" s="313"/>
      <c r="BY1438" s="138"/>
    </row>
    <row r="1439" spans="1:77" ht="15" customHeight="1" outlineLevel="1" x14ac:dyDescent="0.2">
      <c r="A1439" s="583" t="s">
        <v>24</v>
      </c>
      <c r="B1439" s="583"/>
      <c r="C1439" s="864" t="s">
        <v>2843</v>
      </c>
      <c r="D1439" s="546">
        <v>17.298999999999999</v>
      </c>
      <c r="E1439" s="162" t="s">
        <v>631</v>
      </c>
      <c r="F1439" s="358"/>
      <c r="G1439" s="65"/>
      <c r="H1439" s="73"/>
      <c r="I1439" s="90">
        <v>2006</v>
      </c>
      <c r="J1439" s="73"/>
      <c r="K1439" s="790">
        <v>0.117012</v>
      </c>
      <c r="L1439" s="717"/>
      <c r="M1439" s="73"/>
      <c r="N1439" s="359"/>
      <c r="O1439" s="1041"/>
      <c r="P1439" s="73"/>
      <c r="Q1439" s="359"/>
      <c r="R1439" s="1041"/>
      <c r="S1439" s="73"/>
      <c r="T1439" s="359"/>
      <c r="U1439" s="73"/>
      <c r="V1439" s="66"/>
      <c r="W1439" s="788"/>
      <c r="X1439" s="789"/>
      <c r="Y1439" s="52"/>
      <c r="Z1439" s="52"/>
      <c r="AA1439" s="787"/>
      <c r="AB1439" s="256"/>
      <c r="AC1439" s="688"/>
      <c r="AD1439" s="164"/>
      <c r="AE1439" s="164"/>
      <c r="AF1439" s="25"/>
      <c r="AG1439" s="26"/>
      <c r="AH1439" s="275"/>
      <c r="AI1439" s="52"/>
      <c r="AJ1439" s="35"/>
      <c r="AK1439" s="289"/>
      <c r="AL1439" s="290"/>
      <c r="AM1439" s="211"/>
      <c r="AN1439" s="164"/>
      <c r="AO1439" s="788">
        <f>AS1439*(1+AT1439)</f>
        <v>6.9037080000000016E-5</v>
      </c>
      <c r="AP1439" s="789">
        <f>AS1439*(1+AU1439)</f>
        <v>6.9037080000000016E-5</v>
      </c>
      <c r="AQ1439" s="275">
        <v>2006</v>
      </c>
      <c r="AR1439" s="52"/>
      <c r="AS1439" s="739">
        <f>+K1439/1000</f>
        <v>1.1701200000000001E-4</v>
      </c>
      <c r="AT1439" s="79">
        <v>-0.41</v>
      </c>
      <c r="AU1439" s="212">
        <f>AT1439</f>
        <v>-0.41</v>
      </c>
      <c r="AV1439" s="164"/>
      <c r="AW1439" s="164"/>
      <c r="AX1439" s="76"/>
      <c r="AY1439" s="44"/>
      <c r="AZ1439" s="275"/>
      <c r="BA1439" s="52"/>
      <c r="BB1439" s="35"/>
      <c r="BC1439" s="79"/>
      <c r="BD1439" s="230"/>
      <c r="BE1439" s="211"/>
      <c r="BF1439" s="164"/>
      <c r="BG1439" s="76"/>
      <c r="BH1439" s="44"/>
      <c r="BI1439" s="275"/>
      <c r="BJ1439" s="52"/>
      <c r="BK1439" s="35"/>
      <c r="BL1439" s="79"/>
      <c r="BM1439" s="230"/>
      <c r="BN1439" s="211"/>
      <c r="BO1439" s="164"/>
      <c r="BP1439" s="726"/>
      <c r="BQ1439" s="727"/>
      <c r="BR1439" s="299"/>
      <c r="BS1439" s="35"/>
      <c r="BT1439" s="596"/>
      <c r="BU1439" s="79"/>
      <c r="BV1439" s="212"/>
      <c r="BW1439" s="304"/>
      <c r="BX1439" s="313"/>
      <c r="BY1439" s="138"/>
    </row>
    <row r="1440" spans="1:77" ht="15" customHeight="1" outlineLevel="1" x14ac:dyDescent="0.2">
      <c r="A1440" s="583" t="s">
        <v>24</v>
      </c>
      <c r="B1440" s="583"/>
      <c r="C1440" s="864" t="s">
        <v>2844</v>
      </c>
      <c r="D1440" s="546">
        <v>59.386000000000003</v>
      </c>
      <c r="E1440" s="162" t="s">
        <v>631</v>
      </c>
      <c r="F1440" s="358"/>
      <c r="G1440" s="65"/>
      <c r="H1440" s="73"/>
      <c r="I1440" s="90">
        <v>2006</v>
      </c>
      <c r="J1440" s="73"/>
      <c r="K1440" s="790">
        <v>0.34077499999999999</v>
      </c>
      <c r="L1440" s="717"/>
      <c r="M1440" s="73"/>
      <c r="N1440" s="359"/>
      <c r="O1440" s="1041"/>
      <c r="P1440" s="73"/>
      <c r="Q1440" s="359"/>
      <c r="R1440" s="1041"/>
      <c r="S1440" s="73"/>
      <c r="T1440" s="359"/>
      <c r="U1440" s="73"/>
      <c r="V1440" s="66"/>
      <c r="W1440" s="788"/>
      <c r="X1440" s="789"/>
      <c r="Y1440" s="52"/>
      <c r="Z1440" s="52"/>
      <c r="AA1440" s="787"/>
      <c r="AB1440" s="256"/>
      <c r="AC1440" s="688"/>
      <c r="AD1440" s="164"/>
      <c r="AE1440" s="164"/>
      <c r="AF1440" s="25"/>
      <c r="AG1440" s="26"/>
      <c r="AH1440" s="275"/>
      <c r="AI1440" s="52"/>
      <c r="AJ1440" s="35"/>
      <c r="AK1440" s="289"/>
      <c r="AL1440" s="290"/>
      <c r="AM1440" s="211"/>
      <c r="AN1440" s="164"/>
      <c r="AO1440" s="740">
        <f>AS1440*(1+AT1440)</f>
        <v>1.976495E-4</v>
      </c>
      <c r="AP1440" s="741">
        <f>AS1440*(1+AU1440)</f>
        <v>1.976495E-4</v>
      </c>
      <c r="AQ1440" s="275">
        <v>2006</v>
      </c>
      <c r="AR1440" s="739"/>
      <c r="AS1440" s="739">
        <f>+K1440/1000</f>
        <v>3.4077499999999998E-4</v>
      </c>
      <c r="AT1440" s="79">
        <v>-0.42</v>
      </c>
      <c r="AU1440" s="212">
        <f>AT1440</f>
        <v>-0.42</v>
      </c>
      <c r="AV1440" s="164"/>
      <c r="AW1440" s="164"/>
      <c r="AX1440" s="76"/>
      <c r="AY1440" s="44"/>
      <c r="AZ1440" s="275"/>
      <c r="BA1440" s="52"/>
      <c r="BB1440" s="35"/>
      <c r="BC1440" s="79"/>
      <c r="BD1440" s="230"/>
      <c r="BE1440" s="211"/>
      <c r="BF1440" s="164"/>
      <c r="BG1440" s="76"/>
      <c r="BH1440" s="44"/>
      <c r="BI1440" s="275"/>
      <c r="BJ1440" s="52"/>
      <c r="BK1440" s="35"/>
      <c r="BL1440" s="79"/>
      <c r="BM1440" s="230"/>
      <c r="BN1440" s="211"/>
      <c r="BO1440" s="164"/>
      <c r="BP1440" s="726"/>
      <c r="BQ1440" s="727"/>
      <c r="BR1440" s="299"/>
      <c r="BS1440" s="35"/>
      <c r="BT1440" s="596"/>
      <c r="BU1440" s="79"/>
      <c r="BV1440" s="212"/>
      <c r="BW1440" s="304"/>
      <c r="BX1440" s="313"/>
      <c r="BY1440" s="138"/>
    </row>
    <row r="1441" spans="1:77" ht="15" customHeight="1" outlineLevel="1" x14ac:dyDescent="0.2">
      <c r="A1441" s="583" t="s">
        <v>24</v>
      </c>
      <c r="B1441" s="583"/>
      <c r="C1441" s="864" t="s">
        <v>1746</v>
      </c>
      <c r="D1441" s="546">
        <v>1.2150000000000001</v>
      </c>
      <c r="E1441" s="162" t="s">
        <v>631</v>
      </c>
      <c r="F1441" s="358"/>
      <c r="G1441" s="65"/>
      <c r="H1441" s="73"/>
      <c r="I1441" s="90"/>
      <c r="J1441" s="73"/>
      <c r="K1441" s="790">
        <v>3.627E-3</v>
      </c>
      <c r="L1441" s="717"/>
      <c r="M1441" s="73"/>
      <c r="N1441" s="359"/>
      <c r="O1441" s="1041"/>
      <c r="P1441" s="73"/>
      <c r="Q1441" s="359"/>
      <c r="R1441" s="1041"/>
      <c r="S1441" s="73"/>
      <c r="T1441" s="359"/>
      <c r="U1441" s="73"/>
      <c r="V1441" s="66"/>
      <c r="W1441" s="788">
        <f t="shared" ref="W1441:W1443" si="1255">AA1441*(1+AB1441)</f>
        <v>2.7202499999999999E-6</v>
      </c>
      <c r="X1441" s="789">
        <f t="shared" ref="X1441:X1443" si="1256">AA1441*(1+AC1441)</f>
        <v>2.7202499999999999E-6</v>
      </c>
      <c r="Y1441" s="52">
        <v>2005</v>
      </c>
      <c r="Z1441" s="52"/>
      <c r="AA1441" s="787">
        <f>+K1441/1000</f>
        <v>3.6270000000000002E-6</v>
      </c>
      <c r="AB1441" s="256">
        <v>-0.25</v>
      </c>
      <c r="AC1441" s="688">
        <f t="shared" si="1168"/>
        <v>-0.25</v>
      </c>
      <c r="AD1441" s="164"/>
      <c r="AE1441" s="164"/>
      <c r="AF1441" s="25"/>
      <c r="AG1441" s="26"/>
      <c r="AH1441" s="275"/>
      <c r="AI1441" s="52"/>
      <c r="AJ1441" s="35"/>
      <c r="AK1441" s="289"/>
      <c r="AL1441" s="290"/>
      <c r="AM1441" s="211"/>
      <c r="AN1441" s="164"/>
      <c r="AO1441" s="594"/>
      <c r="AP1441" s="595"/>
      <c r="AQ1441" s="275"/>
      <c r="AR1441" s="52"/>
      <c r="AS1441" s="596"/>
      <c r="AT1441" s="79"/>
      <c r="AU1441" s="212"/>
      <c r="AV1441" s="164"/>
      <c r="AW1441" s="164"/>
      <c r="AX1441" s="76"/>
      <c r="AY1441" s="44"/>
      <c r="AZ1441" s="275"/>
      <c r="BA1441" s="52"/>
      <c r="BB1441" s="35"/>
      <c r="BC1441" s="79"/>
      <c r="BD1441" s="230"/>
      <c r="BE1441" s="211"/>
      <c r="BF1441" s="164"/>
      <c r="BG1441" s="76"/>
      <c r="BH1441" s="44"/>
      <c r="BI1441" s="275"/>
      <c r="BJ1441" s="52"/>
      <c r="BK1441" s="35"/>
      <c r="BL1441" s="79"/>
      <c r="BM1441" s="230"/>
      <c r="BN1441" s="211"/>
      <c r="BO1441" s="164"/>
      <c r="BP1441" s="726"/>
      <c r="BQ1441" s="727"/>
      <c r="BR1441" s="299"/>
      <c r="BS1441" s="35"/>
      <c r="BT1441" s="596"/>
      <c r="BU1441" s="79"/>
      <c r="BV1441" s="212"/>
      <c r="BW1441" s="304"/>
      <c r="BX1441" s="313"/>
      <c r="BY1441" s="138"/>
    </row>
    <row r="1442" spans="1:77" ht="15" customHeight="1" outlineLevel="1" x14ac:dyDescent="0.2">
      <c r="A1442" s="583" t="s">
        <v>24</v>
      </c>
      <c r="B1442" s="583"/>
      <c r="C1442" s="864" t="s">
        <v>1854</v>
      </c>
      <c r="D1442" s="546">
        <v>18.555</v>
      </c>
      <c r="E1442" s="162" t="s">
        <v>631</v>
      </c>
      <c r="F1442" s="358"/>
      <c r="G1442" s="65"/>
      <c r="H1442" s="73"/>
      <c r="I1442" s="90">
        <v>2004</v>
      </c>
      <c r="J1442" s="73"/>
      <c r="K1442" s="790">
        <v>0.131937</v>
      </c>
      <c r="L1442" s="717"/>
      <c r="M1442" s="73"/>
      <c r="N1442" s="359"/>
      <c r="O1442" s="1041"/>
      <c r="P1442" s="73"/>
      <c r="Q1442" s="359"/>
      <c r="R1442" s="1041"/>
      <c r="S1442" s="73"/>
      <c r="T1442" s="359"/>
      <c r="U1442" s="73"/>
      <c r="V1442" s="66"/>
      <c r="W1442" s="788">
        <f t="shared" si="1255"/>
        <v>9.7633379999999991E-5</v>
      </c>
      <c r="X1442" s="789">
        <f t="shared" si="1256"/>
        <v>9.7633379999999991E-5</v>
      </c>
      <c r="Y1442" s="52">
        <v>2004</v>
      </c>
      <c r="Z1442" s="52"/>
      <c r="AA1442" s="787">
        <f>+K1442/1000</f>
        <v>1.3193699999999999E-4</v>
      </c>
      <c r="AB1442" s="256">
        <v>-0.26</v>
      </c>
      <c r="AC1442" s="688">
        <f t="shared" si="1168"/>
        <v>-0.26</v>
      </c>
      <c r="AD1442" s="164"/>
      <c r="AE1442" s="164"/>
      <c r="AF1442" s="25"/>
      <c r="AG1442" s="26"/>
      <c r="AH1442" s="275"/>
      <c r="AI1442" s="52"/>
      <c r="AJ1442" s="35"/>
      <c r="AK1442" s="289"/>
      <c r="AL1442" s="290"/>
      <c r="AM1442" s="211"/>
      <c r="AN1442" s="164"/>
      <c r="AO1442" s="594"/>
      <c r="AP1442" s="595"/>
      <c r="AQ1442" s="275"/>
      <c r="AR1442" s="52"/>
      <c r="AS1442" s="596"/>
      <c r="AT1442" s="79"/>
      <c r="AU1442" s="212"/>
      <c r="AV1442" s="164"/>
      <c r="AW1442" s="164"/>
      <c r="AX1442" s="76"/>
      <c r="AY1442" s="44"/>
      <c r="AZ1442" s="275"/>
      <c r="BA1442" s="52"/>
      <c r="BB1442" s="35"/>
      <c r="BC1442" s="79"/>
      <c r="BD1442" s="230"/>
      <c r="BE1442" s="211"/>
      <c r="BF1442" s="164"/>
      <c r="BG1442" s="76"/>
      <c r="BH1442" s="44"/>
      <c r="BI1442" s="275"/>
      <c r="BJ1442" s="52"/>
      <c r="BK1442" s="35"/>
      <c r="BL1442" s="79"/>
      <c r="BM1442" s="230"/>
      <c r="BN1442" s="211"/>
      <c r="BO1442" s="164"/>
      <c r="BP1442" s="726"/>
      <c r="BQ1442" s="727"/>
      <c r="BR1442" s="299"/>
      <c r="BS1442" s="35"/>
      <c r="BT1442" s="596"/>
      <c r="BU1442" s="79"/>
      <c r="BV1442" s="212"/>
      <c r="BW1442" s="304"/>
      <c r="BX1442" s="313"/>
      <c r="BY1442" s="138"/>
    </row>
    <row r="1443" spans="1:77" ht="15" customHeight="1" outlineLevel="1" x14ac:dyDescent="0.2">
      <c r="A1443" s="583" t="s">
        <v>24</v>
      </c>
      <c r="B1443" s="583"/>
      <c r="C1443" s="864" t="s">
        <v>2781</v>
      </c>
      <c r="D1443" s="546">
        <v>2.8839999999999999</v>
      </c>
      <c r="E1443" s="162" t="s">
        <v>631</v>
      </c>
      <c r="F1443" s="358"/>
      <c r="G1443" s="65"/>
      <c r="H1443" s="73"/>
      <c r="I1443" s="90"/>
      <c r="J1443" s="73"/>
      <c r="K1443" s="790"/>
      <c r="L1443" s="717"/>
      <c r="M1443" s="73"/>
      <c r="N1443" s="786">
        <v>1.49905E-2</v>
      </c>
      <c r="O1443" s="1041"/>
      <c r="P1443" s="73"/>
      <c r="Q1443" s="359"/>
      <c r="R1443" s="1041"/>
      <c r="S1443" s="73"/>
      <c r="T1443" s="359"/>
      <c r="U1443" s="73"/>
      <c r="V1443" s="66"/>
      <c r="W1443" s="740">
        <f t="shared" si="1255"/>
        <v>1.1842495E-5</v>
      </c>
      <c r="X1443" s="741">
        <f t="shared" si="1256"/>
        <v>1.1842495E-5</v>
      </c>
      <c r="Y1443" s="52">
        <v>2010</v>
      </c>
      <c r="Z1443" s="52"/>
      <c r="AA1443" s="739">
        <f>+N1443/1000</f>
        <v>1.49905E-5</v>
      </c>
      <c r="AB1443" s="256">
        <v>-0.21</v>
      </c>
      <c r="AC1443" s="688">
        <f t="shared" ref="AC1443" si="1257">AB1443</f>
        <v>-0.21</v>
      </c>
      <c r="AD1443" s="164"/>
      <c r="AE1443" s="164"/>
      <c r="AF1443" s="25"/>
      <c r="AG1443" s="26"/>
      <c r="AH1443" s="275"/>
      <c r="AI1443" s="52"/>
      <c r="AJ1443" s="35"/>
      <c r="AK1443" s="289"/>
      <c r="AL1443" s="290"/>
      <c r="AM1443" s="211"/>
      <c r="AN1443" s="164"/>
      <c r="AO1443" s="594"/>
      <c r="AP1443" s="595"/>
      <c r="AQ1443" s="275"/>
      <c r="AR1443" s="52"/>
      <c r="AS1443" s="596"/>
      <c r="AT1443" s="79"/>
      <c r="AU1443" s="212"/>
      <c r="AV1443" s="164"/>
      <c r="AW1443" s="164"/>
      <c r="AX1443" s="76"/>
      <c r="AY1443" s="44"/>
      <c r="AZ1443" s="275"/>
      <c r="BA1443" s="52"/>
      <c r="BB1443" s="35"/>
      <c r="BC1443" s="79"/>
      <c r="BD1443" s="230"/>
      <c r="BE1443" s="211"/>
      <c r="BF1443" s="164"/>
      <c r="BG1443" s="76"/>
      <c r="BH1443" s="44"/>
      <c r="BI1443" s="275"/>
      <c r="BJ1443" s="52"/>
      <c r="BK1443" s="35"/>
      <c r="BL1443" s="79"/>
      <c r="BM1443" s="230"/>
      <c r="BN1443" s="211"/>
      <c r="BO1443" s="164"/>
      <c r="BP1443" s="726"/>
      <c r="BQ1443" s="727"/>
      <c r="BR1443" s="299"/>
      <c r="BS1443" s="35"/>
      <c r="BT1443" s="596"/>
      <c r="BU1443" s="79"/>
      <c r="BV1443" s="212"/>
      <c r="BW1443" s="304"/>
      <c r="BX1443" s="313"/>
      <c r="BY1443" s="138"/>
    </row>
    <row r="1444" spans="1:77" ht="15" customHeight="1" outlineLevel="1" x14ac:dyDescent="0.2">
      <c r="A1444" s="57" t="s">
        <v>24</v>
      </c>
      <c r="B1444" s="583"/>
      <c r="C1444" s="864" t="s">
        <v>1561</v>
      </c>
      <c r="D1444" s="546">
        <v>38.51</v>
      </c>
      <c r="E1444" s="162" t="s">
        <v>631</v>
      </c>
      <c r="F1444" s="358"/>
      <c r="G1444" s="65"/>
      <c r="H1444" s="73"/>
      <c r="I1444" s="90"/>
      <c r="J1444" s="73"/>
      <c r="K1444" s="734"/>
      <c r="L1444" s="717"/>
      <c r="M1444" s="73"/>
      <c r="N1444" s="359">
        <v>0.103048</v>
      </c>
      <c r="O1444" s="1041"/>
      <c r="P1444" s="73"/>
      <c r="Q1444" s="359"/>
      <c r="R1444" s="1041"/>
      <c r="S1444" s="73"/>
      <c r="T1444" s="359"/>
      <c r="U1444" s="73"/>
      <c r="V1444" s="66"/>
      <c r="W1444" s="740">
        <f t="shared" si="1165"/>
        <v>7.2133599999999997E-5</v>
      </c>
      <c r="X1444" s="741">
        <f t="shared" si="1166"/>
        <v>7.2133599999999997E-5</v>
      </c>
      <c r="Y1444" s="52">
        <v>2010</v>
      </c>
      <c r="Z1444" s="52"/>
      <c r="AA1444" s="739">
        <f>+N1444/1000</f>
        <v>1.0304800000000001E-4</v>
      </c>
      <c r="AB1444" s="256">
        <v>-0.3</v>
      </c>
      <c r="AC1444" s="688">
        <f t="shared" si="1168"/>
        <v>-0.3</v>
      </c>
      <c r="AD1444" s="164"/>
      <c r="AE1444" s="164"/>
      <c r="AF1444" s="25"/>
      <c r="AG1444" s="26"/>
      <c r="AH1444" s="275"/>
      <c r="AI1444" s="52"/>
      <c r="AJ1444" s="35"/>
      <c r="AK1444" s="289"/>
      <c r="AL1444" s="290"/>
      <c r="AM1444" s="211"/>
      <c r="AN1444" s="164"/>
      <c r="AO1444" s="594"/>
      <c r="AP1444" s="595"/>
      <c r="AQ1444" s="275"/>
      <c r="AR1444" s="52"/>
      <c r="AS1444" s="596"/>
      <c r="AT1444" s="79"/>
      <c r="AU1444" s="212"/>
      <c r="AV1444" s="164"/>
      <c r="AW1444" s="164"/>
      <c r="AX1444" s="76"/>
      <c r="AY1444" s="44"/>
      <c r="AZ1444" s="275"/>
      <c r="BA1444" s="52"/>
      <c r="BB1444" s="35"/>
      <c r="BC1444" s="79"/>
      <c r="BD1444" s="230"/>
      <c r="BE1444" s="211"/>
      <c r="BF1444" s="164"/>
      <c r="BG1444" s="76"/>
      <c r="BH1444" s="44"/>
      <c r="BI1444" s="275"/>
      <c r="BJ1444" s="52"/>
      <c r="BK1444" s="35"/>
      <c r="BL1444" s="79"/>
      <c r="BM1444" s="230"/>
      <c r="BN1444" s="211"/>
      <c r="BO1444" s="164"/>
      <c r="BP1444" s="726"/>
      <c r="BQ1444" s="727"/>
      <c r="BR1444" s="299"/>
      <c r="BS1444" s="35"/>
      <c r="BT1444" s="596"/>
      <c r="BU1444" s="79"/>
      <c r="BV1444" s="212"/>
      <c r="BW1444" s="304"/>
      <c r="BX1444" s="313"/>
      <c r="BY1444" s="138"/>
    </row>
    <row r="1445" spans="1:77" ht="15" customHeight="1" outlineLevel="1" x14ac:dyDescent="0.2">
      <c r="A1445" s="583" t="s">
        <v>24</v>
      </c>
      <c r="B1445" s="583"/>
      <c r="C1445" s="864" t="s">
        <v>2090</v>
      </c>
      <c r="D1445" s="546">
        <v>5.83</v>
      </c>
      <c r="E1445" s="162" t="s">
        <v>631</v>
      </c>
      <c r="F1445" s="358"/>
      <c r="G1445" s="65"/>
      <c r="H1445" s="73"/>
      <c r="I1445" s="90"/>
      <c r="J1445" s="73"/>
      <c r="K1445" s="734"/>
      <c r="L1445" s="717">
        <v>2011</v>
      </c>
      <c r="M1445" s="73"/>
      <c r="N1445" s="786">
        <v>1.0326999999999999E-2</v>
      </c>
      <c r="O1445" s="1041"/>
      <c r="P1445" s="73"/>
      <c r="Q1445" s="359"/>
      <c r="R1445" s="1041"/>
      <c r="S1445" s="73"/>
      <c r="T1445" s="359"/>
      <c r="U1445" s="73"/>
      <c r="V1445" s="66"/>
      <c r="W1445" s="740">
        <f t="shared" ref="W1445" si="1258">AA1445*(1+AB1445)</f>
        <v>7.7452500000000001E-6</v>
      </c>
      <c r="X1445" s="741">
        <f t="shared" ref="X1445" si="1259">AA1445*(1+AC1445)</f>
        <v>7.7452500000000001E-6</v>
      </c>
      <c r="Y1445" s="52"/>
      <c r="Z1445" s="52"/>
      <c r="AA1445" s="739">
        <f>+N1445/1000</f>
        <v>1.0327E-5</v>
      </c>
      <c r="AB1445" s="256">
        <v>-0.25</v>
      </c>
      <c r="AC1445" s="688">
        <f t="shared" si="1168"/>
        <v>-0.25</v>
      </c>
      <c r="AD1445" s="164"/>
      <c r="AE1445" s="164"/>
      <c r="AF1445" s="25"/>
      <c r="AG1445" s="26"/>
      <c r="AH1445" s="275"/>
      <c r="AI1445" s="52"/>
      <c r="AJ1445" s="35"/>
      <c r="AK1445" s="289"/>
      <c r="AL1445" s="290"/>
      <c r="AM1445" s="211"/>
      <c r="AN1445" s="164"/>
      <c r="AO1445" s="594"/>
      <c r="AP1445" s="595"/>
      <c r="AQ1445" s="275"/>
      <c r="AR1445" s="52"/>
      <c r="AS1445" s="596"/>
      <c r="AT1445" s="79"/>
      <c r="AU1445" s="212"/>
      <c r="AV1445" s="164"/>
      <c r="AW1445" s="164"/>
      <c r="AX1445" s="76"/>
      <c r="AY1445" s="44"/>
      <c r="AZ1445" s="275"/>
      <c r="BA1445" s="52"/>
      <c r="BB1445" s="35"/>
      <c r="BC1445" s="79"/>
      <c r="BD1445" s="230"/>
      <c r="BE1445" s="211"/>
      <c r="BF1445" s="164"/>
      <c r="BG1445" s="76"/>
      <c r="BH1445" s="44"/>
      <c r="BI1445" s="275"/>
      <c r="BJ1445" s="52"/>
      <c r="BK1445" s="35"/>
      <c r="BL1445" s="79"/>
      <c r="BM1445" s="230"/>
      <c r="BN1445" s="211"/>
      <c r="BO1445" s="164"/>
      <c r="BP1445" s="726"/>
      <c r="BQ1445" s="727"/>
      <c r="BR1445" s="299"/>
      <c r="BS1445" s="35"/>
      <c r="BT1445" s="596"/>
      <c r="BU1445" s="79"/>
      <c r="BV1445" s="212"/>
      <c r="BW1445" s="304"/>
      <c r="BX1445" s="313"/>
      <c r="BY1445" s="138"/>
    </row>
    <row r="1446" spans="1:77" ht="15" customHeight="1" outlineLevel="1" x14ac:dyDescent="0.2">
      <c r="A1446" s="583" t="s">
        <v>24</v>
      </c>
      <c r="B1446" s="583"/>
      <c r="C1446" s="864" t="s">
        <v>2035</v>
      </c>
      <c r="D1446" s="546">
        <v>2.4329999999999998</v>
      </c>
      <c r="E1446" s="162" t="s">
        <v>631</v>
      </c>
      <c r="F1446" s="358"/>
      <c r="G1446" s="65"/>
      <c r="H1446" s="73"/>
      <c r="I1446" s="90"/>
      <c r="J1446" s="73"/>
      <c r="K1446" s="734"/>
      <c r="L1446" s="717">
        <v>2011</v>
      </c>
      <c r="M1446" s="73"/>
      <c r="N1446" s="786">
        <v>7.633E-3</v>
      </c>
      <c r="O1446" s="1041"/>
      <c r="P1446" s="73"/>
      <c r="Q1446" s="359"/>
      <c r="R1446" s="1041"/>
      <c r="S1446" s="73"/>
      <c r="T1446" s="359"/>
      <c r="U1446" s="73"/>
      <c r="V1446" s="66"/>
      <c r="W1446" s="740">
        <f t="shared" ref="W1446" si="1260">AA1446*(1+AB1446)</f>
        <v>5.4957599999999997E-6</v>
      </c>
      <c r="X1446" s="741">
        <f t="shared" ref="X1446" si="1261">AA1446*(1+AC1446)</f>
        <v>5.4957599999999997E-6</v>
      </c>
      <c r="Y1446" s="52">
        <v>2011</v>
      </c>
      <c r="Z1446" s="52"/>
      <c r="AA1446" s="739">
        <f>+N1446/1000</f>
        <v>7.6329999999999996E-6</v>
      </c>
      <c r="AB1446" s="256">
        <v>-0.28000000000000003</v>
      </c>
      <c r="AC1446" s="688">
        <f t="shared" si="1168"/>
        <v>-0.28000000000000003</v>
      </c>
      <c r="AD1446" s="164"/>
      <c r="AE1446" s="164"/>
      <c r="AF1446" s="25"/>
      <c r="AG1446" s="26"/>
      <c r="AH1446" s="275"/>
      <c r="AI1446" s="52"/>
      <c r="AJ1446" s="35"/>
      <c r="AK1446" s="289"/>
      <c r="AL1446" s="290"/>
      <c r="AM1446" s="211"/>
      <c r="AN1446" s="164"/>
      <c r="AO1446" s="594"/>
      <c r="AP1446" s="595"/>
      <c r="AQ1446" s="275"/>
      <c r="AR1446" s="52"/>
      <c r="AS1446" s="596"/>
      <c r="AT1446" s="79"/>
      <c r="AU1446" s="212"/>
      <c r="AV1446" s="164"/>
      <c r="AW1446" s="164"/>
      <c r="AX1446" s="76"/>
      <c r="AY1446" s="44"/>
      <c r="AZ1446" s="275"/>
      <c r="BA1446" s="52"/>
      <c r="BB1446" s="35"/>
      <c r="BC1446" s="79"/>
      <c r="BD1446" s="230"/>
      <c r="BE1446" s="211"/>
      <c r="BF1446" s="164"/>
      <c r="BG1446" s="76"/>
      <c r="BH1446" s="44"/>
      <c r="BI1446" s="275"/>
      <c r="BJ1446" s="52"/>
      <c r="BK1446" s="35"/>
      <c r="BL1446" s="79"/>
      <c r="BM1446" s="230"/>
      <c r="BN1446" s="211"/>
      <c r="BO1446" s="164"/>
      <c r="BP1446" s="726"/>
      <c r="BQ1446" s="727"/>
      <c r="BR1446" s="299"/>
      <c r="BS1446" s="35"/>
      <c r="BT1446" s="596"/>
      <c r="BU1446" s="79"/>
      <c r="BV1446" s="212"/>
      <c r="BW1446" s="304"/>
      <c r="BX1446" s="313"/>
      <c r="BY1446" s="138"/>
    </row>
    <row r="1447" spans="1:77" ht="15" customHeight="1" outlineLevel="1" x14ac:dyDescent="0.2">
      <c r="A1447" s="57" t="s">
        <v>24</v>
      </c>
      <c r="B1447" s="583"/>
      <c r="C1447" s="864" t="s">
        <v>1438</v>
      </c>
      <c r="D1447" s="546">
        <v>11.26</v>
      </c>
      <c r="E1447" s="162" t="s">
        <v>631</v>
      </c>
      <c r="F1447" s="358"/>
      <c r="G1447" s="65"/>
      <c r="H1447" s="73"/>
      <c r="I1447" s="90"/>
      <c r="J1447" s="73"/>
      <c r="K1447" s="790">
        <v>4.0083000000000001E-2</v>
      </c>
      <c r="L1447" s="717"/>
      <c r="M1447" s="73"/>
      <c r="N1447" s="359"/>
      <c r="O1447" s="1041"/>
      <c r="P1447" s="73"/>
      <c r="Q1447" s="359"/>
      <c r="R1447" s="1041"/>
      <c r="S1447" s="73"/>
      <c r="T1447" s="359"/>
      <c r="U1447" s="73"/>
      <c r="V1447" s="66"/>
      <c r="W1447" s="788">
        <f t="shared" si="1165"/>
        <v>2.4450630000000001E-5</v>
      </c>
      <c r="X1447" s="789">
        <f t="shared" si="1166"/>
        <v>2.4450630000000001E-5</v>
      </c>
      <c r="Y1447" s="52">
        <v>2005</v>
      </c>
      <c r="Z1447" s="52"/>
      <c r="AA1447" s="787">
        <f t="shared" ref="AA1447:AA1459" si="1262">+K1447/1000</f>
        <v>4.0083000000000002E-5</v>
      </c>
      <c r="AB1447" s="256">
        <v>-0.39</v>
      </c>
      <c r="AC1447" s="688">
        <f t="shared" si="1168"/>
        <v>-0.39</v>
      </c>
      <c r="AD1447" s="164"/>
      <c r="AE1447" s="164"/>
      <c r="AF1447" s="25"/>
      <c r="AG1447" s="26"/>
      <c r="AH1447" s="275"/>
      <c r="AI1447" s="52"/>
      <c r="AJ1447" s="35"/>
      <c r="AK1447" s="289"/>
      <c r="AL1447" s="290"/>
      <c r="AM1447" s="211"/>
      <c r="AN1447" s="164"/>
      <c r="AO1447" s="594"/>
      <c r="AP1447" s="595"/>
      <c r="AQ1447" s="275"/>
      <c r="AR1447" s="52"/>
      <c r="AS1447" s="596"/>
      <c r="AT1447" s="79"/>
      <c r="AU1447" s="212"/>
      <c r="AV1447" s="164"/>
      <c r="AW1447" s="164"/>
      <c r="AX1447" s="76"/>
      <c r="AY1447" s="44"/>
      <c r="AZ1447" s="275"/>
      <c r="BA1447" s="52"/>
      <c r="BB1447" s="35"/>
      <c r="BC1447" s="79"/>
      <c r="BD1447" s="230"/>
      <c r="BE1447" s="211"/>
      <c r="BF1447" s="164"/>
      <c r="BG1447" s="76"/>
      <c r="BH1447" s="44"/>
      <c r="BI1447" s="275"/>
      <c r="BJ1447" s="52"/>
      <c r="BK1447" s="35"/>
      <c r="BL1447" s="79"/>
      <c r="BM1447" s="230"/>
      <c r="BN1447" s="211"/>
      <c r="BO1447" s="164"/>
      <c r="BP1447" s="726"/>
      <c r="BQ1447" s="727"/>
      <c r="BR1447" s="299"/>
      <c r="BS1447" s="35"/>
      <c r="BT1447" s="596"/>
      <c r="BU1447" s="79"/>
      <c r="BV1447" s="212"/>
      <c r="BW1447" s="304"/>
      <c r="BX1447" s="313"/>
      <c r="BY1447" s="138"/>
    </row>
    <row r="1448" spans="1:77" ht="15" customHeight="1" outlineLevel="1" x14ac:dyDescent="0.2">
      <c r="A1448" s="583" t="s">
        <v>24</v>
      </c>
      <c r="B1448" s="583"/>
      <c r="C1448" s="864" t="s">
        <v>2036</v>
      </c>
      <c r="D1448" s="546">
        <v>2.44</v>
      </c>
      <c r="E1448" s="162" t="s">
        <v>631</v>
      </c>
      <c r="F1448" s="358"/>
      <c r="G1448" s="65"/>
      <c r="H1448" s="73"/>
      <c r="I1448" s="90"/>
      <c r="J1448" s="73"/>
      <c r="K1448" s="790"/>
      <c r="L1448" s="717">
        <v>2011</v>
      </c>
      <c r="M1448" s="73"/>
      <c r="N1448" s="786">
        <v>4.3E-3</v>
      </c>
      <c r="O1448" s="1041"/>
      <c r="P1448" s="73"/>
      <c r="Q1448" s="359"/>
      <c r="R1448" s="1041"/>
      <c r="S1448" s="73"/>
      <c r="T1448" s="359"/>
      <c r="U1448" s="73"/>
      <c r="V1448" s="66"/>
      <c r="W1448" s="788">
        <f t="shared" ref="W1448" si="1263">AA1448*(1+AB1448)</f>
        <v>3.0960000000000001E-6</v>
      </c>
      <c r="X1448" s="789">
        <f t="shared" ref="X1448" si="1264">AA1448*(1+AC1448)</f>
        <v>3.0960000000000001E-6</v>
      </c>
      <c r="Y1448" s="52">
        <v>2011</v>
      </c>
      <c r="Z1448" s="52"/>
      <c r="AA1448" s="787">
        <f>+N1448/1000</f>
        <v>4.3000000000000003E-6</v>
      </c>
      <c r="AB1448" s="256">
        <v>-0.28000000000000003</v>
      </c>
      <c r="AC1448" s="688">
        <f t="shared" si="1168"/>
        <v>-0.28000000000000003</v>
      </c>
      <c r="AD1448" s="164"/>
      <c r="AE1448" s="164"/>
      <c r="AF1448" s="25"/>
      <c r="AG1448" s="26"/>
      <c r="AH1448" s="275"/>
      <c r="AI1448" s="52"/>
      <c r="AJ1448" s="35"/>
      <c r="AK1448" s="289"/>
      <c r="AL1448" s="290"/>
      <c r="AM1448" s="211"/>
      <c r="AN1448" s="164"/>
      <c r="AO1448" s="594"/>
      <c r="AP1448" s="595"/>
      <c r="AQ1448" s="275"/>
      <c r="AR1448" s="52"/>
      <c r="AS1448" s="596"/>
      <c r="AT1448" s="79"/>
      <c r="AU1448" s="212"/>
      <c r="AV1448" s="164"/>
      <c r="AW1448" s="164"/>
      <c r="AX1448" s="76"/>
      <c r="AY1448" s="44"/>
      <c r="AZ1448" s="275"/>
      <c r="BA1448" s="52"/>
      <c r="BB1448" s="35"/>
      <c r="BC1448" s="79"/>
      <c r="BD1448" s="230"/>
      <c r="BE1448" s="211"/>
      <c r="BF1448" s="164"/>
      <c r="BG1448" s="76"/>
      <c r="BH1448" s="44"/>
      <c r="BI1448" s="275"/>
      <c r="BJ1448" s="52"/>
      <c r="BK1448" s="35"/>
      <c r="BL1448" s="79"/>
      <c r="BM1448" s="230"/>
      <c r="BN1448" s="211"/>
      <c r="BO1448" s="164"/>
      <c r="BP1448" s="726"/>
      <c r="BQ1448" s="727"/>
      <c r="BR1448" s="299"/>
      <c r="BS1448" s="35"/>
      <c r="BT1448" s="596"/>
      <c r="BU1448" s="79"/>
      <c r="BV1448" s="212"/>
      <c r="BW1448" s="304"/>
      <c r="BX1448" s="313"/>
      <c r="BY1448" s="138"/>
    </row>
    <row r="1449" spans="1:77" ht="15" customHeight="1" outlineLevel="1" x14ac:dyDescent="0.2">
      <c r="A1449" s="583" t="s">
        <v>24</v>
      </c>
      <c r="B1449" s="583"/>
      <c r="C1449" s="864" t="s">
        <v>2384</v>
      </c>
      <c r="D1449" s="546">
        <v>3.7829999999999999</v>
      </c>
      <c r="E1449" s="162" t="s">
        <v>631</v>
      </c>
      <c r="F1449" s="358"/>
      <c r="G1449" s="65"/>
      <c r="H1449" s="73"/>
      <c r="I1449" s="90">
        <v>2000</v>
      </c>
      <c r="J1449" s="73"/>
      <c r="K1449" s="790">
        <v>1.7257000000000002E-2</v>
      </c>
      <c r="L1449" s="717"/>
      <c r="M1449" s="73"/>
      <c r="N1449" s="786"/>
      <c r="O1449" s="1041"/>
      <c r="P1449" s="73"/>
      <c r="Q1449" s="359"/>
      <c r="R1449" s="1041"/>
      <c r="S1449" s="73"/>
      <c r="T1449" s="359"/>
      <c r="U1449" s="73"/>
      <c r="V1449" s="66"/>
      <c r="W1449" s="788">
        <f t="shared" ref="W1449" si="1265">AA1449*(1+AB1449)</f>
        <v>1.1217050000000001E-5</v>
      </c>
      <c r="X1449" s="789">
        <f t="shared" ref="X1449" si="1266">AA1449*(1+AC1449)</f>
        <v>1.1217050000000001E-5</v>
      </c>
      <c r="Y1449" s="52">
        <v>2011</v>
      </c>
      <c r="Z1449" s="52"/>
      <c r="AA1449" s="787">
        <f>+K1449/1000</f>
        <v>1.7257000000000001E-5</v>
      </c>
      <c r="AB1449" s="256">
        <v>-0.35</v>
      </c>
      <c r="AC1449" s="688">
        <f t="shared" ref="AC1449" si="1267">AB1449</f>
        <v>-0.35</v>
      </c>
      <c r="AD1449" s="164"/>
      <c r="AE1449" s="164"/>
      <c r="AF1449" s="25"/>
      <c r="AG1449" s="26"/>
      <c r="AH1449" s="275"/>
      <c r="AI1449" s="52"/>
      <c r="AJ1449" s="35"/>
      <c r="AK1449" s="289"/>
      <c r="AL1449" s="290"/>
      <c r="AM1449" s="211"/>
      <c r="AN1449" s="164"/>
      <c r="AO1449" s="594"/>
      <c r="AP1449" s="595"/>
      <c r="AQ1449" s="275"/>
      <c r="AR1449" s="52"/>
      <c r="AS1449" s="596"/>
      <c r="AT1449" s="79"/>
      <c r="AU1449" s="212"/>
      <c r="AV1449" s="164"/>
      <c r="AW1449" s="164"/>
      <c r="AX1449" s="76"/>
      <c r="AY1449" s="44"/>
      <c r="AZ1449" s="275"/>
      <c r="BA1449" s="52"/>
      <c r="BB1449" s="35"/>
      <c r="BC1449" s="79"/>
      <c r="BD1449" s="230"/>
      <c r="BE1449" s="211"/>
      <c r="BF1449" s="164"/>
      <c r="BG1449" s="76"/>
      <c r="BH1449" s="44"/>
      <c r="BI1449" s="275"/>
      <c r="BJ1449" s="52"/>
      <c r="BK1449" s="35"/>
      <c r="BL1449" s="79"/>
      <c r="BM1449" s="230"/>
      <c r="BN1449" s="211"/>
      <c r="BO1449" s="164"/>
      <c r="BP1449" s="726"/>
      <c r="BQ1449" s="727"/>
      <c r="BR1449" s="299"/>
      <c r="BS1449" s="35"/>
      <c r="BT1449" s="596"/>
      <c r="BU1449" s="79"/>
      <c r="BV1449" s="212"/>
      <c r="BW1449" s="304"/>
      <c r="BX1449" s="313"/>
      <c r="BY1449" s="138"/>
    </row>
    <row r="1450" spans="1:77" ht="15" customHeight="1" outlineLevel="1" x14ac:dyDescent="0.2">
      <c r="A1450" s="57" t="s">
        <v>24</v>
      </c>
      <c r="B1450" s="583"/>
      <c r="C1450" s="583" t="s">
        <v>1510</v>
      </c>
      <c r="D1450" s="546">
        <v>320.14600000000002</v>
      </c>
      <c r="E1450" s="162" t="s">
        <v>631</v>
      </c>
      <c r="F1450" s="358"/>
      <c r="G1450" s="65"/>
      <c r="H1450" s="73"/>
      <c r="I1450" s="90">
        <v>2002</v>
      </c>
      <c r="J1450" s="73"/>
      <c r="K1450" s="723">
        <v>1.0920000000000001</v>
      </c>
      <c r="L1450" s="717"/>
      <c r="M1450" s="73"/>
      <c r="N1450" s="359"/>
      <c r="O1450" s="1041"/>
      <c r="P1450" s="73"/>
      <c r="Q1450" s="359"/>
      <c r="R1450" s="1041"/>
      <c r="S1450" s="73"/>
      <c r="T1450" s="359"/>
      <c r="U1450" s="73"/>
      <c r="V1450" s="66"/>
      <c r="W1450" s="594">
        <f t="shared" si="1165"/>
        <v>7.0980000000000012E-4</v>
      </c>
      <c r="X1450" s="595">
        <f t="shared" si="1166"/>
        <v>7.0980000000000012E-4</v>
      </c>
      <c r="Y1450" s="52">
        <v>2002</v>
      </c>
      <c r="Z1450" s="52"/>
      <c r="AA1450" s="596">
        <f>+K1450/1000</f>
        <v>1.0920000000000001E-3</v>
      </c>
      <c r="AB1450" s="256">
        <v>-0.35</v>
      </c>
      <c r="AC1450" s="688">
        <f t="shared" si="1168"/>
        <v>-0.35</v>
      </c>
      <c r="AD1450" s="164"/>
      <c r="AE1450" s="164"/>
      <c r="AF1450" s="25"/>
      <c r="AG1450" s="26"/>
      <c r="AH1450" s="275"/>
      <c r="AI1450" s="52"/>
      <c r="AJ1450" s="35"/>
      <c r="AK1450" s="289"/>
      <c r="AL1450" s="290"/>
      <c r="AM1450" s="211"/>
      <c r="AN1450" s="164"/>
      <c r="AO1450" s="594"/>
      <c r="AP1450" s="595"/>
      <c r="AQ1450" s="275"/>
      <c r="AR1450" s="52"/>
      <c r="AS1450" s="596"/>
      <c r="AT1450" s="79"/>
      <c r="AU1450" s="212"/>
      <c r="AV1450" s="164"/>
      <c r="AW1450" s="164"/>
      <c r="AX1450" s="76"/>
      <c r="AY1450" s="44"/>
      <c r="AZ1450" s="275"/>
      <c r="BA1450" s="52"/>
      <c r="BB1450" s="35"/>
      <c r="BC1450" s="79"/>
      <c r="BD1450" s="230"/>
      <c r="BE1450" s="211"/>
      <c r="BF1450" s="164"/>
      <c r="BG1450" s="76"/>
      <c r="BH1450" s="44"/>
      <c r="BI1450" s="275"/>
      <c r="BJ1450" s="52"/>
      <c r="BK1450" s="35"/>
      <c r="BL1450" s="79"/>
      <c r="BM1450" s="230"/>
      <c r="BN1450" s="211"/>
      <c r="BO1450" s="164"/>
      <c r="BP1450" s="726"/>
      <c r="BQ1450" s="727"/>
      <c r="BR1450" s="299"/>
      <c r="BS1450" s="35"/>
      <c r="BT1450" s="596"/>
      <c r="BU1450" s="79"/>
      <c r="BV1450" s="212"/>
      <c r="BW1450" s="304"/>
      <c r="BX1450" s="313"/>
      <c r="BY1450" s="138"/>
    </row>
    <row r="1451" spans="1:77" ht="15" customHeight="1" outlineLevel="1" x14ac:dyDescent="0.2">
      <c r="A1451" s="583" t="s">
        <v>24</v>
      </c>
      <c r="B1451" s="583"/>
      <c r="C1451" s="583" t="s">
        <v>2083</v>
      </c>
      <c r="D1451" s="546">
        <v>1.897</v>
      </c>
      <c r="E1451" s="162" t="s">
        <v>631</v>
      </c>
      <c r="F1451" s="358"/>
      <c r="G1451" s="65"/>
      <c r="H1451" s="73"/>
      <c r="I1451" s="90"/>
      <c r="J1451" s="73"/>
      <c r="K1451" s="814">
        <v>6.0410000000000004E-3</v>
      </c>
      <c r="L1451" s="717"/>
      <c r="M1451" s="73"/>
      <c r="N1451" s="359"/>
      <c r="O1451" s="1041"/>
      <c r="P1451" s="73"/>
      <c r="Q1451" s="359"/>
      <c r="R1451" s="1041"/>
      <c r="S1451" s="73"/>
      <c r="T1451" s="359"/>
      <c r="U1451" s="73"/>
      <c r="V1451" s="66"/>
      <c r="W1451" s="594">
        <f t="shared" ref="W1451" si="1268">AA1451*(1+AB1451)</f>
        <v>4.28911E-6</v>
      </c>
      <c r="X1451" s="595">
        <f t="shared" ref="X1451" si="1269">AA1451*(1+AC1451)</f>
        <v>4.28911E-6</v>
      </c>
      <c r="Y1451" s="52">
        <v>2005</v>
      </c>
      <c r="Z1451" s="52"/>
      <c r="AA1451" s="596">
        <f>+K1451/1000</f>
        <v>6.0410000000000003E-6</v>
      </c>
      <c r="AB1451" s="256">
        <v>-0.28999999999999998</v>
      </c>
      <c r="AC1451" s="688">
        <f t="shared" si="1168"/>
        <v>-0.28999999999999998</v>
      </c>
      <c r="AD1451" s="164"/>
      <c r="AE1451" s="164"/>
      <c r="AF1451" s="25"/>
      <c r="AG1451" s="26"/>
      <c r="AH1451" s="275"/>
      <c r="AI1451" s="52"/>
      <c r="AJ1451" s="35"/>
      <c r="AK1451" s="289"/>
      <c r="AL1451" s="290"/>
      <c r="AM1451" s="211"/>
      <c r="AN1451" s="164"/>
      <c r="AO1451" s="594"/>
      <c r="AP1451" s="595"/>
      <c r="AQ1451" s="275"/>
      <c r="AR1451" s="52"/>
      <c r="AS1451" s="596"/>
      <c r="AT1451" s="79"/>
      <c r="AU1451" s="212"/>
      <c r="AV1451" s="164"/>
      <c r="AW1451" s="164"/>
      <c r="AX1451" s="76"/>
      <c r="AY1451" s="44"/>
      <c r="AZ1451" s="275"/>
      <c r="BA1451" s="52"/>
      <c r="BB1451" s="35"/>
      <c r="BC1451" s="79"/>
      <c r="BD1451" s="230"/>
      <c r="BE1451" s="211"/>
      <c r="BF1451" s="164"/>
      <c r="BG1451" s="76"/>
      <c r="BH1451" s="44"/>
      <c r="BI1451" s="275"/>
      <c r="BJ1451" s="52"/>
      <c r="BK1451" s="35"/>
      <c r="BL1451" s="79"/>
      <c r="BM1451" s="230"/>
      <c r="BN1451" s="211"/>
      <c r="BO1451" s="164"/>
      <c r="BP1451" s="726"/>
      <c r="BQ1451" s="727"/>
      <c r="BR1451" s="299"/>
      <c r="BS1451" s="35"/>
      <c r="BT1451" s="596"/>
      <c r="BU1451" s="79"/>
      <c r="BV1451" s="212"/>
      <c r="BW1451" s="304"/>
      <c r="BX1451" s="313"/>
      <c r="BY1451" s="138"/>
    </row>
    <row r="1452" spans="1:77" ht="15" customHeight="1" outlineLevel="1" x14ac:dyDescent="0.2">
      <c r="A1452" s="583" t="s">
        <v>24</v>
      </c>
      <c r="B1452" s="583"/>
      <c r="C1452" s="583" t="s">
        <v>2045</v>
      </c>
      <c r="D1452" s="546">
        <v>0.71199999999999997</v>
      </c>
      <c r="E1452" s="162" t="s">
        <v>631</v>
      </c>
      <c r="F1452" s="358"/>
      <c r="G1452" s="65"/>
      <c r="H1452" s="73"/>
      <c r="I1452" s="90"/>
      <c r="J1452" s="73"/>
      <c r="K1452" s="916">
        <v>2.2699999999999999E-3</v>
      </c>
      <c r="L1452" s="717"/>
      <c r="M1452" s="73"/>
      <c r="N1452" s="359"/>
      <c r="O1452" s="1041"/>
      <c r="P1452" s="73"/>
      <c r="Q1452" s="359"/>
      <c r="R1452" s="1041"/>
      <c r="S1452" s="73"/>
      <c r="T1452" s="359"/>
      <c r="U1452" s="73"/>
      <c r="V1452" s="66"/>
      <c r="W1452" s="788">
        <f t="shared" ref="W1452" si="1270">AA1452*(1+AB1452)</f>
        <v>1.6343999999999998E-6</v>
      </c>
      <c r="X1452" s="789">
        <f t="shared" ref="X1452" si="1271">AA1452*(1+AC1452)</f>
        <v>1.6343999999999998E-6</v>
      </c>
      <c r="Y1452" s="52">
        <v>2005</v>
      </c>
      <c r="Z1452" s="52"/>
      <c r="AA1452" s="787">
        <f>+K1452/1000</f>
        <v>2.2699999999999999E-6</v>
      </c>
      <c r="AB1452" s="256">
        <v>-0.28000000000000003</v>
      </c>
      <c r="AC1452" s="688">
        <f t="shared" si="1168"/>
        <v>-0.28000000000000003</v>
      </c>
      <c r="AD1452" s="164"/>
      <c r="AE1452" s="164"/>
      <c r="AF1452" s="25"/>
      <c r="AG1452" s="26"/>
      <c r="AH1452" s="275"/>
      <c r="AI1452" s="52"/>
      <c r="AJ1452" s="35"/>
      <c r="AK1452" s="289"/>
      <c r="AL1452" s="290"/>
      <c r="AM1452" s="211"/>
      <c r="AN1452" s="164"/>
      <c r="AO1452" s="594"/>
      <c r="AP1452" s="595"/>
      <c r="AQ1452" s="275"/>
      <c r="AR1452" s="52"/>
      <c r="AS1452" s="596"/>
      <c r="AT1452" s="79"/>
      <c r="AU1452" s="212"/>
      <c r="AV1452" s="164"/>
      <c r="AW1452" s="164"/>
      <c r="AX1452" s="76"/>
      <c r="AY1452" s="44"/>
      <c r="AZ1452" s="275"/>
      <c r="BA1452" s="52"/>
      <c r="BB1452" s="35"/>
      <c r="BC1452" s="79"/>
      <c r="BD1452" s="230"/>
      <c r="BE1452" s="211"/>
      <c r="BF1452" s="164"/>
      <c r="BG1452" s="76"/>
      <c r="BH1452" s="44"/>
      <c r="BI1452" s="275"/>
      <c r="BJ1452" s="52"/>
      <c r="BK1452" s="35"/>
      <c r="BL1452" s="79"/>
      <c r="BM1452" s="230"/>
      <c r="BN1452" s="211"/>
      <c r="BO1452" s="164"/>
      <c r="BP1452" s="726"/>
      <c r="BQ1452" s="727"/>
      <c r="BR1452" s="299"/>
      <c r="BS1452" s="35"/>
      <c r="BT1452" s="596"/>
      <c r="BU1452" s="79"/>
      <c r="BV1452" s="212"/>
      <c r="BW1452" s="304"/>
      <c r="BX1452" s="313"/>
      <c r="BY1452" s="138"/>
    </row>
    <row r="1453" spans="1:77" ht="15" customHeight="1" outlineLevel="1" x14ac:dyDescent="0.2">
      <c r="A1453" s="583" t="s">
        <v>24</v>
      </c>
      <c r="B1453" s="583"/>
      <c r="C1453" s="583" t="s">
        <v>1857</v>
      </c>
      <c r="D1453" s="546">
        <v>94.656000000000006</v>
      </c>
      <c r="E1453" s="162" t="s">
        <v>631</v>
      </c>
      <c r="F1453" s="358"/>
      <c r="G1453" s="65"/>
      <c r="H1453" s="73"/>
      <c r="I1453" s="90"/>
      <c r="J1453" s="73"/>
      <c r="K1453" s="723"/>
      <c r="L1453" s="717"/>
      <c r="M1453" s="73"/>
      <c r="N1453" s="359">
        <v>0.23563600000000001</v>
      </c>
      <c r="O1453" s="1041"/>
      <c r="P1453" s="73"/>
      <c r="Q1453" s="359"/>
      <c r="R1453" s="1041"/>
      <c r="S1453" s="73"/>
      <c r="T1453" s="359"/>
      <c r="U1453" s="73"/>
      <c r="V1453" s="66"/>
      <c r="W1453" s="594">
        <f t="shared" ref="W1453" si="1272">AA1453*(1+AB1453)</f>
        <v>1.7437063999999999E-4</v>
      </c>
      <c r="X1453" s="595">
        <f>AA1453*(1+AC1453)</f>
        <v>1.7437063999999999E-4</v>
      </c>
      <c r="Y1453" s="52">
        <v>2010</v>
      </c>
      <c r="Z1453" s="52"/>
      <c r="AA1453" s="596">
        <f>+N1453/1000</f>
        <v>2.3563600000000001E-4</v>
      </c>
      <c r="AB1453" s="256">
        <v>-0.26</v>
      </c>
      <c r="AC1453" s="688">
        <f t="shared" si="1168"/>
        <v>-0.26</v>
      </c>
      <c r="AD1453" s="164"/>
      <c r="AE1453" s="164"/>
      <c r="AF1453" s="25"/>
      <c r="AG1453" s="26"/>
      <c r="AH1453" s="275"/>
      <c r="AI1453" s="52"/>
      <c r="AJ1453" s="35"/>
      <c r="AK1453" s="289"/>
      <c r="AL1453" s="290"/>
      <c r="AM1453" s="211"/>
      <c r="AN1453" s="164"/>
      <c r="AO1453" s="594"/>
      <c r="AP1453" s="595"/>
      <c r="AQ1453" s="275"/>
      <c r="AR1453" s="52"/>
      <c r="AS1453" s="596"/>
      <c r="AT1453" s="79"/>
      <c r="AU1453" s="212"/>
      <c r="AV1453" s="164"/>
      <c r="AW1453" s="164"/>
      <c r="AX1453" s="76"/>
      <c r="AY1453" s="44"/>
      <c r="AZ1453" s="275"/>
      <c r="BA1453" s="52"/>
      <c r="BB1453" s="35"/>
      <c r="BC1453" s="79"/>
      <c r="BD1453" s="230"/>
      <c r="BE1453" s="211"/>
      <c r="BF1453" s="164"/>
      <c r="BG1453" s="76"/>
      <c r="BH1453" s="44"/>
      <c r="BI1453" s="275"/>
      <c r="BJ1453" s="52"/>
      <c r="BK1453" s="35"/>
      <c r="BL1453" s="79"/>
      <c r="BM1453" s="230"/>
      <c r="BN1453" s="211"/>
      <c r="BO1453" s="164"/>
      <c r="BP1453" s="726"/>
      <c r="BQ1453" s="727"/>
      <c r="BR1453" s="299"/>
      <c r="BS1453" s="35"/>
      <c r="BT1453" s="596"/>
      <c r="BU1453" s="79"/>
      <c r="BV1453" s="212"/>
      <c r="BW1453" s="304"/>
      <c r="BX1453" s="313"/>
      <c r="BY1453" s="138"/>
    </row>
    <row r="1454" spans="1:77" ht="15" customHeight="1" outlineLevel="1" x14ac:dyDescent="0.2">
      <c r="A1454" s="57" t="s">
        <v>24</v>
      </c>
      <c r="B1454" s="583"/>
      <c r="C1454" s="583" t="s">
        <v>1455</v>
      </c>
      <c r="D1454" s="546">
        <v>2.4489999999999998</v>
      </c>
      <c r="E1454" s="162" t="s">
        <v>631</v>
      </c>
      <c r="F1454" s="358"/>
      <c r="G1454" s="65"/>
      <c r="H1454" s="73"/>
      <c r="I1454" s="90"/>
      <c r="J1454" s="73"/>
      <c r="K1454" s="813">
        <v>8.3350000000000004E-3</v>
      </c>
      <c r="L1454" s="717"/>
      <c r="M1454" s="73"/>
      <c r="N1454" s="359"/>
      <c r="O1454" s="1041"/>
      <c r="P1454" s="73"/>
      <c r="Q1454" s="359"/>
      <c r="R1454" s="1041"/>
      <c r="S1454" s="73"/>
      <c r="T1454" s="359"/>
      <c r="U1454" s="73"/>
      <c r="V1454" s="66"/>
      <c r="W1454" s="740">
        <f t="shared" si="1165"/>
        <v>5.3344000000000001E-6</v>
      </c>
      <c r="X1454" s="741">
        <f t="shared" si="1166"/>
        <v>5.3344000000000001E-6</v>
      </c>
      <c r="Y1454" s="52">
        <v>2005</v>
      </c>
      <c r="Z1454" s="52"/>
      <c r="AA1454" s="739">
        <f t="shared" si="1262"/>
        <v>8.3350000000000007E-6</v>
      </c>
      <c r="AB1454" s="256">
        <v>-0.36</v>
      </c>
      <c r="AC1454" s="688">
        <f t="shared" si="1168"/>
        <v>-0.36</v>
      </c>
      <c r="AD1454" s="164"/>
      <c r="AE1454" s="164"/>
      <c r="AF1454" s="25"/>
      <c r="AG1454" s="26"/>
      <c r="AH1454" s="275"/>
      <c r="AI1454" s="52"/>
      <c r="AJ1454" s="35"/>
      <c r="AK1454" s="289"/>
      <c r="AL1454" s="290"/>
      <c r="AM1454" s="211"/>
      <c r="AN1454" s="164"/>
      <c r="AO1454" s="594"/>
      <c r="AP1454" s="595"/>
      <c r="AQ1454" s="275"/>
      <c r="AR1454" s="52"/>
      <c r="AS1454" s="596"/>
      <c r="AT1454" s="79"/>
      <c r="AU1454" s="212"/>
      <c r="AV1454" s="164"/>
      <c r="AW1454" s="164"/>
      <c r="AX1454" s="76"/>
      <c r="AY1454" s="44"/>
      <c r="AZ1454" s="275"/>
      <c r="BA1454" s="52"/>
      <c r="BB1454" s="35"/>
      <c r="BC1454" s="79"/>
      <c r="BD1454" s="230"/>
      <c r="BE1454" s="211"/>
      <c r="BF1454" s="164"/>
      <c r="BG1454" s="76"/>
      <c r="BH1454" s="44"/>
      <c r="BI1454" s="275"/>
      <c r="BJ1454" s="52"/>
      <c r="BK1454" s="35"/>
      <c r="BL1454" s="79"/>
      <c r="BM1454" s="230"/>
      <c r="BN1454" s="211"/>
      <c r="BO1454" s="164"/>
      <c r="BP1454" s="726"/>
      <c r="BQ1454" s="727"/>
      <c r="BR1454" s="299"/>
      <c r="BS1454" s="35"/>
      <c r="BT1454" s="596"/>
      <c r="BU1454" s="79"/>
      <c r="BV1454" s="212"/>
      <c r="BW1454" s="304"/>
      <c r="BX1454" s="313"/>
      <c r="BY1454" s="138"/>
    </row>
    <row r="1455" spans="1:77" ht="15" customHeight="1" outlineLevel="1" x14ac:dyDescent="0.2">
      <c r="A1455" s="57" t="s">
        <v>24</v>
      </c>
      <c r="B1455" s="583"/>
      <c r="C1455" s="583" t="s">
        <v>2394</v>
      </c>
      <c r="D1455" s="546"/>
      <c r="E1455" s="162" t="s">
        <v>631</v>
      </c>
      <c r="F1455" s="358"/>
      <c r="G1455" s="65"/>
      <c r="H1455" s="73"/>
      <c r="I1455" s="90"/>
      <c r="J1455" s="73"/>
      <c r="K1455" s="813"/>
      <c r="L1455" s="717">
        <v>2008</v>
      </c>
      <c r="M1455" s="73"/>
      <c r="N1455" s="786">
        <v>4.3680000000000004E-3</v>
      </c>
      <c r="O1455" s="1041"/>
      <c r="P1455" s="73"/>
      <c r="Q1455" s="359"/>
      <c r="R1455" s="1041"/>
      <c r="S1455" s="73"/>
      <c r="T1455" s="359"/>
      <c r="U1455" s="73"/>
      <c r="V1455" s="66"/>
      <c r="W1455" s="788">
        <f t="shared" si="1165"/>
        <v>2.9265599999999998E-6</v>
      </c>
      <c r="X1455" s="789">
        <f>AA1455*(1+AC1455)</f>
        <v>2.9265599999999998E-6</v>
      </c>
      <c r="Y1455" s="52">
        <v>2008</v>
      </c>
      <c r="Z1455" s="52"/>
      <c r="AA1455" s="787">
        <f>+N1455/1000</f>
        <v>4.3680000000000004E-6</v>
      </c>
      <c r="AB1455" s="256">
        <v>-0.33</v>
      </c>
      <c r="AC1455" s="688">
        <f t="shared" ref="AC1455" si="1273">AB1455</f>
        <v>-0.33</v>
      </c>
      <c r="AD1455" s="164"/>
      <c r="AE1455" s="164"/>
      <c r="AF1455" s="25"/>
      <c r="AG1455" s="26"/>
      <c r="AH1455" s="275"/>
      <c r="AI1455" s="52"/>
      <c r="AJ1455" s="35"/>
      <c r="AK1455" s="289"/>
      <c r="AL1455" s="290"/>
      <c r="AM1455" s="211"/>
      <c r="AN1455" s="164"/>
      <c r="AO1455" s="594"/>
      <c r="AP1455" s="595"/>
      <c r="AQ1455" s="275"/>
      <c r="AR1455" s="52"/>
      <c r="AS1455" s="596"/>
      <c r="AT1455" s="79"/>
      <c r="AU1455" s="212"/>
      <c r="AV1455" s="164"/>
      <c r="AW1455" s="164"/>
      <c r="AX1455" s="76"/>
      <c r="AY1455" s="44"/>
      <c r="AZ1455" s="275"/>
      <c r="BA1455" s="52"/>
      <c r="BB1455" s="35"/>
      <c r="BC1455" s="79"/>
      <c r="BD1455" s="230"/>
      <c r="BE1455" s="211"/>
      <c r="BF1455" s="164"/>
      <c r="BG1455" s="76"/>
      <c r="BH1455" s="44"/>
      <c r="BI1455" s="275"/>
      <c r="BJ1455" s="52"/>
      <c r="BK1455" s="35"/>
      <c r="BL1455" s="79"/>
      <c r="BM1455" s="230"/>
      <c r="BN1455" s="211"/>
      <c r="BO1455" s="164"/>
      <c r="BP1455" s="726"/>
      <c r="BQ1455" s="727"/>
      <c r="BR1455" s="299"/>
      <c r="BS1455" s="35"/>
      <c r="BT1455" s="596"/>
      <c r="BU1455" s="79"/>
      <c r="BV1455" s="212"/>
      <c r="BW1455" s="304"/>
      <c r="BX1455" s="313"/>
      <c r="BY1455" s="138"/>
    </row>
    <row r="1456" spans="1:77" ht="15" customHeight="1" outlineLevel="1" x14ac:dyDescent="0.2">
      <c r="A1456" s="57" t="s">
        <v>24</v>
      </c>
      <c r="B1456" s="583"/>
      <c r="C1456" s="583" t="s">
        <v>2667</v>
      </c>
      <c r="D1456" s="546">
        <v>3.0550000000000002</v>
      </c>
      <c r="E1456" s="162" t="s">
        <v>631</v>
      </c>
      <c r="F1456" s="358"/>
      <c r="G1456" s="65"/>
      <c r="H1456" s="73"/>
      <c r="I1456" s="90"/>
      <c r="J1456" s="73"/>
      <c r="K1456" s="813"/>
      <c r="L1456" s="717"/>
      <c r="M1456" s="73"/>
      <c r="N1456" s="786">
        <v>1.8870999999999999E-2</v>
      </c>
      <c r="O1456" s="1041"/>
      <c r="P1456" s="73"/>
      <c r="Q1456" s="359"/>
      <c r="R1456" s="1041"/>
      <c r="S1456" s="73"/>
      <c r="T1456" s="359"/>
      <c r="U1456" s="73"/>
      <c r="V1456" s="66"/>
      <c r="W1456" s="788">
        <f t="shared" ref="W1456" si="1274">AA1456*(1+AB1456)</f>
        <v>4.1516199999999991E-6</v>
      </c>
      <c r="X1456" s="789">
        <f>AA1456*(1+AC1456)</f>
        <v>4.1516199999999991E-6</v>
      </c>
      <c r="Y1456" s="52">
        <v>2008</v>
      </c>
      <c r="Z1456" s="52"/>
      <c r="AA1456" s="787">
        <f>+N1456/1000</f>
        <v>1.8870999999999999E-5</v>
      </c>
      <c r="AB1456" s="256">
        <v>-0.78</v>
      </c>
      <c r="AC1456" s="688">
        <f t="shared" ref="AC1456" si="1275">AB1456</f>
        <v>-0.78</v>
      </c>
      <c r="AD1456" s="164"/>
      <c r="AE1456" s="164"/>
      <c r="AF1456" s="25"/>
      <c r="AG1456" s="26"/>
      <c r="AH1456" s="275"/>
      <c r="AI1456" s="52"/>
      <c r="AJ1456" s="35"/>
      <c r="AK1456" s="289"/>
      <c r="AL1456" s="290"/>
      <c r="AM1456" s="211"/>
      <c r="AN1456" s="164"/>
      <c r="AO1456" s="594"/>
      <c r="AP1456" s="595"/>
      <c r="AQ1456" s="275"/>
      <c r="AR1456" s="52"/>
      <c r="AS1456" s="596"/>
      <c r="AT1456" s="79"/>
      <c r="AU1456" s="212"/>
      <c r="AV1456" s="164"/>
      <c r="AW1456" s="164"/>
      <c r="AX1456" s="76"/>
      <c r="AY1456" s="44"/>
      <c r="AZ1456" s="275"/>
      <c r="BA1456" s="52"/>
      <c r="BB1456" s="35"/>
      <c r="BC1456" s="79"/>
      <c r="BD1456" s="230"/>
      <c r="BE1456" s="211"/>
      <c r="BF1456" s="164"/>
      <c r="BG1456" s="76"/>
      <c r="BH1456" s="44"/>
      <c r="BI1456" s="275"/>
      <c r="BJ1456" s="52"/>
      <c r="BK1456" s="35"/>
      <c r="BL1456" s="79"/>
      <c r="BM1456" s="230"/>
      <c r="BN1456" s="211"/>
      <c r="BO1456" s="164"/>
      <c r="BP1456" s="726"/>
      <c r="BQ1456" s="727"/>
      <c r="BR1456" s="299"/>
      <c r="BS1456" s="35"/>
      <c r="BT1456" s="596"/>
      <c r="BU1456" s="79"/>
      <c r="BV1456" s="212"/>
      <c r="BW1456" s="304"/>
      <c r="BX1456" s="313"/>
      <c r="BY1456" s="138"/>
    </row>
    <row r="1457" spans="1:77" ht="15" customHeight="1" outlineLevel="1" x14ac:dyDescent="0.2">
      <c r="A1457" s="57" t="s">
        <v>24</v>
      </c>
      <c r="B1457" s="583"/>
      <c r="C1457" s="583" t="s">
        <v>1458</v>
      </c>
      <c r="D1457" s="546">
        <v>7.1760000000000002</v>
      </c>
      <c r="E1457" s="162" t="s">
        <v>631</v>
      </c>
      <c r="F1457" s="358"/>
      <c r="G1457" s="65"/>
      <c r="H1457" s="73"/>
      <c r="I1457" s="90"/>
      <c r="J1457" s="73"/>
      <c r="K1457" s="813">
        <v>2.2971999999999999E-2</v>
      </c>
      <c r="L1457" s="717"/>
      <c r="M1457" s="73"/>
      <c r="N1457" s="359"/>
      <c r="O1457" s="1041"/>
      <c r="P1457" s="73"/>
      <c r="Q1457" s="359"/>
      <c r="R1457" s="1041"/>
      <c r="S1457" s="73"/>
      <c r="T1457" s="359"/>
      <c r="U1457" s="73"/>
      <c r="V1457" s="66"/>
      <c r="W1457" s="740">
        <f t="shared" si="1165"/>
        <v>1.3783199999999999E-5</v>
      </c>
      <c r="X1457" s="741">
        <f t="shared" si="1166"/>
        <v>1.3783199999999999E-5</v>
      </c>
      <c r="Y1457" s="52">
        <v>2005</v>
      </c>
      <c r="Z1457" s="52"/>
      <c r="AA1457" s="739">
        <f t="shared" si="1262"/>
        <v>2.2972E-5</v>
      </c>
      <c r="AB1457" s="256">
        <v>-0.4</v>
      </c>
      <c r="AC1457" s="688">
        <f t="shared" si="1168"/>
        <v>-0.4</v>
      </c>
      <c r="AD1457" s="164"/>
      <c r="AE1457" s="164"/>
      <c r="AF1457" s="25"/>
      <c r="AG1457" s="26"/>
      <c r="AH1457" s="275"/>
      <c r="AI1457" s="52"/>
      <c r="AJ1457" s="35"/>
      <c r="AK1457" s="289"/>
      <c r="AL1457" s="290"/>
      <c r="AM1457" s="211"/>
      <c r="AN1457" s="164"/>
      <c r="AO1457" s="594"/>
      <c r="AP1457" s="595"/>
      <c r="AQ1457" s="275"/>
      <c r="AR1457" s="52"/>
      <c r="AS1457" s="596"/>
      <c r="AT1457" s="79"/>
      <c r="AU1457" s="212"/>
      <c r="AV1457" s="164"/>
      <c r="AW1457" s="164"/>
      <c r="AX1457" s="76"/>
      <c r="AY1457" s="44"/>
      <c r="AZ1457" s="275"/>
      <c r="BA1457" s="52"/>
      <c r="BB1457" s="35"/>
      <c r="BC1457" s="79"/>
      <c r="BD1457" s="230"/>
      <c r="BE1457" s="211"/>
      <c r="BF1457" s="164"/>
      <c r="BG1457" s="76"/>
      <c r="BH1457" s="44"/>
      <c r="BI1457" s="275"/>
      <c r="BJ1457" s="52"/>
      <c r="BK1457" s="35"/>
      <c r="BL1457" s="79"/>
      <c r="BM1457" s="230"/>
      <c r="BN1457" s="211"/>
      <c r="BO1457" s="164"/>
      <c r="BP1457" s="726"/>
      <c r="BQ1457" s="727"/>
      <c r="BR1457" s="299"/>
      <c r="BS1457" s="35"/>
      <c r="BT1457" s="596"/>
      <c r="BU1457" s="79"/>
      <c r="BV1457" s="212"/>
      <c r="BW1457" s="304"/>
      <c r="BX1457" s="313"/>
      <c r="BY1457" s="138"/>
    </row>
    <row r="1458" spans="1:77" ht="15" customHeight="1" outlineLevel="1" x14ac:dyDescent="0.2">
      <c r="A1458" s="583" t="s">
        <v>24</v>
      </c>
      <c r="B1458" s="583"/>
      <c r="C1458" s="583" t="s">
        <v>1777</v>
      </c>
      <c r="D1458" s="546">
        <v>0.98099999999999998</v>
      </c>
      <c r="E1458" s="162" t="s">
        <v>631</v>
      </c>
      <c r="F1458" s="358"/>
      <c r="G1458" s="65"/>
      <c r="H1458" s="73"/>
      <c r="I1458" s="90"/>
      <c r="J1458" s="73"/>
      <c r="K1458" s="813"/>
      <c r="L1458" s="717"/>
      <c r="M1458" s="73"/>
      <c r="N1458" s="786">
        <v>4.1910000000000003E-3</v>
      </c>
      <c r="O1458" s="1041"/>
      <c r="P1458" s="73"/>
      <c r="Q1458" s="786"/>
      <c r="R1458" s="1041"/>
      <c r="S1458" s="73"/>
      <c r="T1458" s="786"/>
      <c r="U1458" s="73"/>
      <c r="V1458" s="66"/>
      <c r="W1458" s="788">
        <f t="shared" ref="W1458" si="1276">AA1458*(1+AB1458)</f>
        <v>3.1432499999999999E-6</v>
      </c>
      <c r="X1458" s="789">
        <f t="shared" ref="X1458" si="1277">AA1458*(1+AC1458)</f>
        <v>3.1432499999999999E-6</v>
      </c>
      <c r="Y1458" s="52">
        <v>2010</v>
      </c>
      <c r="Z1458" s="52"/>
      <c r="AA1458" s="787">
        <f>+N1458/1000</f>
        <v>4.1910000000000002E-6</v>
      </c>
      <c r="AB1458" s="256">
        <v>-0.25</v>
      </c>
      <c r="AC1458" s="688">
        <f t="shared" si="1168"/>
        <v>-0.25</v>
      </c>
      <c r="AD1458" s="164"/>
      <c r="AE1458" s="164"/>
      <c r="AF1458" s="25"/>
      <c r="AG1458" s="26"/>
      <c r="AH1458" s="275"/>
      <c r="AI1458" s="52"/>
      <c r="AJ1458" s="35"/>
      <c r="AK1458" s="289"/>
      <c r="AL1458" s="290"/>
      <c r="AM1458" s="211"/>
      <c r="AN1458" s="164"/>
      <c r="AO1458" s="594"/>
      <c r="AP1458" s="595"/>
      <c r="AQ1458" s="275"/>
      <c r="AR1458" s="52"/>
      <c r="AS1458" s="596"/>
      <c r="AT1458" s="79"/>
      <c r="AU1458" s="212"/>
      <c r="AV1458" s="164"/>
      <c r="AW1458" s="164"/>
      <c r="AX1458" s="76"/>
      <c r="AY1458" s="44"/>
      <c r="AZ1458" s="275"/>
      <c r="BA1458" s="52"/>
      <c r="BB1458" s="35"/>
      <c r="BC1458" s="79"/>
      <c r="BD1458" s="230"/>
      <c r="BE1458" s="211"/>
      <c r="BF1458" s="164"/>
      <c r="BG1458" s="76"/>
      <c r="BH1458" s="44"/>
      <c r="BI1458" s="275"/>
      <c r="BJ1458" s="52"/>
      <c r="BK1458" s="35"/>
      <c r="BL1458" s="79"/>
      <c r="BM1458" s="230"/>
      <c r="BN1458" s="211"/>
      <c r="BO1458" s="164"/>
      <c r="BP1458" s="726"/>
      <c r="BQ1458" s="727"/>
      <c r="BR1458" s="299"/>
      <c r="BS1458" s="35"/>
      <c r="BT1458" s="596"/>
      <c r="BU1458" s="79"/>
      <c r="BV1458" s="212"/>
      <c r="BW1458" s="304"/>
      <c r="BX1458" s="313"/>
      <c r="BY1458" s="138"/>
    </row>
    <row r="1459" spans="1:77" ht="15" customHeight="1" outlineLevel="1" x14ac:dyDescent="0.2">
      <c r="A1459" s="57" t="s">
        <v>24</v>
      </c>
      <c r="B1459" s="583"/>
      <c r="C1459" s="583" t="s">
        <v>1546</v>
      </c>
      <c r="D1459" s="546">
        <v>119.14400000000001</v>
      </c>
      <c r="E1459" s="162" t="s">
        <v>631</v>
      </c>
      <c r="F1459" s="358"/>
      <c r="G1459" s="65"/>
      <c r="H1459" s="73"/>
      <c r="I1459" s="90"/>
      <c r="J1459" s="73"/>
      <c r="K1459" s="723">
        <v>0.72617500000000001</v>
      </c>
      <c r="L1459" s="717"/>
      <c r="M1459" s="73"/>
      <c r="N1459" s="359"/>
      <c r="O1459" s="1041"/>
      <c r="P1459" s="73"/>
      <c r="Q1459" s="359"/>
      <c r="R1459" s="1041"/>
      <c r="S1459" s="73"/>
      <c r="T1459" s="359"/>
      <c r="U1459" s="73"/>
      <c r="V1459" s="66"/>
      <c r="W1459" s="594">
        <f t="shared" si="1165"/>
        <v>5.0832250000000002E-4</v>
      </c>
      <c r="X1459" s="595">
        <f t="shared" si="1166"/>
        <v>5.0832250000000002E-4</v>
      </c>
      <c r="Y1459" s="52">
        <v>2005</v>
      </c>
      <c r="Z1459" s="52"/>
      <c r="AA1459" s="596">
        <f t="shared" si="1262"/>
        <v>7.2617500000000002E-4</v>
      </c>
      <c r="AB1459" s="256">
        <v>-0.3</v>
      </c>
      <c r="AC1459" s="688">
        <f t="shared" si="1168"/>
        <v>-0.3</v>
      </c>
      <c r="AD1459" s="164"/>
      <c r="AE1459" s="164"/>
      <c r="AF1459" s="25"/>
      <c r="AG1459" s="26"/>
      <c r="AH1459" s="275"/>
      <c r="AI1459" s="52"/>
      <c r="AJ1459" s="35"/>
      <c r="AK1459" s="289"/>
      <c r="AL1459" s="290"/>
      <c r="AM1459" s="211"/>
      <c r="AN1459" s="164"/>
      <c r="AO1459" s="594"/>
      <c r="AP1459" s="595"/>
      <c r="AQ1459" s="275"/>
      <c r="AR1459" s="52"/>
      <c r="AS1459" s="596"/>
      <c r="AT1459" s="79"/>
      <c r="AU1459" s="212"/>
      <c r="AV1459" s="164"/>
      <c r="AW1459" s="164"/>
      <c r="AX1459" s="76"/>
      <c r="AY1459" s="44"/>
      <c r="AZ1459" s="275"/>
      <c r="BA1459" s="52"/>
      <c r="BB1459" s="35"/>
      <c r="BC1459" s="79"/>
      <c r="BD1459" s="230"/>
      <c r="BE1459" s="211"/>
      <c r="BF1459" s="164"/>
      <c r="BG1459" s="76"/>
      <c r="BH1459" s="44"/>
      <c r="BI1459" s="275"/>
      <c r="BJ1459" s="52"/>
      <c r="BK1459" s="35"/>
      <c r="BL1459" s="79"/>
      <c r="BM1459" s="230"/>
      <c r="BN1459" s="211"/>
      <c r="BO1459" s="164"/>
      <c r="BP1459" s="726"/>
      <c r="BQ1459" s="727"/>
      <c r="BR1459" s="299"/>
      <c r="BS1459" s="35"/>
      <c r="BT1459" s="596"/>
      <c r="BU1459" s="79"/>
      <c r="BV1459" s="212"/>
      <c r="BW1459" s="304"/>
      <c r="BX1459" s="313"/>
      <c r="BY1459" s="138"/>
    </row>
    <row r="1460" spans="1:77" ht="15" customHeight="1" outlineLevel="1" x14ac:dyDescent="0.2">
      <c r="A1460" s="57" t="s">
        <v>24</v>
      </c>
      <c r="B1460" s="583"/>
      <c r="C1460" s="583" t="s">
        <v>2668</v>
      </c>
      <c r="D1460" s="546">
        <v>2.5840000000000001</v>
      </c>
      <c r="E1460" s="162" t="s">
        <v>631</v>
      </c>
      <c r="F1460" s="358"/>
      <c r="G1460" s="65"/>
      <c r="H1460" s="73"/>
      <c r="I1460" s="90"/>
      <c r="J1460" s="73"/>
      <c r="K1460" s="723"/>
      <c r="L1460" s="717">
        <v>2008</v>
      </c>
      <c r="M1460" s="73"/>
      <c r="N1460" s="786">
        <v>1.2654E-2</v>
      </c>
      <c r="O1460" s="1041"/>
      <c r="P1460" s="73"/>
      <c r="Q1460" s="359"/>
      <c r="R1460" s="1041"/>
      <c r="S1460" s="73"/>
      <c r="T1460" s="359"/>
      <c r="U1460" s="73"/>
      <c r="V1460" s="66"/>
      <c r="W1460" s="788">
        <f t="shared" ref="W1460" si="1278">AA1460*(1+AB1460)</f>
        <v>8.8578000000000001E-6</v>
      </c>
      <c r="X1460" s="789">
        <f t="shared" ref="X1460" si="1279">AA1460*(1+AC1460)</f>
        <v>8.8578000000000001E-6</v>
      </c>
      <c r="Y1460" s="52">
        <v>2008</v>
      </c>
      <c r="Z1460" s="52"/>
      <c r="AA1460" s="787">
        <f>+N1460/1000</f>
        <v>1.2654000000000001E-5</v>
      </c>
      <c r="AB1460" s="256">
        <v>-0.3</v>
      </c>
      <c r="AC1460" s="688">
        <f t="shared" ref="AC1460" si="1280">AB1460</f>
        <v>-0.3</v>
      </c>
      <c r="AD1460" s="164"/>
      <c r="AE1460" s="164"/>
      <c r="AF1460" s="25"/>
      <c r="AG1460" s="26"/>
      <c r="AH1460" s="275"/>
      <c r="AI1460" s="52"/>
      <c r="AJ1460" s="35"/>
      <c r="AK1460" s="289"/>
      <c r="AL1460" s="290"/>
      <c r="AM1460" s="211"/>
      <c r="AN1460" s="164"/>
      <c r="AO1460" s="594"/>
      <c r="AP1460" s="595"/>
      <c r="AQ1460" s="275"/>
      <c r="AR1460" s="52"/>
      <c r="AS1460" s="596"/>
      <c r="AT1460" s="79"/>
      <c r="AU1460" s="212"/>
      <c r="AV1460" s="164"/>
      <c r="AW1460" s="164"/>
      <c r="AX1460" s="76"/>
      <c r="AY1460" s="44"/>
      <c r="AZ1460" s="275"/>
      <c r="BA1460" s="52"/>
      <c r="BB1460" s="35"/>
      <c r="BC1460" s="79"/>
      <c r="BD1460" s="230"/>
      <c r="BE1460" s="211"/>
      <c r="BF1460" s="164"/>
      <c r="BG1460" s="76"/>
      <c r="BH1460" s="44"/>
      <c r="BI1460" s="275"/>
      <c r="BJ1460" s="52"/>
      <c r="BK1460" s="35"/>
      <c r="BL1460" s="79"/>
      <c r="BM1460" s="230"/>
      <c r="BN1460" s="211"/>
      <c r="BO1460" s="164"/>
      <c r="BP1460" s="726"/>
      <c r="BQ1460" s="727"/>
      <c r="BR1460" s="299"/>
      <c r="BS1460" s="35"/>
      <c r="BT1460" s="596"/>
      <c r="BU1460" s="79"/>
      <c r="BV1460" s="212"/>
      <c r="BW1460" s="304"/>
      <c r="BX1460" s="313"/>
      <c r="BY1460" s="138"/>
    </row>
    <row r="1461" spans="1:77" ht="15" customHeight="1" outlineLevel="1" x14ac:dyDescent="0.2">
      <c r="A1461" s="57" t="s">
        <v>24</v>
      </c>
      <c r="B1461" s="583"/>
      <c r="C1461" s="583" t="s">
        <v>1552</v>
      </c>
      <c r="D1461" s="546">
        <v>2.2330000000000001</v>
      </c>
      <c r="E1461" s="162" t="s">
        <v>631</v>
      </c>
      <c r="F1461" s="358"/>
      <c r="G1461" s="65"/>
      <c r="H1461" s="73"/>
      <c r="I1461" s="90"/>
      <c r="J1461" s="73"/>
      <c r="K1461" s="734"/>
      <c r="L1461" s="717">
        <v>2008</v>
      </c>
      <c r="M1461" s="73"/>
      <c r="N1461" s="786">
        <v>5.228E-3</v>
      </c>
      <c r="O1461" s="1041"/>
      <c r="P1461" s="73"/>
      <c r="Q1461" s="786"/>
      <c r="R1461" s="1041"/>
      <c r="S1461" s="73"/>
      <c r="T1461" s="786"/>
      <c r="U1461" s="73"/>
      <c r="V1461" s="66"/>
      <c r="W1461" s="788">
        <f t="shared" si="1165"/>
        <v>2.1434800000000002E-6</v>
      </c>
      <c r="X1461" s="789">
        <f t="shared" si="1166"/>
        <v>2.1434800000000002E-6</v>
      </c>
      <c r="Y1461" s="52">
        <v>2008</v>
      </c>
      <c r="Z1461" s="52"/>
      <c r="AA1461" s="787">
        <f>+N1461/1000</f>
        <v>5.2279999999999998E-6</v>
      </c>
      <c r="AB1461" s="256">
        <v>-0.59</v>
      </c>
      <c r="AC1461" s="688">
        <f t="shared" si="1168"/>
        <v>-0.59</v>
      </c>
      <c r="AD1461" s="164"/>
      <c r="AE1461" s="164"/>
      <c r="AF1461" s="25"/>
      <c r="AG1461" s="26"/>
      <c r="AH1461" s="275"/>
      <c r="AI1461" s="52"/>
      <c r="AJ1461" s="35"/>
      <c r="AK1461" s="289"/>
      <c r="AL1461" s="290"/>
      <c r="AM1461" s="211"/>
      <c r="AN1461" s="164"/>
      <c r="AO1461" s="594"/>
      <c r="AP1461" s="595"/>
      <c r="AQ1461" s="275"/>
      <c r="AR1461" s="52"/>
      <c r="AS1461" s="596"/>
      <c r="AT1461" s="79"/>
      <c r="AU1461" s="212"/>
      <c r="AV1461" s="164"/>
      <c r="AW1461" s="164"/>
      <c r="AX1461" s="76"/>
      <c r="AY1461" s="44"/>
      <c r="AZ1461" s="275"/>
      <c r="BA1461" s="52"/>
      <c r="BB1461" s="35"/>
      <c r="BC1461" s="79"/>
      <c r="BD1461" s="230"/>
      <c r="BE1461" s="211"/>
      <c r="BF1461" s="164"/>
      <c r="BG1461" s="76"/>
      <c r="BH1461" s="44"/>
      <c r="BI1461" s="275"/>
      <c r="BJ1461" s="52"/>
      <c r="BK1461" s="35"/>
      <c r="BL1461" s="79"/>
      <c r="BM1461" s="230"/>
      <c r="BN1461" s="211"/>
      <c r="BO1461" s="164"/>
      <c r="BP1461" s="726"/>
      <c r="BQ1461" s="727"/>
      <c r="BR1461" s="299"/>
      <c r="BS1461" s="35"/>
      <c r="BT1461" s="596"/>
      <c r="BU1461" s="79"/>
      <c r="BV1461" s="212"/>
      <c r="BW1461" s="304"/>
      <c r="BX1461" s="313"/>
      <c r="BY1461" s="138"/>
    </row>
    <row r="1462" spans="1:77" ht="15" customHeight="1" outlineLevel="1" x14ac:dyDescent="0.2">
      <c r="A1462" s="57" t="s">
        <v>24</v>
      </c>
      <c r="B1462" s="583"/>
      <c r="C1462" s="583" t="s">
        <v>1315</v>
      </c>
      <c r="D1462" s="546">
        <v>4.7610000000000001</v>
      </c>
      <c r="E1462" s="162" t="s">
        <v>631</v>
      </c>
      <c r="F1462" s="358"/>
      <c r="G1462" s="65"/>
      <c r="H1462" s="73"/>
      <c r="I1462" s="90"/>
      <c r="J1462" s="73"/>
      <c r="K1462" s="734"/>
      <c r="L1462" s="717">
        <v>2011</v>
      </c>
      <c r="M1462" s="73"/>
      <c r="N1462" s="738">
        <v>8.5290000000000001E-3</v>
      </c>
      <c r="O1462" s="1041"/>
      <c r="P1462" s="73"/>
      <c r="Q1462" s="738"/>
      <c r="R1462" s="1041"/>
      <c r="S1462" s="73"/>
      <c r="T1462" s="738"/>
      <c r="U1462" s="73"/>
      <c r="V1462" s="66"/>
      <c r="W1462" s="740">
        <f t="shared" si="1165"/>
        <v>5.7144300000000003E-6</v>
      </c>
      <c r="X1462" s="741">
        <f t="shared" si="1166"/>
        <v>5.7144300000000003E-6</v>
      </c>
      <c r="Y1462" s="52">
        <v>2011</v>
      </c>
      <c r="Z1462" s="52"/>
      <c r="AA1462" s="739">
        <f>+N1462/1000</f>
        <v>8.5290000000000008E-6</v>
      </c>
      <c r="AB1462" s="256">
        <v>-0.33</v>
      </c>
      <c r="AC1462" s="688">
        <f t="shared" si="1168"/>
        <v>-0.33</v>
      </c>
      <c r="AD1462" s="164"/>
      <c r="AE1462" s="164"/>
      <c r="AF1462" s="25"/>
      <c r="AG1462" s="26"/>
      <c r="AH1462" s="275"/>
      <c r="AI1462" s="52"/>
      <c r="AJ1462" s="35"/>
      <c r="AK1462" s="289"/>
      <c r="AL1462" s="290"/>
      <c r="AM1462" s="211"/>
      <c r="AN1462" s="164"/>
      <c r="AO1462" s="594"/>
      <c r="AP1462" s="595"/>
      <c r="AQ1462" s="275"/>
      <c r="AR1462" s="52"/>
      <c r="AS1462" s="596"/>
      <c r="AT1462" s="79"/>
      <c r="AU1462" s="212"/>
      <c r="AV1462" s="164"/>
      <c r="AW1462" s="164"/>
      <c r="AX1462" s="76"/>
      <c r="AY1462" s="44"/>
      <c r="AZ1462" s="275"/>
      <c r="BA1462" s="52"/>
      <c r="BB1462" s="35"/>
      <c r="BC1462" s="79"/>
      <c r="BD1462" s="230"/>
      <c r="BE1462" s="211"/>
      <c r="BF1462" s="164"/>
      <c r="BG1462" s="76"/>
      <c r="BH1462" s="44"/>
      <c r="BI1462" s="275"/>
      <c r="BJ1462" s="52"/>
      <c r="BK1462" s="35"/>
      <c r="BL1462" s="79"/>
      <c r="BM1462" s="230"/>
      <c r="BN1462" s="211"/>
      <c r="BO1462" s="164"/>
      <c r="BP1462" s="726"/>
      <c r="BQ1462" s="727"/>
      <c r="BR1462" s="299"/>
      <c r="BS1462" s="35"/>
      <c r="BT1462" s="596"/>
      <c r="BU1462" s="79"/>
      <c r="BV1462" s="212"/>
      <c r="BW1462" s="304"/>
      <c r="BX1462" s="313"/>
      <c r="BY1462" s="138"/>
    </row>
    <row r="1463" spans="1:77" ht="15" customHeight="1" outlineLevel="1" x14ac:dyDescent="0.2">
      <c r="A1463" s="57" t="s">
        <v>24</v>
      </c>
      <c r="B1463" s="583"/>
      <c r="C1463" s="583" t="s">
        <v>2115</v>
      </c>
      <c r="D1463" s="546">
        <v>107.914</v>
      </c>
      <c r="E1463" s="162" t="s">
        <v>2212</v>
      </c>
      <c r="F1463" s="358"/>
      <c r="G1463" s="65"/>
      <c r="H1463" s="73"/>
      <c r="I1463" s="90"/>
      <c r="J1463" s="73"/>
      <c r="K1463" s="734"/>
      <c r="L1463" s="717"/>
      <c r="M1463" s="73"/>
      <c r="N1463" s="738">
        <v>0.52071500000000004</v>
      </c>
      <c r="O1463" s="1041">
        <v>2012</v>
      </c>
      <c r="P1463" s="73"/>
      <c r="Q1463" s="738">
        <v>1</v>
      </c>
      <c r="R1463" s="1041"/>
      <c r="S1463" s="73"/>
      <c r="T1463" s="738"/>
      <c r="U1463" s="73"/>
      <c r="V1463" s="66"/>
      <c r="W1463" s="740">
        <f t="shared" ref="W1463" si="1281">AA1463*(1+AB1463)</f>
        <v>4.0095055000000004E-4</v>
      </c>
      <c r="X1463" s="741">
        <f t="shared" ref="X1463" si="1282">AA1463*(1+AC1463)</f>
        <v>4.0095055000000004E-4</v>
      </c>
      <c r="Y1463" s="52">
        <v>2010</v>
      </c>
      <c r="Z1463" s="52"/>
      <c r="AA1463" s="739">
        <f>+N1463/1000</f>
        <v>5.2071500000000005E-4</v>
      </c>
      <c r="AB1463" s="256">
        <v>-0.23</v>
      </c>
      <c r="AC1463" s="688">
        <f t="shared" ref="AC1463" si="1283">AB1463</f>
        <v>-0.23</v>
      </c>
      <c r="AD1463" s="164"/>
      <c r="AE1463" s="164"/>
      <c r="AF1463" s="25"/>
      <c r="AG1463" s="26"/>
      <c r="AH1463" s="275"/>
      <c r="AI1463" s="52"/>
      <c r="AJ1463" s="35"/>
      <c r="AK1463" s="289"/>
      <c r="AL1463" s="290"/>
      <c r="AM1463" s="211"/>
      <c r="AN1463" s="164"/>
      <c r="AO1463" s="594">
        <f>AS1463*(1+AT1463)</f>
        <v>1.9999999999999996E-4</v>
      </c>
      <c r="AP1463" s="595">
        <f>AS1463*(1+AU1463)</f>
        <v>1.9999999999999996E-4</v>
      </c>
      <c r="AQ1463" s="275">
        <v>2012</v>
      </c>
      <c r="AR1463" s="52"/>
      <c r="AS1463" s="596">
        <f>+Q1463/1000</f>
        <v>1E-3</v>
      </c>
      <c r="AT1463" s="79">
        <v>-0.8</v>
      </c>
      <c r="AU1463" s="212">
        <f>AT1463</f>
        <v>-0.8</v>
      </c>
      <c r="AV1463" s="164"/>
      <c r="AW1463" s="164"/>
      <c r="AX1463" s="76"/>
      <c r="AY1463" s="44"/>
      <c r="AZ1463" s="275"/>
      <c r="BA1463" s="52"/>
      <c r="BB1463" s="35"/>
      <c r="BC1463" s="79"/>
      <c r="BD1463" s="230"/>
      <c r="BE1463" s="211"/>
      <c r="BF1463" s="164"/>
      <c r="BG1463" s="76"/>
      <c r="BH1463" s="44"/>
      <c r="BI1463" s="275"/>
      <c r="BJ1463" s="52"/>
      <c r="BK1463" s="35"/>
      <c r="BL1463" s="79"/>
      <c r="BM1463" s="230"/>
      <c r="BN1463" s="211"/>
      <c r="BO1463" s="164"/>
      <c r="BP1463" s="726"/>
      <c r="BQ1463" s="727"/>
      <c r="BR1463" s="299"/>
      <c r="BS1463" s="35"/>
      <c r="BT1463" s="596"/>
      <c r="BU1463" s="79"/>
      <c r="BV1463" s="212"/>
      <c r="BW1463" s="304"/>
      <c r="BX1463" s="313"/>
      <c r="BY1463" s="138"/>
    </row>
    <row r="1464" spans="1:77" ht="15" customHeight="1" outlineLevel="1" x14ac:dyDescent="0.2">
      <c r="A1464" s="583" t="s">
        <v>24</v>
      </c>
      <c r="B1464" s="583"/>
      <c r="C1464" s="583" t="s">
        <v>1993</v>
      </c>
      <c r="D1464" s="546">
        <v>1.64</v>
      </c>
      <c r="E1464" s="162" t="s">
        <v>631</v>
      </c>
      <c r="F1464" s="358"/>
      <c r="G1464" s="65"/>
      <c r="H1464" s="73"/>
      <c r="I1464" s="90"/>
      <c r="J1464" s="73"/>
      <c r="K1464" s="734"/>
      <c r="L1464" s="717">
        <v>2011</v>
      </c>
      <c r="M1464" s="73"/>
      <c r="N1464" s="811">
        <v>3.0539999999999999E-3</v>
      </c>
      <c r="O1464" s="1041"/>
      <c r="P1464" s="73"/>
      <c r="Q1464" s="738"/>
      <c r="R1464" s="1041"/>
      <c r="S1464" s="73"/>
      <c r="T1464" s="738"/>
      <c r="U1464" s="73"/>
      <c r="V1464" s="66"/>
      <c r="W1464" s="808">
        <f t="shared" ref="W1464" si="1284">AA1464*(1+AB1464)</f>
        <v>2.1988799999999997E-6</v>
      </c>
      <c r="X1464" s="809">
        <f t="shared" ref="X1464" si="1285">AA1464*(1+AC1464)</f>
        <v>2.1988799999999997E-6</v>
      </c>
      <c r="Y1464" s="52">
        <v>2011</v>
      </c>
      <c r="Z1464" s="52"/>
      <c r="AA1464" s="807">
        <f>+N1464/1000</f>
        <v>3.0539999999999999E-6</v>
      </c>
      <c r="AB1464" s="256">
        <v>-0.28000000000000003</v>
      </c>
      <c r="AC1464" s="688">
        <f t="shared" si="1168"/>
        <v>-0.28000000000000003</v>
      </c>
      <c r="AD1464" s="164"/>
      <c r="AE1464" s="164"/>
      <c r="AF1464" s="25"/>
      <c r="AG1464" s="26"/>
      <c r="AH1464" s="275"/>
      <c r="AI1464" s="52"/>
      <c r="AJ1464" s="35"/>
      <c r="AK1464" s="289"/>
      <c r="AL1464" s="290"/>
      <c r="AM1464" s="211"/>
      <c r="AN1464" s="164"/>
      <c r="AO1464" s="594"/>
      <c r="AP1464" s="595"/>
      <c r="AQ1464" s="275"/>
      <c r="AR1464" s="52"/>
      <c r="AS1464" s="596"/>
      <c r="AT1464" s="79"/>
      <c r="AU1464" s="212"/>
      <c r="AV1464" s="164"/>
      <c r="AW1464" s="164"/>
      <c r="AX1464" s="76"/>
      <c r="AY1464" s="44"/>
      <c r="AZ1464" s="275"/>
      <c r="BA1464" s="52"/>
      <c r="BB1464" s="35"/>
      <c r="BC1464" s="79"/>
      <c r="BD1464" s="230"/>
      <c r="BE1464" s="211"/>
      <c r="BF1464" s="164"/>
      <c r="BG1464" s="76"/>
      <c r="BH1464" s="44"/>
      <c r="BI1464" s="275"/>
      <c r="BJ1464" s="52"/>
      <c r="BK1464" s="35"/>
      <c r="BL1464" s="79"/>
      <c r="BM1464" s="230"/>
      <c r="BN1464" s="211"/>
      <c r="BO1464" s="164"/>
      <c r="BP1464" s="726"/>
      <c r="BQ1464" s="727"/>
      <c r="BR1464" s="299"/>
      <c r="BS1464" s="35"/>
      <c r="BT1464" s="596"/>
      <c r="BU1464" s="79"/>
      <c r="BV1464" s="212"/>
      <c r="BW1464" s="304"/>
      <c r="BX1464" s="313"/>
      <c r="BY1464" s="138"/>
    </row>
    <row r="1465" spans="1:77" ht="15" customHeight="1" outlineLevel="1" x14ac:dyDescent="0.2">
      <c r="A1465" s="583" t="s">
        <v>24</v>
      </c>
      <c r="B1465" s="583"/>
      <c r="C1465" s="583" t="s">
        <v>1861</v>
      </c>
      <c r="D1465" s="546">
        <v>1.5289999999999999</v>
      </c>
      <c r="E1465" s="162" t="s">
        <v>631</v>
      </c>
      <c r="F1465" s="358"/>
      <c r="G1465" s="65"/>
      <c r="H1465" s="73"/>
      <c r="I1465" s="90"/>
      <c r="J1465" s="73"/>
      <c r="K1465" s="815">
        <v>2.23E-4</v>
      </c>
      <c r="L1465" s="717"/>
      <c r="M1465" s="73"/>
      <c r="N1465" s="738"/>
      <c r="O1465" s="1041"/>
      <c r="P1465" s="73"/>
      <c r="Q1465" s="738"/>
      <c r="R1465" s="1041"/>
      <c r="S1465" s="73"/>
      <c r="T1465" s="738"/>
      <c r="U1465" s="73"/>
      <c r="V1465" s="66"/>
      <c r="W1465" s="808">
        <f t="shared" ref="W1465" si="1286">AA1465*(1+AB1465)</f>
        <v>1.6502E-7</v>
      </c>
      <c r="X1465" s="809">
        <f t="shared" ref="X1465" si="1287">AA1465*(1+AC1465)</f>
        <v>1.6502E-7</v>
      </c>
      <c r="Y1465" s="52">
        <v>2005</v>
      </c>
      <c r="Z1465" s="52"/>
      <c r="AA1465" s="807">
        <f>+K1465/1000</f>
        <v>2.23E-7</v>
      </c>
      <c r="AB1465" s="256">
        <v>-0.26</v>
      </c>
      <c r="AC1465" s="688">
        <f t="shared" si="1168"/>
        <v>-0.26</v>
      </c>
      <c r="AD1465" s="164"/>
      <c r="AE1465" s="164"/>
      <c r="AF1465" s="25"/>
      <c r="AG1465" s="26"/>
      <c r="AH1465" s="275"/>
      <c r="AI1465" s="52"/>
      <c r="AJ1465" s="35"/>
      <c r="AK1465" s="289"/>
      <c r="AL1465" s="290"/>
      <c r="AM1465" s="211"/>
      <c r="AN1465" s="164"/>
      <c r="AO1465" s="594"/>
      <c r="AP1465" s="595"/>
      <c r="AQ1465" s="275"/>
      <c r="AR1465" s="52"/>
      <c r="AS1465" s="596"/>
      <c r="AT1465" s="79"/>
      <c r="AU1465" s="212"/>
      <c r="AV1465" s="164"/>
      <c r="AW1465" s="164"/>
      <c r="AX1465" s="76"/>
      <c r="AY1465" s="44"/>
      <c r="AZ1465" s="275"/>
      <c r="BA1465" s="52"/>
      <c r="BB1465" s="35"/>
      <c r="BC1465" s="79"/>
      <c r="BD1465" s="230"/>
      <c r="BE1465" s="211"/>
      <c r="BF1465" s="164"/>
      <c r="BG1465" s="76"/>
      <c r="BH1465" s="44"/>
      <c r="BI1465" s="275"/>
      <c r="BJ1465" s="52"/>
      <c r="BK1465" s="35"/>
      <c r="BL1465" s="79"/>
      <c r="BM1465" s="230"/>
      <c r="BN1465" s="211"/>
      <c r="BO1465" s="164"/>
      <c r="BP1465" s="726"/>
      <c r="BQ1465" s="727"/>
      <c r="BR1465" s="299"/>
      <c r="BS1465" s="35"/>
      <c r="BT1465" s="596"/>
      <c r="BU1465" s="79"/>
      <c r="BV1465" s="212"/>
      <c r="BW1465" s="304"/>
      <c r="BX1465" s="313"/>
      <c r="BY1465" s="138"/>
    </row>
    <row r="1466" spans="1:77" ht="15" customHeight="1" outlineLevel="1" x14ac:dyDescent="0.2">
      <c r="A1466" s="57" t="s">
        <v>24</v>
      </c>
      <c r="B1466" s="583"/>
      <c r="C1466" s="583" t="s">
        <v>1327</v>
      </c>
      <c r="D1466" s="546">
        <v>3.78</v>
      </c>
      <c r="E1466" s="162" t="s">
        <v>631</v>
      </c>
      <c r="F1466" s="358"/>
      <c r="G1466" s="65"/>
      <c r="H1466" s="73"/>
      <c r="I1466" s="90">
        <v>2000</v>
      </c>
      <c r="J1466" s="73"/>
      <c r="K1466" s="734">
        <v>1.8696999999999998E-2</v>
      </c>
      <c r="L1466" s="717"/>
      <c r="M1466" s="73"/>
      <c r="N1466" s="359"/>
      <c r="O1466" s="1041"/>
      <c r="P1466" s="73"/>
      <c r="Q1466" s="359"/>
      <c r="R1466" s="1041"/>
      <c r="S1466" s="73"/>
      <c r="T1466" s="359"/>
      <c r="U1466" s="73"/>
      <c r="V1466" s="66"/>
      <c r="W1466" s="740">
        <f t="shared" si="1165"/>
        <v>1.2713959999999998E-5</v>
      </c>
      <c r="X1466" s="741">
        <f t="shared" si="1166"/>
        <v>1.2713959999999998E-5</v>
      </c>
      <c r="Y1466" s="52">
        <v>2000</v>
      </c>
      <c r="Z1466" s="52"/>
      <c r="AA1466" s="739">
        <f t="shared" ref="AA1466:AA1477" si="1288">+K1466/1000</f>
        <v>1.8696999999999997E-5</v>
      </c>
      <c r="AB1466" s="256">
        <v>-0.32</v>
      </c>
      <c r="AC1466" s="688">
        <f t="shared" si="1168"/>
        <v>-0.32</v>
      </c>
      <c r="AD1466" s="164"/>
      <c r="AE1466" s="164"/>
      <c r="AF1466" s="25"/>
      <c r="AG1466" s="26"/>
      <c r="AH1466" s="275"/>
      <c r="AI1466" s="52"/>
      <c r="AJ1466" s="35"/>
      <c r="AK1466" s="289"/>
      <c r="AL1466" s="290"/>
      <c r="AM1466" s="211"/>
      <c r="AN1466" s="164"/>
      <c r="AO1466" s="594"/>
      <c r="AP1466" s="595"/>
      <c r="AQ1466" s="275"/>
      <c r="AR1466" s="52"/>
      <c r="AS1466" s="596"/>
      <c r="AT1466" s="79"/>
      <c r="AU1466" s="212"/>
      <c r="AV1466" s="164"/>
      <c r="AW1466" s="164"/>
      <c r="AX1466" s="76"/>
      <c r="AY1466" s="44"/>
      <c r="AZ1466" s="275"/>
      <c r="BA1466" s="52"/>
      <c r="BB1466" s="35"/>
      <c r="BC1466" s="79"/>
      <c r="BD1466" s="230"/>
      <c r="BE1466" s="211"/>
      <c r="BF1466" s="164"/>
      <c r="BG1466" s="76"/>
      <c r="BH1466" s="44"/>
      <c r="BI1466" s="275"/>
      <c r="BJ1466" s="52"/>
      <c r="BK1466" s="35"/>
      <c r="BL1466" s="79"/>
      <c r="BM1466" s="230"/>
      <c r="BN1466" s="211"/>
      <c r="BO1466" s="164"/>
      <c r="BP1466" s="726"/>
      <c r="BQ1466" s="727"/>
      <c r="BR1466" s="299"/>
      <c r="BS1466" s="35"/>
      <c r="BT1466" s="596"/>
      <c r="BU1466" s="79"/>
      <c r="BV1466" s="212"/>
      <c r="BW1466" s="304"/>
      <c r="BX1466" s="313"/>
      <c r="BY1466" s="138"/>
    </row>
    <row r="1467" spans="1:77" ht="15" customHeight="1" outlineLevel="1" x14ac:dyDescent="0.2">
      <c r="A1467" s="57" t="s">
        <v>24</v>
      </c>
      <c r="B1467" s="583"/>
      <c r="C1467" s="583" t="s">
        <v>1755</v>
      </c>
      <c r="D1467" s="546">
        <v>1.1359999999999999</v>
      </c>
      <c r="E1467" s="162" t="s">
        <v>631</v>
      </c>
      <c r="F1467" s="358"/>
      <c r="G1467" s="65"/>
      <c r="H1467" s="73"/>
      <c r="I1467" s="90"/>
      <c r="J1467" s="73"/>
      <c r="K1467" s="734">
        <v>5.9829999999999996E-3</v>
      </c>
      <c r="L1467" s="717"/>
      <c r="M1467" s="73"/>
      <c r="N1467" s="359"/>
      <c r="O1467" s="1041"/>
      <c r="P1467" s="73"/>
      <c r="Q1467" s="359"/>
      <c r="R1467" s="1041"/>
      <c r="S1467" s="73"/>
      <c r="T1467" s="359"/>
      <c r="U1467" s="73"/>
      <c r="V1467" s="66"/>
      <c r="W1467" s="788">
        <f t="shared" ref="W1467" si="1289">AA1467*(1+AB1467)</f>
        <v>4.4872499999999993E-6</v>
      </c>
      <c r="X1467" s="789">
        <f t="shared" ref="X1467" si="1290">AA1467*(1+AC1467)</f>
        <v>4.4872499999999993E-6</v>
      </c>
      <c r="Y1467" s="52">
        <v>2005</v>
      </c>
      <c r="Z1467" s="52"/>
      <c r="AA1467" s="787">
        <f t="shared" si="1288"/>
        <v>5.9829999999999993E-6</v>
      </c>
      <c r="AB1467" s="256">
        <v>-0.25</v>
      </c>
      <c r="AC1467" s="688">
        <f t="shared" si="1168"/>
        <v>-0.25</v>
      </c>
      <c r="AD1467" s="164"/>
      <c r="AE1467" s="164"/>
      <c r="AF1467" s="25"/>
      <c r="AG1467" s="26"/>
      <c r="AH1467" s="275"/>
      <c r="AI1467" s="52"/>
      <c r="AJ1467" s="35"/>
      <c r="AK1467" s="289"/>
      <c r="AL1467" s="290"/>
      <c r="AM1467" s="211"/>
      <c r="AN1467" s="164"/>
      <c r="AO1467" s="594"/>
      <c r="AP1467" s="595"/>
      <c r="AQ1467" s="275"/>
      <c r="AR1467" s="52"/>
      <c r="AS1467" s="596"/>
      <c r="AT1467" s="79"/>
      <c r="AU1467" s="212"/>
      <c r="AV1467" s="164"/>
      <c r="AW1467" s="164"/>
      <c r="AX1467" s="76"/>
      <c r="AY1467" s="44"/>
      <c r="AZ1467" s="275"/>
      <c r="BA1467" s="52"/>
      <c r="BB1467" s="35"/>
      <c r="BC1467" s="79"/>
      <c r="BD1467" s="230"/>
      <c r="BE1467" s="211"/>
      <c r="BF1467" s="164"/>
      <c r="BG1467" s="76"/>
      <c r="BH1467" s="44"/>
      <c r="BI1467" s="275"/>
      <c r="BJ1467" s="52"/>
      <c r="BK1467" s="35"/>
      <c r="BL1467" s="79"/>
      <c r="BM1467" s="230"/>
      <c r="BN1467" s="211"/>
      <c r="BO1467" s="164"/>
      <c r="BP1467" s="726"/>
      <c r="BQ1467" s="727"/>
      <c r="BR1467" s="299"/>
      <c r="BS1467" s="35"/>
      <c r="BT1467" s="596"/>
      <c r="BU1467" s="79"/>
      <c r="BV1467" s="212"/>
      <c r="BW1467" s="304"/>
      <c r="BX1467" s="313"/>
      <c r="BY1467" s="138"/>
    </row>
    <row r="1468" spans="1:77" ht="15" customHeight="1" outlineLevel="1" x14ac:dyDescent="0.2">
      <c r="A1468" s="583" t="s">
        <v>24</v>
      </c>
      <c r="B1468" s="583"/>
      <c r="C1468" s="583" t="s">
        <v>1896</v>
      </c>
      <c r="D1468" s="801">
        <v>0.39400000000000002</v>
      </c>
      <c r="E1468" s="162" t="s">
        <v>631</v>
      </c>
      <c r="F1468" s="358"/>
      <c r="G1468" s="65"/>
      <c r="H1468" s="73"/>
      <c r="I1468" s="90"/>
      <c r="J1468" s="73"/>
      <c r="K1468" s="790">
        <v>1.5070000000000001E-3</v>
      </c>
      <c r="L1468" s="717"/>
      <c r="M1468" s="73"/>
      <c r="N1468" s="359"/>
      <c r="O1468" s="1041"/>
      <c r="P1468" s="73"/>
      <c r="Q1468" s="359"/>
      <c r="R1468" s="1041"/>
      <c r="S1468" s="73"/>
      <c r="T1468" s="359"/>
      <c r="U1468" s="73"/>
      <c r="V1468" s="66"/>
      <c r="W1468" s="788">
        <f t="shared" ref="W1468" si="1291">AA1468*(1+AB1468)</f>
        <v>1.11518E-6</v>
      </c>
      <c r="X1468" s="789">
        <f t="shared" ref="X1468" si="1292">AA1468*(1+AC1468)</f>
        <v>1.11518E-6</v>
      </c>
      <c r="Y1468" s="52">
        <v>2005</v>
      </c>
      <c r="Z1468" s="52"/>
      <c r="AA1468" s="787">
        <f t="shared" si="1288"/>
        <v>1.5070000000000001E-6</v>
      </c>
      <c r="AB1468" s="256">
        <v>-0.26</v>
      </c>
      <c r="AC1468" s="688">
        <f t="shared" si="1168"/>
        <v>-0.26</v>
      </c>
      <c r="AD1468" s="164"/>
      <c r="AE1468" s="164"/>
      <c r="AF1468" s="25"/>
      <c r="AG1468" s="26"/>
      <c r="AH1468" s="275"/>
      <c r="AI1468" s="52"/>
      <c r="AJ1468" s="35"/>
      <c r="AK1468" s="289"/>
      <c r="AL1468" s="290"/>
      <c r="AM1468" s="211"/>
      <c r="AN1468" s="164"/>
      <c r="AO1468" s="594"/>
      <c r="AP1468" s="595"/>
      <c r="AQ1468" s="275"/>
      <c r="AR1468" s="52"/>
      <c r="AS1468" s="596"/>
      <c r="AT1468" s="79"/>
      <c r="AU1468" s="212"/>
      <c r="AV1468" s="164"/>
      <c r="AW1468" s="164"/>
      <c r="AX1468" s="76"/>
      <c r="AY1468" s="44"/>
      <c r="AZ1468" s="275"/>
      <c r="BA1468" s="52"/>
      <c r="BB1468" s="35"/>
      <c r="BC1468" s="79"/>
      <c r="BD1468" s="230"/>
      <c r="BE1468" s="211"/>
      <c r="BF1468" s="164"/>
      <c r="BG1468" s="76"/>
      <c r="BH1468" s="44"/>
      <c r="BI1468" s="275"/>
      <c r="BJ1468" s="52"/>
      <c r="BK1468" s="35"/>
      <c r="BL1468" s="79"/>
      <c r="BM1468" s="230"/>
      <c r="BN1468" s="211"/>
      <c r="BO1468" s="164"/>
      <c r="BP1468" s="726"/>
      <c r="BQ1468" s="727"/>
      <c r="BR1468" s="299"/>
      <c r="BS1468" s="35"/>
      <c r="BT1468" s="596"/>
      <c r="BU1468" s="79"/>
      <c r="BV1468" s="212"/>
      <c r="BW1468" s="304"/>
      <c r="BX1468" s="313"/>
      <c r="BY1468" s="138"/>
    </row>
    <row r="1469" spans="1:77" ht="15" customHeight="1" outlineLevel="1" x14ac:dyDescent="0.2">
      <c r="A1469" s="583" t="s">
        <v>24</v>
      </c>
      <c r="B1469" s="583"/>
      <c r="C1469" s="583" t="s">
        <v>2665</v>
      </c>
      <c r="D1469" s="546">
        <v>28.466999999999999</v>
      </c>
      <c r="E1469" s="162" t="s">
        <v>631</v>
      </c>
      <c r="F1469" s="358"/>
      <c r="G1469" s="65"/>
      <c r="H1469" s="73"/>
      <c r="I1469" s="90"/>
      <c r="J1469" s="73"/>
      <c r="K1469" s="790"/>
      <c r="L1469" s="717"/>
      <c r="M1469" s="73"/>
      <c r="N1469" s="786">
        <v>6.2918000000000002E-2</v>
      </c>
      <c r="O1469" s="1041"/>
      <c r="P1469" s="73"/>
      <c r="Q1469" s="359"/>
      <c r="R1469" s="1041"/>
      <c r="S1469" s="73"/>
      <c r="T1469" s="359"/>
      <c r="U1469" s="73"/>
      <c r="V1469" s="66"/>
      <c r="W1469" s="788">
        <f t="shared" ref="W1469" si="1293">AA1469*(1+AB1469)</f>
        <v>4.4042599999999997E-5</v>
      </c>
      <c r="X1469" s="789">
        <f t="shared" ref="X1469" si="1294">AA1469*(1+AC1469)</f>
        <v>4.4042599999999997E-5</v>
      </c>
      <c r="Y1469" s="52">
        <v>2010</v>
      </c>
      <c r="Z1469" s="52"/>
      <c r="AA1469" s="787">
        <f>+N1469/1000</f>
        <v>6.2917999999999996E-5</v>
      </c>
      <c r="AB1469" s="256">
        <v>-0.3</v>
      </c>
      <c r="AC1469" s="688">
        <f t="shared" ref="AC1469" si="1295">AB1469</f>
        <v>-0.3</v>
      </c>
      <c r="AD1469" s="164"/>
      <c r="AE1469" s="164"/>
      <c r="AF1469" s="25"/>
      <c r="AG1469" s="26"/>
      <c r="AH1469" s="275"/>
      <c r="AI1469" s="52"/>
      <c r="AJ1469" s="35"/>
      <c r="AK1469" s="289"/>
      <c r="AL1469" s="290"/>
      <c r="AM1469" s="211"/>
      <c r="AN1469" s="164"/>
      <c r="AO1469" s="594"/>
      <c r="AP1469" s="595"/>
      <c r="AQ1469" s="275"/>
      <c r="AR1469" s="52"/>
      <c r="AS1469" s="596"/>
      <c r="AT1469" s="79"/>
      <c r="AU1469" s="212"/>
      <c r="AV1469" s="164"/>
      <c r="AW1469" s="164"/>
      <c r="AX1469" s="76"/>
      <c r="AY1469" s="44"/>
      <c r="AZ1469" s="275"/>
      <c r="BA1469" s="52"/>
      <c r="BB1469" s="35"/>
      <c r="BC1469" s="79"/>
      <c r="BD1469" s="230"/>
      <c r="BE1469" s="211"/>
      <c r="BF1469" s="164"/>
      <c r="BG1469" s="76"/>
      <c r="BH1469" s="44"/>
      <c r="BI1469" s="275"/>
      <c r="BJ1469" s="52"/>
      <c r="BK1469" s="35"/>
      <c r="BL1469" s="79"/>
      <c r="BM1469" s="230"/>
      <c r="BN1469" s="211"/>
      <c r="BO1469" s="164"/>
      <c r="BP1469" s="726"/>
      <c r="BQ1469" s="727"/>
      <c r="BR1469" s="299"/>
      <c r="BS1469" s="35"/>
      <c r="BT1469" s="596"/>
      <c r="BU1469" s="79"/>
      <c r="BV1469" s="212"/>
      <c r="BW1469" s="304"/>
      <c r="BX1469" s="313"/>
      <c r="BY1469" s="138"/>
    </row>
    <row r="1470" spans="1:77" ht="15" customHeight="1" outlineLevel="1" x14ac:dyDescent="0.2">
      <c r="A1470" s="583" t="s">
        <v>24</v>
      </c>
      <c r="B1470" s="583"/>
      <c r="C1470" s="583" t="s">
        <v>1845</v>
      </c>
      <c r="D1470" s="546">
        <v>29.169</v>
      </c>
      <c r="E1470" s="162" t="s">
        <v>631</v>
      </c>
      <c r="F1470" s="358"/>
      <c r="G1470" s="65"/>
      <c r="H1470" s="73"/>
      <c r="I1470" s="90"/>
      <c r="J1470" s="73"/>
      <c r="K1470" s="734">
        <v>0.112044</v>
      </c>
      <c r="L1470" s="717"/>
      <c r="M1470" s="73"/>
      <c r="N1470" s="359"/>
      <c r="O1470" s="1041"/>
      <c r="P1470" s="73"/>
      <c r="Q1470" s="359"/>
      <c r="R1470" s="1041"/>
      <c r="S1470" s="73"/>
      <c r="T1470" s="359"/>
      <c r="U1470" s="73"/>
      <c r="V1470" s="66"/>
      <c r="W1470" s="740">
        <f t="shared" ref="W1470:W1471" si="1296">AA1470*(1+AB1470)</f>
        <v>8.2912559999999993E-5</v>
      </c>
      <c r="X1470" s="741">
        <f t="shared" ref="X1470:X1471" si="1297">AA1470*(1+AC1470)</f>
        <v>8.2912559999999993E-5</v>
      </c>
      <c r="Y1470" s="52">
        <v>2005</v>
      </c>
      <c r="Z1470" s="52"/>
      <c r="AA1470" s="739">
        <f t="shared" si="1288"/>
        <v>1.12044E-4</v>
      </c>
      <c r="AB1470" s="256">
        <v>-0.26</v>
      </c>
      <c r="AC1470" s="688">
        <f t="shared" si="1168"/>
        <v>-0.26</v>
      </c>
      <c r="AD1470" s="164"/>
      <c r="AE1470" s="164"/>
      <c r="AF1470" s="25"/>
      <c r="AG1470" s="26"/>
      <c r="AH1470" s="275"/>
      <c r="AI1470" s="52"/>
      <c r="AJ1470" s="35"/>
      <c r="AK1470" s="289"/>
      <c r="AL1470" s="290"/>
      <c r="AM1470" s="211"/>
      <c r="AN1470" s="164"/>
      <c r="AO1470" s="594"/>
      <c r="AP1470" s="595"/>
      <c r="AQ1470" s="275"/>
      <c r="AR1470" s="52"/>
      <c r="AS1470" s="596"/>
      <c r="AT1470" s="79"/>
      <c r="AU1470" s="212"/>
      <c r="AV1470" s="164"/>
      <c r="AW1470" s="164"/>
      <c r="AX1470" s="76"/>
      <c r="AY1470" s="44"/>
      <c r="AZ1470" s="275"/>
      <c r="BA1470" s="52"/>
      <c r="BB1470" s="35"/>
      <c r="BC1470" s="79"/>
      <c r="BD1470" s="230"/>
      <c r="BE1470" s="211"/>
      <c r="BF1470" s="164"/>
      <c r="BG1470" s="76"/>
      <c r="BH1470" s="44"/>
      <c r="BI1470" s="275"/>
      <c r="BJ1470" s="52"/>
      <c r="BK1470" s="35"/>
      <c r="BL1470" s="79"/>
      <c r="BM1470" s="230"/>
      <c r="BN1470" s="211"/>
      <c r="BO1470" s="164"/>
      <c r="BP1470" s="726"/>
      <c r="BQ1470" s="727"/>
      <c r="BR1470" s="299"/>
      <c r="BS1470" s="35"/>
      <c r="BT1470" s="596"/>
      <c r="BU1470" s="79"/>
      <c r="BV1470" s="212"/>
      <c r="BW1470" s="304"/>
      <c r="BX1470" s="313"/>
      <c r="BY1470" s="138"/>
    </row>
    <row r="1471" spans="1:77" ht="15" customHeight="1" outlineLevel="1" x14ac:dyDescent="0.2">
      <c r="A1471" s="583" t="s">
        <v>24</v>
      </c>
      <c r="B1471" s="583"/>
      <c r="C1471" s="583" t="s">
        <v>1892</v>
      </c>
      <c r="D1471" s="546">
        <v>18.594000000000001</v>
      </c>
      <c r="E1471" s="162" t="s">
        <v>631</v>
      </c>
      <c r="F1471" s="358"/>
      <c r="G1471" s="65"/>
      <c r="H1471" s="73"/>
      <c r="I1471" s="90">
        <v>2004</v>
      </c>
      <c r="J1471" s="73"/>
      <c r="K1471" s="734">
        <v>7.2432999999999997E-2</v>
      </c>
      <c r="L1471" s="717"/>
      <c r="M1471" s="73"/>
      <c r="N1471" s="359"/>
      <c r="O1471" s="1041"/>
      <c r="P1471" s="73"/>
      <c r="Q1471" s="359"/>
      <c r="R1471" s="1041"/>
      <c r="S1471" s="73"/>
      <c r="T1471" s="359"/>
      <c r="U1471" s="73"/>
      <c r="V1471" s="66"/>
      <c r="W1471" s="740">
        <f t="shared" si="1296"/>
        <v>5.3600420000000004E-5</v>
      </c>
      <c r="X1471" s="741">
        <f t="shared" si="1297"/>
        <v>5.3600420000000004E-5</v>
      </c>
      <c r="Y1471" s="52">
        <v>2004</v>
      </c>
      <c r="Z1471" s="52"/>
      <c r="AA1471" s="739">
        <f t="shared" si="1288"/>
        <v>7.2433000000000003E-5</v>
      </c>
      <c r="AB1471" s="256">
        <v>-0.26</v>
      </c>
      <c r="AC1471" s="688">
        <f t="shared" si="1168"/>
        <v>-0.26</v>
      </c>
      <c r="AD1471" s="164"/>
      <c r="AE1471" s="164"/>
      <c r="AF1471" s="25"/>
      <c r="AG1471" s="26"/>
      <c r="AH1471" s="275"/>
      <c r="AI1471" s="52"/>
      <c r="AJ1471" s="35"/>
      <c r="AK1471" s="289"/>
      <c r="AL1471" s="290"/>
      <c r="AM1471" s="211"/>
      <c r="AN1471" s="164"/>
      <c r="AO1471" s="594"/>
      <c r="AP1471" s="595"/>
      <c r="AQ1471" s="275"/>
      <c r="AR1471" s="52"/>
      <c r="AS1471" s="596"/>
      <c r="AT1471" s="79"/>
      <c r="AU1471" s="212"/>
      <c r="AV1471" s="164"/>
      <c r="AW1471" s="164"/>
      <c r="AX1471" s="76"/>
      <c r="AY1471" s="44"/>
      <c r="AZ1471" s="275"/>
      <c r="BA1471" s="52"/>
      <c r="BB1471" s="35"/>
      <c r="BC1471" s="79"/>
      <c r="BD1471" s="230"/>
      <c r="BE1471" s="211"/>
      <c r="BF1471" s="164"/>
      <c r="BG1471" s="76"/>
      <c r="BH1471" s="44"/>
      <c r="BI1471" s="275"/>
      <c r="BJ1471" s="52"/>
      <c r="BK1471" s="35"/>
      <c r="BL1471" s="79"/>
      <c r="BM1471" s="230"/>
      <c r="BN1471" s="211"/>
      <c r="BO1471" s="164"/>
      <c r="BP1471" s="726"/>
      <c r="BQ1471" s="727"/>
      <c r="BR1471" s="299"/>
      <c r="BS1471" s="35"/>
      <c r="BT1471" s="596"/>
      <c r="BU1471" s="79"/>
      <c r="BV1471" s="212"/>
      <c r="BW1471" s="304"/>
      <c r="BX1471" s="313"/>
      <c r="BY1471" s="138"/>
    </row>
    <row r="1472" spans="1:77" ht="15" customHeight="1" outlineLevel="1" x14ac:dyDescent="0.2">
      <c r="A1472" s="57" t="s">
        <v>24</v>
      </c>
      <c r="B1472" s="583"/>
      <c r="C1472" s="583" t="s">
        <v>1273</v>
      </c>
      <c r="D1472" s="546">
        <v>2.12</v>
      </c>
      <c r="E1472" s="162" t="s">
        <v>631</v>
      </c>
      <c r="F1472" s="358"/>
      <c r="G1472" s="65"/>
      <c r="H1472" s="73"/>
      <c r="I1472" s="90">
        <v>2007</v>
      </c>
      <c r="J1472" s="73"/>
      <c r="K1472" s="734">
        <v>7.1190000000000003E-3</v>
      </c>
      <c r="L1472" s="717"/>
      <c r="M1472" s="73"/>
      <c r="N1472" s="359"/>
      <c r="O1472" s="1041"/>
      <c r="P1472" s="73"/>
      <c r="Q1472" s="359"/>
      <c r="R1472" s="1041"/>
      <c r="S1472" s="73"/>
      <c r="T1472" s="359"/>
      <c r="U1472" s="73"/>
      <c r="V1472" s="66"/>
      <c r="W1472" s="788">
        <f t="shared" si="1165"/>
        <v>4.9832999999999994E-6</v>
      </c>
      <c r="X1472" s="789">
        <f t="shared" si="1166"/>
        <v>4.9832999999999994E-6</v>
      </c>
      <c r="Y1472" s="52">
        <v>2007</v>
      </c>
      <c r="Z1472" s="52"/>
      <c r="AA1472" s="739">
        <f t="shared" si="1288"/>
        <v>7.1189999999999999E-6</v>
      </c>
      <c r="AB1472" s="256">
        <v>-0.3</v>
      </c>
      <c r="AC1472" s="688">
        <f t="shared" si="1168"/>
        <v>-0.3</v>
      </c>
      <c r="AD1472" s="164"/>
      <c r="AE1472" s="164"/>
      <c r="AF1472" s="25"/>
      <c r="AG1472" s="26"/>
      <c r="AH1472" s="275"/>
      <c r="AI1472" s="52"/>
      <c r="AJ1472" s="35"/>
      <c r="AK1472" s="289"/>
      <c r="AL1472" s="290"/>
      <c r="AM1472" s="211"/>
      <c r="AN1472" s="164"/>
      <c r="AO1472" s="594"/>
      <c r="AP1472" s="595"/>
      <c r="AQ1472" s="275"/>
      <c r="AR1472" s="52"/>
      <c r="AS1472" s="596"/>
      <c r="AT1472" s="79"/>
      <c r="AU1472" s="212"/>
      <c r="AV1472" s="164"/>
      <c r="AW1472" s="164"/>
      <c r="AX1472" s="76"/>
      <c r="AY1472" s="44"/>
      <c r="AZ1472" s="275"/>
      <c r="BA1472" s="52"/>
      <c r="BB1472" s="35"/>
      <c r="BC1472" s="79"/>
      <c r="BD1472" s="230"/>
      <c r="BE1472" s="211"/>
      <c r="BF1472" s="164"/>
      <c r="BG1472" s="76"/>
      <c r="BH1472" s="44"/>
      <c r="BI1472" s="275"/>
      <c r="BJ1472" s="52"/>
      <c r="BK1472" s="35"/>
      <c r="BL1472" s="79"/>
      <c r="BM1472" s="230"/>
      <c r="BN1472" s="211"/>
      <c r="BO1472" s="164"/>
      <c r="BP1472" s="726"/>
      <c r="BQ1472" s="727"/>
      <c r="BR1472" s="299"/>
      <c r="BS1472" s="35"/>
      <c r="BT1472" s="596"/>
      <c r="BU1472" s="79"/>
      <c r="BV1472" s="212"/>
      <c r="BW1472" s="304"/>
      <c r="BX1472" s="313"/>
      <c r="BY1472" s="138"/>
    </row>
    <row r="1473" spans="1:77" ht="15" customHeight="1" outlineLevel="1" x14ac:dyDescent="0.2">
      <c r="A1473" s="57" t="s">
        <v>24</v>
      </c>
      <c r="B1473" s="583"/>
      <c r="C1473" s="583" t="s">
        <v>2673</v>
      </c>
      <c r="D1473" s="546">
        <v>4.2050000000000001</v>
      </c>
      <c r="E1473" s="162" t="s">
        <v>631</v>
      </c>
      <c r="F1473" s="358"/>
      <c r="G1473" s="65"/>
      <c r="H1473" s="73"/>
      <c r="I1473" s="90"/>
      <c r="J1473" s="73"/>
      <c r="K1473" s="734"/>
      <c r="L1473" s="717">
        <v>2009</v>
      </c>
      <c r="M1473" s="73"/>
      <c r="N1473" s="786">
        <v>1.332E-2</v>
      </c>
      <c r="O1473" s="1041"/>
      <c r="P1473" s="73"/>
      <c r="Q1473" s="359"/>
      <c r="R1473" s="1041"/>
      <c r="S1473" s="73"/>
      <c r="T1473" s="359"/>
      <c r="U1473" s="73"/>
      <c r="V1473" s="66"/>
      <c r="W1473" s="788">
        <f t="shared" ref="W1473" si="1298">AA1473*(1+AB1473)</f>
        <v>7.3260000000000007E-6</v>
      </c>
      <c r="X1473" s="789">
        <f t="shared" ref="X1473" si="1299">AA1473*(1+AC1473)</f>
        <v>7.3260000000000007E-6</v>
      </c>
      <c r="Y1473" s="52">
        <v>2009</v>
      </c>
      <c r="Z1473" s="52"/>
      <c r="AA1473" s="787">
        <f>+N1473/1000</f>
        <v>1.332E-5</v>
      </c>
      <c r="AB1473" s="256">
        <v>-0.45</v>
      </c>
      <c r="AC1473" s="688">
        <f t="shared" ref="AC1473" si="1300">AB1473</f>
        <v>-0.45</v>
      </c>
      <c r="AD1473" s="164"/>
      <c r="AE1473" s="164"/>
      <c r="AF1473" s="25"/>
      <c r="AG1473" s="26"/>
      <c r="AH1473" s="275"/>
      <c r="AI1473" s="52"/>
      <c r="AJ1473" s="35"/>
      <c r="AK1473" s="289"/>
      <c r="AL1473" s="290"/>
      <c r="AM1473" s="211"/>
      <c r="AN1473" s="164"/>
      <c r="AO1473" s="594"/>
      <c r="AP1473" s="595"/>
      <c r="AQ1473" s="275"/>
      <c r="AR1473" s="52"/>
      <c r="AS1473" s="596"/>
      <c r="AT1473" s="79"/>
      <c r="AU1473" s="212"/>
      <c r="AV1473" s="164"/>
      <c r="AW1473" s="164"/>
      <c r="AX1473" s="76"/>
      <c r="AY1473" s="44"/>
      <c r="AZ1473" s="275"/>
      <c r="BA1473" s="52"/>
      <c r="BB1473" s="35"/>
      <c r="BC1473" s="79"/>
      <c r="BD1473" s="230"/>
      <c r="BE1473" s="211"/>
      <c r="BF1473" s="164"/>
      <c r="BG1473" s="76"/>
      <c r="BH1473" s="44"/>
      <c r="BI1473" s="275"/>
      <c r="BJ1473" s="52"/>
      <c r="BK1473" s="35"/>
      <c r="BL1473" s="79"/>
      <c r="BM1473" s="230"/>
      <c r="BN1473" s="211"/>
      <c r="BO1473" s="164"/>
      <c r="BP1473" s="726"/>
      <c r="BQ1473" s="727"/>
      <c r="BR1473" s="299"/>
      <c r="BS1473" s="35"/>
      <c r="BT1473" s="596"/>
      <c r="BU1473" s="79"/>
      <c r="BV1473" s="212"/>
      <c r="BW1473" s="304"/>
      <c r="BX1473" s="313"/>
      <c r="BY1473" s="138"/>
    </row>
    <row r="1474" spans="1:77" ht="15" customHeight="1" outlineLevel="1" x14ac:dyDescent="0.2">
      <c r="A1474" s="57" t="s">
        <v>24</v>
      </c>
      <c r="B1474" s="583"/>
      <c r="C1474" s="583" t="s">
        <v>2847</v>
      </c>
      <c r="D1474" s="546">
        <v>19.437000000000001</v>
      </c>
      <c r="E1474" s="162" t="s">
        <v>631</v>
      </c>
      <c r="F1474" s="358"/>
      <c r="G1474" s="65"/>
      <c r="H1474" s="73"/>
      <c r="I1474" s="90"/>
      <c r="J1474" s="73"/>
      <c r="K1474" s="734"/>
      <c r="L1474" s="717">
        <v>2011</v>
      </c>
      <c r="M1474" s="73"/>
      <c r="N1474" s="786">
        <f>0.065431</f>
        <v>6.5431000000000003E-2</v>
      </c>
      <c r="O1474" s="1041"/>
      <c r="P1474" s="73"/>
      <c r="Q1474" s="359"/>
      <c r="R1474" s="1041"/>
      <c r="S1474" s="73"/>
      <c r="T1474" s="359"/>
      <c r="U1474" s="73"/>
      <c r="V1474" s="66"/>
      <c r="W1474" s="788"/>
      <c r="X1474" s="789"/>
      <c r="Y1474" s="52"/>
      <c r="Z1474" s="52"/>
      <c r="AA1474" s="787"/>
      <c r="AB1474" s="256"/>
      <c r="AC1474" s="688"/>
      <c r="AD1474" s="164"/>
      <c r="AE1474" s="164"/>
      <c r="AF1474" s="25"/>
      <c r="AG1474" s="26"/>
      <c r="AH1474" s="275"/>
      <c r="AI1474" s="52"/>
      <c r="AJ1474" s="35"/>
      <c r="AK1474" s="289"/>
      <c r="AL1474" s="290"/>
      <c r="AM1474" s="211"/>
      <c r="AN1474" s="164"/>
      <c r="AO1474" s="788">
        <f>AS1474*(1+AT1474)</f>
        <v>3.7295670000000007E-5</v>
      </c>
      <c r="AP1474" s="789">
        <f>AS1474*(1+AU1474)</f>
        <v>3.7295670000000007E-5</v>
      </c>
      <c r="AQ1474" s="275">
        <v>2011</v>
      </c>
      <c r="AR1474" s="52"/>
      <c r="AS1474" s="787">
        <f>+N1474/1000</f>
        <v>6.5431000000000004E-5</v>
      </c>
      <c r="AT1474" s="79">
        <v>-0.43</v>
      </c>
      <c r="AU1474" s="212">
        <f>AT1474</f>
        <v>-0.43</v>
      </c>
      <c r="AV1474" s="164"/>
      <c r="AW1474" s="164"/>
      <c r="AX1474" s="76"/>
      <c r="AY1474" s="44"/>
      <c r="AZ1474" s="275"/>
      <c r="BA1474" s="52"/>
      <c r="BB1474" s="35"/>
      <c r="BC1474" s="79"/>
      <c r="BD1474" s="230"/>
      <c r="BE1474" s="211"/>
      <c r="BF1474" s="164"/>
      <c r="BG1474" s="76"/>
      <c r="BH1474" s="44"/>
      <c r="BI1474" s="275"/>
      <c r="BJ1474" s="52"/>
      <c r="BK1474" s="35"/>
      <c r="BL1474" s="79"/>
      <c r="BM1474" s="230"/>
      <c r="BN1474" s="211"/>
      <c r="BO1474" s="164"/>
      <c r="BP1474" s="726"/>
      <c r="BQ1474" s="727"/>
      <c r="BR1474" s="299"/>
      <c r="BS1474" s="35"/>
      <c r="BT1474" s="596"/>
      <c r="BU1474" s="79"/>
      <c r="BV1474" s="212"/>
      <c r="BW1474" s="304"/>
      <c r="BX1474" s="313"/>
      <c r="BY1474" s="138"/>
    </row>
    <row r="1475" spans="1:77" ht="15" customHeight="1" outlineLevel="1" x14ac:dyDescent="0.2">
      <c r="A1475" s="57" t="s">
        <v>24</v>
      </c>
      <c r="B1475" s="583"/>
      <c r="C1475" s="583" t="s">
        <v>2662</v>
      </c>
      <c r="D1475" s="546">
        <v>7.024</v>
      </c>
      <c r="E1475" s="162" t="s">
        <v>631</v>
      </c>
      <c r="F1475" s="358"/>
      <c r="G1475" s="65"/>
      <c r="H1475" s="73"/>
      <c r="I1475" s="90"/>
      <c r="J1475" s="73"/>
      <c r="K1475" s="734"/>
      <c r="L1475" s="717">
        <v>2008</v>
      </c>
      <c r="M1475" s="73"/>
      <c r="N1475" s="786">
        <v>5.8056000000000003E-2</v>
      </c>
      <c r="O1475" s="1041"/>
      <c r="P1475" s="73"/>
      <c r="Q1475" s="359"/>
      <c r="R1475" s="1041"/>
      <c r="S1475" s="73"/>
      <c r="T1475" s="359"/>
      <c r="U1475" s="73"/>
      <c r="V1475" s="66"/>
      <c r="W1475" s="788">
        <f t="shared" ref="W1475" si="1301">AA1475*(1+AB1475)</f>
        <v>4.2380879999999998E-5</v>
      </c>
      <c r="X1475" s="789">
        <f t="shared" ref="X1475" si="1302">AA1475*(1+AC1475)</f>
        <v>4.2380879999999998E-5</v>
      </c>
      <c r="Y1475" s="52">
        <v>2008</v>
      </c>
      <c r="Z1475" s="52"/>
      <c r="AA1475" s="787">
        <f>+N1475/1000</f>
        <v>5.8056000000000001E-5</v>
      </c>
      <c r="AB1475" s="256">
        <v>-0.27</v>
      </c>
      <c r="AC1475" s="688">
        <f t="shared" ref="AC1475" si="1303">AB1475</f>
        <v>-0.27</v>
      </c>
      <c r="AD1475" s="164"/>
      <c r="AE1475" s="164"/>
      <c r="AF1475" s="25"/>
      <c r="AG1475" s="26"/>
      <c r="AH1475" s="275"/>
      <c r="AI1475" s="52"/>
      <c r="AJ1475" s="35"/>
      <c r="AK1475" s="289"/>
      <c r="AL1475" s="290"/>
      <c r="AM1475" s="211"/>
      <c r="AN1475" s="164"/>
      <c r="AO1475" s="594"/>
      <c r="AP1475" s="595"/>
      <c r="AQ1475" s="275"/>
      <c r="AR1475" s="52"/>
      <c r="AS1475" s="596"/>
      <c r="AT1475" s="79"/>
      <c r="AU1475" s="212"/>
      <c r="AV1475" s="164"/>
      <c r="AW1475" s="164"/>
      <c r="AX1475" s="76"/>
      <c r="AY1475" s="44"/>
      <c r="AZ1475" s="275"/>
      <c r="BA1475" s="52"/>
      <c r="BB1475" s="35"/>
      <c r="BC1475" s="79"/>
      <c r="BD1475" s="230"/>
      <c r="BE1475" s="211"/>
      <c r="BF1475" s="164"/>
      <c r="BG1475" s="76"/>
      <c r="BH1475" s="44"/>
      <c r="BI1475" s="275"/>
      <c r="BJ1475" s="52"/>
      <c r="BK1475" s="35"/>
      <c r="BL1475" s="79"/>
      <c r="BM1475" s="230"/>
      <c r="BN1475" s="211"/>
      <c r="BO1475" s="164"/>
      <c r="BP1475" s="726"/>
      <c r="BQ1475" s="727"/>
      <c r="BR1475" s="299"/>
      <c r="BS1475" s="35"/>
      <c r="BT1475" s="596"/>
      <c r="BU1475" s="79"/>
      <c r="BV1475" s="212"/>
      <c r="BW1475" s="304"/>
      <c r="BX1475" s="313"/>
      <c r="BY1475" s="138"/>
    </row>
    <row r="1476" spans="1:77" ht="15" customHeight="1" outlineLevel="1" x14ac:dyDescent="0.2">
      <c r="A1476" s="583" t="s">
        <v>24</v>
      </c>
      <c r="B1476" s="583"/>
      <c r="C1476" s="583" t="s">
        <v>2076</v>
      </c>
      <c r="D1476" s="546">
        <v>8.52</v>
      </c>
      <c r="E1476" s="162" t="s">
        <v>631</v>
      </c>
      <c r="F1476" s="358"/>
      <c r="G1476" s="65"/>
      <c r="H1476" s="73"/>
      <c r="I1476" s="90">
        <v>2000</v>
      </c>
      <c r="J1476" s="73"/>
      <c r="K1476" s="734">
        <v>2.9076000000000001E-2</v>
      </c>
      <c r="L1476" s="717"/>
      <c r="M1476" s="73"/>
      <c r="N1476" s="359"/>
      <c r="O1476" s="1041"/>
      <c r="P1476" s="73"/>
      <c r="Q1476" s="359"/>
      <c r="R1476" s="1041"/>
      <c r="S1476" s="73"/>
      <c r="T1476" s="359"/>
      <c r="U1476" s="73"/>
      <c r="V1476" s="66"/>
      <c r="W1476" s="788">
        <f t="shared" si="1165"/>
        <v>2.0643959999999998E-5</v>
      </c>
      <c r="X1476" s="789">
        <f t="shared" si="1166"/>
        <v>2.0643959999999998E-5</v>
      </c>
      <c r="Y1476" s="52">
        <v>2000</v>
      </c>
      <c r="Z1476" s="52"/>
      <c r="AA1476" s="739">
        <f t="shared" si="1288"/>
        <v>2.9076000000000001E-5</v>
      </c>
      <c r="AB1476" s="256">
        <v>-0.28999999999999998</v>
      </c>
      <c r="AC1476" s="688">
        <f t="shared" si="1168"/>
        <v>-0.28999999999999998</v>
      </c>
      <c r="AD1476" s="164"/>
      <c r="AE1476" s="164"/>
      <c r="AF1476" s="25"/>
      <c r="AG1476" s="26"/>
      <c r="AH1476" s="275"/>
      <c r="AI1476" s="52"/>
      <c r="AJ1476" s="35"/>
      <c r="AK1476" s="289"/>
      <c r="AL1476" s="290"/>
      <c r="AM1476" s="211"/>
      <c r="AN1476" s="164"/>
      <c r="AO1476" s="594"/>
      <c r="AP1476" s="595"/>
      <c r="AQ1476" s="275"/>
      <c r="AR1476" s="52"/>
      <c r="AS1476" s="596"/>
      <c r="AT1476" s="79"/>
      <c r="AU1476" s="212"/>
      <c r="AV1476" s="164"/>
      <c r="AW1476" s="164"/>
      <c r="AX1476" s="76"/>
      <c r="AY1476" s="44"/>
      <c r="AZ1476" s="275"/>
      <c r="BA1476" s="52"/>
      <c r="BB1476" s="35"/>
      <c r="BC1476" s="79"/>
      <c r="BD1476" s="230"/>
      <c r="BE1476" s="211"/>
      <c r="BF1476" s="164"/>
      <c r="BG1476" s="76"/>
      <c r="BH1476" s="44"/>
      <c r="BI1476" s="275"/>
      <c r="BJ1476" s="52"/>
      <c r="BK1476" s="35"/>
      <c r="BL1476" s="79"/>
      <c r="BM1476" s="230"/>
      <c r="BN1476" s="211"/>
      <c r="BO1476" s="164"/>
      <c r="BP1476" s="726"/>
      <c r="BQ1476" s="727"/>
      <c r="BR1476" s="299"/>
      <c r="BS1476" s="35"/>
      <c r="BT1476" s="596"/>
      <c r="BU1476" s="79"/>
      <c r="BV1476" s="212"/>
      <c r="BW1476" s="304"/>
      <c r="BX1476" s="313"/>
      <c r="BY1476" s="138"/>
    </row>
    <row r="1477" spans="1:77" ht="15" customHeight="1" outlineLevel="1" x14ac:dyDescent="0.2">
      <c r="A1477" s="583" t="s">
        <v>24</v>
      </c>
      <c r="B1477" s="583"/>
      <c r="C1477" s="583" t="s">
        <v>1795</v>
      </c>
      <c r="D1477" s="546">
        <v>5.2080000000000002</v>
      </c>
      <c r="E1477" s="162" t="s">
        <v>631</v>
      </c>
      <c r="F1477" s="358"/>
      <c r="G1477" s="65"/>
      <c r="H1477" s="73"/>
      <c r="I1477" s="90"/>
      <c r="J1477" s="73"/>
      <c r="K1477" s="734">
        <v>1.3032999999999999E-2</v>
      </c>
      <c r="L1477" s="717"/>
      <c r="M1477" s="73"/>
      <c r="N1477" s="359"/>
      <c r="O1477" s="1041"/>
      <c r="P1477" s="73"/>
      <c r="Q1477" s="359"/>
      <c r="R1477" s="1041"/>
      <c r="S1477" s="73"/>
      <c r="T1477" s="359"/>
      <c r="U1477" s="73"/>
      <c r="V1477" s="66"/>
      <c r="W1477" s="788">
        <f t="shared" si="1165"/>
        <v>9.7747499999999999E-6</v>
      </c>
      <c r="X1477" s="789">
        <f t="shared" si="1166"/>
        <v>9.7747499999999999E-6</v>
      </c>
      <c r="Y1477" s="52">
        <v>2005</v>
      </c>
      <c r="Z1477" s="52"/>
      <c r="AA1477" s="739">
        <f t="shared" si="1288"/>
        <v>1.3032999999999999E-5</v>
      </c>
      <c r="AB1477" s="256">
        <v>-0.25</v>
      </c>
      <c r="AC1477" s="688">
        <f t="shared" si="1168"/>
        <v>-0.25</v>
      </c>
      <c r="AD1477" s="164"/>
      <c r="AE1477" s="164"/>
      <c r="AF1477" s="25"/>
      <c r="AG1477" s="26"/>
      <c r="AH1477" s="275"/>
      <c r="AI1477" s="52"/>
      <c r="AJ1477" s="35"/>
      <c r="AK1477" s="289"/>
      <c r="AL1477" s="290"/>
      <c r="AM1477" s="211"/>
      <c r="AN1477" s="164"/>
      <c r="AO1477" s="594"/>
      <c r="AP1477" s="595"/>
      <c r="AQ1477" s="275"/>
      <c r="AR1477" s="52"/>
      <c r="AS1477" s="596"/>
      <c r="AT1477" s="79"/>
      <c r="AU1477" s="212"/>
      <c r="AV1477" s="164"/>
      <c r="AW1477" s="164"/>
      <c r="AX1477" s="76"/>
      <c r="AY1477" s="44"/>
      <c r="AZ1477" s="275"/>
      <c r="BA1477" s="52"/>
      <c r="BB1477" s="35"/>
      <c r="BC1477" s="79"/>
      <c r="BD1477" s="230"/>
      <c r="BE1477" s="211"/>
      <c r="BF1477" s="164"/>
      <c r="BG1477" s="76"/>
      <c r="BH1477" s="44"/>
      <c r="BI1477" s="275"/>
      <c r="BJ1477" s="52"/>
      <c r="BK1477" s="35"/>
      <c r="BL1477" s="79"/>
      <c r="BM1477" s="230"/>
      <c r="BN1477" s="211"/>
      <c r="BO1477" s="164"/>
      <c r="BP1477" s="726"/>
      <c r="BQ1477" s="727"/>
      <c r="BR1477" s="299"/>
      <c r="BS1477" s="35"/>
      <c r="BT1477" s="596"/>
      <c r="BU1477" s="79"/>
      <c r="BV1477" s="212"/>
      <c r="BW1477" s="304"/>
      <c r="BX1477" s="313"/>
      <c r="BY1477" s="138"/>
    </row>
    <row r="1478" spans="1:77" ht="15" customHeight="1" outlineLevel="1" x14ac:dyDescent="0.2">
      <c r="A1478" s="57" t="s">
        <v>24</v>
      </c>
      <c r="B1478" s="583"/>
      <c r="C1478" s="583" t="s">
        <v>1283</v>
      </c>
      <c r="D1478" s="546">
        <v>0.95799999999999996</v>
      </c>
      <c r="E1478" s="162" t="s">
        <v>631</v>
      </c>
      <c r="F1478" s="358"/>
      <c r="G1478" s="65"/>
      <c r="H1478" s="73"/>
      <c r="I1478" s="90"/>
      <c r="J1478" s="73"/>
      <c r="K1478" s="734"/>
      <c r="L1478" s="717"/>
      <c r="M1478" s="73"/>
      <c r="N1478" s="786">
        <v>3.901E-3</v>
      </c>
      <c r="O1478" s="1041"/>
      <c r="P1478" s="73"/>
      <c r="Q1478" s="786"/>
      <c r="R1478" s="1041"/>
      <c r="S1478" s="73"/>
      <c r="T1478" s="786"/>
      <c r="U1478" s="73"/>
      <c r="V1478" s="66"/>
      <c r="W1478" s="788">
        <f t="shared" si="1165"/>
        <v>8.9722999999999984E-7</v>
      </c>
      <c r="X1478" s="789">
        <f t="shared" si="1166"/>
        <v>8.9722999999999984E-7</v>
      </c>
      <c r="Y1478" s="52">
        <v>2010</v>
      </c>
      <c r="Z1478" s="52"/>
      <c r="AA1478" s="787">
        <f>+N1478/1000</f>
        <v>3.9009999999999996E-6</v>
      </c>
      <c r="AB1478" s="256">
        <v>-0.77</v>
      </c>
      <c r="AC1478" s="688">
        <f t="shared" si="1168"/>
        <v>-0.77</v>
      </c>
      <c r="AD1478" s="164"/>
      <c r="AE1478" s="164"/>
      <c r="AF1478" s="25"/>
      <c r="AG1478" s="26"/>
      <c r="AH1478" s="275"/>
      <c r="AI1478" s="52"/>
      <c r="AJ1478" s="35"/>
      <c r="AK1478" s="289"/>
      <c r="AL1478" s="290"/>
      <c r="AM1478" s="211"/>
      <c r="AN1478" s="164"/>
      <c r="AO1478" s="594"/>
      <c r="AP1478" s="595"/>
      <c r="AQ1478" s="275"/>
      <c r="AR1478" s="52"/>
      <c r="AS1478" s="596"/>
      <c r="AT1478" s="79"/>
      <c r="AU1478" s="212"/>
      <c r="AV1478" s="164"/>
      <c r="AW1478" s="164"/>
      <c r="AX1478" s="76"/>
      <c r="AY1478" s="44"/>
      <c r="AZ1478" s="275"/>
      <c r="BA1478" s="52"/>
      <c r="BB1478" s="35"/>
      <c r="BC1478" s="79"/>
      <c r="BD1478" s="230"/>
      <c r="BE1478" s="211"/>
      <c r="BF1478" s="164"/>
      <c r="BG1478" s="76"/>
      <c r="BH1478" s="44"/>
      <c r="BI1478" s="275"/>
      <c r="BJ1478" s="52"/>
      <c r="BK1478" s="35"/>
      <c r="BL1478" s="79"/>
      <c r="BM1478" s="230"/>
      <c r="BN1478" s="211"/>
      <c r="BO1478" s="164"/>
      <c r="BP1478" s="726"/>
      <c r="BQ1478" s="727"/>
      <c r="BR1478" s="299"/>
      <c r="BS1478" s="35"/>
      <c r="BT1478" s="596"/>
      <c r="BU1478" s="79"/>
      <c r="BV1478" s="212"/>
      <c r="BW1478" s="304"/>
      <c r="BX1478" s="313"/>
      <c r="BY1478" s="138"/>
    </row>
    <row r="1479" spans="1:77" ht="15" customHeight="1" outlineLevel="1" x14ac:dyDescent="0.2">
      <c r="A1479" s="57" t="s">
        <v>24</v>
      </c>
      <c r="B1479" s="583"/>
      <c r="C1479" s="583" t="s">
        <v>2666</v>
      </c>
      <c r="D1479" s="546">
        <v>10.220000000000001</v>
      </c>
      <c r="E1479" s="162" t="s">
        <v>631</v>
      </c>
      <c r="F1479" s="358"/>
      <c r="G1479" s="65"/>
      <c r="H1479" s="73"/>
      <c r="I1479" s="90"/>
      <c r="J1479" s="73"/>
      <c r="K1479" s="734"/>
      <c r="L1479" s="717"/>
      <c r="M1479" s="73"/>
      <c r="N1479" s="786">
        <v>3.4203999999999998E-2</v>
      </c>
      <c r="O1479" s="1041"/>
      <c r="P1479" s="73"/>
      <c r="Q1479" s="786"/>
      <c r="R1479" s="1041"/>
      <c r="S1479" s="73"/>
      <c r="T1479" s="786"/>
      <c r="U1479" s="73"/>
      <c r="V1479" s="66"/>
      <c r="W1479" s="788">
        <f t="shared" ref="W1479" si="1304">AA1479*(1+AB1479)</f>
        <v>2.5310959999999999E-5</v>
      </c>
      <c r="X1479" s="789">
        <f t="shared" ref="X1479" si="1305">AA1479*(1+AC1479)</f>
        <v>2.5310959999999999E-5</v>
      </c>
      <c r="Y1479" s="52">
        <v>2010</v>
      </c>
      <c r="Z1479" s="52"/>
      <c r="AA1479" s="787">
        <f>+N1479/1000</f>
        <v>3.4204E-5</v>
      </c>
      <c r="AB1479" s="256">
        <v>-0.26</v>
      </c>
      <c r="AC1479" s="688">
        <f t="shared" ref="AC1479" si="1306">AB1479</f>
        <v>-0.26</v>
      </c>
      <c r="AD1479" s="164"/>
      <c r="AE1479" s="164"/>
      <c r="AF1479" s="25"/>
      <c r="AG1479" s="26"/>
      <c r="AH1479" s="275"/>
      <c r="AI1479" s="52"/>
      <c r="AJ1479" s="35"/>
      <c r="AK1479" s="289"/>
      <c r="AL1479" s="290"/>
      <c r="AM1479" s="211"/>
      <c r="AN1479" s="164"/>
      <c r="AO1479" s="594"/>
      <c r="AP1479" s="595"/>
      <c r="AQ1479" s="275"/>
      <c r="AR1479" s="52"/>
      <c r="AS1479" s="596"/>
      <c r="AT1479" s="79"/>
      <c r="AU1479" s="212"/>
      <c r="AV1479" s="164"/>
      <c r="AW1479" s="164"/>
      <c r="AX1479" s="76"/>
      <c r="AY1479" s="44"/>
      <c r="AZ1479" s="275"/>
      <c r="BA1479" s="52"/>
      <c r="BB1479" s="35"/>
      <c r="BC1479" s="79"/>
      <c r="BD1479" s="230"/>
      <c r="BE1479" s="211"/>
      <c r="BF1479" s="164"/>
      <c r="BG1479" s="76"/>
      <c r="BH1479" s="44"/>
      <c r="BI1479" s="275"/>
      <c r="BJ1479" s="52"/>
      <c r="BK1479" s="35"/>
      <c r="BL1479" s="79"/>
      <c r="BM1479" s="230"/>
      <c r="BN1479" s="211"/>
      <c r="BO1479" s="164"/>
      <c r="BP1479" s="726"/>
      <c r="BQ1479" s="727"/>
      <c r="BR1479" s="299"/>
      <c r="BS1479" s="35"/>
      <c r="BT1479" s="596"/>
      <c r="BU1479" s="79"/>
      <c r="BV1479" s="212"/>
      <c r="BW1479" s="304"/>
      <c r="BX1479" s="313"/>
      <c r="BY1479" s="138"/>
    </row>
    <row r="1480" spans="1:77" ht="15" customHeight="1" outlineLevel="1" x14ac:dyDescent="0.2">
      <c r="A1480" s="583" t="s">
        <v>24</v>
      </c>
      <c r="B1480" s="583"/>
      <c r="C1480" s="583" t="s">
        <v>1652</v>
      </c>
      <c r="D1480" s="546">
        <v>2.7930000000000001</v>
      </c>
      <c r="E1480" s="162" t="s">
        <v>631</v>
      </c>
      <c r="F1480" s="358"/>
      <c r="G1480" s="65"/>
      <c r="H1480" s="73"/>
      <c r="I1480" s="90"/>
      <c r="J1480" s="73"/>
      <c r="K1480" s="790">
        <v>3.4030000000000002E-3</v>
      </c>
      <c r="L1480" s="717"/>
      <c r="M1480" s="73"/>
      <c r="N1480" s="786"/>
      <c r="O1480" s="1041"/>
      <c r="P1480" s="73"/>
      <c r="Q1480" s="786"/>
      <c r="R1480" s="1041"/>
      <c r="S1480" s="73"/>
      <c r="T1480" s="786"/>
      <c r="U1480" s="73"/>
      <c r="V1480" s="66"/>
      <c r="W1480" s="788">
        <f>AA1480*(1+AB1480)</f>
        <v>2.55225E-6</v>
      </c>
      <c r="X1480" s="789">
        <f>AA1480*(1+AC1480)</f>
        <v>2.55225E-6</v>
      </c>
      <c r="Y1480" s="52">
        <v>2005</v>
      </c>
      <c r="Z1480" s="52"/>
      <c r="AA1480" s="787">
        <f>+K1480/1000</f>
        <v>3.4030000000000003E-6</v>
      </c>
      <c r="AB1480" s="256">
        <v>-0.25</v>
      </c>
      <c r="AC1480" s="688">
        <f t="shared" si="1168"/>
        <v>-0.25</v>
      </c>
      <c r="AD1480" s="164"/>
      <c r="AE1480" s="164"/>
      <c r="AF1480" s="25"/>
      <c r="AG1480" s="26"/>
      <c r="AH1480" s="275"/>
      <c r="AI1480" s="52"/>
      <c r="AJ1480" s="35"/>
      <c r="AK1480" s="289"/>
      <c r="AL1480" s="290"/>
      <c r="AM1480" s="211"/>
      <c r="AN1480" s="164"/>
      <c r="AO1480" s="594"/>
      <c r="AP1480" s="595"/>
      <c r="AQ1480" s="275"/>
      <c r="AR1480" s="52"/>
      <c r="AS1480" s="596"/>
      <c r="AT1480" s="79"/>
      <c r="AU1480" s="212"/>
      <c r="AV1480" s="164"/>
      <c r="AW1480" s="164"/>
      <c r="AX1480" s="76"/>
      <c r="AY1480" s="44"/>
      <c r="AZ1480" s="275"/>
      <c r="BA1480" s="52"/>
      <c r="BB1480" s="35"/>
      <c r="BC1480" s="79"/>
      <c r="BD1480" s="230"/>
      <c r="BE1480" s="211"/>
      <c r="BF1480" s="164"/>
      <c r="BG1480" s="76"/>
      <c r="BH1480" s="44"/>
      <c r="BI1480" s="275"/>
      <c r="BJ1480" s="52"/>
      <c r="BK1480" s="35"/>
      <c r="BL1480" s="79"/>
      <c r="BM1480" s="230"/>
      <c r="BN1480" s="211"/>
      <c r="BO1480" s="164"/>
      <c r="BP1480" s="726"/>
      <c r="BQ1480" s="727"/>
      <c r="BR1480" s="299"/>
      <c r="BS1480" s="35"/>
      <c r="BT1480" s="596"/>
      <c r="BU1480" s="79"/>
      <c r="BV1480" s="212"/>
      <c r="BW1480" s="304"/>
      <c r="BX1480" s="313"/>
      <c r="BY1480" s="138"/>
    </row>
    <row r="1481" spans="1:77" ht="15" customHeight="1" outlineLevel="1" x14ac:dyDescent="0.2">
      <c r="A1481" s="57" t="s">
        <v>24</v>
      </c>
      <c r="B1481" s="583"/>
      <c r="C1481" s="583" t="s">
        <v>1544</v>
      </c>
      <c r="D1481" s="546">
        <v>6.5369999999999999</v>
      </c>
      <c r="E1481" s="162" t="s">
        <v>631</v>
      </c>
      <c r="F1481" s="358"/>
      <c r="G1481" s="65"/>
      <c r="H1481" s="73"/>
      <c r="I1481" s="90">
        <v>2006</v>
      </c>
      <c r="J1481" s="73"/>
      <c r="K1481" s="813">
        <v>2.8060999999999999E-2</v>
      </c>
      <c r="L1481" s="717"/>
      <c r="M1481" s="73"/>
      <c r="N1481" s="359"/>
      <c r="O1481" s="1041"/>
      <c r="P1481" s="73"/>
      <c r="Q1481" s="359"/>
      <c r="R1481" s="1041"/>
      <c r="S1481" s="73"/>
      <c r="T1481" s="359"/>
      <c r="U1481" s="73"/>
      <c r="V1481" s="66"/>
      <c r="W1481" s="740">
        <f t="shared" si="1165"/>
        <v>1.8800869999999996E-5</v>
      </c>
      <c r="X1481" s="741">
        <f t="shared" si="1166"/>
        <v>1.8800869999999996E-5</v>
      </c>
      <c r="Y1481" s="52">
        <v>2006</v>
      </c>
      <c r="Z1481" s="52"/>
      <c r="AA1481" s="739">
        <f t="shared" ref="AA1481:AA1496" si="1307">+K1481/1000</f>
        <v>2.8060999999999998E-5</v>
      </c>
      <c r="AB1481" s="256">
        <v>-0.33</v>
      </c>
      <c r="AC1481" s="688">
        <f t="shared" si="1168"/>
        <v>-0.33</v>
      </c>
      <c r="AD1481" s="164"/>
      <c r="AE1481" s="164"/>
      <c r="AF1481" s="25"/>
      <c r="AG1481" s="26"/>
      <c r="AH1481" s="275"/>
      <c r="AI1481" s="52"/>
      <c r="AJ1481" s="35"/>
      <c r="AK1481" s="289"/>
      <c r="AL1481" s="290"/>
      <c r="AM1481" s="211"/>
      <c r="AN1481" s="164"/>
      <c r="AO1481" s="594"/>
      <c r="AP1481" s="595"/>
      <c r="AQ1481" s="275"/>
      <c r="AR1481" s="52"/>
      <c r="AS1481" s="596"/>
      <c r="AT1481" s="79"/>
      <c r="AU1481" s="212"/>
      <c r="AV1481" s="164"/>
      <c r="AW1481" s="164"/>
      <c r="AX1481" s="76"/>
      <c r="AY1481" s="44"/>
      <c r="AZ1481" s="275"/>
      <c r="BA1481" s="52"/>
      <c r="BB1481" s="35"/>
      <c r="BC1481" s="79"/>
      <c r="BD1481" s="230"/>
      <c r="BE1481" s="211"/>
      <c r="BF1481" s="164"/>
      <c r="BG1481" s="76"/>
      <c r="BH1481" s="44"/>
      <c r="BI1481" s="275"/>
      <c r="BJ1481" s="52"/>
      <c r="BK1481" s="35"/>
      <c r="BL1481" s="79"/>
      <c r="BM1481" s="230"/>
      <c r="BN1481" s="211"/>
      <c r="BO1481" s="164"/>
      <c r="BP1481" s="726"/>
      <c r="BQ1481" s="727"/>
      <c r="BR1481" s="299"/>
      <c r="BS1481" s="35"/>
      <c r="BT1481" s="596"/>
      <c r="BU1481" s="79"/>
      <c r="BV1481" s="212"/>
      <c r="BW1481" s="304"/>
      <c r="BX1481" s="313"/>
      <c r="BY1481" s="138"/>
    </row>
    <row r="1482" spans="1:77" ht="15" customHeight="1" outlineLevel="1" x14ac:dyDescent="0.2">
      <c r="A1482" s="57" t="s">
        <v>24</v>
      </c>
      <c r="B1482" s="583"/>
      <c r="C1482" s="583" t="s">
        <v>1464</v>
      </c>
      <c r="D1482" s="818">
        <v>0.37</v>
      </c>
      <c r="E1482" s="162" t="s">
        <v>631</v>
      </c>
      <c r="F1482" s="358"/>
      <c r="G1482" s="65"/>
      <c r="H1482" s="73"/>
      <c r="I1482" s="90">
        <v>2007</v>
      </c>
      <c r="J1482" s="73"/>
      <c r="K1482" s="790">
        <v>1.7650000000000001E-3</v>
      </c>
      <c r="L1482" s="717"/>
      <c r="M1482" s="73"/>
      <c r="N1482" s="359"/>
      <c r="O1482" s="1041"/>
      <c r="P1482" s="73"/>
      <c r="Q1482" s="359"/>
      <c r="R1482" s="1041"/>
      <c r="S1482" s="73"/>
      <c r="T1482" s="359"/>
      <c r="U1482" s="73"/>
      <c r="V1482" s="66"/>
      <c r="W1482" s="788">
        <f t="shared" ref="W1482:W1488" si="1308">AA1482*(1+AB1482)</f>
        <v>1.0589999999999999E-6</v>
      </c>
      <c r="X1482" s="789">
        <f t="shared" ref="X1482:X1488" si="1309">AA1482*(1+AC1482)</f>
        <v>1.0589999999999999E-6</v>
      </c>
      <c r="Y1482" s="52">
        <v>2007</v>
      </c>
      <c r="Z1482" s="52"/>
      <c r="AA1482" s="787">
        <f>+K1482/1000</f>
        <v>1.765E-6</v>
      </c>
      <c r="AB1482" s="256">
        <v>-0.4</v>
      </c>
      <c r="AC1482" s="688">
        <f t="shared" ref="AC1482:AC1488" si="1310">AB1482</f>
        <v>-0.4</v>
      </c>
      <c r="AD1482" s="164"/>
      <c r="AE1482" s="164"/>
      <c r="AF1482" s="25"/>
      <c r="AG1482" s="26"/>
      <c r="AH1482" s="275"/>
      <c r="AI1482" s="52"/>
      <c r="AJ1482" s="35"/>
      <c r="AK1482" s="289"/>
      <c r="AL1482" s="290"/>
      <c r="AM1482" s="211"/>
      <c r="AN1482" s="164"/>
      <c r="AO1482" s="594"/>
      <c r="AP1482" s="595"/>
      <c r="AQ1482" s="275"/>
      <c r="AR1482" s="52"/>
      <c r="AS1482" s="596"/>
      <c r="AT1482" s="79"/>
      <c r="AU1482" s="212"/>
      <c r="AV1482" s="164"/>
      <c r="AW1482" s="164"/>
      <c r="AX1482" s="76"/>
      <c r="AY1482" s="44"/>
      <c r="AZ1482" s="275"/>
      <c r="BA1482" s="52"/>
      <c r="BB1482" s="35"/>
      <c r="BC1482" s="79"/>
      <c r="BD1482" s="230"/>
      <c r="BE1482" s="211"/>
      <c r="BF1482" s="164"/>
      <c r="BG1482" s="76"/>
      <c r="BH1482" s="44"/>
      <c r="BI1482" s="275"/>
      <c r="BJ1482" s="52"/>
      <c r="BK1482" s="35"/>
      <c r="BL1482" s="79"/>
      <c r="BM1482" s="230"/>
      <c r="BN1482" s="211"/>
      <c r="BO1482" s="164"/>
      <c r="BP1482" s="726"/>
      <c r="BQ1482" s="727"/>
      <c r="BR1482" s="299"/>
      <c r="BS1482" s="35"/>
      <c r="BT1482" s="596"/>
      <c r="BU1482" s="79"/>
      <c r="BV1482" s="212"/>
      <c r="BW1482" s="304"/>
      <c r="BX1482" s="313"/>
      <c r="BY1482" s="138"/>
    </row>
    <row r="1483" spans="1:77" ht="15" customHeight="1" outlineLevel="1" x14ac:dyDescent="0.2">
      <c r="A1483" s="583" t="s">
        <v>24</v>
      </c>
      <c r="B1483" s="583"/>
      <c r="C1483" s="583" t="s">
        <v>2046</v>
      </c>
      <c r="D1483" s="818">
        <v>0.13600000000000001</v>
      </c>
      <c r="E1483" s="162" t="s">
        <v>631</v>
      </c>
      <c r="F1483" s="358"/>
      <c r="G1483" s="65"/>
      <c r="H1483" s="73"/>
      <c r="I1483" s="90"/>
      <c r="J1483" s="73"/>
      <c r="K1483" s="790">
        <v>5.8699999999999996E-4</v>
      </c>
      <c r="L1483" s="717"/>
      <c r="M1483" s="73"/>
      <c r="N1483" s="359"/>
      <c r="O1483" s="1041"/>
      <c r="P1483" s="73"/>
      <c r="Q1483" s="359"/>
      <c r="R1483" s="1041"/>
      <c r="S1483" s="73"/>
      <c r="T1483" s="359"/>
      <c r="U1483" s="73"/>
      <c r="V1483" s="66"/>
      <c r="W1483" s="788">
        <f t="shared" si="1308"/>
        <v>4.2263999999999993E-7</v>
      </c>
      <c r="X1483" s="789">
        <f t="shared" si="1309"/>
        <v>4.2263999999999993E-7</v>
      </c>
      <c r="Y1483" s="52">
        <v>2005</v>
      </c>
      <c r="Z1483" s="52"/>
      <c r="AA1483" s="787">
        <f>+K1483/1000</f>
        <v>5.8699999999999995E-7</v>
      </c>
      <c r="AB1483" s="256">
        <v>-0.28000000000000003</v>
      </c>
      <c r="AC1483" s="688">
        <f t="shared" si="1310"/>
        <v>-0.28000000000000003</v>
      </c>
      <c r="AD1483" s="164"/>
      <c r="AE1483" s="164"/>
      <c r="AF1483" s="25"/>
      <c r="AG1483" s="26"/>
      <c r="AH1483" s="275"/>
      <c r="AI1483" s="52"/>
      <c r="AJ1483" s="35"/>
      <c r="AK1483" s="289"/>
      <c r="AL1483" s="290"/>
      <c r="AM1483" s="211"/>
      <c r="AN1483" s="164"/>
      <c r="AO1483" s="594"/>
      <c r="AP1483" s="595"/>
      <c r="AQ1483" s="275"/>
      <c r="AR1483" s="52"/>
      <c r="AS1483" s="596"/>
      <c r="AT1483" s="79"/>
      <c r="AU1483" s="212"/>
      <c r="AV1483" s="164"/>
      <c r="AW1483" s="164"/>
      <c r="AX1483" s="76"/>
      <c r="AY1483" s="44"/>
      <c r="AZ1483" s="275"/>
      <c r="BA1483" s="52"/>
      <c r="BB1483" s="35"/>
      <c r="BC1483" s="79"/>
      <c r="BD1483" s="230"/>
      <c r="BE1483" s="211"/>
      <c r="BF1483" s="164"/>
      <c r="BG1483" s="76"/>
      <c r="BH1483" s="44"/>
      <c r="BI1483" s="275"/>
      <c r="BJ1483" s="52"/>
      <c r="BK1483" s="35"/>
      <c r="BL1483" s="79"/>
      <c r="BM1483" s="230"/>
      <c r="BN1483" s="211"/>
      <c r="BO1483" s="164"/>
      <c r="BP1483" s="726"/>
      <c r="BQ1483" s="727"/>
      <c r="BR1483" s="299"/>
      <c r="BS1483" s="35"/>
      <c r="BT1483" s="596"/>
      <c r="BU1483" s="79"/>
      <c r="BV1483" s="212"/>
      <c r="BW1483" s="304"/>
      <c r="BX1483" s="313"/>
      <c r="BY1483" s="138"/>
    </row>
    <row r="1484" spans="1:77" ht="15" customHeight="1" outlineLevel="1" x14ac:dyDescent="0.2">
      <c r="A1484" s="583" t="s">
        <v>24</v>
      </c>
      <c r="B1484" s="583"/>
      <c r="C1484" s="864" t="s">
        <v>1985</v>
      </c>
      <c r="D1484" s="818">
        <v>4.1100000000000003</v>
      </c>
      <c r="E1484" s="162" t="s">
        <v>631</v>
      </c>
      <c r="F1484" s="358"/>
      <c r="G1484" s="65"/>
      <c r="H1484" s="73"/>
      <c r="I1484" s="90"/>
      <c r="J1484" s="73"/>
      <c r="K1484" s="790"/>
      <c r="L1484" s="717">
        <v>2011</v>
      </c>
      <c r="M1484" s="73"/>
      <c r="N1484" s="359">
        <v>1.1575E-2</v>
      </c>
      <c r="O1484" s="1041"/>
      <c r="P1484" s="73"/>
      <c r="Q1484" s="359"/>
      <c r="R1484" s="1041"/>
      <c r="S1484" s="73"/>
      <c r="T1484" s="359"/>
      <c r="U1484" s="73"/>
      <c r="V1484" s="66"/>
      <c r="W1484" s="788">
        <f t="shared" si="1308"/>
        <v>8.3340000000000002E-6</v>
      </c>
      <c r="X1484" s="789">
        <f t="shared" si="1309"/>
        <v>8.3340000000000002E-6</v>
      </c>
      <c r="Y1484" s="52">
        <v>2011</v>
      </c>
      <c r="Z1484" s="52"/>
      <c r="AA1484" s="787">
        <f>+N1484/1000</f>
        <v>1.1575E-5</v>
      </c>
      <c r="AB1484" s="256">
        <v>-0.28000000000000003</v>
      </c>
      <c r="AC1484" s="688">
        <f t="shared" si="1310"/>
        <v>-0.28000000000000003</v>
      </c>
      <c r="AD1484" s="164"/>
      <c r="AE1484" s="164"/>
      <c r="AF1484" s="25"/>
      <c r="AG1484" s="26"/>
      <c r="AH1484" s="275"/>
      <c r="AI1484" s="52"/>
      <c r="AJ1484" s="35"/>
      <c r="AK1484" s="289"/>
      <c r="AL1484" s="290"/>
      <c r="AM1484" s="211"/>
      <c r="AN1484" s="164"/>
      <c r="AO1484" s="594"/>
      <c r="AP1484" s="595"/>
      <c r="AQ1484" s="275"/>
      <c r="AR1484" s="52"/>
      <c r="AS1484" s="596"/>
      <c r="AT1484" s="79"/>
      <c r="AU1484" s="212"/>
      <c r="AV1484" s="164"/>
      <c r="AW1484" s="164"/>
      <c r="AX1484" s="76"/>
      <c r="AY1484" s="44"/>
      <c r="AZ1484" s="275"/>
      <c r="BA1484" s="52"/>
      <c r="BB1484" s="35"/>
      <c r="BC1484" s="79"/>
      <c r="BD1484" s="230"/>
      <c r="BE1484" s="211"/>
      <c r="BF1484" s="164"/>
      <c r="BG1484" s="76"/>
      <c r="BH1484" s="44"/>
      <c r="BI1484" s="275"/>
      <c r="BJ1484" s="52"/>
      <c r="BK1484" s="35"/>
      <c r="BL1484" s="79"/>
      <c r="BM1484" s="230"/>
      <c r="BN1484" s="211"/>
      <c r="BO1484" s="164"/>
      <c r="BP1484" s="726"/>
      <c r="BQ1484" s="727"/>
      <c r="BR1484" s="299"/>
      <c r="BS1484" s="35"/>
      <c r="BT1484" s="596"/>
      <c r="BU1484" s="79"/>
      <c r="BV1484" s="212"/>
      <c r="BW1484" s="304"/>
      <c r="BX1484" s="313"/>
      <c r="BY1484" s="138"/>
    </row>
    <row r="1485" spans="1:77" ht="15" customHeight="1" outlineLevel="1" x14ac:dyDescent="0.2">
      <c r="A1485" s="57" t="s">
        <v>24</v>
      </c>
      <c r="B1485" s="583"/>
      <c r="C1485" s="864" t="s">
        <v>1569</v>
      </c>
      <c r="D1485" s="546">
        <v>6.1829999999999998</v>
      </c>
      <c r="E1485" s="162" t="s">
        <v>631</v>
      </c>
      <c r="F1485" s="358"/>
      <c r="G1485" s="65"/>
      <c r="H1485" s="73"/>
      <c r="I1485" s="90">
        <v>2000</v>
      </c>
      <c r="J1485" s="73"/>
      <c r="K1485" s="734">
        <v>2.7018E-2</v>
      </c>
      <c r="L1485" s="717"/>
      <c r="M1485" s="73"/>
      <c r="N1485" s="359"/>
      <c r="O1485" s="1041"/>
      <c r="P1485" s="73"/>
      <c r="Q1485" s="359"/>
      <c r="R1485" s="1041"/>
      <c r="S1485" s="73"/>
      <c r="T1485" s="359"/>
      <c r="U1485" s="73"/>
      <c r="V1485" s="66"/>
      <c r="W1485" s="740">
        <f t="shared" si="1308"/>
        <v>1.8642420000000001E-5</v>
      </c>
      <c r="X1485" s="741">
        <f t="shared" si="1309"/>
        <v>1.8642420000000001E-5</v>
      </c>
      <c r="Y1485" s="52">
        <v>2000</v>
      </c>
      <c r="Z1485" s="52"/>
      <c r="AA1485" s="739">
        <f>+K1485/1000</f>
        <v>2.7018000000000001E-5</v>
      </c>
      <c r="AB1485" s="256">
        <v>-0.31</v>
      </c>
      <c r="AC1485" s="688">
        <f t="shared" si="1310"/>
        <v>-0.31</v>
      </c>
      <c r="AD1485" s="164"/>
      <c r="AE1485" s="164"/>
      <c r="AF1485" s="25"/>
      <c r="AG1485" s="26"/>
      <c r="AH1485" s="275"/>
      <c r="AI1485" s="52"/>
      <c r="AJ1485" s="35"/>
      <c r="AK1485" s="289"/>
      <c r="AL1485" s="290"/>
      <c r="AM1485" s="211"/>
      <c r="AN1485" s="164"/>
      <c r="AO1485" s="594"/>
      <c r="AP1485" s="595"/>
      <c r="AQ1485" s="275"/>
      <c r="AR1485" s="52"/>
      <c r="AS1485" s="596"/>
      <c r="AT1485" s="79"/>
      <c r="AU1485" s="212"/>
      <c r="AV1485" s="164"/>
      <c r="AW1485" s="164"/>
      <c r="AX1485" s="76"/>
      <c r="AY1485" s="44"/>
      <c r="AZ1485" s="275"/>
      <c r="BA1485" s="52"/>
      <c r="BB1485" s="35"/>
      <c r="BC1485" s="79"/>
      <c r="BD1485" s="230"/>
      <c r="BE1485" s="211"/>
      <c r="BF1485" s="164"/>
      <c r="BG1485" s="76"/>
      <c r="BH1485" s="44"/>
      <c r="BI1485" s="275"/>
      <c r="BJ1485" s="52"/>
      <c r="BK1485" s="35"/>
      <c r="BL1485" s="79"/>
      <c r="BM1485" s="230"/>
      <c r="BN1485" s="211"/>
      <c r="BO1485" s="164"/>
      <c r="BP1485" s="726"/>
      <c r="BQ1485" s="727"/>
      <c r="BR1485" s="299"/>
      <c r="BS1485" s="35"/>
      <c r="BT1485" s="596"/>
      <c r="BU1485" s="79"/>
      <c r="BV1485" s="212"/>
      <c r="BW1485" s="304"/>
      <c r="BX1485" s="313"/>
      <c r="BY1485" s="138"/>
    </row>
    <row r="1486" spans="1:77" ht="15" customHeight="1" outlineLevel="1" x14ac:dyDescent="0.2">
      <c r="A1486" s="583" t="s">
        <v>24</v>
      </c>
      <c r="B1486" s="583"/>
      <c r="C1486" s="864" t="s">
        <v>2091</v>
      </c>
      <c r="D1486" s="546">
        <v>7.2889999999999997</v>
      </c>
      <c r="E1486" s="162" t="s">
        <v>631</v>
      </c>
      <c r="F1486" s="358"/>
      <c r="G1486" s="65"/>
      <c r="H1486" s="73"/>
      <c r="I1486" s="90"/>
      <c r="J1486" s="73"/>
      <c r="K1486" s="734"/>
      <c r="L1486" s="717">
        <v>2011</v>
      </c>
      <c r="M1486" s="73"/>
      <c r="N1486" s="786">
        <v>1.5226E-2</v>
      </c>
      <c r="O1486" s="1041"/>
      <c r="P1486" s="73"/>
      <c r="Q1486" s="359"/>
      <c r="R1486" s="1041"/>
      <c r="S1486" s="73"/>
      <c r="T1486" s="359"/>
      <c r="U1486" s="73"/>
      <c r="V1486" s="66"/>
      <c r="W1486" s="740">
        <f t="shared" ref="W1486" si="1311">AA1486*(1+AB1486)</f>
        <v>1.14195E-5</v>
      </c>
      <c r="X1486" s="741">
        <f t="shared" ref="X1486" si="1312">AA1486*(1+AC1486)</f>
        <v>1.14195E-5</v>
      </c>
      <c r="Y1486" s="52">
        <v>2011</v>
      </c>
      <c r="Z1486" s="52"/>
      <c r="AA1486" s="739">
        <f>+N1486/1000</f>
        <v>1.5226E-5</v>
      </c>
      <c r="AB1486" s="256">
        <v>-0.25</v>
      </c>
      <c r="AC1486" s="688">
        <f t="shared" si="1310"/>
        <v>-0.25</v>
      </c>
      <c r="AD1486" s="164"/>
      <c r="AE1486" s="164"/>
      <c r="AF1486" s="25"/>
      <c r="AG1486" s="26"/>
      <c r="AH1486" s="275"/>
      <c r="AI1486" s="52"/>
      <c r="AJ1486" s="35"/>
      <c r="AK1486" s="289"/>
      <c r="AL1486" s="290"/>
      <c r="AM1486" s="211"/>
      <c r="AN1486" s="164"/>
      <c r="AO1486" s="594"/>
      <c r="AP1486" s="595"/>
      <c r="AQ1486" s="275"/>
      <c r="AR1486" s="52"/>
      <c r="AS1486" s="596"/>
      <c r="AT1486" s="79"/>
      <c r="AU1486" s="212"/>
      <c r="AV1486" s="164"/>
      <c r="AW1486" s="164"/>
      <c r="AX1486" s="76"/>
      <c r="AY1486" s="44"/>
      <c r="AZ1486" s="275"/>
      <c r="BA1486" s="52"/>
      <c r="BB1486" s="35"/>
      <c r="BC1486" s="79"/>
      <c r="BD1486" s="230"/>
      <c r="BE1486" s="211"/>
      <c r="BF1486" s="164"/>
      <c r="BG1486" s="76"/>
      <c r="BH1486" s="44"/>
      <c r="BI1486" s="275"/>
      <c r="BJ1486" s="52"/>
      <c r="BK1486" s="35"/>
      <c r="BL1486" s="79"/>
      <c r="BM1486" s="230"/>
      <c r="BN1486" s="211"/>
      <c r="BO1486" s="164"/>
      <c r="BP1486" s="726"/>
      <c r="BQ1486" s="727"/>
      <c r="BR1486" s="299"/>
      <c r="BS1486" s="35"/>
      <c r="BT1486" s="596"/>
      <c r="BU1486" s="79"/>
      <c r="BV1486" s="212"/>
      <c r="BW1486" s="304"/>
      <c r="BX1486" s="313"/>
      <c r="BY1486" s="138"/>
    </row>
    <row r="1487" spans="1:77" ht="15" customHeight="1" outlineLevel="1" x14ac:dyDescent="0.2">
      <c r="A1487" s="57" t="s">
        <v>24</v>
      </c>
      <c r="B1487" s="583"/>
      <c r="C1487" s="864" t="s">
        <v>1389</v>
      </c>
      <c r="D1487" s="546">
        <v>0.72599999999999998</v>
      </c>
      <c r="E1487" s="162" t="s">
        <v>631</v>
      </c>
      <c r="F1487" s="358"/>
      <c r="G1487" s="65"/>
      <c r="H1487" s="73"/>
      <c r="I1487" s="90">
        <v>2007</v>
      </c>
      <c r="J1487" s="73"/>
      <c r="K1487" s="734">
        <v>8.3610000000000004E-3</v>
      </c>
      <c r="L1487" s="717"/>
      <c r="M1487" s="73"/>
      <c r="N1487" s="359"/>
      <c r="O1487" s="1041"/>
      <c r="P1487" s="73"/>
      <c r="Q1487" s="359"/>
      <c r="R1487" s="1041"/>
      <c r="S1487" s="73"/>
      <c r="T1487" s="359"/>
      <c r="U1487" s="73"/>
      <c r="V1487" s="66"/>
      <c r="W1487" s="788">
        <f t="shared" si="1308"/>
        <v>5.1002099999999997E-6</v>
      </c>
      <c r="X1487" s="789">
        <f t="shared" si="1309"/>
        <v>5.1002099999999997E-6</v>
      </c>
      <c r="Y1487" s="52">
        <v>2007</v>
      </c>
      <c r="Z1487" s="52"/>
      <c r="AA1487" s="739">
        <f>+K1487/1000</f>
        <v>8.3610000000000001E-6</v>
      </c>
      <c r="AB1487" s="256">
        <v>-0.39</v>
      </c>
      <c r="AC1487" s="688">
        <f t="shared" si="1310"/>
        <v>-0.39</v>
      </c>
      <c r="AD1487" s="164"/>
      <c r="AE1487" s="164"/>
      <c r="AF1487" s="25"/>
      <c r="AG1487" s="26"/>
      <c r="AH1487" s="275"/>
      <c r="AI1487" s="52"/>
      <c r="AJ1487" s="35"/>
      <c r="AK1487" s="289"/>
      <c r="AL1487" s="290"/>
      <c r="AM1487" s="211"/>
      <c r="AN1487" s="164"/>
      <c r="AO1487" s="594"/>
      <c r="AP1487" s="595"/>
      <c r="AQ1487" s="275"/>
      <c r="AR1487" s="52"/>
      <c r="AS1487" s="596"/>
      <c r="AT1487" s="79"/>
      <c r="AU1487" s="212"/>
      <c r="AV1487" s="164"/>
      <c r="AW1487" s="164"/>
      <c r="AX1487" s="76"/>
      <c r="AY1487" s="44"/>
      <c r="AZ1487" s="275"/>
      <c r="BA1487" s="52"/>
      <c r="BB1487" s="35"/>
      <c r="BC1487" s="79"/>
      <c r="BD1487" s="230"/>
      <c r="BE1487" s="211"/>
      <c r="BF1487" s="164"/>
      <c r="BG1487" s="76"/>
      <c r="BH1487" s="44"/>
      <c r="BI1487" s="275"/>
      <c r="BJ1487" s="52"/>
      <c r="BK1487" s="35"/>
      <c r="BL1487" s="79"/>
      <c r="BM1487" s="230"/>
      <c r="BN1487" s="211"/>
      <c r="BO1487" s="164"/>
      <c r="BP1487" s="726"/>
      <c r="BQ1487" s="727"/>
      <c r="BR1487" s="299"/>
      <c r="BS1487" s="35"/>
      <c r="BT1487" s="596"/>
      <c r="BU1487" s="79"/>
      <c r="BV1487" s="212"/>
      <c r="BW1487" s="304"/>
      <c r="BX1487" s="313"/>
      <c r="BY1487" s="138"/>
    </row>
    <row r="1488" spans="1:77" ht="15" customHeight="1" outlineLevel="1" x14ac:dyDescent="0.2">
      <c r="A1488" s="57" t="s">
        <v>24</v>
      </c>
      <c r="B1488" s="583"/>
      <c r="C1488" s="864" t="s">
        <v>1399</v>
      </c>
      <c r="D1488" s="546">
        <v>7.5220000000000002</v>
      </c>
      <c r="E1488" s="162" t="s">
        <v>631</v>
      </c>
      <c r="F1488" s="358"/>
      <c r="G1488" s="65"/>
      <c r="H1488" s="73"/>
      <c r="I1488" s="90"/>
      <c r="J1488" s="73"/>
      <c r="K1488" s="734">
        <v>2.5659000000000001E-2</v>
      </c>
      <c r="L1488" s="717"/>
      <c r="M1488" s="73"/>
      <c r="N1488" s="359"/>
      <c r="O1488" s="1041"/>
      <c r="P1488" s="73"/>
      <c r="Q1488" s="359"/>
      <c r="R1488" s="1041"/>
      <c r="S1488" s="73"/>
      <c r="T1488" s="359"/>
      <c r="U1488" s="73"/>
      <c r="V1488" s="66"/>
      <c r="W1488" s="740">
        <f t="shared" si="1308"/>
        <v>1.616517E-5</v>
      </c>
      <c r="X1488" s="741">
        <f t="shared" si="1309"/>
        <v>1.616517E-5</v>
      </c>
      <c r="Y1488" s="52">
        <v>2005</v>
      </c>
      <c r="Z1488" s="52"/>
      <c r="AA1488" s="739">
        <f>+K1488/1000</f>
        <v>2.5659000000000003E-5</v>
      </c>
      <c r="AB1488" s="256">
        <v>-0.37</v>
      </c>
      <c r="AC1488" s="688">
        <f t="shared" si="1310"/>
        <v>-0.37</v>
      </c>
      <c r="AD1488" s="164"/>
      <c r="AE1488" s="164"/>
      <c r="AF1488" s="25"/>
      <c r="AG1488" s="26"/>
      <c r="AH1488" s="275"/>
      <c r="AI1488" s="52"/>
      <c r="AJ1488" s="35"/>
      <c r="AK1488" s="289"/>
      <c r="AL1488" s="290"/>
      <c r="AM1488" s="211"/>
      <c r="AN1488" s="164"/>
      <c r="AO1488" s="594"/>
      <c r="AP1488" s="595"/>
      <c r="AQ1488" s="275"/>
      <c r="AR1488" s="52"/>
      <c r="AS1488" s="596"/>
      <c r="AT1488" s="79"/>
      <c r="AU1488" s="212"/>
      <c r="AV1488" s="164"/>
      <c r="AW1488" s="164"/>
      <c r="AX1488" s="76"/>
      <c r="AY1488" s="44"/>
      <c r="AZ1488" s="275"/>
      <c r="BA1488" s="52"/>
      <c r="BB1488" s="35"/>
      <c r="BC1488" s="79"/>
      <c r="BD1488" s="230"/>
      <c r="BE1488" s="211"/>
      <c r="BF1488" s="164"/>
      <c r="BG1488" s="76"/>
      <c r="BH1488" s="44"/>
      <c r="BI1488" s="275"/>
      <c r="BJ1488" s="52"/>
      <c r="BK1488" s="35"/>
      <c r="BL1488" s="79"/>
      <c r="BM1488" s="230"/>
      <c r="BN1488" s="211"/>
      <c r="BO1488" s="164"/>
      <c r="BP1488" s="726"/>
      <c r="BQ1488" s="727"/>
      <c r="BR1488" s="299"/>
      <c r="BS1488" s="35"/>
      <c r="BT1488" s="596"/>
      <c r="BU1488" s="79"/>
      <c r="BV1488" s="212"/>
      <c r="BW1488" s="304"/>
      <c r="BX1488" s="313"/>
      <c r="BY1488" s="138"/>
    </row>
    <row r="1489" spans="1:77" ht="15" customHeight="1" outlineLevel="1" x14ac:dyDescent="0.2">
      <c r="A1489" s="583" t="s">
        <v>24</v>
      </c>
      <c r="B1489" s="583"/>
      <c r="C1489" s="864" t="s">
        <v>1833</v>
      </c>
      <c r="D1489" s="818">
        <v>10.35</v>
      </c>
      <c r="E1489" s="162" t="s">
        <v>631</v>
      </c>
      <c r="F1489" s="358"/>
      <c r="G1489" s="65"/>
      <c r="H1489" s="73"/>
      <c r="I1489" s="90"/>
      <c r="J1489" s="73"/>
      <c r="K1489" s="790"/>
      <c r="L1489" s="717">
        <v>2011</v>
      </c>
      <c r="M1489" s="73"/>
      <c r="N1489" s="786">
        <v>2.1375999999999999E-2</v>
      </c>
      <c r="O1489" s="1041"/>
      <c r="P1489" s="73"/>
      <c r="Q1489" s="786"/>
      <c r="R1489" s="1041"/>
      <c r="S1489" s="73"/>
      <c r="T1489" s="786"/>
      <c r="U1489" s="73"/>
      <c r="V1489" s="66"/>
      <c r="W1489" s="788">
        <f t="shared" ref="W1489" si="1313">AA1489*(1+AB1489)</f>
        <v>1.581824E-5</v>
      </c>
      <c r="X1489" s="789">
        <f t="shared" ref="X1489" si="1314">AA1489*(1+AC1489)</f>
        <v>1.581824E-5</v>
      </c>
      <c r="Y1489" s="52">
        <v>2011</v>
      </c>
      <c r="Z1489" s="52"/>
      <c r="AA1489" s="787">
        <f>+N1489/1000</f>
        <v>2.1376E-5</v>
      </c>
      <c r="AB1489" s="256">
        <v>-0.26</v>
      </c>
      <c r="AC1489" s="688">
        <f t="shared" si="1168"/>
        <v>-0.26</v>
      </c>
      <c r="AD1489" s="164"/>
      <c r="AE1489" s="164"/>
      <c r="AF1489" s="25"/>
      <c r="AG1489" s="26"/>
      <c r="AH1489" s="275"/>
      <c r="AI1489" s="52"/>
      <c r="AJ1489" s="35"/>
      <c r="AK1489" s="289"/>
      <c r="AL1489" s="290"/>
      <c r="AM1489" s="211"/>
      <c r="AN1489" s="164"/>
      <c r="AO1489" s="594"/>
      <c r="AP1489" s="595"/>
      <c r="AQ1489" s="275"/>
      <c r="AR1489" s="52"/>
      <c r="AS1489" s="596"/>
      <c r="AT1489" s="79"/>
      <c r="AU1489" s="212"/>
      <c r="AV1489" s="164"/>
      <c r="AW1489" s="164"/>
      <c r="AX1489" s="76"/>
      <c r="AY1489" s="44"/>
      <c r="AZ1489" s="275"/>
      <c r="BA1489" s="52"/>
      <c r="BB1489" s="35"/>
      <c r="BC1489" s="79"/>
      <c r="BD1489" s="230"/>
      <c r="BE1489" s="211"/>
      <c r="BF1489" s="164"/>
      <c r="BG1489" s="76"/>
      <c r="BH1489" s="44"/>
      <c r="BI1489" s="275"/>
      <c r="BJ1489" s="52"/>
      <c r="BK1489" s="35"/>
      <c r="BL1489" s="79"/>
      <c r="BM1489" s="230"/>
      <c r="BN1489" s="211"/>
      <c r="BO1489" s="164"/>
      <c r="BP1489" s="726"/>
      <c r="BQ1489" s="727"/>
      <c r="BR1489" s="299"/>
      <c r="BS1489" s="35"/>
      <c r="BT1489" s="596"/>
      <c r="BU1489" s="79"/>
      <c r="BV1489" s="212"/>
      <c r="BW1489" s="304"/>
      <c r="BX1489" s="313"/>
      <c r="BY1489" s="138"/>
    </row>
    <row r="1490" spans="1:77" ht="15" customHeight="1" outlineLevel="1" x14ac:dyDescent="0.2">
      <c r="A1490" s="583" t="s">
        <v>24</v>
      </c>
      <c r="B1490" s="583"/>
      <c r="C1490" s="583" t="s">
        <v>1834</v>
      </c>
      <c r="D1490" s="818">
        <v>3.044</v>
      </c>
      <c r="E1490" s="162" t="s">
        <v>631</v>
      </c>
      <c r="F1490" s="358"/>
      <c r="G1490" s="65"/>
      <c r="H1490" s="73"/>
      <c r="I1490" s="90"/>
      <c r="J1490" s="73"/>
      <c r="K1490" s="790"/>
      <c r="L1490" s="717">
        <v>2011</v>
      </c>
      <c r="M1490" s="73"/>
      <c r="N1490" s="786">
        <v>1.2172000000000001E-2</v>
      </c>
      <c r="O1490" s="1041"/>
      <c r="P1490" s="73"/>
      <c r="Q1490" s="786"/>
      <c r="R1490" s="1041"/>
      <c r="S1490" s="73"/>
      <c r="T1490" s="786"/>
      <c r="U1490" s="73"/>
      <c r="V1490" s="66"/>
      <c r="W1490" s="788">
        <f t="shared" ref="W1490" si="1315">AA1490*(1+AB1490)</f>
        <v>9.0072800000000013E-6</v>
      </c>
      <c r="X1490" s="789">
        <f t="shared" ref="X1490" si="1316">AA1490*(1+AC1490)</f>
        <v>9.0072800000000013E-6</v>
      </c>
      <c r="Y1490" s="52">
        <v>2011</v>
      </c>
      <c r="Z1490" s="52"/>
      <c r="AA1490" s="787">
        <f>+N1490/1000</f>
        <v>1.2172000000000001E-5</v>
      </c>
      <c r="AB1490" s="256">
        <v>-0.26</v>
      </c>
      <c r="AC1490" s="688">
        <f t="shared" si="1168"/>
        <v>-0.26</v>
      </c>
      <c r="AD1490" s="164"/>
      <c r="AE1490" s="164"/>
      <c r="AF1490" s="25"/>
      <c r="AG1490" s="26"/>
      <c r="AH1490" s="275"/>
      <c r="AI1490" s="52"/>
      <c r="AJ1490" s="35"/>
      <c r="AK1490" s="289"/>
      <c r="AL1490" s="290"/>
      <c r="AM1490" s="211"/>
      <c r="AN1490" s="164"/>
      <c r="AO1490" s="594"/>
      <c r="AP1490" s="595"/>
      <c r="AQ1490" s="275"/>
      <c r="AR1490" s="52"/>
      <c r="AS1490" s="596"/>
      <c r="AT1490" s="79"/>
      <c r="AU1490" s="212"/>
      <c r="AV1490" s="164"/>
      <c r="AW1490" s="164"/>
      <c r="AX1490" s="76"/>
      <c r="AY1490" s="44"/>
      <c r="AZ1490" s="275"/>
      <c r="BA1490" s="52"/>
      <c r="BB1490" s="35"/>
      <c r="BC1490" s="79"/>
      <c r="BD1490" s="230"/>
      <c r="BE1490" s="211"/>
      <c r="BF1490" s="164"/>
      <c r="BG1490" s="76"/>
      <c r="BH1490" s="44"/>
      <c r="BI1490" s="275"/>
      <c r="BJ1490" s="52"/>
      <c r="BK1490" s="35"/>
      <c r="BL1490" s="79"/>
      <c r="BM1490" s="230"/>
      <c r="BN1490" s="211"/>
      <c r="BO1490" s="164"/>
      <c r="BP1490" s="726"/>
      <c r="BQ1490" s="727"/>
      <c r="BR1490" s="299"/>
      <c r="BS1490" s="35"/>
      <c r="BT1490" s="596"/>
      <c r="BU1490" s="79"/>
      <c r="BV1490" s="212"/>
      <c r="BW1490" s="304"/>
      <c r="BX1490" s="313"/>
      <c r="BY1490" s="138"/>
    </row>
    <row r="1491" spans="1:77" ht="15" customHeight="1" outlineLevel="1" x14ac:dyDescent="0.2">
      <c r="A1491" s="583" t="s">
        <v>24</v>
      </c>
      <c r="B1491" s="583"/>
      <c r="C1491" s="583" t="s">
        <v>1921</v>
      </c>
      <c r="D1491" s="818">
        <v>3.4910000000000001</v>
      </c>
      <c r="E1491" s="162" t="s">
        <v>631</v>
      </c>
      <c r="F1491" s="358"/>
      <c r="G1491" s="65"/>
      <c r="H1491" s="73"/>
      <c r="I1491" s="90"/>
      <c r="J1491" s="73"/>
      <c r="K1491" s="790"/>
      <c r="L1491" s="717">
        <v>2011</v>
      </c>
      <c r="M1491" s="73"/>
      <c r="N1491" s="786">
        <v>7.0089999999999996E-3</v>
      </c>
      <c r="O1491" s="1041"/>
      <c r="P1491" s="73"/>
      <c r="Q1491" s="786"/>
      <c r="R1491" s="1041"/>
      <c r="S1491" s="73"/>
      <c r="T1491" s="786"/>
      <c r="U1491" s="73"/>
      <c r="V1491" s="66"/>
      <c r="W1491" s="788">
        <f t="shared" ref="W1491" si="1317">AA1491*(1+AB1491)</f>
        <v>5.116569999999999E-6</v>
      </c>
      <c r="X1491" s="789">
        <f t="shared" ref="X1491" si="1318">AA1491*(1+AC1491)</f>
        <v>5.116569999999999E-6</v>
      </c>
      <c r="Y1491" s="52">
        <v>2011</v>
      </c>
      <c r="Z1491" s="52"/>
      <c r="AA1491" s="787">
        <f>+N1491/1000</f>
        <v>7.0089999999999993E-6</v>
      </c>
      <c r="AB1491" s="256">
        <v>-0.27</v>
      </c>
      <c r="AC1491" s="688">
        <f t="shared" si="1168"/>
        <v>-0.27</v>
      </c>
      <c r="AD1491" s="164"/>
      <c r="AE1491" s="164"/>
      <c r="AF1491" s="25"/>
      <c r="AG1491" s="26"/>
      <c r="AH1491" s="275"/>
      <c r="AI1491" s="52"/>
      <c r="AJ1491" s="35"/>
      <c r="AK1491" s="289"/>
      <c r="AL1491" s="290"/>
      <c r="AM1491" s="211"/>
      <c r="AN1491" s="164"/>
      <c r="AO1491" s="594"/>
      <c r="AP1491" s="595"/>
      <c r="AQ1491" s="275"/>
      <c r="AR1491" s="52"/>
      <c r="AS1491" s="596"/>
      <c r="AT1491" s="79"/>
      <c r="AU1491" s="212"/>
      <c r="AV1491" s="164"/>
      <c r="AW1491" s="164"/>
      <c r="AX1491" s="76"/>
      <c r="AY1491" s="44"/>
      <c r="AZ1491" s="275"/>
      <c r="BA1491" s="52"/>
      <c r="BB1491" s="35"/>
      <c r="BC1491" s="79"/>
      <c r="BD1491" s="230"/>
      <c r="BE1491" s="211"/>
      <c r="BF1491" s="164"/>
      <c r="BG1491" s="76"/>
      <c r="BH1491" s="44"/>
      <c r="BI1491" s="275"/>
      <c r="BJ1491" s="52"/>
      <c r="BK1491" s="35"/>
      <c r="BL1491" s="79"/>
      <c r="BM1491" s="230"/>
      <c r="BN1491" s="211"/>
      <c r="BO1491" s="164"/>
      <c r="BP1491" s="726"/>
      <c r="BQ1491" s="727"/>
      <c r="BR1491" s="299"/>
      <c r="BS1491" s="35"/>
      <c r="BT1491" s="596"/>
      <c r="BU1491" s="79"/>
      <c r="BV1491" s="212"/>
      <c r="BW1491" s="304"/>
      <c r="BX1491" s="313"/>
      <c r="BY1491" s="138"/>
    </row>
    <row r="1492" spans="1:77" ht="15" customHeight="1" outlineLevel="1" x14ac:dyDescent="0.2">
      <c r="A1492" s="57" t="s">
        <v>24</v>
      </c>
      <c r="B1492" s="583"/>
      <c r="C1492" s="583" t="s">
        <v>1485</v>
      </c>
      <c r="D1492" s="546">
        <v>1.91</v>
      </c>
      <c r="E1492" s="162" t="s">
        <v>631</v>
      </c>
      <c r="F1492" s="358"/>
      <c r="G1492" s="65"/>
      <c r="H1492" s="73"/>
      <c r="I1492" s="90">
        <v>2007</v>
      </c>
      <c r="J1492" s="73"/>
      <c r="K1492" s="734">
        <v>2.0688999999999999E-2</v>
      </c>
      <c r="L1492" s="717"/>
      <c r="M1492" s="73"/>
      <c r="N1492" s="359"/>
      <c r="O1492" s="1041"/>
      <c r="P1492" s="73"/>
      <c r="Q1492" s="359"/>
      <c r="R1492" s="1041"/>
      <c r="S1492" s="73"/>
      <c r="T1492" s="359"/>
      <c r="U1492" s="73"/>
      <c r="V1492" s="66"/>
      <c r="W1492" s="740">
        <f t="shared" si="1165"/>
        <v>1.3654739999999998E-5</v>
      </c>
      <c r="X1492" s="741">
        <f t="shared" si="1166"/>
        <v>1.3654739999999998E-5</v>
      </c>
      <c r="Y1492" s="52">
        <v>2007</v>
      </c>
      <c r="Z1492" s="52"/>
      <c r="AA1492" s="739">
        <f t="shared" si="1307"/>
        <v>2.0688999999999998E-5</v>
      </c>
      <c r="AB1492" s="256">
        <v>-0.34</v>
      </c>
      <c r="AC1492" s="688">
        <f t="shared" si="1168"/>
        <v>-0.34</v>
      </c>
      <c r="AD1492" s="164"/>
      <c r="AE1492" s="164"/>
      <c r="AF1492" s="25"/>
      <c r="AG1492" s="26"/>
      <c r="AH1492" s="275"/>
      <c r="AI1492" s="52"/>
      <c r="AJ1492" s="35"/>
      <c r="AK1492" s="289"/>
      <c r="AL1492" s="290"/>
      <c r="AM1492" s="211"/>
      <c r="AN1492" s="164"/>
      <c r="AO1492" s="594"/>
      <c r="AP1492" s="595"/>
      <c r="AQ1492" s="275"/>
      <c r="AR1492" s="52"/>
      <c r="AS1492" s="596"/>
      <c r="AT1492" s="79"/>
      <c r="AU1492" s="212"/>
      <c r="AV1492" s="164"/>
      <c r="AW1492" s="164"/>
      <c r="AX1492" s="76"/>
      <c r="AY1492" s="44"/>
      <c r="AZ1492" s="275"/>
      <c r="BA1492" s="52"/>
      <c r="BB1492" s="35"/>
      <c r="BC1492" s="79"/>
      <c r="BD1492" s="230"/>
      <c r="BE1492" s="211"/>
      <c r="BF1492" s="164"/>
      <c r="BG1492" s="76"/>
      <c r="BH1492" s="44"/>
      <c r="BI1492" s="275"/>
      <c r="BJ1492" s="52"/>
      <c r="BK1492" s="35"/>
      <c r="BL1492" s="79"/>
      <c r="BM1492" s="230"/>
      <c r="BN1492" s="211"/>
      <c r="BO1492" s="164"/>
      <c r="BP1492" s="726"/>
      <c r="BQ1492" s="727"/>
      <c r="BR1492" s="299"/>
      <c r="BS1492" s="35"/>
      <c r="BT1492" s="596"/>
      <c r="BU1492" s="79"/>
      <c r="BV1492" s="212"/>
      <c r="BW1492" s="304"/>
      <c r="BX1492" s="313"/>
      <c r="BY1492" s="138"/>
    </row>
    <row r="1493" spans="1:77" ht="15" customHeight="1" outlineLevel="1" x14ac:dyDescent="0.2">
      <c r="A1493" s="583" t="s">
        <v>24</v>
      </c>
      <c r="B1493" s="583"/>
      <c r="C1493" s="583" t="s">
        <v>2055</v>
      </c>
      <c r="D1493" s="546">
        <v>34.813000000000002</v>
      </c>
      <c r="E1493" s="162" t="s">
        <v>631</v>
      </c>
      <c r="F1493" s="358"/>
      <c r="G1493" s="65"/>
      <c r="H1493" s="73"/>
      <c r="I1493" s="90"/>
      <c r="J1493" s="73"/>
      <c r="K1493" s="734"/>
      <c r="L1493" s="717">
        <v>2011</v>
      </c>
      <c r="M1493" s="73"/>
      <c r="N1493" s="786">
        <v>7.5213000000000002E-2</v>
      </c>
      <c r="O1493" s="1041"/>
      <c r="P1493" s="73"/>
      <c r="Q1493" s="359"/>
      <c r="R1493" s="1041"/>
      <c r="S1493" s="73"/>
      <c r="T1493" s="359"/>
      <c r="U1493" s="73"/>
      <c r="V1493" s="66"/>
      <c r="W1493" s="740">
        <f t="shared" ref="W1493" si="1319">AA1493*(1+AB1493)</f>
        <v>5.3401229999999995E-5</v>
      </c>
      <c r="X1493" s="741">
        <f t="shared" ref="X1493" si="1320">AA1493*(1+AC1493)</f>
        <v>5.3401229999999995E-5</v>
      </c>
      <c r="Y1493" s="52">
        <v>2011</v>
      </c>
      <c r="Z1493" s="52"/>
      <c r="AA1493" s="739">
        <f>+N1493/1000</f>
        <v>7.5213E-5</v>
      </c>
      <c r="AB1493" s="256">
        <v>-0.28999999999999998</v>
      </c>
      <c r="AC1493" s="688">
        <f t="shared" si="1168"/>
        <v>-0.28999999999999998</v>
      </c>
      <c r="AD1493" s="164"/>
      <c r="AE1493" s="164"/>
      <c r="AF1493" s="25"/>
      <c r="AG1493" s="26"/>
      <c r="AH1493" s="275"/>
      <c r="AI1493" s="52"/>
      <c r="AJ1493" s="35"/>
      <c r="AK1493" s="289"/>
      <c r="AL1493" s="290"/>
      <c r="AM1493" s="211"/>
      <c r="AN1493" s="164"/>
      <c r="AO1493" s="594"/>
      <c r="AP1493" s="595"/>
      <c r="AQ1493" s="275"/>
      <c r="AR1493" s="52"/>
      <c r="AS1493" s="596"/>
      <c r="AT1493" s="79"/>
      <c r="AU1493" s="212"/>
      <c r="AV1493" s="164"/>
      <c r="AW1493" s="164"/>
      <c r="AX1493" s="76"/>
      <c r="AY1493" s="44"/>
      <c r="AZ1493" s="275"/>
      <c r="BA1493" s="52"/>
      <c r="BB1493" s="35"/>
      <c r="BC1493" s="79"/>
      <c r="BD1493" s="230"/>
      <c r="BE1493" s="211"/>
      <c r="BF1493" s="164"/>
      <c r="BG1493" s="76"/>
      <c r="BH1493" s="44"/>
      <c r="BI1493" s="275"/>
      <c r="BJ1493" s="52"/>
      <c r="BK1493" s="35"/>
      <c r="BL1493" s="79"/>
      <c r="BM1493" s="230"/>
      <c r="BN1493" s="211"/>
      <c r="BO1493" s="164"/>
      <c r="BP1493" s="726"/>
      <c r="BQ1493" s="727"/>
      <c r="BR1493" s="299"/>
      <c r="BS1493" s="35"/>
      <c r="BT1493" s="596"/>
      <c r="BU1493" s="79"/>
      <c r="BV1493" s="212"/>
      <c r="BW1493" s="304"/>
      <c r="BX1493" s="313"/>
      <c r="BY1493" s="138"/>
    </row>
    <row r="1494" spans="1:77" ht="15" customHeight="1" outlineLevel="1" x14ac:dyDescent="0.2">
      <c r="A1494" s="583" t="s">
        <v>24</v>
      </c>
      <c r="B1494" s="583"/>
      <c r="C1494" s="583" t="s">
        <v>1749</v>
      </c>
      <c r="D1494" s="546">
        <v>1.48</v>
      </c>
      <c r="E1494" s="162" t="s">
        <v>631</v>
      </c>
      <c r="F1494" s="358"/>
      <c r="G1494" s="65"/>
      <c r="H1494" s="73"/>
      <c r="I1494" s="90"/>
      <c r="J1494" s="73"/>
      <c r="K1494" s="734">
        <v>4.0480000000000004E-3</v>
      </c>
      <c r="L1494" s="717"/>
      <c r="M1494" s="73"/>
      <c r="N1494" s="359"/>
      <c r="O1494" s="1041"/>
      <c r="P1494" s="73"/>
      <c r="Q1494" s="359"/>
      <c r="R1494" s="1041"/>
      <c r="S1494" s="73"/>
      <c r="T1494" s="359"/>
      <c r="U1494" s="73"/>
      <c r="V1494" s="66"/>
      <c r="W1494" s="788">
        <f t="shared" si="1165"/>
        <v>3.0360000000000002E-6</v>
      </c>
      <c r="X1494" s="789">
        <f t="shared" si="1166"/>
        <v>3.0360000000000002E-6</v>
      </c>
      <c r="Y1494" s="52">
        <v>2005</v>
      </c>
      <c r="Z1494" s="52"/>
      <c r="AA1494" s="787">
        <f>+K1494/1000</f>
        <v>4.048E-6</v>
      </c>
      <c r="AB1494" s="256">
        <v>-0.25</v>
      </c>
      <c r="AC1494" s="688">
        <f t="shared" si="1168"/>
        <v>-0.25</v>
      </c>
      <c r="AD1494" s="164"/>
      <c r="AE1494" s="164"/>
      <c r="AF1494" s="25"/>
      <c r="AG1494" s="26"/>
      <c r="AH1494" s="275"/>
      <c r="AI1494" s="52"/>
      <c r="AJ1494" s="35"/>
      <c r="AK1494" s="289"/>
      <c r="AL1494" s="290"/>
      <c r="AM1494" s="211"/>
      <c r="AN1494" s="164"/>
      <c r="AO1494" s="594"/>
      <c r="AP1494" s="595"/>
      <c r="AQ1494" s="275"/>
      <c r="AR1494" s="52"/>
      <c r="AS1494" s="596"/>
      <c r="AT1494" s="79"/>
      <c r="AU1494" s="212"/>
      <c r="AV1494" s="164"/>
      <c r="AW1494" s="164"/>
      <c r="AX1494" s="76"/>
      <c r="AY1494" s="44"/>
      <c r="AZ1494" s="275"/>
      <c r="BA1494" s="52"/>
      <c r="BB1494" s="35"/>
      <c r="BC1494" s="79"/>
      <c r="BD1494" s="230"/>
      <c r="BE1494" s="211"/>
      <c r="BF1494" s="164"/>
      <c r="BG1494" s="76"/>
      <c r="BH1494" s="44"/>
      <c r="BI1494" s="275"/>
      <c r="BJ1494" s="52"/>
      <c r="BK1494" s="35"/>
      <c r="BL1494" s="79"/>
      <c r="BM1494" s="230"/>
      <c r="BN1494" s="211"/>
      <c r="BO1494" s="164"/>
      <c r="BP1494" s="726"/>
      <c r="BQ1494" s="727"/>
      <c r="BR1494" s="299"/>
      <c r="BS1494" s="35"/>
      <c r="BT1494" s="596"/>
      <c r="BU1494" s="79"/>
      <c r="BV1494" s="212"/>
      <c r="BW1494" s="304"/>
      <c r="BX1494" s="313"/>
      <c r="BY1494" s="138"/>
    </row>
    <row r="1495" spans="1:77" ht="15" customHeight="1" outlineLevel="1" x14ac:dyDescent="0.2">
      <c r="A1495" s="583" t="s">
        <v>24</v>
      </c>
      <c r="B1495" s="583"/>
      <c r="C1495" s="583" t="s">
        <v>2019</v>
      </c>
      <c r="D1495" s="546">
        <v>0.55400000000000005</v>
      </c>
      <c r="E1495" s="162" t="s">
        <v>631</v>
      </c>
      <c r="F1495" s="358"/>
      <c r="G1495" s="65"/>
      <c r="H1495" s="73"/>
      <c r="I1495" s="90">
        <v>2000</v>
      </c>
      <c r="J1495" s="73"/>
      <c r="K1495" s="790">
        <v>2.1580000000000002E-3</v>
      </c>
      <c r="L1495" s="717"/>
      <c r="M1495" s="73"/>
      <c r="N1495" s="359"/>
      <c r="O1495" s="1041"/>
      <c r="P1495" s="73"/>
      <c r="Q1495" s="359"/>
      <c r="R1495" s="1041"/>
      <c r="S1495" s="73"/>
      <c r="T1495" s="359"/>
      <c r="U1495" s="73"/>
      <c r="V1495" s="66"/>
      <c r="W1495" s="788">
        <f t="shared" ref="W1495" si="1321">AA1495*(1+AB1495)</f>
        <v>1.5537600000000002E-6</v>
      </c>
      <c r="X1495" s="789">
        <f t="shared" ref="X1495" si="1322">AA1495*(1+AC1495)</f>
        <v>1.5537600000000002E-6</v>
      </c>
      <c r="Y1495" s="52">
        <v>2000</v>
      </c>
      <c r="Z1495" s="52"/>
      <c r="AA1495" s="787">
        <f>+K1495/1000</f>
        <v>2.1580000000000003E-6</v>
      </c>
      <c r="AB1495" s="256">
        <v>-0.28000000000000003</v>
      </c>
      <c r="AC1495" s="688">
        <f t="shared" si="1168"/>
        <v>-0.28000000000000003</v>
      </c>
      <c r="AD1495" s="164"/>
      <c r="AE1495" s="164"/>
      <c r="AF1495" s="25"/>
      <c r="AG1495" s="26"/>
      <c r="AH1495" s="275"/>
      <c r="AI1495" s="52"/>
      <c r="AJ1495" s="35"/>
      <c r="AK1495" s="289"/>
      <c r="AL1495" s="290"/>
      <c r="AM1495" s="211"/>
      <c r="AN1495" s="164"/>
      <c r="AO1495" s="594"/>
      <c r="AP1495" s="595"/>
      <c r="AQ1495" s="275"/>
      <c r="AR1495" s="52"/>
      <c r="AS1495" s="596"/>
      <c r="AT1495" s="79"/>
      <c r="AU1495" s="212"/>
      <c r="AV1495" s="164"/>
      <c r="AW1495" s="164"/>
      <c r="AX1495" s="76"/>
      <c r="AY1495" s="44"/>
      <c r="AZ1495" s="275"/>
      <c r="BA1495" s="52"/>
      <c r="BB1495" s="35"/>
      <c r="BC1495" s="79"/>
      <c r="BD1495" s="230"/>
      <c r="BE1495" s="211"/>
      <c r="BF1495" s="164"/>
      <c r="BG1495" s="76"/>
      <c r="BH1495" s="44"/>
      <c r="BI1495" s="275"/>
      <c r="BJ1495" s="52"/>
      <c r="BK1495" s="35"/>
      <c r="BL1495" s="79"/>
      <c r="BM1495" s="230"/>
      <c r="BN1495" s="211"/>
      <c r="BO1495" s="164"/>
      <c r="BP1495" s="726"/>
      <c r="BQ1495" s="727"/>
      <c r="BR1495" s="299"/>
      <c r="BS1495" s="35"/>
      <c r="BT1495" s="596"/>
      <c r="BU1495" s="79"/>
      <c r="BV1495" s="212"/>
      <c r="BW1495" s="304"/>
      <c r="BX1495" s="313"/>
      <c r="BY1495" s="138"/>
    </row>
    <row r="1496" spans="1:77" ht="15" customHeight="1" outlineLevel="1" x14ac:dyDescent="0.2">
      <c r="A1496" s="57" t="s">
        <v>24</v>
      </c>
      <c r="B1496" s="583"/>
      <c r="C1496" s="583" t="s">
        <v>1448</v>
      </c>
      <c r="D1496" s="546">
        <v>1.8089999999999999</v>
      </c>
      <c r="E1496" s="162" t="s">
        <v>631</v>
      </c>
      <c r="F1496" s="358"/>
      <c r="G1496" s="65"/>
      <c r="H1496" s="73"/>
      <c r="I1496" s="90"/>
      <c r="J1496" s="73"/>
      <c r="K1496" s="790">
        <v>5.9560000000000004E-3</v>
      </c>
      <c r="L1496" s="717"/>
      <c r="M1496" s="73"/>
      <c r="N1496" s="359"/>
      <c r="O1496" s="1041"/>
      <c r="P1496" s="73"/>
      <c r="Q1496" s="359"/>
      <c r="R1496" s="1041"/>
      <c r="S1496" s="73"/>
      <c r="T1496" s="359"/>
      <c r="U1496" s="73"/>
      <c r="V1496" s="66"/>
      <c r="W1496" s="788">
        <f t="shared" si="1165"/>
        <v>3.7522800000000004E-6</v>
      </c>
      <c r="X1496" s="789">
        <f t="shared" si="1166"/>
        <v>3.7522800000000004E-6</v>
      </c>
      <c r="Y1496" s="52">
        <v>2005</v>
      </c>
      <c r="Z1496" s="52"/>
      <c r="AA1496" s="787">
        <f t="shared" si="1307"/>
        <v>5.9560000000000002E-6</v>
      </c>
      <c r="AB1496" s="256">
        <v>-0.37</v>
      </c>
      <c r="AC1496" s="688">
        <f t="shared" si="1168"/>
        <v>-0.37</v>
      </c>
      <c r="AD1496" s="164"/>
      <c r="AE1496" s="164"/>
      <c r="AF1496" s="25"/>
      <c r="AG1496" s="26"/>
      <c r="AH1496" s="275"/>
      <c r="AI1496" s="52"/>
      <c r="AJ1496" s="35"/>
      <c r="AK1496" s="289"/>
      <c r="AL1496" s="290"/>
      <c r="AM1496" s="211"/>
      <c r="AN1496" s="164"/>
      <c r="AO1496" s="594"/>
      <c r="AP1496" s="595"/>
      <c r="AQ1496" s="275"/>
      <c r="AR1496" s="52"/>
      <c r="AS1496" s="596"/>
      <c r="AT1496" s="79"/>
      <c r="AU1496" s="212"/>
      <c r="AV1496" s="164"/>
      <c r="AW1496" s="164"/>
      <c r="AX1496" s="76"/>
      <c r="AY1496" s="44"/>
      <c r="AZ1496" s="275"/>
      <c r="BA1496" s="52"/>
      <c r="BB1496" s="35"/>
      <c r="BC1496" s="79"/>
      <c r="BD1496" s="230"/>
      <c r="BE1496" s="211"/>
      <c r="BF1496" s="164"/>
      <c r="BG1496" s="76"/>
      <c r="BH1496" s="44"/>
      <c r="BI1496" s="275"/>
      <c r="BJ1496" s="52"/>
      <c r="BK1496" s="35"/>
      <c r="BL1496" s="79"/>
      <c r="BM1496" s="230"/>
      <c r="BN1496" s="211"/>
      <c r="BO1496" s="164"/>
      <c r="BP1496" s="726"/>
      <c r="BQ1496" s="727"/>
      <c r="BR1496" s="299"/>
      <c r="BS1496" s="35"/>
      <c r="BT1496" s="596"/>
      <c r="BU1496" s="79"/>
      <c r="BV1496" s="212"/>
      <c r="BW1496" s="304"/>
      <c r="BX1496" s="313"/>
      <c r="BY1496" s="138"/>
    </row>
    <row r="1497" spans="1:77" ht="15" customHeight="1" outlineLevel="1" x14ac:dyDescent="0.2">
      <c r="A1497" s="583" t="s">
        <v>24</v>
      </c>
      <c r="B1497" s="583"/>
      <c r="C1497" s="583" t="s">
        <v>1805</v>
      </c>
      <c r="D1497" s="546">
        <v>0.68500000000000005</v>
      </c>
      <c r="E1497" s="162" t="s">
        <v>631</v>
      </c>
      <c r="F1497" s="358"/>
      <c r="G1497" s="65"/>
      <c r="H1497" s="73"/>
      <c r="I1497" s="90"/>
      <c r="J1497" s="73"/>
      <c r="K1497" s="814">
        <v>9.9299999999999996E-4</v>
      </c>
      <c r="L1497" s="717"/>
      <c r="M1497" s="73"/>
      <c r="N1497" s="359"/>
      <c r="O1497" s="1041"/>
      <c r="P1497" s="73"/>
      <c r="Q1497" s="359"/>
      <c r="R1497" s="1041"/>
      <c r="S1497" s="73"/>
      <c r="T1497" s="359"/>
      <c r="U1497" s="73"/>
      <c r="V1497" s="66"/>
      <c r="W1497" s="740">
        <f t="shared" si="1165"/>
        <v>7.4475000000000005E-7</v>
      </c>
      <c r="X1497" s="741">
        <f t="shared" si="1166"/>
        <v>7.4475000000000005E-7</v>
      </c>
      <c r="Y1497" s="52">
        <v>2005</v>
      </c>
      <c r="Z1497" s="52"/>
      <c r="AA1497" s="739">
        <f>+K1497/1000</f>
        <v>9.9300000000000006E-7</v>
      </c>
      <c r="AB1497" s="256">
        <v>-0.25</v>
      </c>
      <c r="AC1497" s="688">
        <f t="shared" si="1168"/>
        <v>-0.25</v>
      </c>
      <c r="AD1497" s="164"/>
      <c r="AE1497" s="164"/>
      <c r="AF1497" s="25"/>
      <c r="AG1497" s="26"/>
      <c r="AH1497" s="275"/>
      <c r="AI1497" s="52"/>
      <c r="AJ1497" s="35"/>
      <c r="AK1497" s="289"/>
      <c r="AL1497" s="290"/>
      <c r="AM1497" s="211"/>
      <c r="AN1497" s="164"/>
      <c r="AO1497" s="594"/>
      <c r="AP1497" s="595"/>
      <c r="AQ1497" s="275"/>
      <c r="AR1497" s="52"/>
      <c r="AS1497" s="596"/>
      <c r="AT1497" s="79"/>
      <c r="AU1497" s="212"/>
      <c r="AV1497" s="164"/>
      <c r="AW1497" s="164"/>
      <c r="AX1497" s="76"/>
      <c r="AY1497" s="44"/>
      <c r="AZ1497" s="275"/>
      <c r="BA1497" s="52"/>
      <c r="BB1497" s="35"/>
      <c r="BC1497" s="79"/>
      <c r="BD1497" s="230"/>
      <c r="BE1497" s="211"/>
      <c r="BF1497" s="164"/>
      <c r="BG1497" s="76"/>
      <c r="BH1497" s="44"/>
      <c r="BI1497" s="275"/>
      <c r="BJ1497" s="52"/>
      <c r="BK1497" s="35"/>
      <c r="BL1497" s="79"/>
      <c r="BM1497" s="230"/>
      <c r="BN1497" s="211"/>
      <c r="BO1497" s="164"/>
      <c r="BP1497" s="726"/>
      <c r="BQ1497" s="727"/>
      <c r="BR1497" s="299"/>
      <c r="BS1497" s="35"/>
      <c r="BT1497" s="596"/>
      <c r="BU1497" s="79"/>
      <c r="BV1497" s="212"/>
      <c r="BW1497" s="304"/>
      <c r="BX1497" s="313"/>
      <c r="BY1497" s="138"/>
    </row>
    <row r="1498" spans="1:77" ht="15" customHeight="1" outlineLevel="1" x14ac:dyDescent="0.2">
      <c r="A1498" s="583" t="s">
        <v>24</v>
      </c>
      <c r="B1498" s="583"/>
      <c r="C1498" s="583" t="s">
        <v>2403</v>
      </c>
      <c r="D1498" s="546">
        <v>14.117000000000001</v>
      </c>
      <c r="E1498" s="162" t="s">
        <v>631</v>
      </c>
      <c r="F1498" s="358"/>
      <c r="G1498" s="65"/>
      <c r="H1498" s="73"/>
      <c r="I1498" s="90"/>
      <c r="J1498" s="73"/>
      <c r="K1498" s="814"/>
      <c r="L1498" s="717"/>
      <c r="M1498" s="73"/>
      <c r="N1498" s="738">
        <v>2.4008000000000002E-2</v>
      </c>
      <c r="O1498" s="1041"/>
      <c r="P1498" s="73"/>
      <c r="Q1498" s="359"/>
      <c r="R1498" s="1041"/>
      <c r="S1498" s="73"/>
      <c r="T1498" s="359"/>
      <c r="U1498" s="73"/>
      <c r="V1498" s="66"/>
      <c r="W1498" s="788">
        <f t="shared" ref="W1498" si="1323">AA1498*(1+AB1498)</f>
        <v>1.752584E-5</v>
      </c>
      <c r="X1498" s="789">
        <f t="shared" ref="X1498" si="1324">AA1498*(1+AC1498)</f>
        <v>1.752584E-5</v>
      </c>
      <c r="Y1498" s="52">
        <v>2005</v>
      </c>
      <c r="Z1498" s="52"/>
      <c r="AA1498" s="787">
        <f>+N1498/1000</f>
        <v>2.4008000000000001E-5</v>
      </c>
      <c r="AB1498" s="256">
        <v>-0.27</v>
      </c>
      <c r="AC1498" s="688">
        <f t="shared" ref="AC1498" si="1325">AB1498</f>
        <v>-0.27</v>
      </c>
      <c r="AD1498" s="164"/>
      <c r="AE1498" s="164"/>
      <c r="AF1498" s="25"/>
      <c r="AG1498" s="26"/>
      <c r="AH1498" s="275"/>
      <c r="AI1498" s="52"/>
      <c r="AJ1498" s="35"/>
      <c r="AK1498" s="289"/>
      <c r="AL1498" s="290"/>
      <c r="AM1498" s="211"/>
      <c r="AN1498" s="164"/>
      <c r="AO1498" s="594"/>
      <c r="AP1498" s="595"/>
      <c r="AQ1498" s="275"/>
      <c r="AR1498" s="52"/>
      <c r="AS1498" s="596"/>
      <c r="AT1498" s="79"/>
      <c r="AU1498" s="212"/>
      <c r="AV1498" s="164"/>
      <c r="AW1498" s="164"/>
      <c r="AX1498" s="76"/>
      <c r="AY1498" s="44"/>
      <c r="AZ1498" s="275"/>
      <c r="BA1498" s="52"/>
      <c r="BB1498" s="35"/>
      <c r="BC1498" s="79"/>
      <c r="BD1498" s="230"/>
      <c r="BE1498" s="211"/>
      <c r="BF1498" s="164"/>
      <c r="BG1498" s="76"/>
      <c r="BH1498" s="44"/>
      <c r="BI1498" s="275"/>
      <c r="BJ1498" s="52"/>
      <c r="BK1498" s="35"/>
      <c r="BL1498" s="79"/>
      <c r="BM1498" s="230"/>
      <c r="BN1498" s="211"/>
      <c r="BO1498" s="164"/>
      <c r="BP1498" s="726"/>
      <c r="BQ1498" s="727"/>
      <c r="BR1498" s="299"/>
      <c r="BS1498" s="35"/>
      <c r="BT1498" s="596"/>
      <c r="BU1498" s="79"/>
      <c r="BV1498" s="212"/>
      <c r="BW1498" s="304"/>
      <c r="BX1498" s="313"/>
      <c r="BY1498" s="138"/>
    </row>
    <row r="1499" spans="1:77" ht="15" customHeight="1" outlineLevel="1" x14ac:dyDescent="0.2">
      <c r="A1499" s="583" t="s">
        <v>24</v>
      </c>
      <c r="B1499" s="583"/>
      <c r="C1499" s="583" t="s">
        <v>1817</v>
      </c>
      <c r="D1499" s="546">
        <v>1.736</v>
      </c>
      <c r="E1499" s="162" t="s">
        <v>631</v>
      </c>
      <c r="F1499" s="358"/>
      <c r="G1499" s="65"/>
      <c r="H1499" s="73"/>
      <c r="I1499" s="90">
        <v>2007</v>
      </c>
      <c r="J1499" s="73"/>
      <c r="K1499" s="814">
        <v>7.1260000000000004E-3</v>
      </c>
      <c r="L1499" s="717"/>
      <c r="M1499" s="73"/>
      <c r="N1499" s="359"/>
      <c r="O1499" s="1041"/>
      <c r="P1499" s="73"/>
      <c r="Q1499" s="359"/>
      <c r="R1499" s="1041"/>
      <c r="S1499" s="73"/>
      <c r="T1499" s="359"/>
      <c r="U1499" s="73"/>
      <c r="V1499" s="66"/>
      <c r="W1499" s="740">
        <f t="shared" si="1165"/>
        <v>5.27324E-6</v>
      </c>
      <c r="X1499" s="741">
        <f t="shared" si="1166"/>
        <v>5.27324E-6</v>
      </c>
      <c r="Y1499" s="52">
        <v>2007</v>
      </c>
      <c r="Z1499" s="52"/>
      <c r="AA1499" s="739">
        <f>+K1499/1000</f>
        <v>7.126E-6</v>
      </c>
      <c r="AB1499" s="256">
        <v>-0.26</v>
      </c>
      <c r="AC1499" s="688">
        <f t="shared" si="1168"/>
        <v>-0.26</v>
      </c>
      <c r="AD1499" s="164"/>
      <c r="AE1499" s="164"/>
      <c r="AF1499" s="25"/>
      <c r="AG1499" s="26"/>
      <c r="AH1499" s="275"/>
      <c r="AI1499" s="52"/>
      <c r="AJ1499" s="35"/>
      <c r="AK1499" s="289"/>
      <c r="AL1499" s="290"/>
      <c r="AM1499" s="211"/>
      <c r="AN1499" s="164"/>
      <c r="AO1499" s="594"/>
      <c r="AP1499" s="595"/>
      <c r="AQ1499" s="275"/>
      <c r="AR1499" s="52"/>
      <c r="AS1499" s="596"/>
      <c r="AT1499" s="79"/>
      <c r="AU1499" s="212"/>
      <c r="AV1499" s="164"/>
      <c r="AW1499" s="164"/>
      <c r="AX1499" s="76"/>
      <c r="AY1499" s="44"/>
      <c r="AZ1499" s="275"/>
      <c r="BA1499" s="52"/>
      <c r="BB1499" s="35"/>
      <c r="BC1499" s="79"/>
      <c r="BD1499" s="230"/>
      <c r="BE1499" s="211"/>
      <c r="BF1499" s="164"/>
      <c r="BG1499" s="76"/>
      <c r="BH1499" s="44"/>
      <c r="BI1499" s="275"/>
      <c r="BJ1499" s="52"/>
      <c r="BK1499" s="35"/>
      <c r="BL1499" s="79"/>
      <c r="BM1499" s="230"/>
      <c r="BN1499" s="211"/>
      <c r="BO1499" s="164"/>
      <c r="BP1499" s="726"/>
      <c r="BQ1499" s="727"/>
      <c r="BR1499" s="299"/>
      <c r="BS1499" s="35"/>
      <c r="BT1499" s="596"/>
      <c r="BU1499" s="79"/>
      <c r="BV1499" s="212"/>
      <c r="BW1499" s="304"/>
      <c r="BX1499" s="313"/>
      <c r="BY1499" s="138"/>
    </row>
    <row r="1500" spans="1:77" ht="15" customHeight="1" outlineLevel="1" x14ac:dyDescent="0.2">
      <c r="A1500" s="583" t="s">
        <v>24</v>
      </c>
      <c r="B1500" s="583"/>
      <c r="C1500" s="583" t="s">
        <v>2674</v>
      </c>
      <c r="D1500" s="546">
        <v>6.8360000000000003</v>
      </c>
      <c r="E1500" s="162" t="s">
        <v>631</v>
      </c>
      <c r="F1500" s="358"/>
      <c r="G1500" s="65"/>
      <c r="H1500" s="73"/>
      <c r="I1500" s="90"/>
      <c r="J1500" s="73"/>
      <c r="K1500" s="814"/>
      <c r="L1500" s="717">
        <v>2008</v>
      </c>
      <c r="M1500" s="73"/>
      <c r="N1500" s="786">
        <v>3.6968000000000001E-2</v>
      </c>
      <c r="O1500" s="1041"/>
      <c r="P1500" s="73"/>
      <c r="Q1500" s="359"/>
      <c r="R1500" s="1041"/>
      <c r="S1500" s="73"/>
      <c r="T1500" s="359"/>
      <c r="U1500" s="73"/>
      <c r="V1500" s="66"/>
      <c r="W1500" s="740">
        <f t="shared" ref="W1500" si="1326">AA1500*(1+AB1500)</f>
        <v>2.439888E-5</v>
      </c>
      <c r="X1500" s="741">
        <f t="shared" ref="X1500" si="1327">AA1500*(1+AC1500)</f>
        <v>2.439888E-5</v>
      </c>
      <c r="Y1500" s="52">
        <v>2008</v>
      </c>
      <c r="Z1500" s="52"/>
      <c r="AA1500" s="739">
        <f>+N1500/1000</f>
        <v>3.6968000000000002E-5</v>
      </c>
      <c r="AB1500" s="256">
        <v>-0.34</v>
      </c>
      <c r="AC1500" s="688">
        <f t="shared" ref="AC1500" si="1328">AB1500</f>
        <v>-0.34</v>
      </c>
      <c r="AD1500" s="164"/>
      <c r="AE1500" s="164"/>
      <c r="AF1500" s="25"/>
      <c r="AG1500" s="26"/>
      <c r="AH1500" s="275"/>
      <c r="AI1500" s="52"/>
      <c r="AJ1500" s="35"/>
      <c r="AK1500" s="289"/>
      <c r="AL1500" s="290"/>
      <c r="AM1500" s="211"/>
      <c r="AN1500" s="164"/>
      <c r="AO1500" s="594"/>
      <c r="AP1500" s="595"/>
      <c r="AQ1500" s="275"/>
      <c r="AR1500" s="52"/>
      <c r="AS1500" s="596"/>
      <c r="AT1500" s="79"/>
      <c r="AU1500" s="212"/>
      <c r="AV1500" s="164"/>
      <c r="AW1500" s="164"/>
      <c r="AX1500" s="76"/>
      <c r="AY1500" s="44"/>
      <c r="AZ1500" s="275"/>
      <c r="BA1500" s="52"/>
      <c r="BB1500" s="35"/>
      <c r="BC1500" s="79"/>
      <c r="BD1500" s="230"/>
      <c r="BE1500" s="211"/>
      <c r="BF1500" s="164"/>
      <c r="BG1500" s="76"/>
      <c r="BH1500" s="44"/>
      <c r="BI1500" s="275"/>
      <c r="BJ1500" s="52"/>
      <c r="BK1500" s="35"/>
      <c r="BL1500" s="79"/>
      <c r="BM1500" s="230"/>
      <c r="BN1500" s="211"/>
      <c r="BO1500" s="164"/>
      <c r="BP1500" s="726"/>
      <c r="BQ1500" s="727"/>
      <c r="BR1500" s="299"/>
      <c r="BS1500" s="35"/>
      <c r="BT1500" s="596"/>
      <c r="BU1500" s="79"/>
      <c r="BV1500" s="212"/>
      <c r="BW1500" s="304"/>
      <c r="BX1500" s="313"/>
      <c r="BY1500" s="138"/>
    </row>
    <row r="1501" spans="1:77" ht="15" customHeight="1" outlineLevel="1" x14ac:dyDescent="0.2">
      <c r="A1501" s="583" t="s">
        <v>24</v>
      </c>
      <c r="B1501" s="583"/>
      <c r="C1501" s="583" t="s">
        <v>1995</v>
      </c>
      <c r="D1501" s="546">
        <v>0.95799999999999996</v>
      </c>
      <c r="E1501" s="162" t="s">
        <v>631</v>
      </c>
      <c r="F1501" s="358"/>
      <c r="G1501" s="65"/>
      <c r="H1501" s="73"/>
      <c r="I1501" s="90">
        <v>2007</v>
      </c>
      <c r="J1501" s="73"/>
      <c r="K1501" s="814">
        <v>7.9819999999999995E-3</v>
      </c>
      <c r="L1501" s="717"/>
      <c r="M1501" s="73"/>
      <c r="N1501" s="359"/>
      <c r="O1501" s="1041"/>
      <c r="P1501" s="73"/>
      <c r="Q1501" s="359"/>
      <c r="R1501" s="1041"/>
      <c r="S1501" s="73"/>
      <c r="T1501" s="359"/>
      <c r="U1501" s="73"/>
      <c r="V1501" s="66"/>
      <c r="W1501" s="740">
        <f t="shared" si="1165"/>
        <v>5.7470399999999988E-6</v>
      </c>
      <c r="X1501" s="741">
        <f t="shared" si="1166"/>
        <v>5.7470399999999988E-6</v>
      </c>
      <c r="Y1501" s="52">
        <v>2007</v>
      </c>
      <c r="Z1501" s="52"/>
      <c r="AA1501" s="739">
        <f>+K1501/1000</f>
        <v>7.9819999999999991E-6</v>
      </c>
      <c r="AB1501" s="256">
        <v>-0.28000000000000003</v>
      </c>
      <c r="AC1501" s="688">
        <f t="shared" si="1168"/>
        <v>-0.28000000000000003</v>
      </c>
      <c r="AD1501" s="164"/>
      <c r="AE1501" s="164"/>
      <c r="AF1501" s="25"/>
      <c r="AG1501" s="26"/>
      <c r="AH1501" s="275"/>
      <c r="AI1501" s="52"/>
      <c r="AJ1501" s="35"/>
      <c r="AK1501" s="289"/>
      <c r="AL1501" s="290"/>
      <c r="AM1501" s="211"/>
      <c r="AN1501" s="164"/>
      <c r="AO1501" s="594"/>
      <c r="AP1501" s="595"/>
      <c r="AQ1501" s="275"/>
      <c r="AR1501" s="52"/>
      <c r="AS1501" s="596"/>
      <c r="AT1501" s="79"/>
      <c r="AU1501" s="212"/>
      <c r="AV1501" s="164"/>
      <c r="AW1501" s="164"/>
      <c r="AX1501" s="76"/>
      <c r="AY1501" s="44"/>
      <c r="AZ1501" s="275"/>
      <c r="BA1501" s="52"/>
      <c r="BB1501" s="35"/>
      <c r="BC1501" s="79"/>
      <c r="BD1501" s="230"/>
      <c r="BE1501" s="211"/>
      <c r="BF1501" s="164"/>
      <c r="BG1501" s="76"/>
      <c r="BH1501" s="44"/>
      <c r="BI1501" s="275"/>
      <c r="BJ1501" s="52"/>
      <c r="BK1501" s="35"/>
      <c r="BL1501" s="79"/>
      <c r="BM1501" s="230"/>
      <c r="BN1501" s="211"/>
      <c r="BO1501" s="164"/>
      <c r="BP1501" s="726"/>
      <c r="BQ1501" s="727"/>
      <c r="BR1501" s="299"/>
      <c r="BS1501" s="35"/>
      <c r="BT1501" s="596"/>
      <c r="BU1501" s="79"/>
      <c r="BV1501" s="212"/>
      <c r="BW1501" s="304"/>
      <c r="BX1501" s="313"/>
      <c r="BY1501" s="138"/>
    </row>
    <row r="1502" spans="1:77" ht="15" customHeight="1" outlineLevel="1" x14ac:dyDescent="0.2">
      <c r="A1502" s="583" t="s">
        <v>24</v>
      </c>
      <c r="B1502" s="583"/>
      <c r="C1502" s="583" t="s">
        <v>1710</v>
      </c>
      <c r="D1502" s="546">
        <v>0.73499999999999999</v>
      </c>
      <c r="E1502" s="162" t="s">
        <v>631</v>
      </c>
      <c r="F1502" s="358"/>
      <c r="G1502" s="65"/>
      <c r="H1502" s="73"/>
      <c r="I1502" s="90"/>
      <c r="J1502" s="73"/>
      <c r="K1502" s="813"/>
      <c r="L1502" s="717">
        <v>2009</v>
      </c>
      <c r="M1502" s="73"/>
      <c r="N1502" s="786">
        <v>1.8289999999999999E-3</v>
      </c>
      <c r="O1502" s="1041"/>
      <c r="P1502" s="73"/>
      <c r="Q1502" s="786"/>
      <c r="R1502" s="1041"/>
      <c r="S1502" s="73"/>
      <c r="T1502" s="786"/>
      <c r="U1502" s="73"/>
      <c r="V1502" s="66"/>
      <c r="W1502" s="808">
        <f t="shared" ref="W1502" si="1329">AA1502*(1+AB1502)</f>
        <v>1.37175E-6</v>
      </c>
      <c r="X1502" s="809">
        <f t="shared" ref="X1502" si="1330">AA1502*(1+AC1502)</f>
        <v>1.37175E-6</v>
      </c>
      <c r="Y1502" s="52">
        <v>2009</v>
      </c>
      <c r="Z1502" s="52"/>
      <c r="AA1502" s="807">
        <f>+N1502/1000</f>
        <v>1.829E-6</v>
      </c>
      <c r="AB1502" s="256">
        <v>-0.25</v>
      </c>
      <c r="AC1502" s="688">
        <f t="shared" si="1168"/>
        <v>-0.25</v>
      </c>
      <c r="AD1502" s="164"/>
      <c r="AE1502" s="164"/>
      <c r="AF1502" s="25"/>
      <c r="AG1502" s="26"/>
      <c r="AH1502" s="275"/>
      <c r="AI1502" s="52"/>
      <c r="AJ1502" s="35"/>
      <c r="AK1502" s="289"/>
      <c r="AL1502" s="290"/>
      <c r="AM1502" s="211"/>
      <c r="AN1502" s="164"/>
      <c r="AO1502" s="594"/>
      <c r="AP1502" s="595"/>
      <c r="AQ1502" s="275"/>
      <c r="AR1502" s="52"/>
      <c r="AS1502" s="596"/>
      <c r="AT1502" s="79"/>
      <c r="AU1502" s="212"/>
      <c r="AV1502" s="164"/>
      <c r="AW1502" s="164"/>
      <c r="AX1502" s="76"/>
      <c r="AY1502" s="44"/>
      <c r="AZ1502" s="275"/>
      <c r="BA1502" s="52"/>
      <c r="BB1502" s="35"/>
      <c r="BC1502" s="79"/>
      <c r="BD1502" s="230"/>
      <c r="BE1502" s="211"/>
      <c r="BF1502" s="164"/>
      <c r="BG1502" s="76"/>
      <c r="BH1502" s="44"/>
      <c r="BI1502" s="275"/>
      <c r="BJ1502" s="52"/>
      <c r="BK1502" s="35"/>
      <c r="BL1502" s="79"/>
      <c r="BM1502" s="230"/>
      <c r="BN1502" s="211"/>
      <c r="BO1502" s="164"/>
      <c r="BP1502" s="726"/>
      <c r="BQ1502" s="727"/>
      <c r="BR1502" s="299"/>
      <c r="BS1502" s="35"/>
      <c r="BT1502" s="596"/>
      <c r="BU1502" s="79"/>
      <c r="BV1502" s="212"/>
      <c r="BW1502" s="304"/>
      <c r="BX1502" s="313"/>
      <c r="BY1502" s="138"/>
    </row>
    <row r="1503" spans="1:77" ht="15" customHeight="1" outlineLevel="1" x14ac:dyDescent="0.2">
      <c r="A1503" s="57" t="s">
        <v>24</v>
      </c>
      <c r="B1503" s="583"/>
      <c r="C1503" s="583" t="s">
        <v>1565</v>
      </c>
      <c r="D1503" s="546">
        <v>22.321999999999999</v>
      </c>
      <c r="E1503" s="162" t="s">
        <v>631</v>
      </c>
      <c r="F1503" s="358"/>
      <c r="G1503" s="65"/>
      <c r="H1503" s="73"/>
      <c r="I1503" s="90"/>
      <c r="J1503" s="73"/>
      <c r="K1503" s="734"/>
      <c r="L1503" s="717"/>
      <c r="M1503" s="73"/>
      <c r="N1503" s="359">
        <v>6.2288999999999997E-2</v>
      </c>
      <c r="O1503" s="1041"/>
      <c r="P1503" s="73"/>
      <c r="Q1503" s="359"/>
      <c r="R1503" s="1041"/>
      <c r="S1503" s="73"/>
      <c r="T1503" s="359"/>
      <c r="U1503" s="73"/>
      <c r="V1503" s="66"/>
      <c r="W1503" s="740">
        <f t="shared" ref="W1503:W1570" si="1331">AA1503*(1+AB1503)</f>
        <v>4.3602299999999994E-5</v>
      </c>
      <c r="X1503" s="741">
        <f t="shared" ref="X1503:X1570" si="1332">AA1503*(1+AC1503)</f>
        <v>4.3602299999999994E-5</v>
      </c>
      <c r="Y1503" s="52">
        <v>2010</v>
      </c>
      <c r="Z1503" s="52"/>
      <c r="AA1503" s="739">
        <f>+N1503/1000</f>
        <v>6.2288999999999999E-5</v>
      </c>
      <c r="AB1503" s="256">
        <v>-0.3</v>
      </c>
      <c r="AC1503" s="688">
        <f t="shared" ref="AC1503:AC1575" si="1333">AB1503</f>
        <v>-0.3</v>
      </c>
      <c r="AD1503" s="164"/>
      <c r="AE1503" s="164"/>
      <c r="AF1503" s="25"/>
      <c r="AG1503" s="26"/>
      <c r="AH1503" s="275"/>
      <c r="AI1503" s="52"/>
      <c r="AJ1503" s="35"/>
      <c r="AK1503" s="289"/>
      <c r="AL1503" s="290"/>
      <c r="AM1503" s="211"/>
      <c r="AN1503" s="164"/>
      <c r="AO1503" s="594"/>
      <c r="AP1503" s="595"/>
      <c r="AQ1503" s="275"/>
      <c r="AR1503" s="52"/>
      <c r="AS1503" s="596"/>
      <c r="AT1503" s="79"/>
      <c r="AU1503" s="212"/>
      <c r="AV1503" s="164"/>
      <c r="AW1503" s="164"/>
      <c r="AX1503" s="76"/>
      <c r="AY1503" s="44"/>
      <c r="AZ1503" s="275"/>
      <c r="BA1503" s="52"/>
      <c r="BB1503" s="35"/>
      <c r="BC1503" s="79"/>
      <c r="BD1503" s="230"/>
      <c r="BE1503" s="211"/>
      <c r="BF1503" s="164"/>
      <c r="BG1503" s="76"/>
      <c r="BH1503" s="44"/>
      <c r="BI1503" s="275"/>
      <c r="BJ1503" s="52"/>
      <c r="BK1503" s="35"/>
      <c r="BL1503" s="79"/>
      <c r="BM1503" s="230"/>
      <c r="BN1503" s="211"/>
      <c r="BO1503" s="164"/>
      <c r="BP1503" s="726"/>
      <c r="BQ1503" s="727"/>
      <c r="BR1503" s="299"/>
      <c r="BS1503" s="35"/>
      <c r="BT1503" s="596"/>
      <c r="BU1503" s="79"/>
      <c r="BV1503" s="212"/>
      <c r="BW1503" s="304"/>
      <c r="BX1503" s="313"/>
      <c r="BY1503" s="138"/>
    </row>
    <row r="1504" spans="1:77" ht="15" customHeight="1" outlineLevel="1" x14ac:dyDescent="0.2">
      <c r="A1504" s="583" t="s">
        <v>24</v>
      </c>
      <c r="B1504" s="583"/>
      <c r="C1504" s="583" t="s">
        <v>1782</v>
      </c>
      <c r="D1504" s="546">
        <v>0.76900000000000002</v>
      </c>
      <c r="E1504" s="162" t="s">
        <v>631</v>
      </c>
      <c r="F1504" s="358"/>
      <c r="G1504" s="65"/>
      <c r="H1504" s="73"/>
      <c r="I1504" s="90"/>
      <c r="J1504" s="73"/>
      <c r="K1504" s="734"/>
      <c r="L1504" s="717">
        <v>2008</v>
      </c>
      <c r="M1504" s="73"/>
      <c r="N1504" s="359">
        <v>9.8299999999999993E-4</v>
      </c>
      <c r="O1504" s="1041"/>
      <c r="P1504" s="73"/>
      <c r="Q1504" s="359"/>
      <c r="R1504" s="1041"/>
      <c r="S1504" s="73"/>
      <c r="T1504" s="359"/>
      <c r="U1504" s="73"/>
      <c r="V1504" s="66"/>
      <c r="W1504" s="808">
        <f t="shared" ref="W1504" si="1334">AA1504*(1+AB1504)</f>
        <v>7.3725000000000001E-7</v>
      </c>
      <c r="X1504" s="809">
        <f t="shared" ref="X1504" si="1335">AA1504*(1+AC1504)</f>
        <v>7.3725000000000001E-7</v>
      </c>
      <c r="Y1504" s="52">
        <v>2008</v>
      </c>
      <c r="Z1504" s="52"/>
      <c r="AA1504" s="807">
        <f>+N1504/1000</f>
        <v>9.8299999999999995E-7</v>
      </c>
      <c r="AB1504" s="256">
        <v>-0.25</v>
      </c>
      <c r="AC1504" s="688">
        <f t="shared" si="1333"/>
        <v>-0.25</v>
      </c>
      <c r="AD1504" s="164"/>
      <c r="AE1504" s="164"/>
      <c r="AF1504" s="25"/>
      <c r="AG1504" s="26"/>
      <c r="AH1504" s="275"/>
      <c r="AI1504" s="52"/>
      <c r="AJ1504" s="35"/>
      <c r="AK1504" s="289"/>
      <c r="AL1504" s="290"/>
      <c r="AM1504" s="211"/>
      <c r="AN1504" s="164"/>
      <c r="AO1504" s="594"/>
      <c r="AP1504" s="595"/>
      <c r="AQ1504" s="275"/>
      <c r="AR1504" s="52"/>
      <c r="AS1504" s="596"/>
      <c r="AT1504" s="79"/>
      <c r="AU1504" s="212"/>
      <c r="AV1504" s="164"/>
      <c r="AW1504" s="164"/>
      <c r="AX1504" s="76"/>
      <c r="AY1504" s="44"/>
      <c r="AZ1504" s="275"/>
      <c r="BA1504" s="52"/>
      <c r="BB1504" s="35"/>
      <c r="BC1504" s="79"/>
      <c r="BD1504" s="230"/>
      <c r="BE1504" s="211"/>
      <c r="BF1504" s="164"/>
      <c r="BG1504" s="76"/>
      <c r="BH1504" s="44"/>
      <c r="BI1504" s="275"/>
      <c r="BJ1504" s="52"/>
      <c r="BK1504" s="35"/>
      <c r="BL1504" s="79"/>
      <c r="BM1504" s="230"/>
      <c r="BN1504" s="211"/>
      <c r="BO1504" s="164"/>
      <c r="BP1504" s="726"/>
      <c r="BQ1504" s="727"/>
      <c r="BR1504" s="299"/>
      <c r="BS1504" s="35"/>
      <c r="BT1504" s="596"/>
      <c r="BU1504" s="79"/>
      <c r="BV1504" s="212"/>
      <c r="BW1504" s="304"/>
      <c r="BX1504" s="313"/>
      <c r="BY1504" s="138"/>
    </row>
    <row r="1505" spans="1:77" ht="15" customHeight="1" outlineLevel="1" x14ac:dyDescent="0.2">
      <c r="A1505" s="583" t="s">
        <v>24</v>
      </c>
      <c r="B1505" s="583"/>
      <c r="C1505" s="583" t="s">
        <v>1931</v>
      </c>
      <c r="D1505" s="546">
        <v>28.055</v>
      </c>
      <c r="E1505" s="162" t="s">
        <v>631</v>
      </c>
      <c r="F1505" s="358"/>
      <c r="G1505" s="65"/>
      <c r="H1505" s="73"/>
      <c r="I1505" s="90">
        <v>2000</v>
      </c>
      <c r="J1505" s="73"/>
      <c r="K1505" s="734">
        <v>0.26119799999999999</v>
      </c>
      <c r="L1505" s="717"/>
      <c r="M1505" s="73"/>
      <c r="N1505" s="359"/>
      <c r="O1505" s="1041"/>
      <c r="P1505" s="73"/>
      <c r="Q1505" s="359"/>
      <c r="R1505" s="1041"/>
      <c r="S1505" s="73"/>
      <c r="T1505" s="359"/>
      <c r="U1505" s="73"/>
      <c r="V1505" s="66"/>
      <c r="W1505" s="788">
        <f t="shared" ref="W1505" si="1336">AA1505*(1+AB1505)</f>
        <v>1.9067453999999998E-4</v>
      </c>
      <c r="X1505" s="789">
        <f t="shared" ref="X1505" si="1337">AA1505*(1+AC1505)</f>
        <v>1.9067453999999998E-4</v>
      </c>
      <c r="Y1505" s="52">
        <v>2000</v>
      </c>
      <c r="Z1505" s="52"/>
      <c r="AA1505" s="787">
        <f>+K1505/1000</f>
        <v>2.6119799999999997E-4</v>
      </c>
      <c r="AB1505" s="256">
        <v>-0.27</v>
      </c>
      <c r="AC1505" s="688">
        <f t="shared" si="1333"/>
        <v>-0.27</v>
      </c>
      <c r="AD1505" s="164"/>
      <c r="AE1505" s="164"/>
      <c r="AF1505" s="25"/>
      <c r="AG1505" s="26"/>
      <c r="AH1505" s="275"/>
      <c r="AI1505" s="52"/>
      <c r="AJ1505" s="35"/>
      <c r="AK1505" s="289"/>
      <c r="AL1505" s="290"/>
      <c r="AM1505" s="211"/>
      <c r="AN1505" s="164"/>
      <c r="AO1505" s="594"/>
      <c r="AP1505" s="595"/>
      <c r="AQ1505" s="275"/>
      <c r="AR1505" s="52"/>
      <c r="AS1505" s="596"/>
      <c r="AT1505" s="79"/>
      <c r="AU1505" s="212"/>
      <c r="AV1505" s="164"/>
      <c r="AW1505" s="164"/>
      <c r="AX1505" s="76"/>
      <c r="AY1505" s="44"/>
      <c r="AZ1505" s="275"/>
      <c r="BA1505" s="52"/>
      <c r="BB1505" s="35"/>
      <c r="BC1505" s="79"/>
      <c r="BD1505" s="230"/>
      <c r="BE1505" s="211"/>
      <c r="BF1505" s="164"/>
      <c r="BG1505" s="76"/>
      <c r="BH1505" s="44"/>
      <c r="BI1505" s="275"/>
      <c r="BJ1505" s="52"/>
      <c r="BK1505" s="35"/>
      <c r="BL1505" s="79"/>
      <c r="BM1505" s="230"/>
      <c r="BN1505" s="211"/>
      <c r="BO1505" s="164"/>
      <c r="BP1505" s="726"/>
      <c r="BQ1505" s="727"/>
      <c r="BR1505" s="299"/>
      <c r="BS1505" s="35"/>
      <c r="BT1505" s="596"/>
      <c r="BU1505" s="79"/>
      <c r="BV1505" s="212"/>
      <c r="BW1505" s="304"/>
      <c r="BX1505" s="313"/>
      <c r="BY1505" s="138"/>
    </row>
    <row r="1506" spans="1:77" ht="15" customHeight="1" outlineLevel="1" x14ac:dyDescent="0.2">
      <c r="A1506" s="57" t="s">
        <v>24</v>
      </c>
      <c r="B1506" s="583"/>
      <c r="C1506" s="583" t="s">
        <v>1300</v>
      </c>
      <c r="D1506" s="801">
        <v>0.38300000000000001</v>
      </c>
      <c r="E1506" s="162" t="s">
        <v>631</v>
      </c>
      <c r="F1506" s="358"/>
      <c r="G1506" s="65"/>
      <c r="H1506" s="73"/>
      <c r="I1506" s="90"/>
      <c r="J1506" s="73"/>
      <c r="K1506" s="790">
        <v>4.9800000000000001E-3</v>
      </c>
      <c r="L1506" s="717"/>
      <c r="M1506" s="73"/>
      <c r="N1506" s="359"/>
      <c r="O1506" s="1041"/>
      <c r="P1506" s="73"/>
      <c r="Q1506" s="359"/>
      <c r="R1506" s="1041"/>
      <c r="S1506" s="73"/>
      <c r="T1506" s="359"/>
      <c r="U1506" s="73"/>
      <c r="V1506" s="66"/>
      <c r="W1506" s="788">
        <f t="shared" si="1331"/>
        <v>5.4779999999999986E-7</v>
      </c>
      <c r="X1506" s="789">
        <f t="shared" si="1332"/>
        <v>5.4779999999999986E-7</v>
      </c>
      <c r="Y1506" s="52">
        <v>2005</v>
      </c>
      <c r="Z1506" s="52"/>
      <c r="AA1506" s="787">
        <f t="shared" ref="AA1506:AA1512" si="1338">+K1506/1000</f>
        <v>4.9799999999999998E-6</v>
      </c>
      <c r="AB1506" s="256">
        <v>-0.89</v>
      </c>
      <c r="AC1506" s="688">
        <f t="shared" si="1333"/>
        <v>-0.89</v>
      </c>
      <c r="AD1506" s="164"/>
      <c r="AE1506" s="164"/>
      <c r="AF1506" s="25"/>
      <c r="AG1506" s="26"/>
      <c r="AH1506" s="275"/>
      <c r="AI1506" s="52"/>
      <c r="AJ1506" s="35"/>
      <c r="AK1506" s="289"/>
      <c r="AL1506" s="290"/>
      <c r="AM1506" s="211"/>
      <c r="AN1506" s="164"/>
      <c r="AO1506" s="594"/>
      <c r="AP1506" s="595"/>
      <c r="AQ1506" s="275"/>
      <c r="AR1506" s="52"/>
      <c r="AS1506" s="596"/>
      <c r="AT1506" s="79"/>
      <c r="AU1506" s="212"/>
      <c r="AV1506" s="164"/>
      <c r="AW1506" s="164"/>
      <c r="AX1506" s="76"/>
      <c r="AY1506" s="44"/>
      <c r="AZ1506" s="275"/>
      <c r="BA1506" s="52"/>
      <c r="BB1506" s="35"/>
      <c r="BC1506" s="79"/>
      <c r="BD1506" s="230"/>
      <c r="BE1506" s="211"/>
      <c r="BF1506" s="164"/>
      <c r="BG1506" s="76"/>
      <c r="BH1506" s="44"/>
      <c r="BI1506" s="275"/>
      <c r="BJ1506" s="52"/>
      <c r="BK1506" s="35"/>
      <c r="BL1506" s="79"/>
      <c r="BM1506" s="230"/>
      <c r="BN1506" s="211"/>
      <c r="BO1506" s="164"/>
      <c r="BP1506" s="726"/>
      <c r="BQ1506" s="727"/>
      <c r="BR1506" s="299"/>
      <c r="BS1506" s="35"/>
      <c r="BT1506" s="596"/>
      <c r="BU1506" s="79"/>
      <c r="BV1506" s="212"/>
      <c r="BW1506" s="304"/>
      <c r="BX1506" s="313"/>
      <c r="BY1506" s="138"/>
    </row>
    <row r="1507" spans="1:77" ht="15" customHeight="1" outlineLevel="1" x14ac:dyDescent="0.2">
      <c r="A1507" s="583" t="s">
        <v>24</v>
      </c>
      <c r="B1507" s="583"/>
      <c r="C1507" s="583" t="s">
        <v>1914</v>
      </c>
      <c r="D1507" s="801">
        <v>0.69799999999999995</v>
      </c>
      <c r="E1507" s="162" t="s">
        <v>631</v>
      </c>
      <c r="F1507" s="358"/>
      <c r="G1507" s="65"/>
      <c r="H1507" s="73"/>
      <c r="I1507" s="90"/>
      <c r="J1507" s="73"/>
      <c r="K1507" s="790">
        <v>4.6709999999999998E-3</v>
      </c>
      <c r="L1507" s="717"/>
      <c r="M1507" s="73"/>
      <c r="N1507" s="359"/>
      <c r="O1507" s="1041"/>
      <c r="P1507" s="73"/>
      <c r="Q1507" s="359"/>
      <c r="R1507" s="1041"/>
      <c r="S1507" s="73"/>
      <c r="T1507" s="359"/>
      <c r="U1507" s="73"/>
      <c r="V1507" s="66"/>
      <c r="W1507" s="788">
        <f t="shared" ref="W1507" si="1339">AA1507*(1+AB1507)</f>
        <v>3.4098299999999999E-6</v>
      </c>
      <c r="X1507" s="789">
        <f t="shared" ref="X1507" si="1340">AA1507*(1+AC1507)</f>
        <v>3.4098299999999999E-6</v>
      </c>
      <c r="Y1507" s="52">
        <v>2005</v>
      </c>
      <c r="Z1507" s="52"/>
      <c r="AA1507" s="787">
        <f t="shared" si="1338"/>
        <v>4.6709999999999998E-6</v>
      </c>
      <c r="AB1507" s="256">
        <v>-0.27</v>
      </c>
      <c r="AC1507" s="688">
        <f t="shared" si="1333"/>
        <v>-0.27</v>
      </c>
      <c r="AD1507" s="164"/>
      <c r="AE1507" s="164"/>
      <c r="AF1507" s="25"/>
      <c r="AG1507" s="26"/>
      <c r="AH1507" s="275"/>
      <c r="AI1507" s="52"/>
      <c r="AJ1507" s="35"/>
      <c r="AK1507" s="289"/>
      <c r="AL1507" s="290"/>
      <c r="AM1507" s="211"/>
      <c r="AN1507" s="164"/>
      <c r="AO1507" s="594"/>
      <c r="AP1507" s="595"/>
      <c r="AQ1507" s="275"/>
      <c r="AR1507" s="52"/>
      <c r="AS1507" s="596"/>
      <c r="AT1507" s="79"/>
      <c r="AU1507" s="212"/>
      <c r="AV1507" s="164"/>
      <c r="AW1507" s="164"/>
      <c r="AX1507" s="76"/>
      <c r="AY1507" s="44"/>
      <c r="AZ1507" s="275"/>
      <c r="BA1507" s="52"/>
      <c r="BB1507" s="35"/>
      <c r="BC1507" s="79"/>
      <c r="BD1507" s="230"/>
      <c r="BE1507" s="211"/>
      <c r="BF1507" s="164"/>
      <c r="BG1507" s="76"/>
      <c r="BH1507" s="44"/>
      <c r="BI1507" s="275"/>
      <c r="BJ1507" s="52"/>
      <c r="BK1507" s="35"/>
      <c r="BL1507" s="79"/>
      <c r="BM1507" s="230"/>
      <c r="BN1507" s="211"/>
      <c r="BO1507" s="164"/>
      <c r="BP1507" s="726"/>
      <c r="BQ1507" s="727"/>
      <c r="BR1507" s="299"/>
      <c r="BS1507" s="35"/>
      <c r="BT1507" s="596"/>
      <c r="BU1507" s="79"/>
      <c r="BV1507" s="212"/>
      <c r="BW1507" s="304"/>
      <c r="BX1507" s="313"/>
      <c r="BY1507" s="138"/>
    </row>
    <row r="1508" spans="1:77" ht="15" customHeight="1" outlineLevel="1" x14ac:dyDescent="0.2">
      <c r="A1508" s="583" t="s">
        <v>24</v>
      </c>
      <c r="B1508" s="583"/>
      <c r="C1508" s="583" t="s">
        <v>2021</v>
      </c>
      <c r="D1508" s="801">
        <v>0.53200000000000003</v>
      </c>
      <c r="E1508" s="162" t="s">
        <v>631</v>
      </c>
      <c r="F1508" s="358"/>
      <c r="G1508" s="65"/>
      <c r="H1508" s="73"/>
      <c r="I1508" s="90"/>
      <c r="J1508" s="73"/>
      <c r="K1508" s="790"/>
      <c r="L1508" s="717">
        <v>2008</v>
      </c>
      <c r="M1508" s="73"/>
      <c r="N1508" s="786">
        <v>1.031E-3</v>
      </c>
      <c r="O1508" s="1041"/>
      <c r="P1508" s="73"/>
      <c r="Q1508" s="359"/>
      <c r="R1508" s="1041"/>
      <c r="S1508" s="73"/>
      <c r="T1508" s="359"/>
      <c r="U1508" s="73"/>
      <c r="V1508" s="66"/>
      <c r="W1508" s="788">
        <f t="shared" ref="W1508" si="1341">AA1508*(1+AB1508)</f>
        <v>7.4231999999999999E-7</v>
      </c>
      <c r="X1508" s="789">
        <f t="shared" ref="X1508" si="1342">AA1508*(1+AC1508)</f>
        <v>7.4231999999999999E-7</v>
      </c>
      <c r="Y1508" s="52">
        <v>2008</v>
      </c>
      <c r="Z1508" s="52"/>
      <c r="AA1508" s="787">
        <f>+N1508/1000</f>
        <v>1.031E-6</v>
      </c>
      <c r="AB1508" s="256">
        <v>-0.28000000000000003</v>
      </c>
      <c r="AC1508" s="688">
        <f t="shared" si="1333"/>
        <v>-0.28000000000000003</v>
      </c>
      <c r="AD1508" s="164"/>
      <c r="AE1508" s="164"/>
      <c r="AF1508" s="25"/>
      <c r="AG1508" s="26"/>
      <c r="AH1508" s="275"/>
      <c r="AI1508" s="52"/>
      <c r="AJ1508" s="35"/>
      <c r="AK1508" s="289"/>
      <c r="AL1508" s="290"/>
      <c r="AM1508" s="211"/>
      <c r="AN1508" s="164"/>
      <c r="AO1508" s="594"/>
      <c r="AP1508" s="595"/>
      <c r="AQ1508" s="275"/>
      <c r="AR1508" s="52"/>
      <c r="AS1508" s="596"/>
      <c r="AT1508" s="79"/>
      <c r="AU1508" s="212"/>
      <c r="AV1508" s="164"/>
      <c r="AW1508" s="164"/>
      <c r="AX1508" s="76"/>
      <c r="AY1508" s="44"/>
      <c r="AZ1508" s="275"/>
      <c r="BA1508" s="52"/>
      <c r="BB1508" s="35"/>
      <c r="BC1508" s="79"/>
      <c r="BD1508" s="230"/>
      <c r="BE1508" s="211"/>
      <c r="BF1508" s="164"/>
      <c r="BG1508" s="76"/>
      <c r="BH1508" s="44"/>
      <c r="BI1508" s="275"/>
      <c r="BJ1508" s="52"/>
      <c r="BK1508" s="35"/>
      <c r="BL1508" s="79"/>
      <c r="BM1508" s="230"/>
      <c r="BN1508" s="211"/>
      <c r="BO1508" s="164"/>
      <c r="BP1508" s="726"/>
      <c r="BQ1508" s="727"/>
      <c r="BR1508" s="299"/>
      <c r="BS1508" s="35"/>
      <c r="BT1508" s="596"/>
      <c r="BU1508" s="79"/>
      <c r="BV1508" s="212"/>
      <c r="BW1508" s="304"/>
      <c r="BX1508" s="313"/>
      <c r="BY1508" s="138"/>
    </row>
    <row r="1509" spans="1:77" ht="15" customHeight="1" outlineLevel="1" x14ac:dyDescent="0.2">
      <c r="A1509" s="57" t="s">
        <v>24</v>
      </c>
      <c r="B1509" s="583"/>
      <c r="C1509" s="583" t="s">
        <v>1436</v>
      </c>
      <c r="D1509" s="546">
        <v>0.69699999999999995</v>
      </c>
      <c r="E1509" s="162" t="s">
        <v>631</v>
      </c>
      <c r="F1509" s="358"/>
      <c r="G1509" s="65"/>
      <c r="H1509" s="73"/>
      <c r="I1509" s="90"/>
      <c r="J1509" s="73"/>
      <c r="K1509" s="790">
        <v>2.6159999999999998E-3</v>
      </c>
      <c r="L1509" s="717"/>
      <c r="M1509" s="73"/>
      <c r="N1509" s="359"/>
      <c r="O1509" s="1041"/>
      <c r="P1509" s="73"/>
      <c r="Q1509" s="359"/>
      <c r="R1509" s="1041"/>
      <c r="S1509" s="73"/>
      <c r="T1509" s="359"/>
      <c r="U1509" s="73"/>
      <c r="V1509" s="66"/>
      <c r="W1509" s="740">
        <f t="shared" si="1331"/>
        <v>1.5172800000000002E-6</v>
      </c>
      <c r="X1509" s="741">
        <f t="shared" si="1332"/>
        <v>1.5172800000000002E-6</v>
      </c>
      <c r="Y1509" s="52">
        <v>2005</v>
      </c>
      <c r="Z1509" s="52"/>
      <c r="AA1509" s="787">
        <f t="shared" si="1338"/>
        <v>2.616E-6</v>
      </c>
      <c r="AB1509" s="256">
        <v>-0.42</v>
      </c>
      <c r="AC1509" s="688">
        <f t="shared" si="1333"/>
        <v>-0.42</v>
      </c>
      <c r="AD1509" s="164"/>
      <c r="AE1509" s="164"/>
      <c r="AF1509" s="25"/>
      <c r="AG1509" s="26"/>
      <c r="AH1509" s="275"/>
      <c r="AI1509" s="52"/>
      <c r="AJ1509" s="35"/>
      <c r="AK1509" s="289"/>
      <c r="AL1509" s="290"/>
      <c r="AM1509" s="211"/>
      <c r="AN1509" s="164"/>
      <c r="AO1509" s="594"/>
      <c r="AP1509" s="595"/>
      <c r="AQ1509" s="275"/>
      <c r="AR1509" s="52"/>
      <c r="AS1509" s="596"/>
      <c r="AT1509" s="79"/>
      <c r="AU1509" s="212"/>
      <c r="AV1509" s="164"/>
      <c r="AW1509" s="164"/>
      <c r="AX1509" s="76"/>
      <c r="AY1509" s="44"/>
      <c r="AZ1509" s="275"/>
      <c r="BA1509" s="52"/>
      <c r="BB1509" s="35"/>
      <c r="BC1509" s="79"/>
      <c r="BD1509" s="230"/>
      <c r="BE1509" s="211"/>
      <c r="BF1509" s="164"/>
      <c r="BG1509" s="76"/>
      <c r="BH1509" s="44"/>
      <c r="BI1509" s="275"/>
      <c r="BJ1509" s="52"/>
      <c r="BK1509" s="35"/>
      <c r="BL1509" s="79"/>
      <c r="BM1509" s="230"/>
      <c r="BN1509" s="211"/>
      <c r="BO1509" s="164"/>
      <c r="BP1509" s="726"/>
      <c r="BQ1509" s="727"/>
      <c r="BR1509" s="299"/>
      <c r="BS1509" s="35"/>
      <c r="BT1509" s="596"/>
      <c r="BU1509" s="79"/>
      <c r="BV1509" s="212"/>
      <c r="BW1509" s="304"/>
      <c r="BX1509" s="313"/>
      <c r="BY1509" s="138"/>
    </row>
    <row r="1510" spans="1:77" ht="15" customHeight="1" outlineLevel="1" x14ac:dyDescent="0.2">
      <c r="A1510" s="583" t="s">
        <v>24</v>
      </c>
      <c r="B1510" s="583"/>
      <c r="C1510" s="583" t="s">
        <v>1763</v>
      </c>
      <c r="D1510" s="546">
        <v>1.403</v>
      </c>
      <c r="E1510" s="162" t="s">
        <v>631</v>
      </c>
      <c r="F1510" s="358"/>
      <c r="G1510" s="65"/>
      <c r="H1510" s="73"/>
      <c r="I1510" s="90"/>
      <c r="J1510" s="73"/>
      <c r="K1510" s="790">
        <v>4.084E-3</v>
      </c>
      <c r="L1510" s="717"/>
      <c r="M1510" s="73"/>
      <c r="N1510" s="359"/>
      <c r="O1510" s="1041"/>
      <c r="P1510" s="73"/>
      <c r="Q1510" s="359"/>
      <c r="R1510" s="1041"/>
      <c r="S1510" s="73"/>
      <c r="T1510" s="359"/>
      <c r="U1510" s="73"/>
      <c r="V1510" s="66"/>
      <c r="W1510" s="740">
        <f t="shared" ref="W1510" si="1343">AA1510*(1+AB1510)</f>
        <v>3.0630000000000002E-6</v>
      </c>
      <c r="X1510" s="741">
        <f t="shared" ref="X1510" si="1344">AA1510*(1+AC1510)</f>
        <v>3.0630000000000002E-6</v>
      </c>
      <c r="Y1510" s="52">
        <v>2005</v>
      </c>
      <c r="Z1510" s="52"/>
      <c r="AA1510" s="787">
        <f t="shared" si="1338"/>
        <v>4.0840000000000002E-6</v>
      </c>
      <c r="AB1510" s="256">
        <v>-0.25</v>
      </c>
      <c r="AC1510" s="688">
        <f t="shared" si="1333"/>
        <v>-0.25</v>
      </c>
      <c r="AD1510" s="164"/>
      <c r="AE1510" s="164"/>
      <c r="AF1510" s="25"/>
      <c r="AG1510" s="26"/>
      <c r="AH1510" s="275"/>
      <c r="AI1510" s="52"/>
      <c r="AJ1510" s="35"/>
      <c r="AK1510" s="289"/>
      <c r="AL1510" s="290"/>
      <c r="AM1510" s="211"/>
      <c r="AN1510" s="164"/>
      <c r="AO1510" s="594"/>
      <c r="AP1510" s="595"/>
      <c r="AQ1510" s="275"/>
      <c r="AR1510" s="52"/>
      <c r="AS1510" s="596"/>
      <c r="AT1510" s="79"/>
      <c r="AU1510" s="212"/>
      <c r="AV1510" s="164"/>
      <c r="AW1510" s="164"/>
      <c r="AX1510" s="76"/>
      <c r="AY1510" s="44"/>
      <c r="AZ1510" s="275"/>
      <c r="BA1510" s="52"/>
      <c r="BB1510" s="35"/>
      <c r="BC1510" s="79"/>
      <c r="BD1510" s="230"/>
      <c r="BE1510" s="211"/>
      <c r="BF1510" s="164"/>
      <c r="BG1510" s="76"/>
      <c r="BH1510" s="44"/>
      <c r="BI1510" s="275"/>
      <c r="BJ1510" s="52"/>
      <c r="BK1510" s="35"/>
      <c r="BL1510" s="79"/>
      <c r="BM1510" s="230"/>
      <c r="BN1510" s="211"/>
      <c r="BO1510" s="164"/>
      <c r="BP1510" s="726"/>
      <c r="BQ1510" s="727"/>
      <c r="BR1510" s="299"/>
      <c r="BS1510" s="35"/>
      <c r="BT1510" s="596"/>
      <c r="BU1510" s="79"/>
      <c r="BV1510" s="212"/>
      <c r="BW1510" s="304"/>
      <c r="BX1510" s="313"/>
      <c r="BY1510" s="138"/>
    </row>
    <row r="1511" spans="1:77" ht="15" customHeight="1" outlineLevel="1" x14ac:dyDescent="0.2">
      <c r="A1511" s="583" t="s">
        <v>24</v>
      </c>
      <c r="B1511" s="583"/>
      <c r="C1511" s="583" t="s">
        <v>2023</v>
      </c>
      <c r="D1511" s="546">
        <v>1.466</v>
      </c>
      <c r="E1511" s="162" t="s">
        <v>631</v>
      </c>
      <c r="F1511" s="358"/>
      <c r="G1511" s="65"/>
      <c r="H1511" s="73"/>
      <c r="I1511" s="90"/>
      <c r="J1511" s="73"/>
      <c r="K1511" s="790"/>
      <c r="L1511" s="717">
        <v>2011</v>
      </c>
      <c r="M1511" s="73"/>
      <c r="N1511" s="811">
        <v>2.5639999999999999E-3</v>
      </c>
      <c r="O1511" s="1041"/>
      <c r="P1511" s="73"/>
      <c r="Q1511" s="359"/>
      <c r="R1511" s="1041"/>
      <c r="S1511" s="73"/>
      <c r="T1511" s="359"/>
      <c r="U1511" s="73"/>
      <c r="V1511" s="66"/>
      <c r="W1511" s="808">
        <f>AA1511*(1+AB1511)</f>
        <v>1.8460799999999999E-6</v>
      </c>
      <c r="X1511" s="809">
        <f t="shared" ref="X1511" si="1345">AA1511*(1+AC1511)</f>
        <v>1.8460799999999999E-6</v>
      </c>
      <c r="Y1511" s="52">
        <v>2011</v>
      </c>
      <c r="Z1511" s="52"/>
      <c r="AA1511" s="787">
        <f>+N1511/1000</f>
        <v>2.5639999999999999E-6</v>
      </c>
      <c r="AB1511" s="256">
        <v>-0.28000000000000003</v>
      </c>
      <c r="AC1511" s="688">
        <f t="shared" si="1333"/>
        <v>-0.28000000000000003</v>
      </c>
      <c r="AD1511" s="164"/>
      <c r="AE1511" s="164"/>
      <c r="AF1511" s="25"/>
      <c r="AG1511" s="26"/>
      <c r="AH1511" s="275"/>
      <c r="AI1511" s="52"/>
      <c r="AJ1511" s="35"/>
      <c r="AK1511" s="289"/>
      <c r="AL1511" s="290"/>
      <c r="AM1511" s="211"/>
      <c r="AN1511" s="164"/>
      <c r="AO1511" s="594"/>
      <c r="AP1511" s="595"/>
      <c r="AQ1511" s="275"/>
      <c r="AR1511" s="52"/>
      <c r="AS1511" s="596"/>
      <c r="AT1511" s="79"/>
      <c r="AU1511" s="212"/>
      <c r="AV1511" s="164"/>
      <c r="AW1511" s="164"/>
      <c r="AX1511" s="76"/>
      <c r="AY1511" s="44"/>
      <c r="AZ1511" s="275"/>
      <c r="BA1511" s="52"/>
      <c r="BB1511" s="35"/>
      <c r="BC1511" s="79"/>
      <c r="BD1511" s="230"/>
      <c r="BE1511" s="211"/>
      <c r="BF1511" s="164"/>
      <c r="BG1511" s="76"/>
      <c r="BH1511" s="44"/>
      <c r="BI1511" s="275"/>
      <c r="BJ1511" s="52"/>
      <c r="BK1511" s="35"/>
      <c r="BL1511" s="79"/>
      <c r="BM1511" s="230"/>
      <c r="BN1511" s="211"/>
      <c r="BO1511" s="164"/>
      <c r="BP1511" s="726"/>
      <c r="BQ1511" s="727"/>
      <c r="BR1511" s="299"/>
      <c r="BS1511" s="35"/>
      <c r="BT1511" s="596"/>
      <c r="BU1511" s="79"/>
      <c r="BV1511" s="212"/>
      <c r="BW1511" s="304"/>
      <c r="BX1511" s="313"/>
      <c r="BY1511" s="138"/>
    </row>
    <row r="1512" spans="1:77" ht="15" customHeight="1" outlineLevel="1" x14ac:dyDescent="0.2">
      <c r="A1512" s="57" t="s">
        <v>24</v>
      </c>
      <c r="B1512" s="583"/>
      <c r="C1512" s="583" t="s">
        <v>1395</v>
      </c>
      <c r="D1512" s="546">
        <v>6.0410000000000004</v>
      </c>
      <c r="E1512" s="162" t="s">
        <v>631</v>
      </c>
      <c r="F1512" s="358"/>
      <c r="G1512" s="65"/>
      <c r="H1512" s="73"/>
      <c r="I1512" s="90"/>
      <c r="J1512" s="73"/>
      <c r="K1512" s="734">
        <v>2.8840999999999999E-2</v>
      </c>
      <c r="L1512" s="717"/>
      <c r="M1512" s="73"/>
      <c r="N1512" s="359"/>
      <c r="O1512" s="1041"/>
      <c r="P1512" s="73"/>
      <c r="Q1512" s="359"/>
      <c r="R1512" s="1041"/>
      <c r="S1512" s="73"/>
      <c r="T1512" s="359"/>
      <c r="U1512" s="73"/>
      <c r="V1512" s="66"/>
      <c r="W1512" s="740">
        <f t="shared" ref="W1512:W1514" si="1346">AA1512*(1+AB1512)</f>
        <v>1.9900289999999996E-5</v>
      </c>
      <c r="X1512" s="741">
        <f t="shared" ref="X1512:X1514" si="1347">AA1512*(1+AC1512)</f>
        <v>1.9900289999999996E-5</v>
      </c>
      <c r="Y1512" s="52">
        <v>2005</v>
      </c>
      <c r="Z1512" s="52"/>
      <c r="AA1512" s="739">
        <f t="shared" si="1338"/>
        <v>2.8840999999999997E-5</v>
      </c>
      <c r="AB1512" s="256">
        <v>-0.31</v>
      </c>
      <c r="AC1512" s="688">
        <f t="shared" si="1333"/>
        <v>-0.31</v>
      </c>
      <c r="AD1512" s="164"/>
      <c r="AE1512" s="164"/>
      <c r="AF1512" s="25"/>
      <c r="AG1512" s="26"/>
      <c r="AH1512" s="275"/>
      <c r="AI1512" s="52"/>
      <c r="AJ1512" s="35"/>
      <c r="AK1512" s="289"/>
      <c r="AL1512" s="290"/>
      <c r="AM1512" s="211"/>
      <c r="AN1512" s="164"/>
      <c r="AO1512" s="594"/>
      <c r="AP1512" s="595"/>
      <c r="AQ1512" s="275"/>
      <c r="AR1512" s="52"/>
      <c r="AS1512" s="596"/>
      <c r="AT1512" s="79"/>
      <c r="AU1512" s="212"/>
      <c r="AV1512" s="164"/>
      <c r="AW1512" s="164"/>
      <c r="AX1512" s="76"/>
      <c r="AY1512" s="44"/>
      <c r="AZ1512" s="275"/>
      <c r="BA1512" s="52"/>
      <c r="BB1512" s="35"/>
      <c r="BC1512" s="79"/>
      <c r="BD1512" s="230"/>
      <c r="BE1512" s="211"/>
      <c r="BF1512" s="164"/>
      <c r="BG1512" s="76"/>
      <c r="BH1512" s="44"/>
      <c r="BI1512" s="275"/>
      <c r="BJ1512" s="52"/>
      <c r="BK1512" s="35"/>
      <c r="BL1512" s="79"/>
      <c r="BM1512" s="230"/>
      <c r="BN1512" s="211"/>
      <c r="BO1512" s="164"/>
      <c r="BP1512" s="726"/>
      <c r="BQ1512" s="727"/>
      <c r="BR1512" s="299"/>
      <c r="BS1512" s="35"/>
      <c r="BT1512" s="596"/>
      <c r="BU1512" s="79"/>
      <c r="BV1512" s="212"/>
      <c r="BW1512" s="304"/>
      <c r="BX1512" s="313"/>
      <c r="BY1512" s="138"/>
    </row>
    <row r="1513" spans="1:77" ht="15" customHeight="1" outlineLevel="1" x14ac:dyDescent="0.2">
      <c r="A1513" s="57" t="s">
        <v>24</v>
      </c>
      <c r="B1513" s="583"/>
      <c r="C1513" s="583" t="s">
        <v>2389</v>
      </c>
      <c r="D1513" s="546">
        <v>35.066000000000003</v>
      </c>
      <c r="E1513" s="162" t="s">
        <v>631</v>
      </c>
      <c r="F1513" s="358"/>
      <c r="G1513" s="65"/>
      <c r="H1513" s="73"/>
      <c r="I1513" s="90"/>
      <c r="J1513" s="73"/>
      <c r="K1513" s="734"/>
      <c r="L1513" s="717">
        <v>2013</v>
      </c>
      <c r="M1513" s="73"/>
      <c r="N1513" s="359">
        <v>0.12083000000000001</v>
      </c>
      <c r="O1513" s="1041"/>
      <c r="P1513" s="73"/>
      <c r="Q1513" s="359"/>
      <c r="R1513" s="1041"/>
      <c r="S1513" s="73"/>
      <c r="T1513" s="359"/>
      <c r="U1513" s="73"/>
      <c r="V1513" s="66"/>
      <c r="W1513" s="740">
        <f t="shared" ref="W1513" si="1348">AA1513*(1+AB1513)</f>
        <v>8.8205900000000009E-5</v>
      </c>
      <c r="X1513" s="741">
        <f t="shared" ref="X1513" si="1349">AA1513*(1+AC1513)</f>
        <v>8.8205900000000009E-5</v>
      </c>
      <c r="Y1513" s="52">
        <v>2013</v>
      </c>
      <c r="Z1513" s="52"/>
      <c r="AA1513" s="739">
        <f>+N1513/1000</f>
        <v>1.2083000000000001E-4</v>
      </c>
      <c r="AB1513" s="256">
        <v>-0.27</v>
      </c>
      <c r="AC1513" s="688">
        <f t="shared" ref="AC1513" si="1350">AB1513</f>
        <v>-0.27</v>
      </c>
      <c r="AD1513" s="164"/>
      <c r="AE1513" s="164"/>
      <c r="AF1513" s="25"/>
      <c r="AG1513" s="26"/>
      <c r="AH1513" s="275"/>
      <c r="AI1513" s="52"/>
      <c r="AJ1513" s="35"/>
      <c r="AK1513" s="289"/>
      <c r="AL1513" s="290"/>
      <c r="AM1513" s="211"/>
      <c r="AN1513" s="164"/>
      <c r="AO1513" s="594"/>
      <c r="AP1513" s="595"/>
      <c r="AQ1513" s="275"/>
      <c r="AR1513" s="52"/>
      <c r="AS1513" s="596"/>
      <c r="AT1513" s="79"/>
      <c r="AU1513" s="212"/>
      <c r="AV1513" s="164"/>
      <c r="AW1513" s="164"/>
      <c r="AX1513" s="76"/>
      <c r="AY1513" s="44"/>
      <c r="AZ1513" s="275"/>
      <c r="BA1513" s="52"/>
      <c r="BB1513" s="35"/>
      <c r="BC1513" s="79"/>
      <c r="BD1513" s="230"/>
      <c r="BE1513" s="211"/>
      <c r="BF1513" s="164"/>
      <c r="BG1513" s="76"/>
      <c r="BH1513" s="44"/>
      <c r="BI1513" s="275"/>
      <c r="BJ1513" s="52"/>
      <c r="BK1513" s="35"/>
      <c r="BL1513" s="79"/>
      <c r="BM1513" s="230"/>
      <c r="BN1513" s="211"/>
      <c r="BO1513" s="164"/>
      <c r="BP1513" s="726"/>
      <c r="BQ1513" s="727"/>
      <c r="BR1513" s="299"/>
      <c r="BS1513" s="35"/>
      <c r="BT1513" s="596"/>
      <c r="BU1513" s="79"/>
      <c r="BV1513" s="212"/>
      <c r="BW1513" s="304"/>
      <c r="BX1513" s="313"/>
      <c r="BY1513" s="138"/>
    </row>
    <row r="1514" spans="1:77" ht="15" customHeight="1" outlineLevel="1" x14ac:dyDescent="0.2">
      <c r="A1514" s="57" t="s">
        <v>24</v>
      </c>
      <c r="B1514" s="583"/>
      <c r="C1514" s="583" t="s">
        <v>1560</v>
      </c>
      <c r="D1514" s="546">
        <v>18.693999999999999</v>
      </c>
      <c r="E1514" s="162" t="s">
        <v>631</v>
      </c>
      <c r="F1514" s="358"/>
      <c r="G1514" s="65"/>
      <c r="H1514" s="73"/>
      <c r="I1514" s="90"/>
      <c r="J1514" s="73"/>
      <c r="K1514" s="734"/>
      <c r="L1514" s="717"/>
      <c r="M1514" s="73"/>
      <c r="N1514" s="359">
        <v>5.3669000000000001E-2</v>
      </c>
      <c r="O1514" s="1041"/>
      <c r="P1514" s="73"/>
      <c r="Q1514" s="359"/>
      <c r="R1514" s="1041"/>
      <c r="S1514" s="73"/>
      <c r="T1514" s="359"/>
      <c r="U1514" s="73"/>
      <c r="V1514" s="66"/>
      <c r="W1514" s="740">
        <f t="shared" si="1346"/>
        <v>3.703161E-5</v>
      </c>
      <c r="X1514" s="741">
        <f t="shared" si="1347"/>
        <v>3.703161E-5</v>
      </c>
      <c r="Y1514" s="52">
        <v>2010</v>
      </c>
      <c r="Z1514" s="52"/>
      <c r="AA1514" s="739">
        <f>+N1514/1000</f>
        <v>5.3669000000000004E-5</v>
      </c>
      <c r="AB1514" s="256">
        <v>-0.31</v>
      </c>
      <c r="AC1514" s="688">
        <f t="shared" si="1333"/>
        <v>-0.31</v>
      </c>
      <c r="AD1514" s="164"/>
      <c r="AE1514" s="164"/>
      <c r="AF1514" s="25"/>
      <c r="AG1514" s="26"/>
      <c r="AH1514" s="275"/>
      <c r="AI1514" s="52"/>
      <c r="AJ1514" s="35"/>
      <c r="AK1514" s="289"/>
      <c r="AL1514" s="290"/>
      <c r="AM1514" s="211"/>
      <c r="AN1514" s="164"/>
      <c r="AO1514" s="594"/>
      <c r="AP1514" s="595"/>
      <c r="AQ1514" s="275"/>
      <c r="AR1514" s="52"/>
      <c r="AS1514" s="596"/>
      <c r="AT1514" s="79"/>
      <c r="AU1514" s="212"/>
      <c r="AV1514" s="164"/>
      <c r="AW1514" s="164"/>
      <c r="AX1514" s="76"/>
      <c r="AY1514" s="44"/>
      <c r="AZ1514" s="275"/>
      <c r="BA1514" s="52"/>
      <c r="BB1514" s="35"/>
      <c r="BC1514" s="79"/>
      <c r="BD1514" s="230"/>
      <c r="BE1514" s="211"/>
      <c r="BF1514" s="164"/>
      <c r="BG1514" s="76"/>
      <c r="BH1514" s="44"/>
      <c r="BI1514" s="275"/>
      <c r="BJ1514" s="52"/>
      <c r="BK1514" s="35"/>
      <c r="BL1514" s="79"/>
      <c r="BM1514" s="230"/>
      <c r="BN1514" s="211"/>
      <c r="BO1514" s="164"/>
      <c r="BP1514" s="726"/>
      <c r="BQ1514" s="727"/>
      <c r="BR1514" s="299"/>
      <c r="BS1514" s="35"/>
      <c r="BT1514" s="596"/>
      <c r="BU1514" s="79"/>
      <c r="BV1514" s="212"/>
      <c r="BW1514" s="304"/>
      <c r="BX1514" s="313"/>
      <c r="BY1514" s="138"/>
    </row>
    <row r="1515" spans="1:77" ht="15" customHeight="1" outlineLevel="1" x14ac:dyDescent="0.2">
      <c r="A1515" s="583" t="s">
        <v>24</v>
      </c>
      <c r="B1515" s="583"/>
      <c r="C1515" s="583" t="s">
        <v>2024</v>
      </c>
      <c r="D1515" s="546">
        <v>2.0009999999999999</v>
      </c>
      <c r="E1515" s="162" t="s">
        <v>631</v>
      </c>
      <c r="F1515" s="358"/>
      <c r="G1515" s="65"/>
      <c r="H1515" s="73"/>
      <c r="I1515" s="90"/>
      <c r="J1515" s="73"/>
      <c r="K1515" s="734"/>
      <c r="L1515" s="717">
        <v>2011</v>
      </c>
      <c r="M1515" s="73"/>
      <c r="N1515" s="811">
        <v>3.5990000000000002E-3</v>
      </c>
      <c r="O1515" s="1041"/>
      <c r="P1515" s="73"/>
      <c r="Q1515" s="359"/>
      <c r="R1515" s="1041"/>
      <c r="S1515" s="73"/>
      <c r="T1515" s="359"/>
      <c r="U1515" s="73"/>
      <c r="V1515" s="66"/>
      <c r="W1515" s="740">
        <f t="shared" ref="W1515" si="1351">AA1515*(1+AB1515)</f>
        <v>2.5912799999999999E-6</v>
      </c>
      <c r="X1515" s="741">
        <f t="shared" ref="X1515" si="1352">AA1515*(1+AC1515)</f>
        <v>2.5912799999999999E-6</v>
      </c>
      <c r="Y1515" s="52">
        <v>2011</v>
      </c>
      <c r="Z1515" s="52"/>
      <c r="AA1515" s="807">
        <f>+N1515/1000</f>
        <v>3.5990000000000002E-6</v>
      </c>
      <c r="AB1515" s="256">
        <v>-0.28000000000000003</v>
      </c>
      <c r="AC1515" s="688">
        <f t="shared" si="1333"/>
        <v>-0.28000000000000003</v>
      </c>
      <c r="AD1515" s="164"/>
      <c r="AE1515" s="164"/>
      <c r="AF1515" s="25"/>
      <c r="AG1515" s="26"/>
      <c r="AH1515" s="275"/>
      <c r="AI1515" s="52"/>
      <c r="AJ1515" s="35"/>
      <c r="AK1515" s="289"/>
      <c r="AL1515" s="290"/>
      <c r="AM1515" s="211"/>
      <c r="AN1515" s="164"/>
      <c r="AO1515" s="594"/>
      <c r="AP1515" s="595"/>
      <c r="AQ1515" s="275"/>
      <c r="AR1515" s="52"/>
      <c r="AS1515" s="596"/>
      <c r="AT1515" s="79"/>
      <c r="AU1515" s="212"/>
      <c r="AV1515" s="164"/>
      <c r="AW1515" s="164"/>
      <c r="AX1515" s="76"/>
      <c r="AY1515" s="44"/>
      <c r="AZ1515" s="275"/>
      <c r="BA1515" s="52"/>
      <c r="BB1515" s="35"/>
      <c r="BC1515" s="79"/>
      <c r="BD1515" s="230"/>
      <c r="BE1515" s="211"/>
      <c r="BF1515" s="164"/>
      <c r="BG1515" s="76"/>
      <c r="BH1515" s="44"/>
      <c r="BI1515" s="275"/>
      <c r="BJ1515" s="52"/>
      <c r="BK1515" s="35"/>
      <c r="BL1515" s="79"/>
      <c r="BM1515" s="230"/>
      <c r="BN1515" s="211"/>
      <c r="BO1515" s="164"/>
      <c r="BP1515" s="726"/>
      <c r="BQ1515" s="727"/>
      <c r="BR1515" s="299"/>
      <c r="BS1515" s="35"/>
      <c r="BT1515" s="596"/>
      <c r="BU1515" s="79"/>
      <c r="BV1515" s="212"/>
      <c r="BW1515" s="304"/>
      <c r="BX1515" s="313"/>
      <c r="BY1515" s="138"/>
    </row>
    <row r="1516" spans="1:77" ht="15" customHeight="1" outlineLevel="1" x14ac:dyDescent="0.2">
      <c r="A1516" s="583" t="s">
        <v>24</v>
      </c>
      <c r="B1516" s="583"/>
      <c r="C1516" s="583" t="s">
        <v>2022</v>
      </c>
      <c r="D1516" s="546">
        <v>1.607</v>
      </c>
      <c r="E1516" s="162" t="s">
        <v>631</v>
      </c>
      <c r="F1516" s="358"/>
      <c r="G1516" s="65"/>
      <c r="H1516" s="73"/>
      <c r="I1516" s="90"/>
      <c r="J1516" s="73"/>
      <c r="K1516" s="734"/>
      <c r="L1516" s="717">
        <v>2011</v>
      </c>
      <c r="M1516" s="73"/>
      <c r="N1516" s="811">
        <v>5.5329999999999997E-3</v>
      </c>
      <c r="O1516" s="1041"/>
      <c r="P1516" s="73"/>
      <c r="Q1516" s="359"/>
      <c r="R1516" s="1041"/>
      <c r="S1516" s="73"/>
      <c r="T1516" s="359"/>
      <c r="U1516" s="73"/>
      <c r="V1516" s="66"/>
      <c r="W1516" s="740">
        <f t="shared" ref="W1516" si="1353">AA1516*(1+AB1516)</f>
        <v>3.9837599999999996E-6</v>
      </c>
      <c r="X1516" s="741">
        <f t="shared" ref="X1516" si="1354">AA1516*(1+AC1516)</f>
        <v>3.9837599999999996E-6</v>
      </c>
      <c r="Y1516" s="52">
        <v>2011</v>
      </c>
      <c r="Z1516" s="52"/>
      <c r="AA1516" s="739">
        <f>+N1516/1000</f>
        <v>5.5329999999999994E-6</v>
      </c>
      <c r="AB1516" s="256">
        <v>-0.28000000000000003</v>
      </c>
      <c r="AC1516" s="688">
        <f t="shared" si="1333"/>
        <v>-0.28000000000000003</v>
      </c>
      <c r="AD1516" s="164"/>
      <c r="AE1516" s="164"/>
      <c r="AF1516" s="25"/>
      <c r="AG1516" s="26"/>
      <c r="AH1516" s="275"/>
      <c r="AI1516" s="52"/>
      <c r="AJ1516" s="35"/>
      <c r="AK1516" s="289"/>
      <c r="AL1516" s="290"/>
      <c r="AM1516" s="211"/>
      <c r="AN1516" s="164"/>
      <c r="AO1516" s="594"/>
      <c r="AP1516" s="595"/>
      <c r="AQ1516" s="275"/>
      <c r="AR1516" s="52"/>
      <c r="AS1516" s="596"/>
      <c r="AT1516" s="79"/>
      <c r="AU1516" s="212"/>
      <c r="AV1516" s="164"/>
      <c r="AW1516" s="164"/>
      <c r="AX1516" s="76"/>
      <c r="AY1516" s="44"/>
      <c r="AZ1516" s="275"/>
      <c r="BA1516" s="52"/>
      <c r="BB1516" s="35"/>
      <c r="BC1516" s="79"/>
      <c r="BD1516" s="230"/>
      <c r="BE1516" s="211"/>
      <c r="BF1516" s="164"/>
      <c r="BG1516" s="76"/>
      <c r="BH1516" s="44"/>
      <c r="BI1516" s="275"/>
      <c r="BJ1516" s="52"/>
      <c r="BK1516" s="35"/>
      <c r="BL1516" s="79"/>
      <c r="BM1516" s="230"/>
      <c r="BN1516" s="211"/>
      <c r="BO1516" s="164"/>
      <c r="BP1516" s="726"/>
      <c r="BQ1516" s="727"/>
      <c r="BR1516" s="299"/>
      <c r="BS1516" s="35"/>
      <c r="BT1516" s="596"/>
      <c r="BU1516" s="79"/>
      <c r="BV1516" s="212"/>
      <c r="BW1516" s="304"/>
      <c r="BX1516" s="313"/>
      <c r="BY1516" s="138"/>
    </row>
    <row r="1517" spans="1:77" ht="15" customHeight="1" outlineLevel="1" x14ac:dyDescent="0.2">
      <c r="A1517" s="57" t="s">
        <v>24</v>
      </c>
      <c r="B1517" s="583"/>
      <c r="C1517" s="583" t="s">
        <v>1467</v>
      </c>
      <c r="D1517" s="546">
        <v>0.502</v>
      </c>
      <c r="E1517" s="162" t="s">
        <v>631</v>
      </c>
      <c r="F1517" s="358"/>
      <c r="G1517" s="65"/>
      <c r="H1517" s="73"/>
      <c r="I1517" s="90"/>
      <c r="J1517" s="73"/>
      <c r="K1517" s="814">
        <v>1.6260000000000001E-3</v>
      </c>
      <c r="L1517" s="717"/>
      <c r="M1517" s="73"/>
      <c r="N1517" s="786"/>
      <c r="O1517" s="1041"/>
      <c r="P1517" s="73"/>
      <c r="Q1517" s="359"/>
      <c r="R1517" s="1041"/>
      <c r="S1517" s="73"/>
      <c r="T1517" s="359"/>
      <c r="U1517" s="73"/>
      <c r="V1517" s="66"/>
      <c r="W1517" s="788">
        <f t="shared" si="1331"/>
        <v>1.0894199999999998E-6</v>
      </c>
      <c r="X1517" s="789">
        <f t="shared" si="1332"/>
        <v>1.0894199999999998E-6</v>
      </c>
      <c r="Y1517" s="52">
        <v>2005</v>
      </c>
      <c r="Z1517" s="52"/>
      <c r="AA1517" s="787">
        <f>+K1517/1000</f>
        <v>1.626E-6</v>
      </c>
      <c r="AB1517" s="256">
        <v>-0.33</v>
      </c>
      <c r="AC1517" s="688">
        <f t="shared" si="1333"/>
        <v>-0.33</v>
      </c>
      <c r="AD1517" s="164"/>
      <c r="AE1517" s="164"/>
      <c r="AF1517" s="25"/>
      <c r="AG1517" s="26"/>
      <c r="AH1517" s="275"/>
      <c r="AI1517" s="52"/>
      <c r="AJ1517" s="35"/>
      <c r="AK1517" s="289"/>
      <c r="AL1517" s="290"/>
      <c r="AM1517" s="211"/>
      <c r="AN1517" s="164"/>
      <c r="AO1517" s="594"/>
      <c r="AP1517" s="595"/>
      <c r="AQ1517" s="275"/>
      <c r="AR1517" s="52"/>
      <c r="AS1517" s="596"/>
      <c r="AT1517" s="79"/>
      <c r="AU1517" s="212"/>
      <c r="AV1517" s="164"/>
      <c r="AW1517" s="164"/>
      <c r="AX1517" s="76"/>
      <c r="AY1517" s="44"/>
      <c r="AZ1517" s="275"/>
      <c r="BA1517" s="52"/>
      <c r="BB1517" s="35"/>
      <c r="BC1517" s="79"/>
      <c r="BD1517" s="230"/>
      <c r="BE1517" s="211"/>
      <c r="BF1517" s="164"/>
      <c r="BG1517" s="76"/>
      <c r="BH1517" s="44"/>
      <c r="BI1517" s="275"/>
      <c r="BJ1517" s="52"/>
      <c r="BK1517" s="35"/>
      <c r="BL1517" s="79"/>
      <c r="BM1517" s="230"/>
      <c r="BN1517" s="211"/>
      <c r="BO1517" s="164"/>
      <c r="BP1517" s="726"/>
      <c r="BQ1517" s="727"/>
      <c r="BR1517" s="299"/>
      <c r="BS1517" s="35"/>
      <c r="BT1517" s="596"/>
      <c r="BU1517" s="79"/>
      <c r="BV1517" s="212"/>
      <c r="BW1517" s="304"/>
      <c r="BX1517" s="313"/>
      <c r="BY1517" s="138"/>
    </row>
    <row r="1518" spans="1:77" ht="15" customHeight="1" outlineLevel="1" x14ac:dyDescent="0.2">
      <c r="A1518" s="57" t="s">
        <v>24</v>
      </c>
      <c r="B1518" s="583"/>
      <c r="C1518" s="583" t="s">
        <v>1314</v>
      </c>
      <c r="D1518" s="546">
        <v>10.87</v>
      </c>
      <c r="E1518" s="162" t="s">
        <v>631</v>
      </c>
      <c r="F1518" s="358"/>
      <c r="G1518" s="65"/>
      <c r="H1518" s="73"/>
      <c r="I1518" s="90"/>
      <c r="J1518" s="73"/>
      <c r="K1518" s="734"/>
      <c r="L1518" s="717">
        <v>2011</v>
      </c>
      <c r="M1518" s="73"/>
      <c r="N1518" s="738">
        <v>2.3708E-2</v>
      </c>
      <c r="O1518" s="1041"/>
      <c r="P1518" s="73"/>
      <c r="Q1518" s="738"/>
      <c r="R1518" s="1041"/>
      <c r="S1518" s="73"/>
      <c r="T1518" s="738"/>
      <c r="U1518" s="73"/>
      <c r="V1518" s="66"/>
      <c r="W1518" s="740">
        <f t="shared" si="1331"/>
        <v>1.6595600000000001E-5</v>
      </c>
      <c r="X1518" s="741">
        <f t="shared" si="1332"/>
        <v>1.6595600000000001E-5</v>
      </c>
      <c r="Y1518" s="52">
        <v>2011</v>
      </c>
      <c r="Z1518" s="52"/>
      <c r="AA1518" s="739">
        <f>+N1518/1000</f>
        <v>2.3708000000000001E-5</v>
      </c>
      <c r="AB1518" s="256">
        <v>-0.3</v>
      </c>
      <c r="AC1518" s="688">
        <f t="shared" si="1333"/>
        <v>-0.3</v>
      </c>
      <c r="AD1518" s="164"/>
      <c r="AE1518" s="164"/>
      <c r="AF1518" s="25"/>
      <c r="AG1518" s="26"/>
      <c r="AH1518" s="275"/>
      <c r="AI1518" s="52"/>
      <c r="AJ1518" s="35"/>
      <c r="AK1518" s="289"/>
      <c r="AL1518" s="290"/>
      <c r="AM1518" s="211"/>
      <c r="AN1518" s="164"/>
      <c r="AO1518" s="594"/>
      <c r="AP1518" s="595"/>
      <c r="AQ1518" s="275"/>
      <c r="AR1518" s="52"/>
      <c r="AS1518" s="596"/>
      <c r="AT1518" s="79"/>
      <c r="AU1518" s="212"/>
      <c r="AV1518" s="164"/>
      <c r="AW1518" s="164"/>
      <c r="AX1518" s="76"/>
      <c r="AY1518" s="44"/>
      <c r="AZ1518" s="275"/>
      <c r="BA1518" s="52"/>
      <c r="BB1518" s="35"/>
      <c r="BC1518" s="79"/>
      <c r="BD1518" s="230"/>
      <c r="BE1518" s="211"/>
      <c r="BF1518" s="164"/>
      <c r="BG1518" s="76"/>
      <c r="BH1518" s="44"/>
      <c r="BI1518" s="275"/>
      <c r="BJ1518" s="52"/>
      <c r="BK1518" s="35"/>
      <c r="BL1518" s="79"/>
      <c r="BM1518" s="230"/>
      <c r="BN1518" s="211"/>
      <c r="BO1518" s="164"/>
      <c r="BP1518" s="726"/>
      <c r="BQ1518" s="727"/>
      <c r="BR1518" s="299"/>
      <c r="BS1518" s="35"/>
      <c r="BT1518" s="596"/>
      <c r="BU1518" s="79"/>
      <c r="BV1518" s="212"/>
      <c r="BW1518" s="304"/>
      <c r="BX1518" s="313"/>
      <c r="BY1518" s="138"/>
    </row>
    <row r="1519" spans="1:77" ht="15" customHeight="1" outlineLevel="1" x14ac:dyDescent="0.2">
      <c r="A1519" s="583" t="s">
        <v>24</v>
      </c>
      <c r="B1519" s="583"/>
      <c r="C1519" s="583" t="s">
        <v>1981</v>
      </c>
      <c r="D1519" s="546">
        <v>3.3479999999999999</v>
      </c>
      <c r="E1519" s="162" t="s">
        <v>631</v>
      </c>
      <c r="F1519" s="358"/>
      <c r="G1519" s="65"/>
      <c r="H1519" s="73"/>
      <c r="I1519" s="90"/>
      <c r="J1519" s="73"/>
      <c r="K1519" s="734"/>
      <c r="L1519" s="717">
        <v>2011</v>
      </c>
      <c r="M1519" s="73"/>
      <c r="N1519" s="738">
        <v>6.9309999999999997E-3</v>
      </c>
      <c r="O1519" s="1041"/>
      <c r="P1519" s="73"/>
      <c r="Q1519" s="738"/>
      <c r="R1519" s="1041"/>
      <c r="S1519" s="73"/>
      <c r="T1519" s="738"/>
      <c r="U1519" s="73"/>
      <c r="V1519" s="66"/>
      <c r="W1519" s="740">
        <f t="shared" ref="W1519" si="1355">AA1519*(1+AB1519)</f>
        <v>4.9903199999999992E-6</v>
      </c>
      <c r="X1519" s="741">
        <f t="shared" ref="X1519" si="1356">AA1519*(1+AC1519)</f>
        <v>4.9903199999999992E-6</v>
      </c>
      <c r="Y1519" s="52">
        <v>2011</v>
      </c>
      <c r="Z1519" s="52"/>
      <c r="AA1519" s="739">
        <f>+N1519/1000</f>
        <v>6.9309999999999994E-6</v>
      </c>
      <c r="AB1519" s="256">
        <v>-0.28000000000000003</v>
      </c>
      <c r="AC1519" s="688">
        <f t="shared" si="1333"/>
        <v>-0.28000000000000003</v>
      </c>
      <c r="AD1519" s="164"/>
      <c r="AE1519" s="164"/>
      <c r="AF1519" s="25"/>
      <c r="AG1519" s="26"/>
      <c r="AH1519" s="275"/>
      <c r="AI1519" s="52"/>
      <c r="AJ1519" s="35"/>
      <c r="AK1519" s="289"/>
      <c r="AL1519" s="290"/>
      <c r="AM1519" s="211"/>
      <c r="AN1519" s="164"/>
      <c r="AO1519" s="594"/>
      <c r="AP1519" s="595"/>
      <c r="AQ1519" s="275"/>
      <c r="AR1519" s="52"/>
      <c r="AS1519" s="596"/>
      <c r="AT1519" s="79"/>
      <c r="AU1519" s="212"/>
      <c r="AV1519" s="164"/>
      <c r="AW1519" s="164"/>
      <c r="AX1519" s="76"/>
      <c r="AY1519" s="44"/>
      <c r="AZ1519" s="275"/>
      <c r="BA1519" s="52"/>
      <c r="BB1519" s="35"/>
      <c r="BC1519" s="79"/>
      <c r="BD1519" s="230"/>
      <c r="BE1519" s="211"/>
      <c r="BF1519" s="164"/>
      <c r="BG1519" s="76"/>
      <c r="BH1519" s="44"/>
      <c r="BI1519" s="275"/>
      <c r="BJ1519" s="52"/>
      <c r="BK1519" s="35"/>
      <c r="BL1519" s="79"/>
      <c r="BM1519" s="230"/>
      <c r="BN1519" s="211"/>
      <c r="BO1519" s="164"/>
      <c r="BP1519" s="726"/>
      <c r="BQ1519" s="727"/>
      <c r="BR1519" s="299"/>
      <c r="BS1519" s="35"/>
      <c r="BT1519" s="596"/>
      <c r="BU1519" s="79"/>
      <c r="BV1519" s="212"/>
      <c r="BW1519" s="304"/>
      <c r="BX1519" s="313"/>
      <c r="BY1519" s="138"/>
    </row>
    <row r="1520" spans="1:77" ht="15" customHeight="1" outlineLevel="1" x14ac:dyDescent="0.2">
      <c r="A1520" s="57" t="s">
        <v>24</v>
      </c>
      <c r="B1520" s="583"/>
      <c r="C1520" s="583" t="s">
        <v>1439</v>
      </c>
      <c r="D1520" s="546">
        <v>7.4580000000000002</v>
      </c>
      <c r="E1520" s="162" t="s">
        <v>631</v>
      </c>
      <c r="F1520" s="358"/>
      <c r="G1520" s="65"/>
      <c r="H1520" s="73"/>
      <c r="I1520" s="90"/>
      <c r="J1520" s="73"/>
      <c r="K1520" s="790">
        <v>2.1762E-2</v>
      </c>
      <c r="L1520" s="717"/>
      <c r="M1520" s="73"/>
      <c r="N1520" s="359"/>
      <c r="O1520" s="1041"/>
      <c r="P1520" s="73"/>
      <c r="Q1520" s="359"/>
      <c r="R1520" s="1041"/>
      <c r="S1520" s="73"/>
      <c r="T1520" s="359"/>
      <c r="U1520" s="73"/>
      <c r="V1520" s="66"/>
      <c r="W1520" s="788">
        <f>AA1520*(1+AB1520)</f>
        <v>1.5233399999999999E-5</v>
      </c>
      <c r="X1520" s="789">
        <f>AA1520*(1+AC1520)</f>
        <v>1.5233399999999999E-5</v>
      </c>
      <c r="Y1520" s="52">
        <v>2005</v>
      </c>
      <c r="Z1520" s="52"/>
      <c r="AA1520" s="787">
        <f>+K1520/1000</f>
        <v>2.1761999999999999E-5</v>
      </c>
      <c r="AB1520" s="256">
        <v>-0.3</v>
      </c>
      <c r="AC1520" s="688">
        <f t="shared" si="1333"/>
        <v>-0.3</v>
      </c>
      <c r="AD1520" s="164"/>
      <c r="AE1520" s="164"/>
      <c r="AF1520" s="25"/>
      <c r="AG1520" s="26"/>
      <c r="AH1520" s="275"/>
      <c r="AI1520" s="52"/>
      <c r="AJ1520" s="35"/>
      <c r="AK1520" s="289"/>
      <c r="AL1520" s="290"/>
      <c r="AM1520" s="211"/>
      <c r="AN1520" s="164"/>
      <c r="AO1520" s="594"/>
      <c r="AP1520" s="595"/>
      <c r="AQ1520" s="275"/>
      <c r="AR1520" s="52"/>
      <c r="AS1520" s="596"/>
      <c r="AT1520" s="79"/>
      <c r="AU1520" s="212"/>
      <c r="AV1520" s="164"/>
      <c r="AW1520" s="164"/>
      <c r="AX1520" s="76"/>
      <c r="AY1520" s="44"/>
      <c r="AZ1520" s="275"/>
      <c r="BA1520" s="52"/>
      <c r="BB1520" s="35"/>
      <c r="BC1520" s="79"/>
      <c r="BD1520" s="230"/>
      <c r="BE1520" s="211"/>
      <c r="BF1520" s="164"/>
      <c r="BG1520" s="76"/>
      <c r="BH1520" s="44"/>
      <c r="BI1520" s="275"/>
      <c r="BJ1520" s="52"/>
      <c r="BK1520" s="35"/>
      <c r="BL1520" s="79"/>
      <c r="BM1520" s="230"/>
      <c r="BN1520" s="211"/>
      <c r="BO1520" s="164"/>
      <c r="BP1520" s="726"/>
      <c r="BQ1520" s="727"/>
      <c r="BR1520" s="299"/>
      <c r="BS1520" s="35"/>
      <c r="BT1520" s="596"/>
      <c r="BU1520" s="79"/>
      <c r="BV1520" s="212"/>
      <c r="BW1520" s="304"/>
      <c r="BX1520" s="313"/>
      <c r="BY1520" s="138"/>
    </row>
    <row r="1521" spans="1:77" ht="15" customHeight="1" outlineLevel="1" x14ac:dyDescent="0.2">
      <c r="A1521" s="583" t="s">
        <v>24</v>
      </c>
      <c r="B1521" s="583"/>
      <c r="C1521" s="583" t="s">
        <v>2065</v>
      </c>
      <c r="D1521" s="546">
        <v>1.2569999999999999</v>
      </c>
      <c r="E1521" s="162" t="s">
        <v>631</v>
      </c>
      <c r="F1521" s="358"/>
      <c r="G1521" s="65"/>
      <c r="H1521" s="73"/>
      <c r="I1521" s="90"/>
      <c r="J1521" s="73"/>
      <c r="K1521" s="790">
        <v>4.8910000000000004E-3</v>
      </c>
      <c r="L1521" s="717"/>
      <c r="M1521" s="73"/>
      <c r="N1521" s="359"/>
      <c r="O1521" s="1041"/>
      <c r="P1521" s="73"/>
      <c r="Q1521" s="359"/>
      <c r="R1521" s="1041"/>
      <c r="S1521" s="73"/>
      <c r="T1521" s="359"/>
      <c r="U1521" s="73"/>
      <c r="V1521" s="66"/>
      <c r="W1521" s="788">
        <f>AA1521*(1+AB1521)</f>
        <v>3.4726099999999999E-6</v>
      </c>
      <c r="X1521" s="789">
        <f>AA1521*(1+AC1521)</f>
        <v>3.4726099999999999E-6</v>
      </c>
      <c r="Y1521" s="52">
        <v>2005</v>
      </c>
      <c r="Z1521" s="52"/>
      <c r="AA1521" s="787">
        <f>+K1521/1000</f>
        <v>4.8910000000000003E-6</v>
      </c>
      <c r="AB1521" s="256">
        <v>-0.28999999999999998</v>
      </c>
      <c r="AC1521" s="688">
        <f t="shared" si="1333"/>
        <v>-0.28999999999999998</v>
      </c>
      <c r="AD1521" s="164"/>
      <c r="AE1521" s="164"/>
      <c r="AF1521" s="25"/>
      <c r="AG1521" s="26"/>
      <c r="AH1521" s="275"/>
      <c r="AI1521" s="52"/>
      <c r="AJ1521" s="35"/>
      <c r="AK1521" s="289"/>
      <c r="AL1521" s="290"/>
      <c r="AM1521" s="211"/>
      <c r="AN1521" s="164"/>
      <c r="AO1521" s="594"/>
      <c r="AP1521" s="595"/>
      <c r="AQ1521" s="275"/>
      <c r="AR1521" s="52"/>
      <c r="AS1521" s="596"/>
      <c r="AT1521" s="79"/>
      <c r="AU1521" s="212"/>
      <c r="AV1521" s="164"/>
      <c r="AW1521" s="164"/>
      <c r="AX1521" s="76"/>
      <c r="AY1521" s="44"/>
      <c r="AZ1521" s="275"/>
      <c r="BA1521" s="52"/>
      <c r="BB1521" s="35"/>
      <c r="BC1521" s="79"/>
      <c r="BD1521" s="230"/>
      <c r="BE1521" s="211"/>
      <c r="BF1521" s="164"/>
      <c r="BG1521" s="76"/>
      <c r="BH1521" s="44"/>
      <c r="BI1521" s="275"/>
      <c r="BJ1521" s="52"/>
      <c r="BK1521" s="35"/>
      <c r="BL1521" s="79"/>
      <c r="BM1521" s="230"/>
      <c r="BN1521" s="211"/>
      <c r="BO1521" s="164"/>
      <c r="BP1521" s="726"/>
      <c r="BQ1521" s="727"/>
      <c r="BR1521" s="299"/>
      <c r="BS1521" s="35"/>
      <c r="BT1521" s="596"/>
      <c r="BU1521" s="79"/>
      <c r="BV1521" s="212"/>
      <c r="BW1521" s="304"/>
      <c r="BX1521" s="313"/>
      <c r="BY1521" s="138"/>
    </row>
    <row r="1522" spans="1:77" ht="15" customHeight="1" outlineLevel="1" x14ac:dyDescent="0.2">
      <c r="A1522" s="583" t="s">
        <v>24</v>
      </c>
      <c r="B1522" s="583"/>
      <c r="C1522" s="583" t="s">
        <v>1934</v>
      </c>
      <c r="D1522" s="546">
        <v>1.5840000000000001</v>
      </c>
      <c r="E1522" s="162" t="s">
        <v>631</v>
      </c>
      <c r="F1522" s="358"/>
      <c r="G1522" s="65"/>
      <c r="H1522" s="73"/>
      <c r="I1522" s="90"/>
      <c r="J1522" s="73"/>
      <c r="K1522" s="790"/>
      <c r="L1522" s="717">
        <v>2009</v>
      </c>
      <c r="M1522" s="73"/>
      <c r="N1522" s="786">
        <v>4.8180000000000002E-3</v>
      </c>
      <c r="O1522" s="1041"/>
      <c r="P1522" s="73"/>
      <c r="Q1522" s="359"/>
      <c r="R1522" s="1041"/>
      <c r="S1522" s="73"/>
      <c r="T1522" s="359"/>
      <c r="U1522" s="73"/>
      <c r="V1522" s="66"/>
      <c r="W1522" s="788">
        <f t="shared" ref="W1522" si="1357">AA1522*(1+AB1522)</f>
        <v>3.51714E-6</v>
      </c>
      <c r="X1522" s="789">
        <f t="shared" ref="X1522" si="1358">AA1522*(1+AC1522)</f>
        <v>3.51714E-6</v>
      </c>
      <c r="Y1522" s="52">
        <v>2009</v>
      </c>
      <c r="Z1522" s="52"/>
      <c r="AA1522" s="787">
        <f>+N1522/1000</f>
        <v>4.8180000000000003E-6</v>
      </c>
      <c r="AB1522" s="256">
        <v>-0.27</v>
      </c>
      <c r="AC1522" s="688">
        <f t="shared" si="1333"/>
        <v>-0.27</v>
      </c>
      <c r="AD1522" s="164"/>
      <c r="AE1522" s="164"/>
      <c r="AF1522" s="25"/>
      <c r="AG1522" s="26"/>
      <c r="AH1522" s="275"/>
      <c r="AI1522" s="52"/>
      <c r="AJ1522" s="35"/>
      <c r="AK1522" s="289"/>
      <c r="AL1522" s="290"/>
      <c r="AM1522" s="211"/>
      <c r="AN1522" s="164"/>
      <c r="AO1522" s="594"/>
      <c r="AP1522" s="595"/>
      <c r="AQ1522" s="275"/>
      <c r="AR1522" s="52"/>
      <c r="AS1522" s="596"/>
      <c r="AT1522" s="79"/>
      <c r="AU1522" s="212"/>
      <c r="AV1522" s="164"/>
      <c r="AW1522" s="164"/>
      <c r="AX1522" s="76"/>
      <c r="AY1522" s="44"/>
      <c r="AZ1522" s="275"/>
      <c r="BA1522" s="52"/>
      <c r="BB1522" s="35"/>
      <c r="BC1522" s="79"/>
      <c r="BD1522" s="230"/>
      <c r="BE1522" s="211"/>
      <c r="BF1522" s="164"/>
      <c r="BG1522" s="76"/>
      <c r="BH1522" s="44"/>
      <c r="BI1522" s="275"/>
      <c r="BJ1522" s="52"/>
      <c r="BK1522" s="35"/>
      <c r="BL1522" s="79"/>
      <c r="BM1522" s="230"/>
      <c r="BN1522" s="211"/>
      <c r="BO1522" s="164"/>
      <c r="BP1522" s="726"/>
      <c r="BQ1522" s="727"/>
      <c r="BR1522" s="299"/>
      <c r="BS1522" s="35"/>
      <c r="BT1522" s="596"/>
      <c r="BU1522" s="79"/>
      <c r="BV1522" s="212"/>
      <c r="BW1522" s="304"/>
      <c r="BX1522" s="313"/>
      <c r="BY1522" s="138"/>
    </row>
    <row r="1523" spans="1:77" ht="15" customHeight="1" outlineLevel="1" x14ac:dyDescent="0.2">
      <c r="A1523" s="57" t="s">
        <v>24</v>
      </c>
      <c r="B1523" s="583"/>
      <c r="C1523" s="583" t="s">
        <v>1290</v>
      </c>
      <c r="D1523" s="546">
        <v>0.875</v>
      </c>
      <c r="E1523" s="162" t="s">
        <v>631</v>
      </c>
      <c r="F1523" s="358"/>
      <c r="G1523" s="65"/>
      <c r="H1523" s="73"/>
      <c r="I1523" s="90"/>
      <c r="J1523" s="73"/>
      <c r="K1523" s="734"/>
      <c r="L1523" s="717">
        <v>2009</v>
      </c>
      <c r="M1523" s="73"/>
      <c r="N1523" s="786">
        <v>4.6860000000000001E-3</v>
      </c>
      <c r="O1523" s="1041"/>
      <c r="P1523" s="73"/>
      <c r="Q1523" s="786"/>
      <c r="R1523" s="1041"/>
      <c r="S1523" s="73"/>
      <c r="T1523" s="786"/>
      <c r="U1523" s="73"/>
      <c r="V1523" s="66"/>
      <c r="W1523" s="788">
        <f t="shared" si="1331"/>
        <v>2.3429999999999998E-6</v>
      </c>
      <c r="X1523" s="789">
        <f t="shared" si="1332"/>
        <v>2.3429999999999998E-6</v>
      </c>
      <c r="Y1523" s="52">
        <v>2009</v>
      </c>
      <c r="Z1523" s="52"/>
      <c r="AA1523" s="787">
        <f>+N1523/1000</f>
        <v>4.6859999999999997E-6</v>
      </c>
      <c r="AB1523" s="256">
        <v>-0.5</v>
      </c>
      <c r="AC1523" s="688">
        <f t="shared" si="1333"/>
        <v>-0.5</v>
      </c>
      <c r="AD1523" s="164"/>
      <c r="AE1523" s="164"/>
      <c r="AF1523" s="25"/>
      <c r="AG1523" s="26"/>
      <c r="AH1523" s="275"/>
      <c r="AI1523" s="52"/>
      <c r="AJ1523" s="35"/>
      <c r="AK1523" s="289"/>
      <c r="AL1523" s="290"/>
      <c r="AM1523" s="211"/>
      <c r="AN1523" s="164"/>
      <c r="AO1523" s="594"/>
      <c r="AP1523" s="595"/>
      <c r="AQ1523" s="275"/>
      <c r="AR1523" s="52"/>
      <c r="AS1523" s="596"/>
      <c r="AT1523" s="79"/>
      <c r="AU1523" s="212"/>
      <c r="AV1523" s="164"/>
      <c r="AW1523" s="164"/>
      <c r="AX1523" s="76"/>
      <c r="AY1523" s="44"/>
      <c r="AZ1523" s="275"/>
      <c r="BA1523" s="52"/>
      <c r="BB1523" s="35"/>
      <c r="BC1523" s="79"/>
      <c r="BD1523" s="230"/>
      <c r="BE1523" s="211"/>
      <c r="BF1523" s="164"/>
      <c r="BG1523" s="76"/>
      <c r="BH1523" s="44"/>
      <c r="BI1523" s="275"/>
      <c r="BJ1523" s="52"/>
      <c r="BK1523" s="35"/>
      <c r="BL1523" s="79"/>
      <c r="BM1523" s="230"/>
      <c r="BN1523" s="211"/>
      <c r="BO1523" s="164"/>
      <c r="BP1523" s="726"/>
      <c r="BQ1523" s="727"/>
      <c r="BR1523" s="299"/>
      <c r="BS1523" s="35"/>
      <c r="BT1523" s="596"/>
      <c r="BU1523" s="79"/>
      <c r="BV1523" s="212"/>
      <c r="BW1523" s="304"/>
      <c r="BX1523" s="313"/>
      <c r="BY1523" s="138"/>
    </row>
    <row r="1524" spans="1:77" outlineLevel="1" x14ac:dyDescent="0.2">
      <c r="A1524" s="583" t="s">
        <v>24</v>
      </c>
      <c r="B1524" s="583"/>
      <c r="C1524" s="583" t="s">
        <v>1956</v>
      </c>
      <c r="D1524" s="546">
        <v>2.3969999999999998</v>
      </c>
      <c r="E1524" s="162" t="s">
        <v>631</v>
      </c>
      <c r="F1524" s="358"/>
      <c r="G1524" s="65"/>
      <c r="H1524" s="73"/>
      <c r="I1524" s="90"/>
      <c r="J1524" s="73"/>
      <c r="K1524" s="734">
        <v>7.2700000000000004E-3</v>
      </c>
      <c r="L1524" s="717"/>
      <c r="M1524" s="73"/>
      <c r="N1524" s="786"/>
      <c r="O1524" s="1041"/>
      <c r="P1524" s="73"/>
      <c r="Q1524" s="786"/>
      <c r="R1524" s="1041"/>
      <c r="S1524" s="73"/>
      <c r="T1524" s="786"/>
      <c r="U1524" s="73"/>
      <c r="V1524" s="66"/>
      <c r="W1524" s="788">
        <f t="shared" ref="W1524" si="1359">AA1524*(1+AB1524)</f>
        <v>5.3071000000000004E-6</v>
      </c>
      <c r="X1524" s="789">
        <f t="shared" ref="X1524" si="1360">AA1524*(1+AC1524)</f>
        <v>5.3071000000000004E-6</v>
      </c>
      <c r="Y1524" s="52">
        <v>2005</v>
      </c>
      <c r="Z1524" s="52"/>
      <c r="AA1524" s="787">
        <f>+K1524/1000</f>
        <v>7.2700000000000007E-6</v>
      </c>
      <c r="AB1524" s="256">
        <v>-0.27</v>
      </c>
      <c r="AC1524" s="688">
        <f t="shared" si="1333"/>
        <v>-0.27</v>
      </c>
      <c r="AD1524" s="164"/>
      <c r="AE1524" s="164"/>
      <c r="AF1524" s="25"/>
      <c r="AG1524" s="26"/>
      <c r="AH1524" s="275"/>
      <c r="AI1524" s="52"/>
      <c r="AJ1524" s="35"/>
      <c r="AK1524" s="289"/>
      <c r="AL1524" s="290"/>
      <c r="AM1524" s="211"/>
      <c r="AN1524" s="164"/>
      <c r="AO1524" s="594"/>
      <c r="AP1524" s="595"/>
      <c r="AQ1524" s="275"/>
      <c r="AR1524" s="52"/>
      <c r="AS1524" s="596"/>
      <c r="AT1524" s="79"/>
      <c r="AU1524" s="212"/>
      <c r="AV1524" s="164"/>
      <c r="AW1524" s="164"/>
      <c r="AX1524" s="76"/>
      <c r="AY1524" s="44"/>
      <c r="AZ1524" s="275"/>
      <c r="BA1524" s="52"/>
      <c r="BB1524" s="35"/>
      <c r="BC1524" s="79"/>
      <c r="BD1524" s="230"/>
      <c r="BE1524" s="211"/>
      <c r="BF1524" s="164"/>
      <c r="BG1524" s="76"/>
      <c r="BH1524" s="44"/>
      <c r="BI1524" s="275"/>
      <c r="BJ1524" s="52"/>
      <c r="BK1524" s="35"/>
      <c r="BL1524" s="79"/>
      <c r="BM1524" s="230"/>
      <c r="BN1524" s="211"/>
      <c r="BO1524" s="164"/>
      <c r="BP1524" s="726"/>
      <c r="BQ1524" s="727"/>
      <c r="BR1524" s="299"/>
      <c r="BS1524" s="35"/>
      <c r="BT1524" s="596"/>
      <c r="BU1524" s="79"/>
      <c r="BV1524" s="212"/>
      <c r="BW1524" s="304"/>
      <c r="BX1524" s="313"/>
      <c r="BY1524" s="138"/>
    </row>
    <row r="1525" spans="1:77" ht="15" customHeight="1" outlineLevel="1" x14ac:dyDescent="0.2">
      <c r="A1525" s="57" t="s">
        <v>24</v>
      </c>
      <c r="B1525" s="583"/>
      <c r="C1525" s="583" t="s">
        <v>1401</v>
      </c>
      <c r="D1525" s="546">
        <v>1.585</v>
      </c>
      <c r="E1525" s="162" t="s">
        <v>631</v>
      </c>
      <c r="F1525" s="358"/>
      <c r="G1525" s="65"/>
      <c r="H1525" s="73"/>
      <c r="I1525" s="90"/>
      <c r="J1525" s="73"/>
      <c r="K1525" s="790">
        <v>4.6379999999999998E-3</v>
      </c>
      <c r="L1525" s="717"/>
      <c r="M1525" s="73"/>
      <c r="N1525" s="359"/>
      <c r="O1525" s="1041"/>
      <c r="P1525" s="73"/>
      <c r="Q1525" s="359"/>
      <c r="R1525" s="1041"/>
      <c r="S1525" s="73"/>
      <c r="T1525" s="359"/>
      <c r="U1525" s="73"/>
      <c r="V1525" s="66"/>
      <c r="W1525" s="788">
        <f t="shared" si="1331"/>
        <v>2.8755599999999998E-6</v>
      </c>
      <c r="X1525" s="789">
        <f t="shared" si="1332"/>
        <v>2.8755599999999998E-6</v>
      </c>
      <c r="Y1525" s="52">
        <v>2005</v>
      </c>
      <c r="Z1525" s="52"/>
      <c r="AA1525" s="787">
        <f>+K1525/1000</f>
        <v>4.6379999999999995E-6</v>
      </c>
      <c r="AB1525" s="256">
        <v>-0.38</v>
      </c>
      <c r="AC1525" s="688">
        <f t="shared" si="1333"/>
        <v>-0.38</v>
      </c>
      <c r="AD1525" s="164"/>
      <c r="AE1525" s="164"/>
      <c r="AF1525" s="25"/>
      <c r="AG1525" s="26"/>
      <c r="AH1525" s="275"/>
      <c r="AI1525" s="52"/>
      <c r="AJ1525" s="35"/>
      <c r="AK1525" s="289"/>
      <c r="AL1525" s="290"/>
      <c r="AM1525" s="211"/>
      <c r="AN1525" s="164"/>
      <c r="AO1525" s="594"/>
      <c r="AP1525" s="595"/>
      <c r="AQ1525" s="275"/>
      <c r="AR1525" s="52"/>
      <c r="AS1525" s="596"/>
      <c r="AT1525" s="79"/>
      <c r="AU1525" s="212"/>
      <c r="AV1525" s="164"/>
      <c r="AW1525" s="164"/>
      <c r="AX1525" s="76"/>
      <c r="AY1525" s="44"/>
      <c r="AZ1525" s="275"/>
      <c r="BA1525" s="52"/>
      <c r="BB1525" s="35"/>
      <c r="BC1525" s="79"/>
      <c r="BD1525" s="230"/>
      <c r="BE1525" s="211"/>
      <c r="BF1525" s="164"/>
      <c r="BG1525" s="76"/>
      <c r="BH1525" s="44"/>
      <c r="BI1525" s="275"/>
      <c r="BJ1525" s="52"/>
      <c r="BK1525" s="35"/>
      <c r="BL1525" s="79"/>
      <c r="BM1525" s="230"/>
      <c r="BN1525" s="211"/>
      <c r="BO1525" s="164"/>
      <c r="BP1525" s="726"/>
      <c r="BQ1525" s="727"/>
      <c r="BR1525" s="299"/>
      <c r="BS1525" s="35"/>
      <c r="BT1525" s="596"/>
      <c r="BU1525" s="79"/>
      <c r="BV1525" s="212"/>
      <c r="BW1525" s="304"/>
      <c r="BX1525" s="313"/>
      <c r="BY1525" s="138"/>
    </row>
    <row r="1526" spans="1:77" ht="15" customHeight="1" outlineLevel="1" x14ac:dyDescent="0.2">
      <c r="A1526" s="583" t="s">
        <v>24</v>
      </c>
      <c r="B1526" s="583"/>
      <c r="C1526" s="583" t="s">
        <v>1827</v>
      </c>
      <c r="D1526" s="546">
        <v>2.548</v>
      </c>
      <c r="E1526" s="162" t="s">
        <v>631</v>
      </c>
      <c r="F1526" s="358"/>
      <c r="G1526" s="65"/>
      <c r="H1526" s="73"/>
      <c r="I1526" s="90"/>
      <c r="J1526" s="73"/>
      <c r="K1526" s="790"/>
      <c r="L1526" s="717">
        <v>2011</v>
      </c>
      <c r="M1526" s="73"/>
      <c r="N1526" s="786">
        <v>4.6880000000000003E-3</v>
      </c>
      <c r="O1526" s="1041"/>
      <c r="P1526" s="73"/>
      <c r="Q1526" s="786"/>
      <c r="R1526" s="1041"/>
      <c r="S1526" s="73"/>
      <c r="T1526" s="786"/>
      <c r="U1526" s="73"/>
      <c r="V1526" s="66"/>
      <c r="W1526" s="788">
        <f t="shared" ref="W1526" si="1361">AA1526*(1+AB1526)</f>
        <v>3.4691200000000005E-6</v>
      </c>
      <c r="X1526" s="789">
        <f t="shared" ref="X1526" si="1362">AA1526*(1+AC1526)</f>
        <v>3.4691200000000005E-6</v>
      </c>
      <c r="Y1526" s="52">
        <v>2011</v>
      </c>
      <c r="Z1526" s="52"/>
      <c r="AA1526" s="787">
        <f>+N1526/1000</f>
        <v>4.6880000000000007E-6</v>
      </c>
      <c r="AB1526" s="256">
        <v>-0.26</v>
      </c>
      <c r="AC1526" s="688">
        <f t="shared" si="1333"/>
        <v>-0.26</v>
      </c>
      <c r="AD1526" s="164"/>
      <c r="AE1526" s="164"/>
      <c r="AF1526" s="25"/>
      <c r="AG1526" s="26"/>
      <c r="AH1526" s="275"/>
      <c r="AI1526" s="52"/>
      <c r="AJ1526" s="35"/>
      <c r="AK1526" s="289"/>
      <c r="AL1526" s="290"/>
      <c r="AM1526" s="211"/>
      <c r="AN1526" s="164"/>
      <c r="AO1526" s="594"/>
      <c r="AP1526" s="595"/>
      <c r="AQ1526" s="275"/>
      <c r="AR1526" s="52"/>
      <c r="AS1526" s="596"/>
      <c r="AT1526" s="79"/>
      <c r="AU1526" s="212"/>
      <c r="AV1526" s="164"/>
      <c r="AW1526" s="164"/>
      <c r="AX1526" s="76"/>
      <c r="AY1526" s="44"/>
      <c r="AZ1526" s="275"/>
      <c r="BA1526" s="52"/>
      <c r="BB1526" s="35"/>
      <c r="BC1526" s="79"/>
      <c r="BD1526" s="230"/>
      <c r="BE1526" s="211"/>
      <c r="BF1526" s="164"/>
      <c r="BG1526" s="76"/>
      <c r="BH1526" s="44"/>
      <c r="BI1526" s="275"/>
      <c r="BJ1526" s="52"/>
      <c r="BK1526" s="35"/>
      <c r="BL1526" s="79"/>
      <c r="BM1526" s="230"/>
      <c r="BN1526" s="211"/>
      <c r="BO1526" s="164"/>
      <c r="BP1526" s="726"/>
      <c r="BQ1526" s="727"/>
      <c r="BR1526" s="299"/>
      <c r="BS1526" s="35"/>
      <c r="BT1526" s="596"/>
      <c r="BU1526" s="79"/>
      <c r="BV1526" s="212"/>
      <c r="BW1526" s="304"/>
      <c r="BX1526" s="313"/>
      <c r="BY1526" s="138"/>
    </row>
    <row r="1527" spans="1:77" ht="15" customHeight="1" outlineLevel="1" x14ac:dyDescent="0.2">
      <c r="A1527" s="57" t="s">
        <v>24</v>
      </c>
      <c r="B1527" s="583"/>
      <c r="C1527" s="583" t="s">
        <v>1459</v>
      </c>
      <c r="D1527" s="546">
        <v>4.0209999999999999</v>
      </c>
      <c r="E1527" s="162" t="s">
        <v>631</v>
      </c>
      <c r="F1527" s="358"/>
      <c r="G1527" s="65"/>
      <c r="H1527" s="73"/>
      <c r="I1527" s="90">
        <v>2007</v>
      </c>
      <c r="J1527" s="73"/>
      <c r="K1527" s="734">
        <v>2.6610000000000002E-2</v>
      </c>
      <c r="L1527" s="717"/>
      <c r="M1527" s="73"/>
      <c r="N1527" s="359"/>
      <c r="O1527" s="1041"/>
      <c r="P1527" s="73"/>
      <c r="Q1527" s="359"/>
      <c r="R1527" s="1041"/>
      <c r="S1527" s="73"/>
      <c r="T1527" s="359"/>
      <c r="U1527" s="73"/>
      <c r="V1527" s="66"/>
      <c r="W1527" s="740">
        <f t="shared" si="1331"/>
        <v>1.2772800000000001E-5</v>
      </c>
      <c r="X1527" s="741">
        <f t="shared" si="1332"/>
        <v>1.2772800000000001E-5</v>
      </c>
      <c r="Y1527" s="52">
        <v>2007</v>
      </c>
      <c r="Z1527" s="52"/>
      <c r="AA1527" s="739">
        <f>+K1527/1000</f>
        <v>2.6610000000000001E-5</v>
      </c>
      <c r="AB1527" s="256">
        <v>-0.52</v>
      </c>
      <c r="AC1527" s="688">
        <f t="shared" si="1333"/>
        <v>-0.52</v>
      </c>
      <c r="AD1527" s="164"/>
      <c r="AE1527" s="164"/>
      <c r="AF1527" s="25"/>
      <c r="AG1527" s="26"/>
      <c r="AH1527" s="275"/>
      <c r="AI1527" s="52"/>
      <c r="AJ1527" s="35"/>
      <c r="AK1527" s="289"/>
      <c r="AL1527" s="290"/>
      <c r="AM1527" s="211"/>
      <c r="AN1527" s="164"/>
      <c r="AO1527" s="594"/>
      <c r="AP1527" s="595"/>
      <c r="AQ1527" s="275"/>
      <c r="AR1527" s="52"/>
      <c r="AS1527" s="596"/>
      <c r="AT1527" s="79"/>
      <c r="AU1527" s="212"/>
      <c r="AV1527" s="164"/>
      <c r="AW1527" s="164"/>
      <c r="AX1527" s="76"/>
      <c r="AY1527" s="44"/>
      <c r="AZ1527" s="275"/>
      <c r="BA1527" s="52"/>
      <c r="BB1527" s="35"/>
      <c r="BC1527" s="79"/>
      <c r="BD1527" s="230"/>
      <c r="BE1527" s="211"/>
      <c r="BF1527" s="164"/>
      <c r="BG1527" s="76"/>
      <c r="BH1527" s="44"/>
      <c r="BI1527" s="275"/>
      <c r="BJ1527" s="52"/>
      <c r="BK1527" s="35"/>
      <c r="BL1527" s="79"/>
      <c r="BM1527" s="230"/>
      <c r="BN1527" s="211"/>
      <c r="BO1527" s="164"/>
      <c r="BP1527" s="726"/>
      <c r="BQ1527" s="727"/>
      <c r="BR1527" s="299"/>
      <c r="BS1527" s="35"/>
      <c r="BT1527" s="596"/>
      <c r="BU1527" s="79"/>
      <c r="BV1527" s="212"/>
      <c r="BW1527" s="304"/>
      <c r="BX1527" s="313"/>
      <c r="BY1527" s="138"/>
    </row>
    <row r="1528" spans="1:77" ht="15" customHeight="1" outlineLevel="1" x14ac:dyDescent="0.2">
      <c r="A1528" s="57" t="s">
        <v>24</v>
      </c>
      <c r="B1528" s="583"/>
      <c r="C1528" s="583" t="s">
        <v>1364</v>
      </c>
      <c r="D1528" s="546">
        <v>0.59199999999999997</v>
      </c>
      <c r="E1528" s="162" t="s">
        <v>631</v>
      </c>
      <c r="F1528" s="358"/>
      <c r="G1528" s="65"/>
      <c r="H1528" s="73"/>
      <c r="I1528" s="90"/>
      <c r="J1528" s="73"/>
      <c r="K1528" s="734"/>
      <c r="L1528" s="717">
        <v>2008</v>
      </c>
      <c r="M1528" s="73"/>
      <c r="N1528" s="786">
        <v>3.5590000000000001E-3</v>
      </c>
      <c r="O1528" s="1041"/>
      <c r="P1528" s="73"/>
      <c r="Q1528" s="786"/>
      <c r="R1528" s="1041"/>
      <c r="S1528" s="73"/>
      <c r="T1528" s="786"/>
      <c r="U1528" s="73"/>
      <c r="V1528" s="66"/>
      <c r="W1528" s="788">
        <f t="shared" si="1331"/>
        <v>2.3133500000000001E-6</v>
      </c>
      <c r="X1528" s="789">
        <f t="shared" si="1332"/>
        <v>2.3133500000000001E-6</v>
      </c>
      <c r="Y1528" s="52">
        <v>2008</v>
      </c>
      <c r="Z1528" s="52"/>
      <c r="AA1528" s="787">
        <f>+N1528/1000</f>
        <v>3.5590000000000001E-6</v>
      </c>
      <c r="AB1528" s="256">
        <v>-0.35</v>
      </c>
      <c r="AC1528" s="688">
        <f t="shared" si="1333"/>
        <v>-0.35</v>
      </c>
      <c r="AD1528" s="164"/>
      <c r="AE1528" s="164"/>
      <c r="AF1528" s="25"/>
      <c r="AG1528" s="26"/>
      <c r="AH1528" s="275"/>
      <c r="AI1528" s="52"/>
      <c r="AJ1528" s="35"/>
      <c r="AK1528" s="289"/>
      <c r="AL1528" s="290"/>
      <c r="AM1528" s="211"/>
      <c r="AN1528" s="164"/>
      <c r="AO1528" s="594"/>
      <c r="AP1528" s="595"/>
      <c r="AQ1528" s="275"/>
      <c r="AR1528" s="52"/>
      <c r="AS1528" s="596"/>
      <c r="AT1528" s="79"/>
      <c r="AU1528" s="212"/>
      <c r="AV1528" s="164"/>
      <c r="AW1528" s="164"/>
      <c r="AX1528" s="76"/>
      <c r="AY1528" s="44"/>
      <c r="AZ1528" s="275"/>
      <c r="BA1528" s="52"/>
      <c r="BB1528" s="35"/>
      <c r="BC1528" s="79"/>
      <c r="BD1528" s="230"/>
      <c r="BE1528" s="211"/>
      <c r="BF1528" s="164"/>
      <c r="BG1528" s="76"/>
      <c r="BH1528" s="44"/>
      <c r="BI1528" s="275"/>
      <c r="BJ1528" s="52"/>
      <c r="BK1528" s="35"/>
      <c r="BL1528" s="79"/>
      <c r="BM1528" s="230"/>
      <c r="BN1528" s="211"/>
      <c r="BO1528" s="164"/>
      <c r="BP1528" s="726"/>
      <c r="BQ1528" s="727"/>
      <c r="BR1528" s="299"/>
      <c r="BS1528" s="35"/>
      <c r="BT1528" s="596"/>
      <c r="BU1528" s="79"/>
      <c r="BV1528" s="212"/>
      <c r="BW1528" s="304"/>
      <c r="BX1528" s="313"/>
      <c r="BY1528" s="138"/>
    </row>
    <row r="1529" spans="1:77" ht="15" customHeight="1" outlineLevel="1" x14ac:dyDescent="0.2">
      <c r="A1529" s="583" t="s">
        <v>24</v>
      </c>
      <c r="B1529" s="583"/>
      <c r="C1529" s="583" t="s">
        <v>1986</v>
      </c>
      <c r="D1529" s="546">
        <v>0.99099999999999999</v>
      </c>
      <c r="E1529" s="162" t="s">
        <v>631</v>
      </c>
      <c r="F1529" s="358"/>
      <c r="G1529" s="65"/>
      <c r="H1529" s="73"/>
      <c r="I1529" s="90"/>
      <c r="J1529" s="73"/>
      <c r="K1529" s="734"/>
      <c r="L1529" s="717">
        <v>2011</v>
      </c>
      <c r="M1529" s="73"/>
      <c r="N1529" s="786">
        <v>2.0200000000000001E-3</v>
      </c>
      <c r="O1529" s="1041"/>
      <c r="P1529" s="73"/>
      <c r="Q1529" s="786"/>
      <c r="R1529" s="1041"/>
      <c r="S1529" s="73"/>
      <c r="T1529" s="786"/>
      <c r="U1529" s="73"/>
      <c r="V1529" s="66"/>
      <c r="W1529" s="788">
        <f t="shared" ref="W1529" si="1363">AA1529*(1+AB1529)</f>
        <v>1.4544E-6</v>
      </c>
      <c r="X1529" s="789">
        <f t="shared" ref="X1529" si="1364">AA1529*(1+AC1529)</f>
        <v>1.4544E-6</v>
      </c>
      <c r="Y1529" s="52">
        <v>2011</v>
      </c>
      <c r="Z1529" s="52"/>
      <c r="AA1529" s="787">
        <f>+N1529/1000</f>
        <v>2.0200000000000001E-6</v>
      </c>
      <c r="AB1529" s="256">
        <v>-0.28000000000000003</v>
      </c>
      <c r="AC1529" s="688">
        <f t="shared" si="1333"/>
        <v>-0.28000000000000003</v>
      </c>
      <c r="AD1529" s="164"/>
      <c r="AE1529" s="164"/>
      <c r="AF1529" s="25"/>
      <c r="AG1529" s="26"/>
      <c r="AH1529" s="275"/>
      <c r="AI1529" s="52"/>
      <c r="AJ1529" s="35"/>
      <c r="AK1529" s="289"/>
      <c r="AL1529" s="290"/>
      <c r="AM1529" s="211"/>
      <c r="AN1529" s="164"/>
      <c r="AO1529" s="594"/>
      <c r="AP1529" s="595"/>
      <c r="AQ1529" s="275"/>
      <c r="AR1529" s="52"/>
      <c r="AS1529" s="596"/>
      <c r="AT1529" s="79"/>
      <c r="AU1529" s="212"/>
      <c r="AV1529" s="164"/>
      <c r="AW1529" s="164"/>
      <c r="AX1529" s="76"/>
      <c r="AY1529" s="44"/>
      <c r="AZ1529" s="275"/>
      <c r="BA1529" s="52"/>
      <c r="BB1529" s="35"/>
      <c r="BC1529" s="79"/>
      <c r="BD1529" s="230"/>
      <c r="BE1529" s="211"/>
      <c r="BF1529" s="164"/>
      <c r="BG1529" s="76"/>
      <c r="BH1529" s="44"/>
      <c r="BI1529" s="275"/>
      <c r="BJ1529" s="52"/>
      <c r="BK1529" s="35"/>
      <c r="BL1529" s="79"/>
      <c r="BM1529" s="230"/>
      <c r="BN1529" s="211"/>
      <c r="BO1529" s="164"/>
      <c r="BP1529" s="726"/>
      <c r="BQ1529" s="727"/>
      <c r="BR1529" s="299"/>
      <c r="BS1529" s="35"/>
      <c r="BT1529" s="596"/>
      <c r="BU1529" s="79"/>
      <c r="BV1529" s="212"/>
      <c r="BW1529" s="304"/>
      <c r="BX1529" s="313"/>
      <c r="BY1529" s="138"/>
    </row>
    <row r="1530" spans="1:77" ht="15" customHeight="1" outlineLevel="1" x14ac:dyDescent="0.2">
      <c r="A1530" s="57" t="s">
        <v>24</v>
      </c>
      <c r="B1530" s="583"/>
      <c r="C1530" s="583" t="s">
        <v>1472</v>
      </c>
      <c r="D1530" s="546">
        <v>0.997</v>
      </c>
      <c r="E1530" s="162" t="s">
        <v>631</v>
      </c>
      <c r="F1530" s="358"/>
      <c r="G1530" s="65"/>
      <c r="H1530" s="73"/>
      <c r="I1530" s="90"/>
      <c r="J1530" s="73"/>
      <c r="K1530" s="814">
        <v>2.9120000000000001E-3</v>
      </c>
      <c r="L1530" s="717"/>
      <c r="M1530" s="73"/>
      <c r="N1530" s="359"/>
      <c r="O1530" s="1041"/>
      <c r="P1530" s="73"/>
      <c r="Q1530" s="359"/>
      <c r="R1530" s="1041"/>
      <c r="S1530" s="73"/>
      <c r="T1530" s="359"/>
      <c r="U1530" s="73"/>
      <c r="V1530" s="66"/>
      <c r="W1530" s="788">
        <f t="shared" si="1331"/>
        <v>1.5433600000000003E-6</v>
      </c>
      <c r="X1530" s="789">
        <f t="shared" si="1332"/>
        <v>1.5433600000000003E-6</v>
      </c>
      <c r="Y1530" s="52">
        <v>2005</v>
      </c>
      <c r="Z1530" s="52"/>
      <c r="AA1530" s="787">
        <f>+K1530/1000</f>
        <v>2.9120000000000002E-6</v>
      </c>
      <c r="AB1530" s="256">
        <v>-0.47</v>
      </c>
      <c r="AC1530" s="688">
        <f t="shared" si="1333"/>
        <v>-0.47</v>
      </c>
      <c r="AD1530" s="164"/>
      <c r="AE1530" s="164"/>
      <c r="AF1530" s="25"/>
      <c r="AG1530" s="26"/>
      <c r="AH1530" s="275"/>
      <c r="AI1530" s="52"/>
      <c r="AJ1530" s="35"/>
      <c r="AK1530" s="289"/>
      <c r="AL1530" s="290"/>
      <c r="AM1530" s="211"/>
      <c r="AN1530" s="164"/>
      <c r="AO1530" s="594"/>
      <c r="AP1530" s="595"/>
      <c r="AQ1530" s="275"/>
      <c r="AR1530" s="52"/>
      <c r="AS1530" s="596"/>
      <c r="AT1530" s="79"/>
      <c r="AU1530" s="212"/>
      <c r="AV1530" s="164"/>
      <c r="AW1530" s="164"/>
      <c r="AX1530" s="76"/>
      <c r="AY1530" s="44"/>
      <c r="AZ1530" s="275"/>
      <c r="BA1530" s="52"/>
      <c r="BB1530" s="35"/>
      <c r="BC1530" s="79"/>
      <c r="BD1530" s="230"/>
      <c r="BE1530" s="211"/>
      <c r="BF1530" s="164"/>
      <c r="BG1530" s="76"/>
      <c r="BH1530" s="44"/>
      <c r="BI1530" s="275"/>
      <c r="BJ1530" s="52"/>
      <c r="BK1530" s="35"/>
      <c r="BL1530" s="79"/>
      <c r="BM1530" s="230"/>
      <c r="BN1530" s="211"/>
      <c r="BO1530" s="164"/>
      <c r="BP1530" s="726"/>
      <c r="BQ1530" s="727"/>
      <c r="BR1530" s="299"/>
      <c r="BS1530" s="35"/>
      <c r="BT1530" s="596"/>
      <c r="BU1530" s="79"/>
      <c r="BV1530" s="212"/>
      <c r="BW1530" s="304"/>
      <c r="BX1530" s="313"/>
      <c r="BY1530" s="138"/>
    </row>
    <row r="1531" spans="1:77" ht="15" customHeight="1" outlineLevel="1" x14ac:dyDescent="0.2">
      <c r="A1531" s="583" t="s">
        <v>24</v>
      </c>
      <c r="B1531" s="583"/>
      <c r="C1531" s="583" t="s">
        <v>2025</v>
      </c>
      <c r="D1531" s="546">
        <v>1.9339999999999999</v>
      </c>
      <c r="E1531" s="162" t="s">
        <v>631</v>
      </c>
      <c r="F1531" s="358"/>
      <c r="G1531" s="65"/>
      <c r="H1531" s="73"/>
      <c r="I1531" s="90"/>
      <c r="J1531" s="73"/>
      <c r="K1531" s="814"/>
      <c r="L1531" s="717">
        <v>2011</v>
      </c>
      <c r="M1531" s="73"/>
      <c r="N1531" s="811">
        <v>3.7520000000000001E-3</v>
      </c>
      <c r="O1531" s="1041"/>
      <c r="P1531" s="73"/>
      <c r="Q1531" s="359"/>
      <c r="R1531" s="1041"/>
      <c r="S1531" s="73"/>
      <c r="T1531" s="359"/>
      <c r="U1531" s="73"/>
      <c r="V1531" s="66"/>
      <c r="W1531" s="788">
        <f t="shared" ref="W1531" si="1365">AA1531*(1+AB1531)</f>
        <v>2.7014399999999999E-6</v>
      </c>
      <c r="X1531" s="789">
        <f t="shared" ref="X1531" si="1366">AA1531*(1+AC1531)</f>
        <v>2.7014399999999999E-6</v>
      </c>
      <c r="Y1531" s="52">
        <v>2011</v>
      </c>
      <c r="Z1531" s="52"/>
      <c r="AA1531" s="787">
        <f>+N1531/1000</f>
        <v>3.7520000000000002E-6</v>
      </c>
      <c r="AB1531" s="256">
        <v>-0.28000000000000003</v>
      </c>
      <c r="AC1531" s="688">
        <f t="shared" si="1333"/>
        <v>-0.28000000000000003</v>
      </c>
      <c r="AD1531" s="164"/>
      <c r="AE1531" s="164"/>
      <c r="AF1531" s="25"/>
      <c r="AG1531" s="26"/>
      <c r="AH1531" s="275"/>
      <c r="AI1531" s="52"/>
      <c r="AJ1531" s="35"/>
      <c r="AK1531" s="289"/>
      <c r="AL1531" s="290"/>
      <c r="AM1531" s="211"/>
      <c r="AN1531" s="164"/>
      <c r="AO1531" s="594"/>
      <c r="AP1531" s="595"/>
      <c r="AQ1531" s="275"/>
      <c r="AR1531" s="52"/>
      <c r="AS1531" s="596"/>
      <c r="AT1531" s="79"/>
      <c r="AU1531" s="212"/>
      <c r="AV1531" s="164"/>
      <c r="AW1531" s="164"/>
      <c r="AX1531" s="76"/>
      <c r="AY1531" s="44"/>
      <c r="AZ1531" s="275"/>
      <c r="BA1531" s="52"/>
      <c r="BB1531" s="35"/>
      <c r="BC1531" s="79"/>
      <c r="BD1531" s="230"/>
      <c r="BE1531" s="211"/>
      <c r="BF1531" s="164"/>
      <c r="BG1531" s="76"/>
      <c r="BH1531" s="44"/>
      <c r="BI1531" s="275"/>
      <c r="BJ1531" s="52"/>
      <c r="BK1531" s="35"/>
      <c r="BL1531" s="79"/>
      <c r="BM1531" s="230"/>
      <c r="BN1531" s="211"/>
      <c r="BO1531" s="164"/>
      <c r="BP1531" s="726"/>
      <c r="BQ1531" s="727"/>
      <c r="BR1531" s="299"/>
      <c r="BS1531" s="35"/>
      <c r="BT1531" s="596"/>
      <c r="BU1531" s="79"/>
      <c r="BV1531" s="212"/>
      <c r="BW1531" s="304"/>
      <c r="BX1531" s="313"/>
      <c r="BY1531" s="138"/>
    </row>
    <row r="1532" spans="1:77" ht="15" customHeight="1" outlineLevel="1" x14ac:dyDescent="0.2">
      <c r="A1532" s="583" t="s">
        <v>24</v>
      </c>
      <c r="B1532" s="583"/>
      <c r="C1532" s="583" t="s">
        <v>2067</v>
      </c>
      <c r="D1532" s="546">
        <v>2.657</v>
      </c>
      <c r="E1532" s="162" t="s">
        <v>631</v>
      </c>
      <c r="F1532" s="358"/>
      <c r="G1532" s="65"/>
      <c r="H1532" s="73"/>
      <c r="I1532" s="90"/>
      <c r="J1532" s="73"/>
      <c r="K1532" s="814">
        <v>8.4569999999999992E-3</v>
      </c>
      <c r="L1532" s="717"/>
      <c r="M1532" s="73"/>
      <c r="N1532" s="811"/>
      <c r="O1532" s="1041"/>
      <c r="P1532" s="73"/>
      <c r="Q1532" s="359"/>
      <c r="R1532" s="1041"/>
      <c r="S1532" s="73"/>
      <c r="T1532" s="359"/>
      <c r="U1532" s="73"/>
      <c r="V1532" s="66"/>
      <c r="W1532" s="788">
        <f t="shared" ref="W1532" si="1367">AA1532*(1+AB1532)</f>
        <v>6.0044699999999986E-6</v>
      </c>
      <c r="X1532" s="789">
        <f t="shared" ref="X1532" si="1368">AA1532*(1+AC1532)</f>
        <v>6.0044699999999986E-6</v>
      </c>
      <c r="Y1532" s="52">
        <v>2005</v>
      </c>
      <c r="Z1532" s="52"/>
      <c r="AA1532" s="787">
        <f>+K1532/1000</f>
        <v>8.4569999999999988E-6</v>
      </c>
      <c r="AB1532" s="256">
        <v>-0.28999999999999998</v>
      </c>
      <c r="AC1532" s="688">
        <f t="shared" si="1333"/>
        <v>-0.28999999999999998</v>
      </c>
      <c r="AD1532" s="164"/>
      <c r="AE1532" s="164"/>
      <c r="AF1532" s="25"/>
      <c r="AG1532" s="26"/>
      <c r="AH1532" s="275"/>
      <c r="AI1532" s="52"/>
      <c r="AJ1532" s="35"/>
      <c r="AK1532" s="289"/>
      <c r="AL1532" s="290"/>
      <c r="AM1532" s="211"/>
      <c r="AN1532" s="164"/>
      <c r="AO1532" s="594"/>
      <c r="AP1532" s="595"/>
      <c r="AQ1532" s="275"/>
      <c r="AR1532" s="52"/>
      <c r="AS1532" s="596"/>
      <c r="AT1532" s="79"/>
      <c r="AU1532" s="212"/>
      <c r="AV1532" s="164"/>
      <c r="AW1532" s="164"/>
      <c r="AX1532" s="76"/>
      <c r="AY1532" s="44"/>
      <c r="AZ1532" s="275"/>
      <c r="BA1532" s="52"/>
      <c r="BB1532" s="35"/>
      <c r="BC1532" s="79"/>
      <c r="BD1532" s="230"/>
      <c r="BE1532" s="211"/>
      <c r="BF1532" s="164"/>
      <c r="BG1532" s="76"/>
      <c r="BH1532" s="44"/>
      <c r="BI1532" s="275"/>
      <c r="BJ1532" s="52"/>
      <c r="BK1532" s="35"/>
      <c r="BL1532" s="79"/>
      <c r="BM1532" s="230"/>
      <c r="BN1532" s="211"/>
      <c r="BO1532" s="164"/>
      <c r="BP1532" s="726"/>
      <c r="BQ1532" s="727"/>
      <c r="BR1532" s="299"/>
      <c r="BS1532" s="35"/>
      <c r="BT1532" s="596"/>
      <c r="BU1532" s="79"/>
      <c r="BV1532" s="212"/>
      <c r="BW1532" s="304"/>
      <c r="BX1532" s="313"/>
      <c r="BY1532" s="138"/>
    </row>
    <row r="1533" spans="1:77" ht="15" customHeight="1" outlineLevel="1" x14ac:dyDescent="0.2">
      <c r="A1533" s="583" t="s">
        <v>24</v>
      </c>
      <c r="B1533" s="583"/>
      <c r="C1533" s="864" t="s">
        <v>2092</v>
      </c>
      <c r="D1533" s="546">
        <v>5.0039999999999996</v>
      </c>
      <c r="E1533" s="162" t="s">
        <v>631</v>
      </c>
      <c r="F1533" s="358"/>
      <c r="G1533" s="65"/>
      <c r="H1533" s="73"/>
      <c r="I1533" s="90"/>
      <c r="J1533" s="73"/>
      <c r="K1533" s="814"/>
      <c r="L1533" s="717">
        <v>2011</v>
      </c>
      <c r="M1533" s="73"/>
      <c r="N1533" s="811">
        <v>9.0100000000000006E-3</v>
      </c>
      <c r="O1533" s="1041"/>
      <c r="P1533" s="73"/>
      <c r="Q1533" s="359"/>
      <c r="R1533" s="1041"/>
      <c r="S1533" s="73"/>
      <c r="T1533" s="359"/>
      <c r="U1533" s="73"/>
      <c r="V1533" s="66"/>
      <c r="W1533" s="788"/>
      <c r="X1533" s="789"/>
      <c r="Y1533" s="52"/>
      <c r="Z1533" s="52"/>
      <c r="AA1533" s="787"/>
      <c r="AB1533" s="256"/>
      <c r="AC1533" s="688"/>
      <c r="AD1533" s="164"/>
      <c r="AE1533" s="164"/>
      <c r="AF1533" s="25"/>
      <c r="AG1533" s="26"/>
      <c r="AH1533" s="275"/>
      <c r="AI1533" s="52"/>
      <c r="AJ1533" s="35"/>
      <c r="AK1533" s="289"/>
      <c r="AL1533" s="290"/>
      <c r="AM1533" s="211"/>
      <c r="AN1533" s="164"/>
      <c r="AO1533" s="594"/>
      <c r="AP1533" s="595"/>
      <c r="AQ1533" s="275"/>
      <c r="AR1533" s="52"/>
      <c r="AS1533" s="596"/>
      <c r="AT1533" s="79"/>
      <c r="AU1533" s="212"/>
      <c r="AV1533" s="164"/>
      <c r="AW1533" s="164"/>
      <c r="AX1533" s="76"/>
      <c r="AY1533" s="44"/>
      <c r="AZ1533" s="275"/>
      <c r="BA1533" s="52"/>
      <c r="BB1533" s="35"/>
      <c r="BC1533" s="79"/>
      <c r="BD1533" s="230"/>
      <c r="BE1533" s="211"/>
      <c r="BF1533" s="164"/>
      <c r="BG1533" s="76"/>
      <c r="BH1533" s="44"/>
      <c r="BI1533" s="275"/>
      <c r="BJ1533" s="52"/>
      <c r="BK1533" s="35"/>
      <c r="BL1533" s="79"/>
      <c r="BM1533" s="230"/>
      <c r="BN1533" s="211"/>
      <c r="BO1533" s="164"/>
      <c r="BP1533" s="726"/>
      <c r="BQ1533" s="727"/>
      <c r="BR1533" s="299"/>
      <c r="BS1533" s="35"/>
      <c r="BT1533" s="596"/>
      <c r="BU1533" s="79"/>
      <c r="BV1533" s="212"/>
      <c r="BW1533" s="304"/>
      <c r="BX1533" s="313"/>
      <c r="BY1533" s="138"/>
    </row>
    <row r="1534" spans="1:77" ht="15" customHeight="1" outlineLevel="1" x14ac:dyDescent="0.2">
      <c r="A1534" s="583" t="s">
        <v>24</v>
      </c>
      <c r="B1534" s="583"/>
      <c r="C1534" s="864" t="s">
        <v>1973</v>
      </c>
      <c r="D1534" s="546">
        <v>3.2749999999999999</v>
      </c>
      <c r="E1534" s="162" t="s">
        <v>631</v>
      </c>
      <c r="F1534" s="358"/>
      <c r="G1534" s="65"/>
      <c r="H1534" s="73"/>
      <c r="I1534" s="90"/>
      <c r="J1534" s="73"/>
      <c r="K1534" s="814"/>
      <c r="L1534" s="717">
        <v>2008</v>
      </c>
      <c r="M1534" s="73"/>
      <c r="N1534" s="359">
        <v>7.4050000000000001E-3</v>
      </c>
      <c r="O1534" s="1041"/>
      <c r="P1534" s="73"/>
      <c r="Q1534" s="359"/>
      <c r="R1534" s="1041"/>
      <c r="S1534" s="73"/>
      <c r="T1534" s="359"/>
      <c r="U1534" s="73"/>
      <c r="V1534" s="66"/>
      <c r="W1534" s="788">
        <f t="shared" ref="W1534" si="1369">AA1534*(1+AB1534)</f>
        <v>5.4056499999999997E-6</v>
      </c>
      <c r="X1534" s="789">
        <f t="shared" ref="X1534" si="1370">AA1534*(1+AC1534)</f>
        <v>5.4056499999999997E-6</v>
      </c>
      <c r="Y1534" s="52">
        <v>2008</v>
      </c>
      <c r="Z1534" s="52"/>
      <c r="AA1534" s="787">
        <f>+N1534/1000</f>
        <v>7.4050000000000003E-6</v>
      </c>
      <c r="AB1534" s="256">
        <v>-0.27</v>
      </c>
      <c r="AC1534" s="688">
        <f t="shared" si="1333"/>
        <v>-0.27</v>
      </c>
      <c r="AD1534" s="164"/>
      <c r="AE1534" s="164"/>
      <c r="AF1534" s="25"/>
      <c r="AG1534" s="26"/>
      <c r="AH1534" s="275"/>
      <c r="AI1534" s="52"/>
      <c r="AJ1534" s="35"/>
      <c r="AK1534" s="289"/>
      <c r="AL1534" s="290"/>
      <c r="AM1534" s="211"/>
      <c r="AN1534" s="164"/>
      <c r="AO1534" s="594"/>
      <c r="AP1534" s="595"/>
      <c r="AQ1534" s="275"/>
      <c r="AR1534" s="52"/>
      <c r="AS1534" s="596"/>
      <c r="AT1534" s="79"/>
      <c r="AU1534" s="212"/>
      <c r="AV1534" s="164"/>
      <c r="AW1534" s="164"/>
      <c r="AX1534" s="76"/>
      <c r="AY1534" s="44"/>
      <c r="AZ1534" s="275"/>
      <c r="BA1534" s="52"/>
      <c r="BB1534" s="35"/>
      <c r="BC1534" s="79"/>
      <c r="BD1534" s="230"/>
      <c r="BE1534" s="211"/>
      <c r="BF1534" s="164"/>
      <c r="BG1534" s="76"/>
      <c r="BH1534" s="44"/>
      <c r="BI1534" s="275"/>
      <c r="BJ1534" s="52"/>
      <c r="BK1534" s="35"/>
      <c r="BL1534" s="79"/>
      <c r="BM1534" s="230"/>
      <c r="BN1534" s="211"/>
      <c r="BO1534" s="164"/>
      <c r="BP1534" s="726"/>
      <c r="BQ1534" s="727"/>
      <c r="BR1534" s="299"/>
      <c r="BS1534" s="35"/>
      <c r="BT1534" s="596"/>
      <c r="BU1534" s="79"/>
      <c r="BV1534" s="212"/>
      <c r="BW1534" s="304"/>
      <c r="BX1534" s="313"/>
      <c r="BY1534" s="138"/>
    </row>
    <row r="1535" spans="1:77" ht="15" customHeight="1" outlineLevel="1" x14ac:dyDescent="0.2">
      <c r="A1535" s="57" t="s">
        <v>24</v>
      </c>
      <c r="B1535" s="583"/>
      <c r="C1535" s="864" t="s">
        <v>1880</v>
      </c>
      <c r="D1535" s="819">
        <v>1.794</v>
      </c>
      <c r="E1535" s="162" t="s">
        <v>631</v>
      </c>
      <c r="F1535" s="358"/>
      <c r="G1535" s="65"/>
      <c r="H1535" s="73"/>
      <c r="I1535" s="90"/>
      <c r="J1535" s="73"/>
      <c r="K1535" s="790">
        <v>7.1729999999999997E-3</v>
      </c>
      <c r="L1535" s="717"/>
      <c r="M1535" s="73"/>
      <c r="N1535" s="359"/>
      <c r="O1535" s="1041"/>
      <c r="P1535" s="73"/>
      <c r="Q1535" s="359"/>
      <c r="R1535" s="1041"/>
      <c r="S1535" s="73"/>
      <c r="T1535" s="359"/>
      <c r="U1535" s="73"/>
      <c r="V1535" s="66"/>
      <c r="W1535" s="788">
        <f>AA1535*(1+AB1535)</f>
        <v>5.3080199999999995E-6</v>
      </c>
      <c r="X1535" s="789">
        <f>AA1535*(1+AC1535)</f>
        <v>5.3080199999999995E-6</v>
      </c>
      <c r="Y1535" s="52">
        <v>2005</v>
      </c>
      <c r="Z1535" s="52"/>
      <c r="AA1535" s="787">
        <f>+K1535/1000</f>
        <v>7.1729999999999998E-6</v>
      </c>
      <c r="AB1535" s="256">
        <v>-0.26</v>
      </c>
      <c r="AC1535" s="688">
        <f>AB1535</f>
        <v>-0.26</v>
      </c>
      <c r="AD1535" s="164"/>
      <c r="AE1535" s="164"/>
      <c r="AF1535" s="25"/>
      <c r="AG1535" s="26"/>
      <c r="AH1535" s="275"/>
      <c r="AI1535" s="52"/>
      <c r="AJ1535" s="35"/>
      <c r="AK1535" s="289"/>
      <c r="AL1535" s="290"/>
      <c r="AM1535" s="211"/>
      <c r="AN1535" s="164"/>
      <c r="AO1535" s="594"/>
      <c r="AP1535" s="595"/>
      <c r="AQ1535" s="275"/>
      <c r="AR1535" s="52"/>
      <c r="AS1535" s="596"/>
      <c r="AT1535" s="79"/>
      <c r="AU1535" s="212"/>
      <c r="AV1535" s="164"/>
      <c r="AW1535" s="164"/>
      <c r="AX1535" s="76"/>
      <c r="AY1535" s="44"/>
      <c r="AZ1535" s="275"/>
      <c r="BA1535" s="52"/>
      <c r="BB1535" s="35"/>
      <c r="BC1535" s="79"/>
      <c r="BD1535" s="230"/>
      <c r="BE1535" s="211"/>
      <c r="BF1535" s="164"/>
      <c r="BG1535" s="76"/>
      <c r="BH1535" s="44"/>
      <c r="BI1535" s="275"/>
      <c r="BJ1535" s="52"/>
      <c r="BK1535" s="35"/>
      <c r="BL1535" s="79"/>
      <c r="BM1535" s="230"/>
      <c r="BN1535" s="211"/>
      <c r="BO1535" s="164"/>
      <c r="BP1535" s="726"/>
      <c r="BQ1535" s="727"/>
      <c r="BR1535" s="299"/>
      <c r="BS1535" s="35"/>
      <c r="BT1535" s="596"/>
      <c r="BU1535" s="79"/>
      <c r="BV1535" s="212"/>
      <c r="BW1535" s="304"/>
      <c r="BX1535" s="313"/>
      <c r="BY1535" s="138"/>
    </row>
    <row r="1536" spans="1:77" ht="15" customHeight="1" outlineLevel="1" x14ac:dyDescent="0.2">
      <c r="A1536" s="583" t="s">
        <v>24</v>
      </c>
      <c r="B1536" s="583"/>
      <c r="C1536" s="864" t="s">
        <v>1789</v>
      </c>
      <c r="D1536" s="546">
        <v>31.052</v>
      </c>
      <c r="E1536" s="162" t="s">
        <v>631</v>
      </c>
      <c r="F1536" s="358"/>
      <c r="G1536" s="65"/>
      <c r="H1536" s="73"/>
      <c r="I1536" s="90"/>
      <c r="J1536" s="73"/>
      <c r="K1536" s="814"/>
      <c r="L1536" s="717"/>
      <c r="M1536" s="73"/>
      <c r="N1536" s="359">
        <v>0.175484</v>
      </c>
      <c r="O1536" s="1041"/>
      <c r="P1536" s="73"/>
      <c r="Q1536" s="359"/>
      <c r="R1536" s="1041"/>
      <c r="S1536" s="73"/>
      <c r="T1536" s="359"/>
      <c r="U1536" s="73"/>
      <c r="V1536" s="66"/>
      <c r="W1536" s="788">
        <f t="shared" ref="W1536" si="1371">AA1536*(1+AB1536)</f>
        <v>1.3161299999999999E-4</v>
      </c>
      <c r="X1536" s="789">
        <f t="shared" ref="X1536" si="1372">AA1536*(1+AC1536)</f>
        <v>1.3161299999999999E-4</v>
      </c>
      <c r="Y1536" s="52">
        <v>2010</v>
      </c>
      <c r="Z1536" s="52"/>
      <c r="AA1536" s="787">
        <f>+N1536/1000</f>
        <v>1.75484E-4</v>
      </c>
      <c r="AB1536" s="256">
        <v>-0.25</v>
      </c>
      <c r="AC1536" s="688">
        <f t="shared" si="1333"/>
        <v>-0.25</v>
      </c>
      <c r="AD1536" s="164"/>
      <c r="AE1536" s="164"/>
      <c r="AF1536" s="25"/>
      <c r="AG1536" s="26"/>
      <c r="AH1536" s="275"/>
      <c r="AI1536" s="52"/>
      <c r="AJ1536" s="35"/>
      <c r="AK1536" s="289"/>
      <c r="AL1536" s="290"/>
      <c r="AM1536" s="211"/>
      <c r="AN1536" s="164"/>
      <c r="AO1536" s="594"/>
      <c r="AP1536" s="595"/>
      <c r="AQ1536" s="275"/>
      <c r="AR1536" s="52"/>
      <c r="AS1536" s="596"/>
      <c r="AT1536" s="79"/>
      <c r="AU1536" s="212"/>
      <c r="AV1536" s="164"/>
      <c r="AW1536" s="164"/>
      <c r="AX1536" s="76"/>
      <c r="AY1536" s="44"/>
      <c r="AZ1536" s="275"/>
      <c r="BA1536" s="52"/>
      <c r="BB1536" s="35"/>
      <c r="BC1536" s="79"/>
      <c r="BD1536" s="230"/>
      <c r="BE1536" s="211"/>
      <c r="BF1536" s="164"/>
      <c r="BG1536" s="76"/>
      <c r="BH1536" s="44"/>
      <c r="BI1536" s="275"/>
      <c r="BJ1536" s="52"/>
      <c r="BK1536" s="35"/>
      <c r="BL1536" s="79"/>
      <c r="BM1536" s="230"/>
      <c r="BN1536" s="211"/>
      <c r="BO1536" s="164"/>
      <c r="BP1536" s="726"/>
      <c r="BQ1536" s="727"/>
      <c r="BR1536" s="299"/>
      <c r="BS1536" s="35"/>
      <c r="BT1536" s="596"/>
      <c r="BU1536" s="79"/>
      <c r="BV1536" s="212"/>
      <c r="BW1536" s="304"/>
      <c r="BX1536" s="313"/>
      <c r="BY1536" s="138"/>
    </row>
    <row r="1537" spans="1:77" ht="15" customHeight="1" outlineLevel="1" x14ac:dyDescent="0.2">
      <c r="A1537" s="583" t="s">
        <v>24</v>
      </c>
      <c r="B1537" s="583"/>
      <c r="C1537" s="583" t="s">
        <v>1862</v>
      </c>
      <c r="D1537" s="546">
        <v>37.326000000000001</v>
      </c>
      <c r="E1537" s="162" t="s">
        <v>631</v>
      </c>
      <c r="F1537" s="358"/>
      <c r="G1537" s="65"/>
      <c r="H1537" s="73"/>
      <c r="I1537" s="90">
        <v>2004</v>
      </c>
      <c r="J1537" s="73"/>
      <c r="K1537" s="814">
        <v>0.12901599999999999</v>
      </c>
      <c r="L1537" s="717"/>
      <c r="M1537" s="73"/>
      <c r="N1537" s="359"/>
      <c r="O1537" s="1041"/>
      <c r="P1537" s="73"/>
      <c r="Q1537" s="359"/>
      <c r="R1537" s="1041"/>
      <c r="S1537" s="73"/>
      <c r="T1537" s="359"/>
      <c r="U1537" s="73"/>
      <c r="V1537" s="66"/>
      <c r="W1537" s="788">
        <f t="shared" ref="W1537" si="1373">AA1537*(1+AB1537)</f>
        <v>9.5471839999999999E-5</v>
      </c>
      <c r="X1537" s="789">
        <f t="shared" ref="X1537" si="1374">AA1537*(1+AC1537)</f>
        <v>9.5471839999999999E-5</v>
      </c>
      <c r="Y1537" s="52">
        <v>2004</v>
      </c>
      <c r="Z1537" s="52"/>
      <c r="AA1537" s="787">
        <f>+K1537/1000</f>
        <v>1.29016E-4</v>
      </c>
      <c r="AB1537" s="256">
        <v>-0.26</v>
      </c>
      <c r="AC1537" s="688">
        <f t="shared" si="1333"/>
        <v>-0.26</v>
      </c>
      <c r="AD1537" s="164"/>
      <c r="AE1537" s="164"/>
      <c r="AF1537" s="25"/>
      <c r="AG1537" s="26"/>
      <c r="AH1537" s="275"/>
      <c r="AI1537" s="52"/>
      <c r="AJ1537" s="35"/>
      <c r="AK1537" s="289"/>
      <c r="AL1537" s="290"/>
      <c r="AM1537" s="211"/>
      <c r="AN1537" s="164"/>
      <c r="AO1537" s="594"/>
      <c r="AP1537" s="595"/>
      <c r="AQ1537" s="275"/>
      <c r="AR1537" s="52"/>
      <c r="AS1537" s="596"/>
      <c r="AT1537" s="79"/>
      <c r="AU1537" s="212"/>
      <c r="AV1537" s="164"/>
      <c r="AW1537" s="164"/>
      <c r="AX1537" s="76"/>
      <c r="AY1537" s="44"/>
      <c r="AZ1537" s="275"/>
      <c r="BA1537" s="52"/>
      <c r="BB1537" s="35"/>
      <c r="BC1537" s="79"/>
      <c r="BD1537" s="230"/>
      <c r="BE1537" s="211"/>
      <c r="BF1537" s="164"/>
      <c r="BG1537" s="76"/>
      <c r="BH1537" s="44"/>
      <c r="BI1537" s="275"/>
      <c r="BJ1537" s="52"/>
      <c r="BK1537" s="35"/>
      <c r="BL1537" s="79"/>
      <c r="BM1537" s="230"/>
      <c r="BN1537" s="211"/>
      <c r="BO1537" s="164"/>
      <c r="BP1537" s="726"/>
      <c r="BQ1537" s="727"/>
      <c r="BR1537" s="299"/>
      <c r="BS1537" s="35"/>
      <c r="BT1537" s="596"/>
      <c r="BU1537" s="79"/>
      <c r="BV1537" s="212"/>
      <c r="BW1537" s="304"/>
      <c r="BX1537" s="313"/>
      <c r="BY1537" s="138"/>
    </row>
    <row r="1538" spans="1:77" ht="15" customHeight="1" outlineLevel="1" x14ac:dyDescent="0.2">
      <c r="A1538" s="583" t="s">
        <v>24</v>
      </c>
      <c r="B1538" s="583"/>
      <c r="C1538" s="583" t="s">
        <v>1987</v>
      </c>
      <c r="D1538" s="546">
        <v>2.7090000000000001</v>
      </c>
      <c r="E1538" s="162" t="s">
        <v>631</v>
      </c>
      <c r="F1538" s="358"/>
      <c r="G1538" s="65"/>
      <c r="H1538" s="73"/>
      <c r="I1538" s="90"/>
      <c r="J1538" s="73"/>
      <c r="K1538" s="814"/>
      <c r="L1538" s="717">
        <v>2011</v>
      </c>
      <c r="M1538" s="73"/>
      <c r="N1538" s="811">
        <v>5.7400000000000003E-3</v>
      </c>
      <c r="O1538" s="1041"/>
      <c r="P1538" s="73"/>
      <c r="Q1538" s="359"/>
      <c r="R1538" s="1041"/>
      <c r="S1538" s="73"/>
      <c r="T1538" s="359"/>
      <c r="U1538" s="73"/>
      <c r="V1538" s="66"/>
      <c r="W1538" s="788">
        <f t="shared" ref="W1538" si="1375">AA1538*(1+AB1538)</f>
        <v>4.1327999999999996E-6</v>
      </c>
      <c r="X1538" s="789">
        <f t="shared" ref="X1538" si="1376">AA1538*(1+AC1538)</f>
        <v>4.1327999999999996E-6</v>
      </c>
      <c r="Y1538" s="52">
        <v>2011</v>
      </c>
      <c r="Z1538" s="52"/>
      <c r="AA1538" s="787">
        <f t="shared" ref="AA1538:AA1546" si="1377">+N1538/1000</f>
        <v>5.7400000000000001E-6</v>
      </c>
      <c r="AB1538" s="256">
        <v>-0.28000000000000003</v>
      </c>
      <c r="AC1538" s="688">
        <f t="shared" si="1333"/>
        <v>-0.28000000000000003</v>
      </c>
      <c r="AD1538" s="164"/>
      <c r="AE1538" s="164"/>
      <c r="AF1538" s="25"/>
      <c r="AG1538" s="26"/>
      <c r="AH1538" s="275"/>
      <c r="AI1538" s="52"/>
      <c r="AJ1538" s="35"/>
      <c r="AK1538" s="289"/>
      <c r="AL1538" s="290"/>
      <c r="AM1538" s="211"/>
      <c r="AN1538" s="164"/>
      <c r="AO1538" s="594"/>
      <c r="AP1538" s="595"/>
      <c r="AQ1538" s="275"/>
      <c r="AR1538" s="52"/>
      <c r="AS1538" s="596"/>
      <c r="AT1538" s="79"/>
      <c r="AU1538" s="212"/>
      <c r="AV1538" s="164"/>
      <c r="AW1538" s="164"/>
      <c r="AX1538" s="76"/>
      <c r="AY1538" s="44"/>
      <c r="AZ1538" s="275"/>
      <c r="BA1538" s="52"/>
      <c r="BB1538" s="35"/>
      <c r="BC1538" s="79"/>
      <c r="BD1538" s="230"/>
      <c r="BE1538" s="211"/>
      <c r="BF1538" s="164"/>
      <c r="BG1538" s="76"/>
      <c r="BH1538" s="44"/>
      <c r="BI1538" s="275"/>
      <c r="BJ1538" s="52"/>
      <c r="BK1538" s="35"/>
      <c r="BL1538" s="79"/>
      <c r="BM1538" s="230"/>
      <c r="BN1538" s="211"/>
      <c r="BO1538" s="164"/>
      <c r="BP1538" s="726"/>
      <c r="BQ1538" s="727"/>
      <c r="BR1538" s="299"/>
      <c r="BS1538" s="35"/>
      <c r="BT1538" s="596"/>
      <c r="BU1538" s="79"/>
      <c r="BV1538" s="212"/>
      <c r="BW1538" s="304"/>
      <c r="BX1538" s="313"/>
      <c r="BY1538" s="138"/>
    </row>
    <row r="1539" spans="1:77" ht="15" customHeight="1" outlineLevel="1" x14ac:dyDescent="0.2">
      <c r="A1539" s="57" t="s">
        <v>24</v>
      </c>
      <c r="B1539" s="583"/>
      <c r="C1539" s="583" t="s">
        <v>1443</v>
      </c>
      <c r="D1539" s="546">
        <v>2.0150000000000001</v>
      </c>
      <c r="E1539" s="162" t="s">
        <v>631</v>
      </c>
      <c r="F1539" s="358"/>
      <c r="G1539" s="65"/>
      <c r="H1539" s="73"/>
      <c r="I1539" s="90"/>
      <c r="J1539" s="73"/>
      <c r="K1539" s="734"/>
      <c r="L1539" s="717">
        <v>2009</v>
      </c>
      <c r="M1539" s="73"/>
      <c r="N1539" s="738">
        <v>8.2869999999999992E-3</v>
      </c>
      <c r="O1539" s="1041"/>
      <c r="P1539" s="73"/>
      <c r="Q1539" s="738"/>
      <c r="R1539" s="1041"/>
      <c r="S1539" s="73"/>
      <c r="T1539" s="738"/>
      <c r="U1539" s="73"/>
      <c r="V1539" s="66"/>
      <c r="W1539" s="788">
        <f t="shared" si="1331"/>
        <v>4.0606299999999993E-6</v>
      </c>
      <c r="X1539" s="789">
        <f t="shared" si="1332"/>
        <v>4.0606299999999993E-6</v>
      </c>
      <c r="Y1539" s="52">
        <v>2009</v>
      </c>
      <c r="Z1539" s="52"/>
      <c r="AA1539" s="787">
        <f t="shared" si="1377"/>
        <v>8.2869999999999988E-6</v>
      </c>
      <c r="AB1539" s="256">
        <v>-0.51</v>
      </c>
      <c r="AC1539" s="688">
        <f t="shared" si="1333"/>
        <v>-0.51</v>
      </c>
      <c r="AD1539" s="164"/>
      <c r="AE1539" s="164"/>
      <c r="AF1539" s="25"/>
      <c r="AG1539" s="26"/>
      <c r="AH1539" s="275"/>
      <c r="AI1539" s="52"/>
      <c r="AJ1539" s="35"/>
      <c r="AK1539" s="289"/>
      <c r="AL1539" s="290"/>
      <c r="AM1539" s="211"/>
      <c r="AN1539" s="164"/>
      <c r="AO1539" s="594"/>
      <c r="AP1539" s="595"/>
      <c r="AQ1539" s="275"/>
      <c r="AR1539" s="52"/>
      <c r="AS1539" s="596"/>
      <c r="AT1539" s="79"/>
      <c r="AU1539" s="212"/>
      <c r="AV1539" s="164"/>
      <c r="AW1539" s="164"/>
      <c r="AX1539" s="76"/>
      <c r="AY1539" s="44"/>
      <c r="AZ1539" s="275"/>
      <c r="BA1539" s="52"/>
      <c r="BB1539" s="35"/>
      <c r="BC1539" s="79"/>
      <c r="BD1539" s="230"/>
      <c r="BE1539" s="211"/>
      <c r="BF1539" s="164"/>
      <c r="BG1539" s="76"/>
      <c r="BH1539" s="44"/>
      <c r="BI1539" s="275"/>
      <c r="BJ1539" s="52"/>
      <c r="BK1539" s="35"/>
      <c r="BL1539" s="79"/>
      <c r="BM1539" s="230"/>
      <c r="BN1539" s="211"/>
      <c r="BO1539" s="164"/>
      <c r="BP1539" s="726"/>
      <c r="BQ1539" s="727"/>
      <c r="BR1539" s="299"/>
      <c r="BS1539" s="35"/>
      <c r="BT1539" s="596"/>
      <c r="BU1539" s="79"/>
      <c r="BV1539" s="212"/>
      <c r="BW1539" s="304"/>
      <c r="BX1539" s="313"/>
      <c r="BY1539" s="138"/>
    </row>
    <row r="1540" spans="1:77" ht="15" customHeight="1" outlineLevel="1" x14ac:dyDescent="0.2">
      <c r="A1540" s="57" t="s">
        <v>24</v>
      </c>
      <c r="B1540" s="583"/>
      <c r="C1540" s="583" t="s">
        <v>2386</v>
      </c>
      <c r="D1540" s="546">
        <v>36.188000000000002</v>
      </c>
      <c r="E1540" s="162" t="s">
        <v>631</v>
      </c>
      <c r="F1540" s="358"/>
      <c r="G1540" s="65"/>
      <c r="H1540" s="73"/>
      <c r="I1540" s="90">
        <v>2000</v>
      </c>
      <c r="J1540" s="73"/>
      <c r="K1540" s="734">
        <v>0.15779299999999999</v>
      </c>
      <c r="L1540" s="717"/>
      <c r="M1540" s="73"/>
      <c r="N1540" s="738"/>
      <c r="O1540" s="1041"/>
      <c r="P1540" s="73"/>
      <c r="Q1540" s="738"/>
      <c r="R1540" s="1041"/>
      <c r="S1540" s="73"/>
      <c r="T1540" s="738"/>
      <c r="U1540" s="73"/>
      <c r="V1540" s="66"/>
      <c r="W1540" s="788">
        <f t="shared" ref="W1540" si="1378">AA1540*(1+AB1540)</f>
        <v>1.0256545E-4</v>
      </c>
      <c r="X1540" s="789">
        <f t="shared" ref="X1540" si="1379">AA1540*(1+AC1540)</f>
        <v>1.0256545E-4</v>
      </c>
      <c r="Y1540" s="52">
        <v>2000</v>
      </c>
      <c r="Z1540" s="52"/>
      <c r="AA1540" s="787">
        <f>+K1540/1000</f>
        <v>1.5779299999999998E-4</v>
      </c>
      <c r="AB1540" s="256">
        <v>-0.35</v>
      </c>
      <c r="AC1540" s="688">
        <f t="shared" ref="AC1540" si="1380">AB1540</f>
        <v>-0.35</v>
      </c>
      <c r="AD1540" s="164"/>
      <c r="AE1540" s="164"/>
      <c r="AF1540" s="25"/>
      <c r="AG1540" s="26"/>
      <c r="AH1540" s="275"/>
      <c r="AI1540" s="52"/>
      <c r="AJ1540" s="35"/>
      <c r="AK1540" s="289"/>
      <c r="AL1540" s="290"/>
      <c r="AM1540" s="211"/>
      <c r="AN1540" s="164"/>
      <c r="AO1540" s="594"/>
      <c r="AP1540" s="595"/>
      <c r="AQ1540" s="275"/>
      <c r="AR1540" s="52"/>
      <c r="AS1540" s="596"/>
      <c r="AT1540" s="79"/>
      <c r="AU1540" s="212"/>
      <c r="AV1540" s="164"/>
      <c r="AW1540" s="164"/>
      <c r="AX1540" s="76"/>
      <c r="AY1540" s="44"/>
      <c r="AZ1540" s="275"/>
      <c r="BA1540" s="52"/>
      <c r="BB1540" s="35"/>
      <c r="BC1540" s="79"/>
      <c r="BD1540" s="230"/>
      <c r="BE1540" s="211"/>
      <c r="BF1540" s="164"/>
      <c r="BG1540" s="76"/>
      <c r="BH1540" s="44"/>
      <c r="BI1540" s="275"/>
      <c r="BJ1540" s="52"/>
      <c r="BK1540" s="35"/>
      <c r="BL1540" s="79"/>
      <c r="BM1540" s="230"/>
      <c r="BN1540" s="211"/>
      <c r="BO1540" s="164"/>
      <c r="BP1540" s="726"/>
      <c r="BQ1540" s="727"/>
      <c r="BR1540" s="299"/>
      <c r="BS1540" s="35"/>
      <c r="BT1540" s="596"/>
      <c r="BU1540" s="79"/>
      <c r="BV1540" s="212"/>
      <c r="BW1540" s="304"/>
      <c r="BX1540" s="313"/>
      <c r="BY1540" s="138"/>
    </row>
    <row r="1541" spans="1:77" ht="15" customHeight="1" outlineLevel="1" x14ac:dyDescent="0.2">
      <c r="A1541" s="583" t="s">
        <v>24</v>
      </c>
      <c r="B1541" s="583"/>
      <c r="C1541" s="583" t="s">
        <v>1922</v>
      </c>
      <c r="D1541" s="546">
        <v>2.9569999999999999</v>
      </c>
      <c r="E1541" s="162" t="s">
        <v>631</v>
      </c>
      <c r="F1541" s="358"/>
      <c r="G1541" s="65"/>
      <c r="H1541" s="73"/>
      <c r="I1541" s="90"/>
      <c r="J1541" s="73"/>
      <c r="K1541" s="734"/>
      <c r="L1541" s="717">
        <v>2011</v>
      </c>
      <c r="M1541" s="73"/>
      <c r="N1541" s="786">
        <v>6.1809999999999999E-3</v>
      </c>
      <c r="O1541" s="1041"/>
      <c r="P1541" s="73"/>
      <c r="Q1541" s="359"/>
      <c r="R1541" s="1041"/>
      <c r="S1541" s="73"/>
      <c r="T1541" s="359"/>
      <c r="U1541" s="73"/>
      <c r="V1541" s="66"/>
      <c r="W1541" s="808">
        <f t="shared" ref="W1541" si="1381">AA1541*(1+AB1541)</f>
        <v>4.5121299999999999E-6</v>
      </c>
      <c r="X1541" s="809">
        <f t="shared" ref="X1541" si="1382">AA1541*(1+AC1541)</f>
        <v>4.5121299999999999E-6</v>
      </c>
      <c r="Y1541" s="52">
        <v>2011</v>
      </c>
      <c r="Z1541" s="52"/>
      <c r="AA1541" s="787">
        <f t="shared" si="1377"/>
        <v>6.1809999999999998E-6</v>
      </c>
      <c r="AB1541" s="256">
        <v>-0.27</v>
      </c>
      <c r="AC1541" s="688">
        <f t="shared" si="1333"/>
        <v>-0.27</v>
      </c>
      <c r="AD1541" s="164"/>
      <c r="AE1541" s="164"/>
      <c r="AF1541" s="25"/>
      <c r="AG1541" s="26"/>
      <c r="AH1541" s="275"/>
      <c r="AI1541" s="52"/>
      <c r="AJ1541" s="35"/>
      <c r="AK1541" s="289"/>
      <c r="AL1541" s="290"/>
      <c r="AM1541" s="211"/>
      <c r="AN1541" s="164"/>
      <c r="AO1541" s="594"/>
      <c r="AP1541" s="595"/>
      <c r="AQ1541" s="275"/>
      <c r="AR1541" s="52"/>
      <c r="AS1541" s="596"/>
      <c r="AT1541" s="79"/>
      <c r="AU1541" s="212"/>
      <c r="AV1541" s="164"/>
      <c r="AW1541" s="164"/>
      <c r="AX1541" s="76"/>
      <c r="AY1541" s="44"/>
      <c r="AZ1541" s="275"/>
      <c r="BA1541" s="52"/>
      <c r="BB1541" s="35"/>
      <c r="BC1541" s="79"/>
      <c r="BD1541" s="230"/>
      <c r="BE1541" s="211"/>
      <c r="BF1541" s="164"/>
      <c r="BG1541" s="76"/>
      <c r="BH1541" s="44"/>
      <c r="BI1541" s="275"/>
      <c r="BJ1541" s="52"/>
      <c r="BK1541" s="35"/>
      <c r="BL1541" s="79"/>
      <c r="BM1541" s="230"/>
      <c r="BN1541" s="211"/>
      <c r="BO1541" s="164"/>
      <c r="BP1541" s="726"/>
      <c r="BQ1541" s="727"/>
      <c r="BR1541" s="299"/>
      <c r="BS1541" s="35"/>
      <c r="BT1541" s="596"/>
      <c r="BU1541" s="79"/>
      <c r="BV1541" s="212"/>
      <c r="BW1541" s="304"/>
      <c r="BX1541" s="313"/>
      <c r="BY1541" s="138"/>
    </row>
    <row r="1542" spans="1:77" ht="15" customHeight="1" outlineLevel="1" x14ac:dyDescent="0.2">
      <c r="A1542" s="583" t="s">
        <v>24</v>
      </c>
      <c r="B1542" s="583"/>
      <c r="C1542" s="583" t="s">
        <v>1990</v>
      </c>
      <c r="D1542" s="546">
        <v>3.7759999999999998</v>
      </c>
      <c r="E1542" s="162" t="s">
        <v>631</v>
      </c>
      <c r="F1542" s="358"/>
      <c r="G1542" s="65"/>
      <c r="H1542" s="73"/>
      <c r="I1542" s="90"/>
      <c r="J1542" s="73"/>
      <c r="K1542" s="734"/>
      <c r="L1542" s="717">
        <v>2011</v>
      </c>
      <c r="M1542" s="73"/>
      <c r="N1542" s="786">
        <v>6.0000000000000001E-3</v>
      </c>
      <c r="O1542" s="1041"/>
      <c r="P1542" s="73"/>
      <c r="Q1542" s="359"/>
      <c r="R1542" s="1041"/>
      <c r="S1542" s="73"/>
      <c r="T1542" s="359"/>
      <c r="U1542" s="73"/>
      <c r="V1542" s="66"/>
      <c r="W1542" s="808">
        <f t="shared" ref="W1542" si="1383">AA1542*(1+AB1542)</f>
        <v>4.3200000000000001E-6</v>
      </c>
      <c r="X1542" s="809">
        <f t="shared" ref="X1542" si="1384">AA1542*(1+AC1542)</f>
        <v>4.3200000000000001E-6</v>
      </c>
      <c r="Y1542" s="52">
        <v>2011</v>
      </c>
      <c r="Z1542" s="52"/>
      <c r="AA1542" s="787">
        <f t="shared" si="1377"/>
        <v>6.0000000000000002E-6</v>
      </c>
      <c r="AB1542" s="256">
        <v>-0.28000000000000003</v>
      </c>
      <c r="AC1542" s="688">
        <f t="shared" si="1333"/>
        <v>-0.28000000000000003</v>
      </c>
      <c r="AD1542" s="164"/>
      <c r="AE1542" s="164"/>
      <c r="AF1542" s="25"/>
      <c r="AG1542" s="26"/>
      <c r="AH1542" s="275"/>
      <c r="AI1542" s="52"/>
      <c r="AJ1542" s="35"/>
      <c r="AK1542" s="289"/>
      <c r="AL1542" s="290"/>
      <c r="AM1542" s="211"/>
      <c r="AN1542" s="164"/>
      <c r="AO1542" s="594"/>
      <c r="AP1542" s="595"/>
      <c r="AQ1542" s="275"/>
      <c r="AR1542" s="52"/>
      <c r="AS1542" s="596"/>
      <c r="AT1542" s="79"/>
      <c r="AU1542" s="212"/>
      <c r="AV1542" s="164"/>
      <c r="AW1542" s="164"/>
      <c r="AX1542" s="76"/>
      <c r="AY1542" s="44"/>
      <c r="AZ1542" s="275"/>
      <c r="BA1542" s="52"/>
      <c r="BB1542" s="35"/>
      <c r="BC1542" s="79"/>
      <c r="BD1542" s="230"/>
      <c r="BE1542" s="211"/>
      <c r="BF1542" s="164"/>
      <c r="BG1542" s="76"/>
      <c r="BH1542" s="44"/>
      <c r="BI1542" s="275"/>
      <c r="BJ1542" s="52"/>
      <c r="BK1542" s="35"/>
      <c r="BL1542" s="79"/>
      <c r="BM1542" s="230"/>
      <c r="BN1542" s="211"/>
      <c r="BO1542" s="164"/>
      <c r="BP1542" s="726"/>
      <c r="BQ1542" s="727"/>
      <c r="BR1542" s="299"/>
      <c r="BS1542" s="35"/>
      <c r="BT1542" s="596"/>
      <c r="BU1542" s="79"/>
      <c r="BV1542" s="212"/>
      <c r="BW1542" s="304"/>
      <c r="BX1542" s="313"/>
      <c r="BY1542" s="138"/>
    </row>
    <row r="1543" spans="1:77" ht="15" customHeight="1" outlineLevel="1" x14ac:dyDescent="0.2">
      <c r="A1543" s="583" t="s">
        <v>24</v>
      </c>
      <c r="B1543" s="583"/>
      <c r="C1543" s="583" t="s">
        <v>1761</v>
      </c>
      <c r="D1543" s="546">
        <v>0.96399999999999997</v>
      </c>
      <c r="E1543" s="162" t="s">
        <v>631</v>
      </c>
      <c r="F1543" s="358"/>
      <c r="G1543" s="65"/>
      <c r="H1543" s="73"/>
      <c r="I1543" s="90"/>
      <c r="J1543" s="73"/>
      <c r="K1543" s="734"/>
      <c r="L1543" s="717"/>
      <c r="M1543" s="73"/>
      <c r="N1543" s="786">
        <v>9.7599999999999998E-4</v>
      </c>
      <c r="O1543" s="1041"/>
      <c r="P1543" s="73"/>
      <c r="Q1543" s="786"/>
      <c r="R1543" s="1041"/>
      <c r="S1543" s="73"/>
      <c r="T1543" s="786"/>
      <c r="U1543" s="73"/>
      <c r="V1543" s="66"/>
      <c r="W1543" s="808">
        <f t="shared" ref="W1543" si="1385">AA1543*(1+AB1543)</f>
        <v>7.3200000000000004E-7</v>
      </c>
      <c r="X1543" s="809">
        <f t="shared" ref="X1543" si="1386">AA1543*(1+AC1543)</f>
        <v>7.3200000000000004E-7</v>
      </c>
      <c r="Y1543" s="52">
        <v>2010</v>
      </c>
      <c r="Z1543" s="52"/>
      <c r="AA1543" s="807">
        <f t="shared" si="1377"/>
        <v>9.7600000000000006E-7</v>
      </c>
      <c r="AB1543" s="256">
        <v>-0.25</v>
      </c>
      <c r="AC1543" s="688">
        <f t="shared" si="1333"/>
        <v>-0.25</v>
      </c>
      <c r="AD1543" s="164"/>
      <c r="AE1543" s="164"/>
      <c r="AF1543" s="25"/>
      <c r="AG1543" s="26"/>
      <c r="AH1543" s="275"/>
      <c r="AI1543" s="52"/>
      <c r="AJ1543" s="35"/>
      <c r="AK1543" s="289"/>
      <c r="AL1543" s="290"/>
      <c r="AM1543" s="211"/>
      <c r="AN1543" s="164"/>
      <c r="AO1543" s="594"/>
      <c r="AP1543" s="595"/>
      <c r="AQ1543" s="275"/>
      <c r="AR1543" s="52"/>
      <c r="AS1543" s="596"/>
      <c r="AT1543" s="79"/>
      <c r="AU1543" s="212"/>
      <c r="AV1543" s="164"/>
      <c r="AW1543" s="164"/>
      <c r="AX1543" s="76"/>
      <c r="AY1543" s="44"/>
      <c r="AZ1543" s="275"/>
      <c r="BA1543" s="52"/>
      <c r="BB1543" s="35"/>
      <c r="BC1543" s="79"/>
      <c r="BD1543" s="230"/>
      <c r="BE1543" s="211"/>
      <c r="BF1543" s="164"/>
      <c r="BG1543" s="76"/>
      <c r="BH1543" s="44"/>
      <c r="BI1543" s="275"/>
      <c r="BJ1543" s="52"/>
      <c r="BK1543" s="35"/>
      <c r="BL1543" s="79"/>
      <c r="BM1543" s="230"/>
      <c r="BN1543" s="211"/>
      <c r="BO1543" s="164"/>
      <c r="BP1543" s="726"/>
      <c r="BQ1543" s="727"/>
      <c r="BR1543" s="299"/>
      <c r="BS1543" s="35"/>
      <c r="BT1543" s="596"/>
      <c r="BU1543" s="79"/>
      <c r="BV1543" s="212"/>
      <c r="BW1543" s="304"/>
      <c r="BX1543" s="313"/>
      <c r="BY1543" s="138"/>
    </row>
    <row r="1544" spans="1:77" ht="15" customHeight="1" outlineLevel="1" x14ac:dyDescent="0.2">
      <c r="A1544" s="57" t="s">
        <v>24</v>
      </c>
      <c r="B1544" s="583"/>
      <c r="C1544" s="583" t="s">
        <v>1582</v>
      </c>
      <c r="D1544" s="546">
        <v>0.72699999999999998</v>
      </c>
      <c r="E1544" s="162" t="s">
        <v>631</v>
      </c>
      <c r="F1544" s="358"/>
      <c r="G1544" s="65"/>
      <c r="H1544" s="73"/>
      <c r="I1544" s="90"/>
      <c r="J1544" s="73"/>
      <c r="K1544" s="734"/>
      <c r="L1544" s="717">
        <v>2008</v>
      </c>
      <c r="M1544" s="73"/>
      <c r="N1544" s="786">
        <v>2.147E-3</v>
      </c>
      <c r="O1544" s="1041"/>
      <c r="P1544" s="73"/>
      <c r="Q1544" s="786"/>
      <c r="R1544" s="1041"/>
      <c r="S1544" s="73"/>
      <c r="T1544" s="786"/>
      <c r="U1544" s="73"/>
      <c r="V1544" s="66"/>
      <c r="W1544" s="788">
        <f t="shared" si="1331"/>
        <v>1.5028999999999998E-6</v>
      </c>
      <c r="X1544" s="789">
        <f t="shared" si="1332"/>
        <v>1.5028999999999998E-6</v>
      </c>
      <c r="Y1544" s="52">
        <v>2008</v>
      </c>
      <c r="Z1544" s="52"/>
      <c r="AA1544" s="787">
        <f t="shared" si="1377"/>
        <v>2.1469999999999999E-6</v>
      </c>
      <c r="AB1544" s="256">
        <v>-0.3</v>
      </c>
      <c r="AC1544" s="688">
        <f t="shared" si="1333"/>
        <v>-0.3</v>
      </c>
      <c r="AD1544" s="164"/>
      <c r="AE1544" s="164"/>
      <c r="AF1544" s="25"/>
      <c r="AG1544" s="26"/>
      <c r="AH1544" s="275"/>
      <c r="AI1544" s="52"/>
      <c r="AJ1544" s="35"/>
      <c r="AK1544" s="289"/>
      <c r="AL1544" s="290"/>
      <c r="AM1544" s="211"/>
      <c r="AN1544" s="164"/>
      <c r="AO1544" s="594"/>
      <c r="AP1544" s="595"/>
      <c r="AQ1544" s="275"/>
      <c r="AR1544" s="52"/>
      <c r="AS1544" s="596"/>
      <c r="AT1544" s="79"/>
      <c r="AU1544" s="212"/>
      <c r="AV1544" s="164"/>
      <c r="AW1544" s="164"/>
      <c r="AX1544" s="76"/>
      <c r="AY1544" s="44"/>
      <c r="AZ1544" s="275"/>
      <c r="BA1544" s="52"/>
      <c r="BB1544" s="35"/>
      <c r="BC1544" s="79"/>
      <c r="BD1544" s="230"/>
      <c r="BE1544" s="211"/>
      <c r="BF1544" s="164"/>
      <c r="BG1544" s="76"/>
      <c r="BH1544" s="44"/>
      <c r="BI1544" s="275"/>
      <c r="BJ1544" s="52"/>
      <c r="BK1544" s="35"/>
      <c r="BL1544" s="79"/>
      <c r="BM1544" s="230"/>
      <c r="BN1544" s="211"/>
      <c r="BO1544" s="164"/>
      <c r="BP1544" s="726"/>
      <c r="BQ1544" s="727"/>
      <c r="BR1544" s="299"/>
      <c r="BS1544" s="35"/>
      <c r="BT1544" s="596"/>
      <c r="BU1544" s="79"/>
      <c r="BV1544" s="212"/>
      <c r="BW1544" s="304"/>
      <c r="BX1544" s="313"/>
      <c r="BY1544" s="138"/>
    </row>
    <row r="1545" spans="1:77" ht="15" customHeight="1" outlineLevel="1" x14ac:dyDescent="0.2">
      <c r="A1545" s="57" t="s">
        <v>24</v>
      </c>
      <c r="B1545" s="583"/>
      <c r="C1545" s="583" t="s">
        <v>2851</v>
      </c>
      <c r="D1545" s="546">
        <v>10.433999999999999</v>
      </c>
      <c r="E1545" s="162" t="s">
        <v>631</v>
      </c>
      <c r="F1545" s="358"/>
      <c r="G1545" s="65"/>
      <c r="H1545" s="73"/>
      <c r="I1545" s="90"/>
      <c r="J1545" s="73"/>
      <c r="K1545" s="734"/>
      <c r="L1545" s="717">
        <v>2011</v>
      </c>
      <c r="M1545" s="73"/>
      <c r="N1545" s="786">
        <v>4.9202000000000003E-2</v>
      </c>
      <c r="O1545" s="1041"/>
      <c r="P1545" s="73"/>
      <c r="Q1545" s="786"/>
      <c r="R1545" s="1041"/>
      <c r="S1545" s="73"/>
      <c r="T1545" s="786"/>
      <c r="U1545" s="73"/>
      <c r="V1545" s="66"/>
      <c r="W1545" s="788"/>
      <c r="X1545" s="789"/>
      <c r="Y1545" s="52"/>
      <c r="Z1545" s="52"/>
      <c r="AA1545" s="787"/>
      <c r="AB1545" s="256"/>
      <c r="AC1545" s="688"/>
      <c r="AD1545" s="164"/>
      <c r="AE1545" s="164"/>
      <c r="AF1545" s="25"/>
      <c r="AG1545" s="26"/>
      <c r="AH1545" s="275"/>
      <c r="AI1545" s="52"/>
      <c r="AJ1545" s="35"/>
      <c r="AK1545" s="289"/>
      <c r="AL1545" s="290"/>
      <c r="AM1545" s="211"/>
      <c r="AN1545" s="164"/>
      <c r="AO1545" s="788">
        <f>AS1545*(1+AT1545)</f>
        <v>2.9029180000000005E-5</v>
      </c>
      <c r="AP1545" s="789">
        <f>AS1545*(1+AU1545)</f>
        <v>2.9029180000000005E-5</v>
      </c>
      <c r="AQ1545" s="275">
        <v>2011</v>
      </c>
      <c r="AR1545" s="52"/>
      <c r="AS1545" s="787">
        <f>+N1545/1000</f>
        <v>4.9202000000000001E-5</v>
      </c>
      <c r="AT1545" s="79">
        <v>-0.41</v>
      </c>
      <c r="AU1545" s="212">
        <f>AT1545</f>
        <v>-0.41</v>
      </c>
      <c r="AV1545" s="164"/>
      <c r="AW1545" s="164"/>
      <c r="AX1545" s="76"/>
      <c r="AY1545" s="44"/>
      <c r="AZ1545" s="275"/>
      <c r="BA1545" s="52"/>
      <c r="BB1545" s="35"/>
      <c r="BC1545" s="79"/>
      <c r="BD1545" s="230"/>
      <c r="BE1545" s="211"/>
      <c r="BF1545" s="164"/>
      <c r="BG1545" s="76"/>
      <c r="BH1545" s="44"/>
      <c r="BI1545" s="275"/>
      <c r="BJ1545" s="52"/>
      <c r="BK1545" s="35"/>
      <c r="BL1545" s="79"/>
      <c r="BM1545" s="230"/>
      <c r="BN1545" s="211"/>
      <c r="BO1545" s="164"/>
      <c r="BP1545" s="726"/>
      <c r="BQ1545" s="727"/>
      <c r="BR1545" s="299"/>
      <c r="BS1545" s="35"/>
      <c r="BT1545" s="596"/>
      <c r="BU1545" s="79"/>
      <c r="BV1545" s="212"/>
      <c r="BW1545" s="304"/>
      <c r="BX1545" s="313"/>
      <c r="BY1545" s="138"/>
    </row>
    <row r="1546" spans="1:77" ht="15" customHeight="1" outlineLevel="1" x14ac:dyDescent="0.2">
      <c r="A1546" s="57" t="s">
        <v>24</v>
      </c>
      <c r="B1546" s="583"/>
      <c r="C1546" s="583" t="s">
        <v>1297</v>
      </c>
      <c r="D1546" s="546">
        <v>12.281000000000001</v>
      </c>
      <c r="E1546" s="162" t="s">
        <v>631</v>
      </c>
      <c r="F1546" s="358"/>
      <c r="G1546" s="65"/>
      <c r="H1546" s="73"/>
      <c r="I1546" s="90"/>
      <c r="J1546" s="73"/>
      <c r="K1546" s="734"/>
      <c r="L1546" s="717">
        <v>2011</v>
      </c>
      <c r="M1546" s="73"/>
      <c r="N1546" s="738">
        <v>2.4528000000000001E-2</v>
      </c>
      <c r="O1546" s="1041"/>
      <c r="P1546" s="73"/>
      <c r="Q1546" s="738"/>
      <c r="R1546" s="1041"/>
      <c r="S1546" s="73"/>
      <c r="T1546" s="738"/>
      <c r="U1546" s="73"/>
      <c r="V1546" s="66"/>
      <c r="W1546" s="740">
        <f t="shared" si="1331"/>
        <v>1.7169599999999999E-5</v>
      </c>
      <c r="X1546" s="741">
        <f t="shared" si="1332"/>
        <v>1.7169599999999999E-5</v>
      </c>
      <c r="Y1546" s="52">
        <v>2011</v>
      </c>
      <c r="Z1546" s="52"/>
      <c r="AA1546" s="739">
        <f t="shared" si="1377"/>
        <v>2.4528E-5</v>
      </c>
      <c r="AB1546" s="256">
        <v>-0.3</v>
      </c>
      <c r="AC1546" s="688">
        <f t="shared" si="1333"/>
        <v>-0.3</v>
      </c>
      <c r="AD1546" s="164"/>
      <c r="AE1546" s="164"/>
      <c r="AF1546" s="25"/>
      <c r="AG1546" s="26"/>
      <c r="AH1546" s="275"/>
      <c r="AI1546" s="52"/>
      <c r="AJ1546" s="35"/>
      <c r="AK1546" s="289"/>
      <c r="AL1546" s="290"/>
      <c r="AM1546" s="211"/>
      <c r="AN1546" s="164"/>
      <c r="AO1546" s="594"/>
      <c r="AP1546" s="595"/>
      <c r="AQ1546" s="275"/>
      <c r="AR1546" s="52"/>
      <c r="AS1546" s="596"/>
      <c r="AT1546" s="79"/>
      <c r="AU1546" s="212"/>
      <c r="AV1546" s="164"/>
      <c r="AW1546" s="164"/>
      <c r="AX1546" s="76"/>
      <c r="AY1546" s="44"/>
      <c r="AZ1546" s="275"/>
      <c r="BA1546" s="52"/>
      <c r="BB1546" s="35"/>
      <c r="BC1546" s="79"/>
      <c r="BD1546" s="230"/>
      <c r="BE1546" s="211"/>
      <c r="BF1546" s="164"/>
      <c r="BG1546" s="76"/>
      <c r="BH1546" s="44"/>
      <c r="BI1546" s="275"/>
      <c r="BJ1546" s="52"/>
      <c r="BK1546" s="35"/>
      <c r="BL1546" s="79"/>
      <c r="BM1546" s="230"/>
      <c r="BN1546" s="211"/>
      <c r="BO1546" s="164"/>
      <c r="BP1546" s="726"/>
      <c r="BQ1546" s="727"/>
      <c r="BR1546" s="299"/>
      <c r="BS1546" s="35"/>
      <c r="BT1546" s="596"/>
      <c r="BU1546" s="79"/>
      <c r="BV1546" s="212"/>
      <c r="BW1546" s="304"/>
      <c r="BX1546" s="313"/>
      <c r="BY1546" s="138"/>
    </row>
    <row r="1547" spans="1:77" ht="15" customHeight="1" outlineLevel="1" x14ac:dyDescent="0.2">
      <c r="A1547" s="57" t="s">
        <v>24</v>
      </c>
      <c r="B1547" s="583"/>
      <c r="C1547" s="583" t="s">
        <v>1267</v>
      </c>
      <c r="D1547" s="546">
        <v>3.3260000000000001</v>
      </c>
      <c r="E1547" s="162" t="s">
        <v>631</v>
      </c>
      <c r="F1547" s="358"/>
      <c r="G1547" s="65"/>
      <c r="H1547" s="73"/>
      <c r="I1547" s="90"/>
      <c r="J1547" s="73"/>
      <c r="K1547" s="734">
        <v>1.2888E-2</v>
      </c>
      <c r="L1547" s="717"/>
      <c r="M1547" s="73"/>
      <c r="N1547" s="359"/>
      <c r="O1547" s="1041"/>
      <c r="P1547" s="73"/>
      <c r="Q1547" s="359"/>
      <c r="R1547" s="1041"/>
      <c r="S1547" s="73"/>
      <c r="T1547" s="359"/>
      <c r="U1547" s="73"/>
      <c r="V1547" s="66"/>
      <c r="W1547" s="740">
        <f t="shared" si="1331"/>
        <v>8.8927200000000001E-6</v>
      </c>
      <c r="X1547" s="741">
        <f t="shared" si="1332"/>
        <v>8.8927200000000001E-6</v>
      </c>
      <c r="Y1547" s="52">
        <v>2005</v>
      </c>
      <c r="Z1547" s="52"/>
      <c r="AA1547" s="739">
        <f t="shared" ref="AA1547:AA1557" si="1387">+K1547/1000</f>
        <v>1.2888000000000001E-5</v>
      </c>
      <c r="AB1547" s="256">
        <v>-0.31</v>
      </c>
      <c r="AC1547" s="688">
        <f t="shared" si="1333"/>
        <v>-0.31</v>
      </c>
      <c r="AD1547" s="164"/>
      <c r="AE1547" s="164"/>
      <c r="AF1547" s="25"/>
      <c r="AG1547" s="26"/>
      <c r="AH1547" s="275"/>
      <c r="AI1547" s="52"/>
      <c r="AJ1547" s="35"/>
      <c r="AK1547" s="289"/>
      <c r="AL1547" s="290"/>
      <c r="AM1547" s="211"/>
      <c r="AN1547" s="164"/>
      <c r="AO1547" s="594"/>
      <c r="AP1547" s="595"/>
      <c r="AQ1547" s="275"/>
      <c r="AR1547" s="52"/>
      <c r="AS1547" s="596"/>
      <c r="AT1547" s="79"/>
      <c r="AU1547" s="212"/>
      <c r="AV1547" s="164"/>
      <c r="AW1547" s="164"/>
      <c r="AX1547" s="76"/>
      <c r="AY1547" s="44"/>
      <c r="AZ1547" s="275"/>
      <c r="BA1547" s="52"/>
      <c r="BB1547" s="35"/>
      <c r="BC1547" s="79"/>
      <c r="BD1547" s="230"/>
      <c r="BE1547" s="211"/>
      <c r="BF1547" s="164"/>
      <c r="BG1547" s="76"/>
      <c r="BH1547" s="44"/>
      <c r="BI1547" s="275"/>
      <c r="BJ1547" s="52"/>
      <c r="BK1547" s="35"/>
      <c r="BL1547" s="79"/>
      <c r="BM1547" s="230"/>
      <c r="BN1547" s="211"/>
      <c r="BO1547" s="164"/>
      <c r="BP1547" s="726"/>
      <c r="BQ1547" s="727"/>
      <c r="BR1547" s="299"/>
      <c r="BS1547" s="35"/>
      <c r="BT1547" s="596"/>
      <c r="BU1547" s="79"/>
      <c r="BV1547" s="212"/>
      <c r="BW1547" s="304"/>
      <c r="BX1547" s="313"/>
      <c r="BY1547" s="138"/>
    </row>
    <row r="1548" spans="1:77" ht="15" customHeight="1" outlineLevel="1" x14ac:dyDescent="0.2">
      <c r="A1548" s="583" t="s">
        <v>24</v>
      </c>
      <c r="B1548" s="583"/>
      <c r="C1548" s="583" t="s">
        <v>1945</v>
      </c>
      <c r="D1548" s="546">
        <v>0.50800000000000001</v>
      </c>
      <c r="E1548" s="162" t="s">
        <v>631</v>
      </c>
      <c r="F1548" s="358"/>
      <c r="G1548" s="65"/>
      <c r="H1548" s="73"/>
      <c r="I1548" s="90"/>
      <c r="J1548" s="73"/>
      <c r="K1548" s="734"/>
      <c r="L1548" s="717"/>
      <c r="M1548" s="73"/>
      <c r="N1548" s="786">
        <v>1.371E-3</v>
      </c>
      <c r="O1548" s="1041"/>
      <c r="P1548" s="73"/>
      <c r="Q1548" s="359"/>
      <c r="R1548" s="1041"/>
      <c r="S1548" s="73"/>
      <c r="T1548" s="359"/>
      <c r="U1548" s="73"/>
      <c r="V1548" s="66"/>
      <c r="W1548" s="808">
        <f t="shared" ref="W1548" si="1388">AA1548*(1+AB1548)</f>
        <v>1.00083E-6</v>
      </c>
      <c r="X1548" s="809">
        <f t="shared" ref="X1548" si="1389">AA1548*(1+AC1548)</f>
        <v>1.00083E-6</v>
      </c>
      <c r="Y1548" s="52">
        <v>2010</v>
      </c>
      <c r="Z1548" s="52"/>
      <c r="AA1548" s="807">
        <f>+N1548/1000</f>
        <v>1.3710000000000001E-6</v>
      </c>
      <c r="AB1548" s="256">
        <v>-0.27</v>
      </c>
      <c r="AC1548" s="688">
        <f t="shared" si="1333"/>
        <v>-0.27</v>
      </c>
      <c r="AD1548" s="164"/>
      <c r="AE1548" s="164"/>
      <c r="AF1548" s="25"/>
      <c r="AG1548" s="26"/>
      <c r="AH1548" s="275"/>
      <c r="AI1548" s="52"/>
      <c r="AJ1548" s="35"/>
      <c r="AK1548" s="289"/>
      <c r="AL1548" s="290"/>
      <c r="AM1548" s="211"/>
      <c r="AN1548" s="164"/>
      <c r="AO1548" s="594"/>
      <c r="AP1548" s="595"/>
      <c r="AQ1548" s="275"/>
      <c r="AR1548" s="52"/>
      <c r="AS1548" s="596"/>
      <c r="AT1548" s="79"/>
      <c r="AU1548" s="212"/>
      <c r="AV1548" s="164"/>
      <c r="AW1548" s="164"/>
      <c r="AX1548" s="76"/>
      <c r="AY1548" s="44"/>
      <c r="AZ1548" s="275"/>
      <c r="BA1548" s="52"/>
      <c r="BB1548" s="35"/>
      <c r="BC1548" s="79"/>
      <c r="BD1548" s="230"/>
      <c r="BE1548" s="211"/>
      <c r="BF1548" s="164"/>
      <c r="BG1548" s="76"/>
      <c r="BH1548" s="44"/>
      <c r="BI1548" s="275"/>
      <c r="BJ1548" s="52"/>
      <c r="BK1548" s="35"/>
      <c r="BL1548" s="79"/>
      <c r="BM1548" s="230"/>
      <c r="BN1548" s="211"/>
      <c r="BO1548" s="164"/>
      <c r="BP1548" s="726"/>
      <c r="BQ1548" s="727"/>
      <c r="BR1548" s="299"/>
      <c r="BS1548" s="35"/>
      <c r="BT1548" s="596"/>
      <c r="BU1548" s="79"/>
      <c r="BV1548" s="212"/>
      <c r="BW1548" s="304"/>
      <c r="BX1548" s="313"/>
      <c r="BY1548" s="138"/>
    </row>
    <row r="1549" spans="1:77" ht="15" customHeight="1" outlineLevel="1" x14ac:dyDescent="0.2">
      <c r="A1549" s="57" t="s">
        <v>24</v>
      </c>
      <c r="B1549" s="583"/>
      <c r="C1549" s="583" t="s">
        <v>1461</v>
      </c>
      <c r="D1549" s="818">
        <v>0.315</v>
      </c>
      <c r="E1549" s="162" t="s">
        <v>631</v>
      </c>
      <c r="F1549" s="358"/>
      <c r="G1549" s="65"/>
      <c r="H1549" s="73"/>
      <c r="I1549" s="90">
        <v>2007</v>
      </c>
      <c r="J1549" s="73"/>
      <c r="K1549" s="790">
        <v>1.614E-3</v>
      </c>
      <c r="L1549" s="717"/>
      <c r="M1549" s="73"/>
      <c r="N1549" s="359"/>
      <c r="O1549" s="1041"/>
      <c r="P1549" s="73"/>
      <c r="Q1549" s="359"/>
      <c r="R1549" s="1041"/>
      <c r="S1549" s="73"/>
      <c r="T1549" s="359"/>
      <c r="U1549" s="73"/>
      <c r="V1549" s="66"/>
      <c r="W1549" s="788">
        <f t="shared" si="1331"/>
        <v>9.3612000000000005E-7</v>
      </c>
      <c r="X1549" s="789">
        <f t="shared" si="1332"/>
        <v>9.3612000000000005E-7</v>
      </c>
      <c r="Y1549" s="52">
        <v>2007</v>
      </c>
      <c r="Z1549" s="52"/>
      <c r="AA1549" s="787">
        <f t="shared" si="1387"/>
        <v>1.6139999999999999E-6</v>
      </c>
      <c r="AB1549" s="256">
        <v>-0.42</v>
      </c>
      <c r="AC1549" s="688">
        <f t="shared" si="1333"/>
        <v>-0.42</v>
      </c>
      <c r="AD1549" s="164"/>
      <c r="AE1549" s="164"/>
      <c r="AF1549" s="25"/>
      <c r="AG1549" s="26"/>
      <c r="AH1549" s="275"/>
      <c r="AI1549" s="52"/>
      <c r="AJ1549" s="35"/>
      <c r="AK1549" s="289"/>
      <c r="AL1549" s="290"/>
      <c r="AM1549" s="211"/>
      <c r="AN1549" s="164"/>
      <c r="AO1549" s="594"/>
      <c r="AP1549" s="595"/>
      <c r="AQ1549" s="275"/>
      <c r="AR1549" s="52"/>
      <c r="AS1549" s="596"/>
      <c r="AT1549" s="79"/>
      <c r="AU1549" s="212"/>
      <c r="AV1549" s="164"/>
      <c r="AW1549" s="164"/>
      <c r="AX1549" s="76"/>
      <c r="AY1549" s="44"/>
      <c r="AZ1549" s="275"/>
      <c r="BA1549" s="52"/>
      <c r="BB1549" s="35"/>
      <c r="BC1549" s="79"/>
      <c r="BD1549" s="230"/>
      <c r="BE1549" s="211"/>
      <c r="BF1549" s="164"/>
      <c r="BG1549" s="76"/>
      <c r="BH1549" s="44"/>
      <c r="BI1549" s="275"/>
      <c r="BJ1549" s="52"/>
      <c r="BK1549" s="35"/>
      <c r="BL1549" s="79"/>
      <c r="BM1549" s="230"/>
      <c r="BN1549" s="211"/>
      <c r="BO1549" s="164"/>
      <c r="BP1549" s="726"/>
      <c r="BQ1549" s="727"/>
      <c r="BR1549" s="299"/>
      <c r="BS1549" s="35"/>
      <c r="BT1549" s="596"/>
      <c r="BU1549" s="79"/>
      <c r="BV1549" s="212"/>
      <c r="BW1549" s="304"/>
      <c r="BX1549" s="313"/>
      <c r="BY1549" s="138"/>
    </row>
    <row r="1550" spans="1:77" ht="15" customHeight="1" outlineLevel="1" x14ac:dyDescent="0.2">
      <c r="A1550" s="583" t="s">
        <v>24</v>
      </c>
      <c r="B1550" s="583"/>
      <c r="C1550" s="583" t="s">
        <v>1770</v>
      </c>
      <c r="D1550" s="818">
        <v>0.38300000000000001</v>
      </c>
      <c r="E1550" s="162" t="s">
        <v>631</v>
      </c>
      <c r="F1550" s="358"/>
      <c r="G1550" s="65"/>
      <c r="H1550" s="73"/>
      <c r="I1550" s="90"/>
      <c r="J1550" s="73"/>
      <c r="K1550" s="790">
        <v>1.1479999999999999E-3</v>
      </c>
      <c r="L1550" s="717"/>
      <c r="M1550" s="73"/>
      <c r="N1550" s="359"/>
      <c r="O1550" s="1041"/>
      <c r="P1550" s="73"/>
      <c r="Q1550" s="359"/>
      <c r="R1550" s="1041"/>
      <c r="S1550" s="73"/>
      <c r="T1550" s="359"/>
      <c r="U1550" s="73"/>
      <c r="V1550" s="66"/>
      <c r="W1550" s="788">
        <f t="shared" si="1331"/>
        <v>8.6099999999999989E-7</v>
      </c>
      <c r="X1550" s="789">
        <f t="shared" si="1332"/>
        <v>1.4349999999999998E-6</v>
      </c>
      <c r="Y1550" s="52">
        <v>2005</v>
      </c>
      <c r="Z1550" s="52"/>
      <c r="AA1550" s="787">
        <f>+K1550/1000</f>
        <v>1.1479999999999999E-6</v>
      </c>
      <c r="AB1550" s="256">
        <v>-0.25</v>
      </c>
      <c r="AC1550" s="688">
        <v>0.25</v>
      </c>
      <c r="AD1550" s="164"/>
      <c r="AE1550" s="164"/>
      <c r="AF1550" s="25"/>
      <c r="AG1550" s="26"/>
      <c r="AH1550" s="275"/>
      <c r="AI1550" s="52"/>
      <c r="AJ1550" s="35"/>
      <c r="AK1550" s="289"/>
      <c r="AL1550" s="290"/>
      <c r="AM1550" s="211"/>
      <c r="AN1550" s="164"/>
      <c r="AO1550" s="594"/>
      <c r="AP1550" s="595"/>
      <c r="AQ1550" s="275"/>
      <c r="AR1550" s="52"/>
      <c r="AS1550" s="596"/>
      <c r="AT1550" s="79"/>
      <c r="AU1550" s="212"/>
      <c r="AV1550" s="164"/>
      <c r="AW1550" s="164"/>
      <c r="AX1550" s="76"/>
      <c r="AY1550" s="44"/>
      <c r="AZ1550" s="275"/>
      <c r="BA1550" s="52"/>
      <c r="BB1550" s="35"/>
      <c r="BC1550" s="79"/>
      <c r="BD1550" s="230"/>
      <c r="BE1550" s="211"/>
      <c r="BF1550" s="164"/>
      <c r="BG1550" s="76"/>
      <c r="BH1550" s="44"/>
      <c r="BI1550" s="275"/>
      <c r="BJ1550" s="52"/>
      <c r="BK1550" s="35"/>
      <c r="BL1550" s="79"/>
      <c r="BM1550" s="230"/>
      <c r="BN1550" s="211"/>
      <c r="BO1550" s="164"/>
      <c r="BP1550" s="726"/>
      <c r="BQ1550" s="727"/>
      <c r="BR1550" s="299"/>
      <c r="BS1550" s="35"/>
      <c r="BT1550" s="596"/>
      <c r="BU1550" s="79"/>
      <c r="BV1550" s="212"/>
      <c r="BW1550" s="304"/>
      <c r="BX1550" s="313"/>
      <c r="BY1550" s="138"/>
    </row>
    <row r="1551" spans="1:77" ht="15" customHeight="1" outlineLevel="1" x14ac:dyDescent="0.2">
      <c r="A1551" s="57" t="s">
        <v>24</v>
      </c>
      <c r="B1551" s="583"/>
      <c r="C1551" s="583" t="s">
        <v>1289</v>
      </c>
      <c r="D1551" s="546">
        <v>1.347</v>
      </c>
      <c r="E1551" s="162" t="s">
        <v>631</v>
      </c>
      <c r="F1551" s="358"/>
      <c r="G1551" s="65"/>
      <c r="H1551" s="73"/>
      <c r="I1551" s="90"/>
      <c r="J1551" s="73"/>
      <c r="K1551" s="734">
        <v>5.1460000000000004E-3</v>
      </c>
      <c r="L1551" s="717"/>
      <c r="M1551" s="73"/>
      <c r="N1551" s="359"/>
      <c r="O1551" s="1041"/>
      <c r="P1551" s="73"/>
      <c r="Q1551" s="359"/>
      <c r="R1551" s="1041"/>
      <c r="S1551" s="73"/>
      <c r="T1551" s="359"/>
      <c r="U1551" s="73"/>
      <c r="V1551" s="66"/>
      <c r="W1551" s="788">
        <f t="shared" si="1331"/>
        <v>3.1390600000000003E-6</v>
      </c>
      <c r="X1551" s="789">
        <f t="shared" si="1332"/>
        <v>3.1390600000000003E-6</v>
      </c>
      <c r="Y1551" s="52">
        <v>2005</v>
      </c>
      <c r="Z1551" s="52"/>
      <c r="AA1551" s="787">
        <f t="shared" si="1387"/>
        <v>5.1460000000000004E-6</v>
      </c>
      <c r="AB1551" s="256">
        <v>-0.39</v>
      </c>
      <c r="AC1551" s="688">
        <f t="shared" si="1333"/>
        <v>-0.39</v>
      </c>
      <c r="AD1551" s="164"/>
      <c r="AE1551" s="164"/>
      <c r="AF1551" s="25"/>
      <c r="AG1551" s="26"/>
      <c r="AH1551" s="275"/>
      <c r="AI1551" s="52"/>
      <c r="AJ1551" s="35"/>
      <c r="AK1551" s="289"/>
      <c r="AL1551" s="290"/>
      <c r="AM1551" s="211"/>
      <c r="AN1551" s="164"/>
      <c r="AO1551" s="594"/>
      <c r="AP1551" s="595"/>
      <c r="AQ1551" s="275"/>
      <c r="AR1551" s="52"/>
      <c r="AS1551" s="596"/>
      <c r="AT1551" s="79"/>
      <c r="AU1551" s="212"/>
      <c r="AV1551" s="164"/>
      <c r="AW1551" s="164"/>
      <c r="AX1551" s="76"/>
      <c r="AY1551" s="44"/>
      <c r="AZ1551" s="275"/>
      <c r="BA1551" s="52"/>
      <c r="BB1551" s="35"/>
      <c r="BC1551" s="79"/>
      <c r="BD1551" s="230"/>
      <c r="BE1551" s="211"/>
      <c r="BF1551" s="164"/>
      <c r="BG1551" s="76"/>
      <c r="BH1551" s="44"/>
      <c r="BI1551" s="275"/>
      <c r="BJ1551" s="52"/>
      <c r="BK1551" s="35"/>
      <c r="BL1551" s="79"/>
      <c r="BM1551" s="230"/>
      <c r="BN1551" s="211"/>
      <c r="BO1551" s="164"/>
      <c r="BP1551" s="726"/>
      <c r="BQ1551" s="727"/>
      <c r="BR1551" s="299"/>
      <c r="BS1551" s="35"/>
      <c r="BT1551" s="596"/>
      <c r="BU1551" s="79"/>
      <c r="BV1551" s="212"/>
      <c r="BW1551" s="304"/>
      <c r="BX1551" s="313"/>
      <c r="BY1551" s="138"/>
    </row>
    <row r="1552" spans="1:77" ht="15" customHeight="1" outlineLevel="1" x14ac:dyDescent="0.2">
      <c r="A1552" s="57" t="s">
        <v>24</v>
      </c>
      <c r="B1552" s="583"/>
      <c r="C1552" s="583" t="s">
        <v>1516</v>
      </c>
      <c r="D1552" s="546">
        <v>1.571</v>
      </c>
      <c r="E1552" s="162" t="s">
        <v>631</v>
      </c>
      <c r="F1552" s="358"/>
      <c r="G1552" s="65"/>
      <c r="H1552" s="73"/>
      <c r="I1552" s="90">
        <v>2000</v>
      </c>
      <c r="J1552" s="73"/>
      <c r="K1552" s="813">
        <v>5.8399999999999997E-3</v>
      </c>
      <c r="L1552" s="717"/>
      <c r="M1552" s="73"/>
      <c r="N1552" s="359"/>
      <c r="O1552" s="1041"/>
      <c r="P1552" s="73"/>
      <c r="Q1552" s="359"/>
      <c r="R1552" s="1041"/>
      <c r="S1552" s="73"/>
      <c r="T1552" s="359"/>
      <c r="U1552" s="73"/>
      <c r="V1552" s="66"/>
      <c r="W1552" s="788">
        <f t="shared" si="1331"/>
        <v>3.7960000000000002E-6</v>
      </c>
      <c r="X1552" s="789">
        <f t="shared" si="1332"/>
        <v>3.7960000000000002E-6</v>
      </c>
      <c r="Y1552" s="52">
        <v>2000</v>
      </c>
      <c r="Z1552" s="52"/>
      <c r="AA1552" s="739">
        <f t="shared" si="1387"/>
        <v>5.84E-6</v>
      </c>
      <c r="AB1552" s="256">
        <v>-0.35</v>
      </c>
      <c r="AC1552" s="688">
        <f t="shared" si="1333"/>
        <v>-0.35</v>
      </c>
      <c r="AD1552" s="164"/>
      <c r="AE1552" s="164"/>
      <c r="AF1552" s="25"/>
      <c r="AG1552" s="26"/>
      <c r="AH1552" s="275"/>
      <c r="AI1552" s="52"/>
      <c r="AJ1552" s="35"/>
      <c r="AK1552" s="289"/>
      <c r="AL1552" s="290"/>
      <c r="AM1552" s="211"/>
      <c r="AN1552" s="164"/>
      <c r="AO1552" s="594"/>
      <c r="AP1552" s="595"/>
      <c r="AQ1552" s="275"/>
      <c r="AR1552" s="52"/>
      <c r="AS1552" s="596"/>
      <c r="AT1552" s="79"/>
      <c r="AU1552" s="212"/>
      <c r="AV1552" s="164"/>
      <c r="AW1552" s="164"/>
      <c r="AX1552" s="76"/>
      <c r="AY1552" s="44"/>
      <c r="AZ1552" s="275"/>
      <c r="BA1552" s="52"/>
      <c r="BB1552" s="35"/>
      <c r="BC1552" s="79"/>
      <c r="BD1552" s="230"/>
      <c r="BE1552" s="211"/>
      <c r="BF1552" s="164"/>
      <c r="BG1552" s="76"/>
      <c r="BH1552" s="44"/>
      <c r="BI1552" s="275"/>
      <c r="BJ1552" s="52"/>
      <c r="BK1552" s="35"/>
      <c r="BL1552" s="79"/>
      <c r="BM1552" s="230"/>
      <c r="BN1552" s="211"/>
      <c r="BO1552" s="164"/>
      <c r="BP1552" s="726"/>
      <c r="BQ1552" s="727"/>
      <c r="BR1552" s="299"/>
      <c r="BS1552" s="35"/>
      <c r="BT1552" s="596"/>
      <c r="BU1552" s="79"/>
      <c r="BV1552" s="212"/>
      <c r="BW1552" s="304"/>
      <c r="BX1552" s="313"/>
      <c r="BY1552" s="138"/>
    </row>
    <row r="1553" spans="1:77" ht="15" customHeight="1" outlineLevel="1" x14ac:dyDescent="0.2">
      <c r="A1553" s="57" t="s">
        <v>24</v>
      </c>
      <c r="B1553" s="583"/>
      <c r="C1553" s="583" t="s">
        <v>1568</v>
      </c>
      <c r="D1553" s="546">
        <v>3.125</v>
      </c>
      <c r="E1553" s="162" t="s">
        <v>631</v>
      </c>
      <c r="F1553" s="358"/>
      <c r="G1553" s="65"/>
      <c r="H1553" s="73"/>
      <c r="I1553" s="90">
        <v>2000</v>
      </c>
      <c r="J1553" s="73"/>
      <c r="K1553" s="734">
        <v>9.4450000000000003E-3</v>
      </c>
      <c r="L1553" s="717"/>
      <c r="M1553" s="73"/>
      <c r="N1553" s="359"/>
      <c r="O1553" s="1041"/>
      <c r="P1553" s="73"/>
      <c r="Q1553" s="359"/>
      <c r="R1553" s="1041"/>
      <c r="S1553" s="73"/>
      <c r="T1553" s="359"/>
      <c r="U1553" s="73"/>
      <c r="V1553" s="66"/>
      <c r="W1553" s="740">
        <f t="shared" si="1331"/>
        <v>5.6670000000000001E-6</v>
      </c>
      <c r="X1553" s="741">
        <f t="shared" si="1332"/>
        <v>5.6670000000000001E-6</v>
      </c>
      <c r="Y1553" s="52">
        <v>2000</v>
      </c>
      <c r="Z1553" s="52"/>
      <c r="AA1553" s="739">
        <f t="shared" si="1387"/>
        <v>9.4450000000000002E-6</v>
      </c>
      <c r="AB1553" s="256">
        <v>-0.4</v>
      </c>
      <c r="AC1553" s="688">
        <f t="shared" si="1333"/>
        <v>-0.4</v>
      </c>
      <c r="AD1553" s="164"/>
      <c r="AE1553" s="164"/>
      <c r="AF1553" s="25"/>
      <c r="AG1553" s="26"/>
      <c r="AH1553" s="275"/>
      <c r="AI1553" s="52"/>
      <c r="AJ1553" s="35"/>
      <c r="AK1553" s="289"/>
      <c r="AL1553" s="290"/>
      <c r="AM1553" s="211"/>
      <c r="AN1553" s="164"/>
      <c r="AO1553" s="594"/>
      <c r="AP1553" s="595"/>
      <c r="AQ1553" s="275"/>
      <c r="AR1553" s="52"/>
      <c r="AS1553" s="596"/>
      <c r="AT1553" s="79"/>
      <c r="AU1553" s="212"/>
      <c r="AV1553" s="164"/>
      <c r="AW1553" s="164"/>
      <c r="AX1553" s="76"/>
      <c r="AY1553" s="44"/>
      <c r="AZ1553" s="275"/>
      <c r="BA1553" s="52"/>
      <c r="BB1553" s="35"/>
      <c r="BC1553" s="79"/>
      <c r="BD1553" s="230"/>
      <c r="BE1553" s="211"/>
      <c r="BF1553" s="164"/>
      <c r="BG1553" s="76"/>
      <c r="BH1553" s="44"/>
      <c r="BI1553" s="275"/>
      <c r="BJ1553" s="52"/>
      <c r="BK1553" s="35"/>
      <c r="BL1553" s="79"/>
      <c r="BM1553" s="230"/>
      <c r="BN1553" s="211"/>
      <c r="BO1553" s="164"/>
      <c r="BP1553" s="726"/>
      <c r="BQ1553" s="727"/>
      <c r="BR1553" s="299"/>
      <c r="BS1553" s="35"/>
      <c r="BT1553" s="596"/>
      <c r="BU1553" s="79"/>
      <c r="BV1553" s="212"/>
      <c r="BW1553" s="304"/>
      <c r="BX1553" s="313"/>
      <c r="BY1553" s="138"/>
    </row>
    <row r="1554" spans="1:77" ht="15" customHeight="1" outlineLevel="1" x14ac:dyDescent="0.2">
      <c r="A1554" s="57" t="s">
        <v>24</v>
      </c>
      <c r="B1554" s="583"/>
      <c r="C1554" s="583" t="s">
        <v>1397</v>
      </c>
      <c r="D1554" s="546">
        <v>2.2599999999999998</v>
      </c>
      <c r="E1554" s="162" t="s">
        <v>631</v>
      </c>
      <c r="F1554" s="358"/>
      <c r="G1554" s="65"/>
      <c r="H1554" s="73"/>
      <c r="I1554" s="90"/>
      <c r="J1554" s="73"/>
      <c r="K1554" s="734">
        <v>7.4960000000000001E-3</v>
      </c>
      <c r="L1554" s="717"/>
      <c r="M1554" s="73"/>
      <c r="N1554" s="359"/>
      <c r="O1554" s="1041"/>
      <c r="P1554" s="73"/>
      <c r="Q1554" s="359"/>
      <c r="R1554" s="1041"/>
      <c r="S1554" s="73"/>
      <c r="T1554" s="359"/>
      <c r="U1554" s="73"/>
      <c r="V1554" s="66"/>
      <c r="W1554" s="788">
        <f t="shared" si="1331"/>
        <v>4.8724000000000001E-6</v>
      </c>
      <c r="X1554" s="789">
        <f t="shared" si="1332"/>
        <v>4.8724000000000001E-6</v>
      </c>
      <c r="Y1554" s="52">
        <v>2005</v>
      </c>
      <c r="Z1554" s="52"/>
      <c r="AA1554" s="787">
        <f t="shared" si="1387"/>
        <v>7.4959999999999999E-6</v>
      </c>
      <c r="AB1554" s="256">
        <v>-0.35</v>
      </c>
      <c r="AC1554" s="688">
        <f t="shared" si="1333"/>
        <v>-0.35</v>
      </c>
      <c r="AD1554" s="164"/>
      <c r="AE1554" s="164"/>
      <c r="AF1554" s="25"/>
      <c r="AG1554" s="26"/>
      <c r="AH1554" s="275"/>
      <c r="AI1554" s="52"/>
      <c r="AJ1554" s="35"/>
      <c r="AK1554" s="289"/>
      <c r="AL1554" s="290"/>
      <c r="AM1554" s="211"/>
      <c r="AN1554" s="164"/>
      <c r="AO1554" s="594"/>
      <c r="AP1554" s="595"/>
      <c r="AQ1554" s="275"/>
      <c r="AR1554" s="52"/>
      <c r="AS1554" s="596"/>
      <c r="AT1554" s="79"/>
      <c r="AU1554" s="212"/>
      <c r="AV1554" s="164"/>
      <c r="AW1554" s="164"/>
      <c r="AX1554" s="76"/>
      <c r="AY1554" s="44"/>
      <c r="AZ1554" s="275"/>
      <c r="BA1554" s="52"/>
      <c r="BB1554" s="35"/>
      <c r="BC1554" s="79"/>
      <c r="BD1554" s="230"/>
      <c r="BE1554" s="211"/>
      <c r="BF1554" s="164"/>
      <c r="BG1554" s="76"/>
      <c r="BH1554" s="44"/>
      <c r="BI1554" s="275"/>
      <c r="BJ1554" s="52"/>
      <c r="BK1554" s="35"/>
      <c r="BL1554" s="79"/>
      <c r="BM1554" s="230"/>
      <c r="BN1554" s="211"/>
      <c r="BO1554" s="164"/>
      <c r="BP1554" s="726"/>
      <c r="BQ1554" s="727"/>
      <c r="BR1554" s="299"/>
      <c r="BS1554" s="35"/>
      <c r="BT1554" s="596"/>
      <c r="BU1554" s="79"/>
      <c r="BV1554" s="212"/>
      <c r="BW1554" s="304"/>
      <c r="BX1554" s="313"/>
      <c r="BY1554" s="138"/>
    </row>
    <row r="1555" spans="1:77" ht="15" customHeight="1" outlineLevel="1" x14ac:dyDescent="0.2">
      <c r="A1555" s="57" t="s">
        <v>24</v>
      </c>
      <c r="B1555" s="583"/>
      <c r="C1555" s="583" t="s">
        <v>1419</v>
      </c>
      <c r="D1555" s="546">
        <v>6.4279999999999999</v>
      </c>
      <c r="E1555" s="162" t="s">
        <v>631</v>
      </c>
      <c r="F1555" s="358"/>
      <c r="G1555" s="65"/>
      <c r="H1555" s="73"/>
      <c r="I1555" s="90">
        <v>2007</v>
      </c>
      <c r="J1555" s="73"/>
      <c r="K1555" s="734">
        <v>1.375E-2</v>
      </c>
      <c r="L1555" s="717"/>
      <c r="M1555" s="73"/>
      <c r="N1555" s="359"/>
      <c r="O1555" s="1041"/>
      <c r="P1555" s="73"/>
      <c r="Q1555" s="359"/>
      <c r="R1555" s="1041"/>
      <c r="S1555" s="73"/>
      <c r="T1555" s="359"/>
      <c r="U1555" s="73"/>
      <c r="V1555" s="66"/>
      <c r="W1555" s="788">
        <f t="shared" si="1331"/>
        <v>5.5000000000000007E-6</v>
      </c>
      <c r="X1555" s="789">
        <f t="shared" si="1332"/>
        <v>5.5000000000000007E-6</v>
      </c>
      <c r="Y1555" s="52">
        <v>2007</v>
      </c>
      <c r="Z1555" s="52"/>
      <c r="AA1555" s="787">
        <f t="shared" si="1387"/>
        <v>1.375E-5</v>
      </c>
      <c r="AB1555" s="256">
        <v>-0.6</v>
      </c>
      <c r="AC1555" s="688">
        <f t="shared" si="1333"/>
        <v>-0.6</v>
      </c>
      <c r="AD1555" s="164"/>
      <c r="AE1555" s="164"/>
      <c r="AF1555" s="25"/>
      <c r="AG1555" s="26"/>
      <c r="AH1555" s="275"/>
      <c r="AI1555" s="52"/>
      <c r="AJ1555" s="35"/>
      <c r="AK1555" s="289"/>
      <c r="AL1555" s="290"/>
      <c r="AM1555" s="211"/>
      <c r="AN1555" s="164"/>
      <c r="AO1555" s="594"/>
      <c r="AP1555" s="595"/>
      <c r="AQ1555" s="275"/>
      <c r="AR1555" s="52"/>
      <c r="AS1555" s="596"/>
      <c r="AT1555" s="79"/>
      <c r="AU1555" s="212"/>
      <c r="AV1555" s="164"/>
      <c r="AW1555" s="164"/>
      <c r="AX1555" s="76"/>
      <c r="AY1555" s="44"/>
      <c r="AZ1555" s="275"/>
      <c r="BA1555" s="52"/>
      <c r="BB1555" s="35"/>
      <c r="BC1555" s="79"/>
      <c r="BD1555" s="230"/>
      <c r="BE1555" s="211"/>
      <c r="BF1555" s="164"/>
      <c r="BG1555" s="76"/>
      <c r="BH1555" s="44"/>
      <c r="BI1555" s="275"/>
      <c r="BJ1555" s="52"/>
      <c r="BK1555" s="35"/>
      <c r="BL1555" s="79"/>
      <c r="BM1555" s="230"/>
      <c r="BN1555" s="211"/>
      <c r="BO1555" s="164"/>
      <c r="BP1555" s="726"/>
      <c r="BQ1555" s="727"/>
      <c r="BR1555" s="299"/>
      <c r="BS1555" s="35"/>
      <c r="BT1555" s="596"/>
      <c r="BU1555" s="79"/>
      <c r="BV1555" s="212"/>
      <c r="BW1555" s="304"/>
      <c r="BX1555" s="313"/>
      <c r="BY1555" s="138"/>
    </row>
    <row r="1556" spans="1:77" ht="15" customHeight="1" outlineLevel="1" x14ac:dyDescent="0.2">
      <c r="A1556" s="583" t="s">
        <v>24</v>
      </c>
      <c r="B1556" s="583"/>
      <c r="C1556" s="583" t="s">
        <v>1826</v>
      </c>
      <c r="D1556" s="546">
        <v>16.823</v>
      </c>
      <c r="E1556" s="162" t="s">
        <v>631</v>
      </c>
      <c r="F1556" s="358"/>
      <c r="G1556" s="65"/>
      <c r="H1556" s="73"/>
      <c r="I1556" s="90">
        <v>2004</v>
      </c>
      <c r="J1556" s="73"/>
      <c r="K1556" s="734">
        <v>0.12407600000000001</v>
      </c>
      <c r="L1556" s="717"/>
      <c r="M1556" s="73"/>
      <c r="N1556" s="359"/>
      <c r="O1556" s="1041"/>
      <c r="P1556" s="73"/>
      <c r="Q1556" s="359"/>
      <c r="R1556" s="1041"/>
      <c r="S1556" s="73"/>
      <c r="T1556" s="359"/>
      <c r="U1556" s="73"/>
      <c r="V1556" s="66"/>
      <c r="W1556" s="788">
        <f t="shared" si="1331"/>
        <v>9.1816240000000006E-5</v>
      </c>
      <c r="X1556" s="789">
        <f t="shared" si="1332"/>
        <v>9.1816240000000006E-5</v>
      </c>
      <c r="Y1556" s="52">
        <v>2004</v>
      </c>
      <c r="Z1556" s="52"/>
      <c r="AA1556" s="787">
        <f t="shared" si="1387"/>
        <v>1.2407600000000001E-4</v>
      </c>
      <c r="AB1556" s="256">
        <v>-0.26</v>
      </c>
      <c r="AC1556" s="688">
        <f t="shared" si="1333"/>
        <v>-0.26</v>
      </c>
      <c r="AD1556" s="164"/>
      <c r="AE1556" s="164"/>
      <c r="AF1556" s="25"/>
      <c r="AG1556" s="26"/>
      <c r="AH1556" s="275"/>
      <c r="AI1556" s="52"/>
      <c r="AJ1556" s="35"/>
      <c r="AK1556" s="289"/>
      <c r="AL1556" s="290"/>
      <c r="AM1556" s="211"/>
      <c r="AN1556" s="164"/>
      <c r="AO1556" s="594"/>
      <c r="AP1556" s="595"/>
      <c r="AQ1556" s="275"/>
      <c r="AR1556" s="52"/>
      <c r="AS1556" s="596"/>
      <c r="AT1556" s="79"/>
      <c r="AU1556" s="212"/>
      <c r="AV1556" s="164"/>
      <c r="AW1556" s="164"/>
      <c r="AX1556" s="76"/>
      <c r="AY1556" s="44"/>
      <c r="AZ1556" s="275"/>
      <c r="BA1556" s="52"/>
      <c r="BB1556" s="35"/>
      <c r="BC1556" s="79"/>
      <c r="BD1556" s="230"/>
      <c r="BE1556" s="211"/>
      <c r="BF1556" s="164"/>
      <c r="BG1556" s="76"/>
      <c r="BH1556" s="44"/>
      <c r="BI1556" s="275"/>
      <c r="BJ1556" s="52"/>
      <c r="BK1556" s="35"/>
      <c r="BL1556" s="79"/>
      <c r="BM1556" s="230"/>
      <c r="BN1556" s="211"/>
      <c r="BO1556" s="164"/>
      <c r="BP1556" s="726"/>
      <c r="BQ1556" s="727"/>
      <c r="BR1556" s="299"/>
      <c r="BS1556" s="35"/>
      <c r="BT1556" s="596"/>
      <c r="BU1556" s="79"/>
      <c r="BV1556" s="212"/>
      <c r="BW1556" s="304"/>
      <c r="BX1556" s="313"/>
      <c r="BY1556" s="138"/>
    </row>
    <row r="1557" spans="1:77" ht="15" customHeight="1" outlineLevel="1" x14ac:dyDescent="0.2">
      <c r="A1557" s="57" t="s">
        <v>24</v>
      </c>
      <c r="B1557" s="583"/>
      <c r="C1557" s="583" t="s">
        <v>1415</v>
      </c>
      <c r="D1557" s="546">
        <v>3.7469999999999999</v>
      </c>
      <c r="E1557" s="162" t="s">
        <v>631</v>
      </c>
      <c r="F1557" s="358"/>
      <c r="G1557" s="65"/>
      <c r="H1557" s="73"/>
      <c r="I1557" s="90"/>
      <c r="J1557" s="73"/>
      <c r="K1557" s="814">
        <v>1.1590999999999999E-3</v>
      </c>
      <c r="L1557" s="717"/>
      <c r="M1557" s="73"/>
      <c r="N1557" s="359"/>
      <c r="O1557" s="1041"/>
      <c r="P1557" s="73"/>
      <c r="Q1557" s="359"/>
      <c r="R1557" s="1041"/>
      <c r="S1557" s="73"/>
      <c r="T1557" s="359"/>
      <c r="U1557" s="73"/>
      <c r="V1557" s="66"/>
      <c r="W1557" s="788">
        <f t="shared" si="1331"/>
        <v>7.5341499999999995E-7</v>
      </c>
      <c r="X1557" s="789">
        <f t="shared" si="1332"/>
        <v>7.5341499999999995E-7</v>
      </c>
      <c r="Y1557" s="52">
        <v>2005</v>
      </c>
      <c r="Z1557" s="52"/>
      <c r="AA1557" s="787">
        <f t="shared" si="1387"/>
        <v>1.1590999999999998E-6</v>
      </c>
      <c r="AB1557" s="256">
        <v>-0.35</v>
      </c>
      <c r="AC1557" s="688">
        <f t="shared" si="1333"/>
        <v>-0.35</v>
      </c>
      <c r="AD1557" s="164"/>
      <c r="AE1557" s="164"/>
      <c r="AF1557" s="25"/>
      <c r="AG1557" s="26"/>
      <c r="AH1557" s="275"/>
      <c r="AI1557" s="52"/>
      <c r="AJ1557" s="35"/>
      <c r="AK1557" s="289"/>
      <c r="AL1557" s="290"/>
      <c r="AM1557" s="211"/>
      <c r="AN1557" s="164"/>
      <c r="AO1557" s="594"/>
      <c r="AP1557" s="595"/>
      <c r="AQ1557" s="275"/>
      <c r="AR1557" s="52"/>
      <c r="AS1557" s="596"/>
      <c r="AT1557" s="79"/>
      <c r="AU1557" s="212"/>
      <c r="AV1557" s="164"/>
      <c r="AW1557" s="164"/>
      <c r="AX1557" s="76"/>
      <c r="AY1557" s="44"/>
      <c r="AZ1557" s="275"/>
      <c r="BA1557" s="52"/>
      <c r="BB1557" s="35"/>
      <c r="BC1557" s="79"/>
      <c r="BD1557" s="230"/>
      <c r="BE1557" s="211"/>
      <c r="BF1557" s="164"/>
      <c r="BG1557" s="76"/>
      <c r="BH1557" s="44"/>
      <c r="BI1557" s="275"/>
      <c r="BJ1557" s="52"/>
      <c r="BK1557" s="35"/>
      <c r="BL1557" s="79"/>
      <c r="BM1557" s="230"/>
      <c r="BN1557" s="211"/>
      <c r="BO1557" s="164"/>
      <c r="BP1557" s="726"/>
      <c r="BQ1557" s="727"/>
      <c r="BR1557" s="299"/>
      <c r="BS1557" s="35"/>
      <c r="BT1557" s="596"/>
      <c r="BU1557" s="79"/>
      <c r="BV1557" s="212"/>
      <c r="BW1557" s="304"/>
      <c r="BX1557" s="313"/>
      <c r="BY1557" s="138"/>
    </row>
    <row r="1558" spans="1:77" ht="15" customHeight="1" outlineLevel="1" x14ac:dyDescent="0.2">
      <c r="A1558" s="57" t="s">
        <v>24</v>
      </c>
      <c r="B1558" s="583"/>
      <c r="C1558" s="583" t="s">
        <v>2402</v>
      </c>
      <c r="D1558" s="546">
        <v>7.508</v>
      </c>
      <c r="E1558" s="162" t="s">
        <v>631</v>
      </c>
      <c r="F1558" s="358"/>
      <c r="G1558" s="65"/>
      <c r="H1558" s="73"/>
      <c r="I1558" s="90">
        <v>2007</v>
      </c>
      <c r="J1558" s="73"/>
      <c r="K1558" s="814">
        <v>2.8115999999999999E-2</v>
      </c>
      <c r="L1558" s="717"/>
      <c r="M1558" s="73"/>
      <c r="N1558" s="359"/>
      <c r="O1558" s="1041"/>
      <c r="P1558" s="73"/>
      <c r="Q1558" s="359"/>
      <c r="R1558" s="1041"/>
      <c r="S1558" s="73"/>
      <c r="T1558" s="359"/>
      <c r="U1558" s="73"/>
      <c r="V1558" s="66"/>
      <c r="W1558" s="788">
        <f t="shared" ref="W1558" si="1390">AA1558*(1+AB1558)</f>
        <v>2.1087E-5</v>
      </c>
      <c r="X1558" s="789">
        <f t="shared" ref="X1558" si="1391">AA1558*(1+AC1558)</f>
        <v>2.1087E-5</v>
      </c>
      <c r="Y1558" s="52">
        <v>2007</v>
      </c>
      <c r="Z1558" s="52"/>
      <c r="AA1558" s="787">
        <f t="shared" ref="AA1558" si="1392">+K1558/1000</f>
        <v>2.8116E-5</v>
      </c>
      <c r="AB1558" s="256">
        <v>-0.25</v>
      </c>
      <c r="AC1558" s="688">
        <f t="shared" ref="AC1558" si="1393">AB1558</f>
        <v>-0.25</v>
      </c>
      <c r="AD1558" s="164"/>
      <c r="AE1558" s="164"/>
      <c r="AF1558" s="25"/>
      <c r="AG1558" s="26"/>
      <c r="AH1558" s="275"/>
      <c r="AI1558" s="52"/>
      <c r="AJ1558" s="35"/>
      <c r="AK1558" s="289"/>
      <c r="AL1558" s="290"/>
      <c r="AM1558" s="211"/>
      <c r="AN1558" s="164"/>
      <c r="AO1558" s="594"/>
      <c r="AP1558" s="595"/>
      <c r="AQ1558" s="275"/>
      <c r="AR1558" s="52"/>
      <c r="AS1558" s="596"/>
      <c r="AT1558" s="79"/>
      <c r="AU1558" s="212"/>
      <c r="AV1558" s="164"/>
      <c r="AW1558" s="164"/>
      <c r="AX1558" s="76"/>
      <c r="AY1558" s="44"/>
      <c r="AZ1558" s="275"/>
      <c r="BA1558" s="52"/>
      <c r="BB1558" s="35"/>
      <c r="BC1558" s="79"/>
      <c r="BD1558" s="230"/>
      <c r="BE1558" s="211"/>
      <c r="BF1558" s="164"/>
      <c r="BG1558" s="76"/>
      <c r="BH1558" s="44"/>
      <c r="BI1558" s="275"/>
      <c r="BJ1558" s="52"/>
      <c r="BK1558" s="35"/>
      <c r="BL1558" s="79"/>
      <c r="BM1558" s="230"/>
      <c r="BN1558" s="211"/>
      <c r="BO1558" s="164"/>
      <c r="BP1558" s="726"/>
      <c r="BQ1558" s="727"/>
      <c r="BR1558" s="299"/>
      <c r="BS1558" s="35"/>
      <c r="BT1558" s="596"/>
      <c r="BU1558" s="79"/>
      <c r="BV1558" s="212"/>
      <c r="BW1558" s="304"/>
      <c r="BX1558" s="313"/>
      <c r="BY1558" s="138"/>
    </row>
    <row r="1559" spans="1:77" ht="15" customHeight="1" outlineLevel="1" x14ac:dyDescent="0.2">
      <c r="A1559" s="57" t="s">
        <v>24</v>
      </c>
      <c r="B1559" s="583"/>
      <c r="C1559" s="583" t="s">
        <v>1311</v>
      </c>
      <c r="D1559" s="546">
        <v>0.94799999999999995</v>
      </c>
      <c r="E1559" s="162" t="s">
        <v>631</v>
      </c>
      <c r="F1559" s="358"/>
      <c r="G1559" s="65"/>
      <c r="H1559" s="73"/>
      <c r="I1559" s="90"/>
      <c r="J1559" s="73"/>
      <c r="K1559" s="734"/>
      <c r="L1559" s="717">
        <v>2011</v>
      </c>
      <c r="M1559" s="73"/>
      <c r="N1559" s="786">
        <v>1.495E-3</v>
      </c>
      <c r="O1559" s="1041"/>
      <c r="P1559" s="73"/>
      <c r="Q1559" s="786"/>
      <c r="R1559" s="1041"/>
      <c r="S1559" s="73"/>
      <c r="T1559" s="786"/>
      <c r="U1559" s="73"/>
      <c r="V1559" s="66"/>
      <c r="W1559" s="788">
        <f t="shared" si="1331"/>
        <v>9.2690000000000007E-7</v>
      </c>
      <c r="X1559" s="789">
        <f t="shared" si="1332"/>
        <v>9.2690000000000007E-7</v>
      </c>
      <c r="Y1559" s="52">
        <v>2011</v>
      </c>
      <c r="Z1559" s="52"/>
      <c r="AA1559" s="787">
        <f>+N1559/1000</f>
        <v>1.4950000000000001E-6</v>
      </c>
      <c r="AB1559" s="256">
        <v>-0.38</v>
      </c>
      <c r="AC1559" s="688">
        <f t="shared" si="1333"/>
        <v>-0.38</v>
      </c>
      <c r="AD1559" s="164"/>
      <c r="AE1559" s="164"/>
      <c r="AF1559" s="25"/>
      <c r="AG1559" s="26"/>
      <c r="AH1559" s="275"/>
      <c r="AI1559" s="52"/>
      <c r="AJ1559" s="35"/>
      <c r="AK1559" s="289"/>
      <c r="AL1559" s="290"/>
      <c r="AM1559" s="211"/>
      <c r="AN1559" s="164"/>
      <c r="AO1559" s="594"/>
      <c r="AP1559" s="595"/>
      <c r="AQ1559" s="275"/>
      <c r="AR1559" s="52"/>
      <c r="AS1559" s="596"/>
      <c r="AT1559" s="79"/>
      <c r="AU1559" s="212"/>
      <c r="AV1559" s="164"/>
      <c r="AW1559" s="164"/>
      <c r="AX1559" s="76"/>
      <c r="AY1559" s="44"/>
      <c r="AZ1559" s="275"/>
      <c r="BA1559" s="52"/>
      <c r="BB1559" s="35"/>
      <c r="BC1559" s="79"/>
      <c r="BD1559" s="230"/>
      <c r="BE1559" s="211"/>
      <c r="BF1559" s="164"/>
      <c r="BG1559" s="76"/>
      <c r="BH1559" s="44"/>
      <c r="BI1559" s="275"/>
      <c r="BJ1559" s="52"/>
      <c r="BK1559" s="35"/>
      <c r="BL1559" s="79"/>
      <c r="BM1559" s="230"/>
      <c r="BN1559" s="211"/>
      <c r="BO1559" s="164"/>
      <c r="BP1559" s="726"/>
      <c r="BQ1559" s="727"/>
      <c r="BR1559" s="299"/>
      <c r="BS1559" s="35"/>
      <c r="BT1559" s="596"/>
      <c r="BU1559" s="79"/>
      <c r="BV1559" s="212"/>
      <c r="BW1559" s="304"/>
      <c r="BX1559" s="313"/>
      <c r="BY1559" s="138"/>
    </row>
    <row r="1560" spans="1:77" ht="15" customHeight="1" outlineLevel="1" x14ac:dyDescent="0.2">
      <c r="A1560" s="57" t="s">
        <v>24</v>
      </c>
      <c r="B1560" s="583"/>
      <c r="C1560" s="583" t="s">
        <v>2411</v>
      </c>
      <c r="D1560" s="546">
        <v>8.6630000000000003</v>
      </c>
      <c r="E1560" s="162" t="s">
        <v>631</v>
      </c>
      <c r="F1560" s="358"/>
      <c r="G1560" s="65"/>
      <c r="H1560" s="73"/>
      <c r="I1560" s="90"/>
      <c r="J1560" s="73"/>
      <c r="K1560" s="734"/>
      <c r="L1560" s="717">
        <v>2009</v>
      </c>
      <c r="M1560" s="73"/>
      <c r="N1560" s="738">
        <v>5.5592999999999997E-2</v>
      </c>
      <c r="O1560" s="1041"/>
      <c r="P1560" s="73"/>
      <c r="Q1560" s="786"/>
      <c r="R1560" s="1041"/>
      <c r="S1560" s="73"/>
      <c r="T1560" s="786"/>
      <c r="U1560" s="73"/>
      <c r="V1560" s="66"/>
      <c r="W1560" s="740">
        <f t="shared" ref="W1560:W1562" si="1394">AA1560*(1+AB1560)</f>
        <v>4.0026959999999992E-5</v>
      </c>
      <c r="X1560" s="741">
        <f t="shared" ref="X1560:X1562" si="1395">AA1560*(1+AC1560)</f>
        <v>4.0026959999999992E-5</v>
      </c>
      <c r="Y1560" s="52">
        <v>2009</v>
      </c>
      <c r="Z1560" s="52"/>
      <c r="AA1560" s="739">
        <f>+N1560/1000</f>
        <v>5.5592999999999994E-5</v>
      </c>
      <c r="AB1560" s="256">
        <v>-0.28000000000000003</v>
      </c>
      <c r="AC1560" s="688">
        <f t="shared" ref="AC1560:AC1562" si="1396">AB1560</f>
        <v>-0.28000000000000003</v>
      </c>
      <c r="AD1560" s="164"/>
      <c r="AE1560" s="164"/>
      <c r="AF1560" s="25"/>
      <c r="AG1560" s="26"/>
      <c r="AH1560" s="275"/>
      <c r="AI1560" s="52"/>
      <c r="AJ1560" s="35"/>
      <c r="AK1560" s="289"/>
      <c r="AL1560" s="290"/>
      <c r="AM1560" s="211"/>
      <c r="AN1560" s="164"/>
      <c r="AO1560" s="594"/>
      <c r="AP1560" s="595"/>
      <c r="AQ1560" s="275"/>
      <c r="AR1560" s="52"/>
      <c r="AS1560" s="596"/>
      <c r="AT1560" s="79"/>
      <c r="AU1560" s="212"/>
      <c r="AV1560" s="164"/>
      <c r="AW1560" s="164"/>
      <c r="AX1560" s="76"/>
      <c r="AY1560" s="44"/>
      <c r="AZ1560" s="275"/>
      <c r="BA1560" s="52"/>
      <c r="BB1560" s="35"/>
      <c r="BC1560" s="79"/>
      <c r="BD1560" s="230"/>
      <c r="BE1560" s="211"/>
      <c r="BF1560" s="164"/>
      <c r="BG1560" s="76"/>
      <c r="BH1560" s="44"/>
      <c r="BI1560" s="275"/>
      <c r="BJ1560" s="52"/>
      <c r="BK1560" s="35"/>
      <c r="BL1560" s="79"/>
      <c r="BM1560" s="230"/>
      <c r="BN1560" s="211"/>
      <c r="BO1560" s="164"/>
      <c r="BP1560" s="726"/>
      <c r="BQ1560" s="727"/>
      <c r="BR1560" s="299"/>
      <c r="BS1560" s="35"/>
      <c r="BT1560" s="596"/>
      <c r="BU1560" s="79"/>
      <c r="BV1560" s="212"/>
      <c r="BW1560" s="304"/>
      <c r="BX1560" s="313"/>
      <c r="BY1560" s="138"/>
    </row>
    <row r="1561" spans="1:77" s="135" customFormat="1" ht="27.75" customHeight="1" outlineLevel="1" x14ac:dyDescent="0.2">
      <c r="A1561" s="1020" t="s">
        <v>24</v>
      </c>
      <c r="B1561" s="984"/>
      <c r="C1561" s="984" t="s">
        <v>2415</v>
      </c>
      <c r="D1561" s="985">
        <v>44.182000000000002</v>
      </c>
      <c r="E1561" s="971" t="s">
        <v>631</v>
      </c>
      <c r="F1561" s="986"/>
      <c r="G1561" s="987"/>
      <c r="H1561" s="988"/>
      <c r="I1561" s="989">
        <v>1998</v>
      </c>
      <c r="J1561" s="988"/>
      <c r="K1561" s="990">
        <v>0.15421899999999999</v>
      </c>
      <c r="L1561" s="991"/>
      <c r="M1561" s="988"/>
      <c r="N1561" s="1156"/>
      <c r="O1561" s="1046"/>
      <c r="P1561" s="988"/>
      <c r="Q1561" s="992"/>
      <c r="R1561" s="1046"/>
      <c r="S1561" s="988"/>
      <c r="T1561" s="992"/>
      <c r="U1561" s="988"/>
      <c r="V1561" s="993"/>
      <c r="W1561" s="994">
        <f t="shared" ref="W1561" si="1397">AA1561*(1+AB1561)</f>
        <v>1.0795329999999998E-4</v>
      </c>
      <c r="X1561" s="995">
        <f t="shared" ref="X1561" si="1398">AA1561*(1+AC1561)</f>
        <v>1.0795329999999998E-4</v>
      </c>
      <c r="Y1561" s="996">
        <v>1998</v>
      </c>
      <c r="Z1561" s="996"/>
      <c r="AA1561" s="997">
        <f>+K1561/1000</f>
        <v>1.5421899999999998E-4</v>
      </c>
      <c r="AB1561" s="998">
        <v>-0.3</v>
      </c>
      <c r="AC1561" s="999">
        <f t="shared" ref="AC1561" si="1399">AB1561</f>
        <v>-0.3</v>
      </c>
      <c r="AD1561" s="1000"/>
      <c r="AE1561" s="1000"/>
      <c r="AF1561" s="1001"/>
      <c r="AG1561" s="1002"/>
      <c r="AH1561" s="1003"/>
      <c r="AI1561" s="996"/>
      <c r="AJ1561" s="1004"/>
      <c r="AK1561" s="1005"/>
      <c r="AL1561" s="1006"/>
      <c r="AM1561" s="1007"/>
      <c r="AN1561" s="1000"/>
      <c r="AO1561" s="1021"/>
      <c r="AP1561" s="1022"/>
      <c r="AQ1561" s="1003"/>
      <c r="AR1561" s="996"/>
      <c r="AS1561" s="1008"/>
      <c r="AT1561" s="1009"/>
      <c r="AU1561" s="1010"/>
      <c r="AV1561" s="1000"/>
      <c r="AW1561" s="1000"/>
      <c r="AX1561" s="1011"/>
      <c r="AY1561" s="1012"/>
      <c r="AZ1561" s="1003"/>
      <c r="BA1561" s="996"/>
      <c r="BB1561" s="1004"/>
      <c r="BC1561" s="1009"/>
      <c r="BD1561" s="1013"/>
      <c r="BE1561" s="1007"/>
      <c r="BF1561" s="1000"/>
      <c r="BG1561" s="1011"/>
      <c r="BH1561" s="1012"/>
      <c r="BI1561" s="1003"/>
      <c r="BJ1561" s="996"/>
      <c r="BK1561" s="1004"/>
      <c r="BL1561" s="1009"/>
      <c r="BM1561" s="1013"/>
      <c r="BN1561" s="1007"/>
      <c r="BO1561" s="1000"/>
      <c r="BP1561" s="1014"/>
      <c r="BQ1561" s="1015"/>
      <c r="BR1561" s="1016"/>
      <c r="BS1561" s="1004"/>
      <c r="BT1561" s="1008"/>
      <c r="BU1561" s="1009"/>
      <c r="BV1561" s="1010"/>
      <c r="BW1561" s="304"/>
      <c r="BX1561" s="313"/>
      <c r="BY1561" s="1017"/>
    </row>
    <row r="1562" spans="1:77" ht="15" customHeight="1" outlineLevel="1" x14ac:dyDescent="0.2">
      <c r="A1562" s="57" t="s">
        <v>24</v>
      </c>
      <c r="B1562" s="583"/>
      <c r="C1562" s="583" t="s">
        <v>2412</v>
      </c>
      <c r="D1562" s="546">
        <v>8.2520000000000007</v>
      </c>
      <c r="E1562" s="162" t="s">
        <v>631</v>
      </c>
      <c r="F1562" s="358"/>
      <c r="G1562" s="65"/>
      <c r="H1562" s="73"/>
      <c r="I1562" s="90">
        <v>2007</v>
      </c>
      <c r="J1562" s="73"/>
      <c r="K1562" s="734">
        <v>5.1901000000000003E-2</v>
      </c>
      <c r="L1562" s="717"/>
      <c r="M1562" s="73"/>
      <c r="N1562" s="738"/>
      <c r="O1562" s="1041"/>
      <c r="P1562" s="73"/>
      <c r="Q1562" s="786"/>
      <c r="R1562" s="1041"/>
      <c r="S1562" s="73"/>
      <c r="T1562" s="786"/>
      <c r="U1562" s="73"/>
      <c r="V1562" s="66"/>
      <c r="W1562" s="740">
        <f t="shared" si="1394"/>
        <v>3.529268E-5</v>
      </c>
      <c r="X1562" s="741">
        <f t="shared" si="1395"/>
        <v>3.529268E-5</v>
      </c>
      <c r="Y1562" s="52">
        <v>2007</v>
      </c>
      <c r="Z1562" s="52"/>
      <c r="AA1562" s="739">
        <f t="shared" ref="AA1562" si="1400">+K1562/1000</f>
        <v>5.1901000000000003E-5</v>
      </c>
      <c r="AB1562" s="256">
        <v>-0.32</v>
      </c>
      <c r="AC1562" s="688">
        <f t="shared" si="1396"/>
        <v>-0.32</v>
      </c>
      <c r="AD1562" s="164"/>
      <c r="AE1562" s="164"/>
      <c r="AF1562" s="25"/>
      <c r="AG1562" s="26"/>
      <c r="AH1562" s="275"/>
      <c r="AI1562" s="52"/>
      <c r="AJ1562" s="35"/>
      <c r="AK1562" s="289"/>
      <c r="AL1562" s="290"/>
      <c r="AM1562" s="211"/>
      <c r="AN1562" s="164"/>
      <c r="AO1562" s="594"/>
      <c r="AP1562" s="595"/>
      <c r="AQ1562" s="275"/>
      <c r="AR1562" s="52"/>
      <c r="AS1562" s="596"/>
      <c r="AT1562" s="79"/>
      <c r="AU1562" s="212"/>
      <c r="AV1562" s="164"/>
      <c r="AW1562" s="164"/>
      <c r="AX1562" s="76"/>
      <c r="AY1562" s="44"/>
      <c r="AZ1562" s="275"/>
      <c r="BA1562" s="52"/>
      <c r="BB1562" s="35"/>
      <c r="BC1562" s="79"/>
      <c r="BD1562" s="230"/>
      <c r="BE1562" s="211"/>
      <c r="BF1562" s="164"/>
      <c r="BG1562" s="76"/>
      <c r="BH1562" s="44"/>
      <c r="BI1562" s="275"/>
      <c r="BJ1562" s="52"/>
      <c r="BK1562" s="35"/>
      <c r="BL1562" s="79"/>
      <c r="BM1562" s="230"/>
      <c r="BN1562" s="211"/>
      <c r="BO1562" s="164"/>
      <c r="BP1562" s="726"/>
      <c r="BQ1562" s="727"/>
      <c r="BR1562" s="299"/>
      <c r="BS1562" s="35"/>
      <c r="BT1562" s="596"/>
      <c r="BU1562" s="79"/>
      <c r="BV1562" s="212"/>
      <c r="BW1562" s="304"/>
      <c r="BX1562" s="313"/>
      <c r="BY1562" s="138"/>
    </row>
    <row r="1563" spans="1:77" ht="15" customHeight="1" outlineLevel="1" x14ac:dyDescent="0.2">
      <c r="A1563" s="57" t="s">
        <v>24</v>
      </c>
      <c r="B1563" s="583"/>
      <c r="C1563" s="583" t="s">
        <v>1477</v>
      </c>
      <c r="D1563" s="546">
        <v>4.7039999999999997</v>
      </c>
      <c r="E1563" s="162" t="s">
        <v>631</v>
      </c>
      <c r="F1563" s="358"/>
      <c r="G1563" s="65"/>
      <c r="H1563" s="73"/>
      <c r="I1563" s="90"/>
      <c r="J1563" s="73"/>
      <c r="K1563" s="734"/>
      <c r="L1563" s="717">
        <v>2009</v>
      </c>
      <c r="M1563" s="73"/>
      <c r="N1563" s="738">
        <v>1.5502999999999999E-2</v>
      </c>
      <c r="O1563" s="1041"/>
      <c r="P1563" s="73"/>
      <c r="Q1563" s="738"/>
      <c r="R1563" s="1041"/>
      <c r="S1563" s="73"/>
      <c r="T1563" s="738"/>
      <c r="U1563" s="73"/>
      <c r="V1563" s="66"/>
      <c r="W1563" s="740">
        <f t="shared" si="1331"/>
        <v>1.023198E-5</v>
      </c>
      <c r="X1563" s="741">
        <f t="shared" si="1332"/>
        <v>1.023198E-5</v>
      </c>
      <c r="Y1563" s="52">
        <v>2009</v>
      </c>
      <c r="Z1563" s="52"/>
      <c r="AA1563" s="739">
        <f>+N1563/1000</f>
        <v>1.5503E-5</v>
      </c>
      <c r="AB1563" s="256">
        <v>-0.34</v>
      </c>
      <c r="AC1563" s="688">
        <f t="shared" si="1333"/>
        <v>-0.34</v>
      </c>
      <c r="AD1563" s="164"/>
      <c r="AE1563" s="164"/>
      <c r="AF1563" s="25"/>
      <c r="AG1563" s="26"/>
      <c r="AH1563" s="275"/>
      <c r="AI1563" s="52"/>
      <c r="AJ1563" s="35"/>
      <c r="AK1563" s="289"/>
      <c r="AL1563" s="290"/>
      <c r="AM1563" s="211"/>
      <c r="AN1563" s="164"/>
      <c r="AO1563" s="594"/>
      <c r="AP1563" s="595"/>
      <c r="AQ1563" s="275"/>
      <c r="AR1563" s="52"/>
      <c r="AS1563" s="596"/>
      <c r="AT1563" s="79"/>
      <c r="AU1563" s="212"/>
      <c r="AV1563" s="164"/>
      <c r="AW1563" s="164"/>
      <c r="AX1563" s="76"/>
      <c r="AY1563" s="44"/>
      <c r="AZ1563" s="275"/>
      <c r="BA1563" s="52"/>
      <c r="BB1563" s="35"/>
      <c r="BC1563" s="79"/>
      <c r="BD1563" s="230"/>
      <c r="BE1563" s="211"/>
      <c r="BF1563" s="164"/>
      <c r="BG1563" s="76"/>
      <c r="BH1563" s="44"/>
      <c r="BI1563" s="275"/>
      <c r="BJ1563" s="52"/>
      <c r="BK1563" s="35"/>
      <c r="BL1563" s="79"/>
      <c r="BM1563" s="230"/>
      <c r="BN1563" s="211"/>
      <c r="BO1563" s="164"/>
      <c r="BP1563" s="726"/>
      <c r="BQ1563" s="727"/>
      <c r="BR1563" s="299"/>
      <c r="BS1563" s="35"/>
      <c r="BT1563" s="596"/>
      <c r="BU1563" s="79"/>
      <c r="BV1563" s="212"/>
      <c r="BW1563" s="304"/>
      <c r="BX1563" s="313"/>
      <c r="BY1563" s="138"/>
    </row>
    <row r="1564" spans="1:77" ht="15" customHeight="1" outlineLevel="1" x14ac:dyDescent="0.2">
      <c r="A1564" s="57" t="s">
        <v>24</v>
      </c>
      <c r="B1564" s="583"/>
      <c r="C1564" s="583" t="s">
        <v>1398</v>
      </c>
      <c r="D1564" s="546">
        <v>2.4910000000000001</v>
      </c>
      <c r="E1564" s="162" t="s">
        <v>631</v>
      </c>
      <c r="F1564" s="358"/>
      <c r="G1564" s="65"/>
      <c r="H1564" s="73"/>
      <c r="I1564" s="90"/>
      <c r="J1564" s="73"/>
      <c r="K1564" s="734">
        <v>8.8229999999999992E-3</v>
      </c>
      <c r="L1564" s="717"/>
      <c r="M1564" s="73"/>
      <c r="N1564" s="359"/>
      <c r="O1564" s="1041"/>
      <c r="P1564" s="73"/>
      <c r="Q1564" s="359"/>
      <c r="R1564" s="1041"/>
      <c r="S1564" s="73"/>
      <c r="T1564" s="359"/>
      <c r="U1564" s="73"/>
      <c r="V1564" s="66"/>
      <c r="W1564" s="788">
        <f t="shared" si="1331"/>
        <v>5.5584900000000004E-6</v>
      </c>
      <c r="X1564" s="789">
        <f t="shared" si="1332"/>
        <v>5.5584900000000004E-6</v>
      </c>
      <c r="Y1564" s="52">
        <v>2005</v>
      </c>
      <c r="Z1564" s="52"/>
      <c r="AA1564" s="787">
        <f>+K1564/1000</f>
        <v>8.8230000000000001E-6</v>
      </c>
      <c r="AB1564" s="256">
        <v>-0.37</v>
      </c>
      <c r="AC1564" s="688">
        <f t="shared" si="1333"/>
        <v>-0.37</v>
      </c>
      <c r="AD1564" s="164"/>
      <c r="AE1564" s="164"/>
      <c r="AF1564" s="25"/>
      <c r="AG1564" s="26"/>
      <c r="AH1564" s="275"/>
      <c r="AI1564" s="52"/>
      <c r="AJ1564" s="35"/>
      <c r="AK1564" s="289"/>
      <c r="AL1564" s="290"/>
      <c r="AM1564" s="211"/>
      <c r="AN1564" s="164"/>
      <c r="AO1564" s="594"/>
      <c r="AP1564" s="595"/>
      <c r="AQ1564" s="275"/>
      <c r="AR1564" s="52"/>
      <c r="AS1564" s="596"/>
      <c r="AT1564" s="79"/>
      <c r="AU1564" s="212"/>
      <c r="AV1564" s="164"/>
      <c r="AW1564" s="164"/>
      <c r="AX1564" s="76"/>
      <c r="AY1564" s="44"/>
      <c r="AZ1564" s="275"/>
      <c r="BA1564" s="52"/>
      <c r="BB1564" s="35"/>
      <c r="BC1564" s="79"/>
      <c r="BD1564" s="230"/>
      <c r="BE1564" s="211"/>
      <c r="BF1564" s="164"/>
      <c r="BG1564" s="76"/>
      <c r="BH1564" s="44"/>
      <c r="BI1564" s="275"/>
      <c r="BJ1564" s="52"/>
      <c r="BK1564" s="35"/>
      <c r="BL1564" s="79"/>
      <c r="BM1564" s="230"/>
      <c r="BN1564" s="211"/>
      <c r="BO1564" s="164"/>
      <c r="BP1564" s="726"/>
      <c r="BQ1564" s="727"/>
      <c r="BR1564" s="299"/>
      <c r="BS1564" s="35"/>
      <c r="BT1564" s="596"/>
      <c r="BU1564" s="79"/>
      <c r="BV1564" s="212"/>
      <c r="BW1564" s="304"/>
      <c r="BX1564" s="313"/>
      <c r="BY1564" s="138"/>
    </row>
    <row r="1565" spans="1:77" ht="15" customHeight="1" outlineLevel="1" x14ac:dyDescent="0.2">
      <c r="A1565" s="583" t="s">
        <v>24</v>
      </c>
      <c r="B1565" s="583"/>
      <c r="C1565" s="583" t="s">
        <v>1737</v>
      </c>
      <c r="D1565" s="546">
        <v>3.0640000000000001</v>
      </c>
      <c r="E1565" s="162" t="s">
        <v>631</v>
      </c>
      <c r="F1565" s="358"/>
      <c r="G1565" s="65"/>
      <c r="H1565" s="73"/>
      <c r="I1565" s="90"/>
      <c r="J1565" s="73"/>
      <c r="K1565" s="734">
        <v>8.5369999999999994E-3</v>
      </c>
      <c r="L1565" s="717"/>
      <c r="M1565" s="73"/>
      <c r="N1565" s="359"/>
      <c r="O1565" s="1041"/>
      <c r="P1565" s="73"/>
      <c r="Q1565" s="359"/>
      <c r="R1565" s="1041"/>
      <c r="S1565" s="73"/>
      <c r="T1565" s="359"/>
      <c r="U1565" s="73"/>
      <c r="V1565" s="66"/>
      <c r="W1565" s="788">
        <f t="shared" ref="W1565" si="1401">AA1565*(1+AB1565)</f>
        <v>6.4027499999999998E-6</v>
      </c>
      <c r="X1565" s="789">
        <f t="shared" ref="X1565" si="1402">AA1565*(1+AC1565)</f>
        <v>6.4027499999999998E-6</v>
      </c>
      <c r="Y1565" s="52">
        <v>2005</v>
      </c>
      <c r="Z1565" s="52"/>
      <c r="AA1565" s="787">
        <f>+K1565/1000</f>
        <v>8.5369999999999997E-6</v>
      </c>
      <c r="AB1565" s="256">
        <v>-0.25</v>
      </c>
      <c r="AC1565" s="688">
        <f t="shared" si="1333"/>
        <v>-0.25</v>
      </c>
      <c r="AD1565" s="164"/>
      <c r="AE1565" s="164"/>
      <c r="AF1565" s="25"/>
      <c r="AG1565" s="26"/>
      <c r="AH1565" s="275"/>
      <c r="AI1565" s="52"/>
      <c r="AJ1565" s="35"/>
      <c r="AK1565" s="289"/>
      <c r="AL1565" s="290"/>
      <c r="AM1565" s="211"/>
      <c r="AN1565" s="164"/>
      <c r="AO1565" s="594"/>
      <c r="AP1565" s="595"/>
      <c r="AQ1565" s="275"/>
      <c r="AR1565" s="52"/>
      <c r="AS1565" s="596"/>
      <c r="AT1565" s="79"/>
      <c r="AU1565" s="212"/>
      <c r="AV1565" s="164"/>
      <c r="AW1565" s="164"/>
      <c r="AX1565" s="76"/>
      <c r="AY1565" s="44"/>
      <c r="AZ1565" s="275"/>
      <c r="BA1565" s="52"/>
      <c r="BB1565" s="35"/>
      <c r="BC1565" s="79"/>
      <c r="BD1565" s="230"/>
      <c r="BE1565" s="211"/>
      <c r="BF1565" s="164"/>
      <c r="BG1565" s="76"/>
      <c r="BH1565" s="44"/>
      <c r="BI1565" s="275"/>
      <c r="BJ1565" s="52"/>
      <c r="BK1565" s="35"/>
      <c r="BL1565" s="79"/>
      <c r="BM1565" s="230"/>
      <c r="BN1565" s="211"/>
      <c r="BO1565" s="164"/>
      <c r="BP1565" s="726"/>
      <c r="BQ1565" s="727"/>
      <c r="BR1565" s="299"/>
      <c r="BS1565" s="35"/>
      <c r="BT1565" s="596"/>
      <c r="BU1565" s="79"/>
      <c r="BV1565" s="212"/>
      <c r="BW1565" s="304"/>
      <c r="BX1565" s="313"/>
      <c r="BY1565" s="138"/>
    </row>
    <row r="1566" spans="1:77" ht="15" customHeight="1" outlineLevel="1" x14ac:dyDescent="0.2">
      <c r="A1566" s="57" t="s">
        <v>24</v>
      </c>
      <c r="B1566" s="583"/>
      <c r="C1566" s="583" t="s">
        <v>1563</v>
      </c>
      <c r="D1566" s="546">
        <v>12.586</v>
      </c>
      <c r="E1566" s="162" t="s">
        <v>631</v>
      </c>
      <c r="F1566" s="358"/>
      <c r="G1566" s="65"/>
      <c r="H1566" s="73"/>
      <c r="I1566" s="90"/>
      <c r="J1566" s="73"/>
      <c r="K1566" s="734"/>
      <c r="L1566" s="717"/>
      <c r="M1566" s="73"/>
      <c r="N1566" s="738">
        <v>3.8561999999999999E-2</v>
      </c>
      <c r="O1566" s="1041"/>
      <c r="P1566" s="73"/>
      <c r="Q1566" s="738"/>
      <c r="R1566" s="1041"/>
      <c r="S1566" s="73"/>
      <c r="T1566" s="738"/>
      <c r="U1566" s="73"/>
      <c r="V1566" s="66"/>
      <c r="W1566" s="740">
        <f t="shared" si="1331"/>
        <v>2.6607779999999998E-5</v>
      </c>
      <c r="X1566" s="741">
        <f t="shared" si="1332"/>
        <v>2.6607779999999998E-5</v>
      </c>
      <c r="Y1566" s="52">
        <v>2010</v>
      </c>
      <c r="Z1566" s="52"/>
      <c r="AA1566" s="739">
        <f>+N1566/1000</f>
        <v>3.8562000000000001E-5</v>
      </c>
      <c r="AB1566" s="256">
        <v>-0.31</v>
      </c>
      <c r="AC1566" s="688">
        <f t="shared" si="1333"/>
        <v>-0.31</v>
      </c>
      <c r="AD1566" s="164"/>
      <c r="AE1566" s="164"/>
      <c r="AF1566" s="25"/>
      <c r="AG1566" s="26"/>
      <c r="AH1566" s="275"/>
      <c r="AI1566" s="52"/>
      <c r="AJ1566" s="35"/>
      <c r="AK1566" s="289"/>
      <c r="AL1566" s="290"/>
      <c r="AM1566" s="211"/>
      <c r="AN1566" s="164"/>
      <c r="AO1566" s="594"/>
      <c r="AP1566" s="595"/>
      <c r="AQ1566" s="275"/>
      <c r="AR1566" s="52"/>
      <c r="AS1566" s="596"/>
      <c r="AT1566" s="79"/>
      <c r="AU1566" s="212"/>
      <c r="AV1566" s="164"/>
      <c r="AW1566" s="164"/>
      <c r="AX1566" s="76"/>
      <c r="AY1566" s="44"/>
      <c r="AZ1566" s="275"/>
      <c r="BA1566" s="52"/>
      <c r="BB1566" s="35"/>
      <c r="BC1566" s="79"/>
      <c r="BD1566" s="230"/>
      <c r="BE1566" s="211"/>
      <c r="BF1566" s="164"/>
      <c r="BG1566" s="76"/>
      <c r="BH1566" s="44"/>
      <c r="BI1566" s="275"/>
      <c r="BJ1566" s="52"/>
      <c r="BK1566" s="35"/>
      <c r="BL1566" s="79"/>
      <c r="BM1566" s="230"/>
      <c r="BN1566" s="211"/>
      <c r="BO1566" s="164"/>
      <c r="BP1566" s="726"/>
      <c r="BQ1566" s="727"/>
      <c r="BR1566" s="299"/>
      <c r="BS1566" s="35"/>
      <c r="BT1566" s="596"/>
      <c r="BU1566" s="79"/>
      <c r="BV1566" s="212"/>
      <c r="BW1566" s="304"/>
      <c r="BX1566" s="313"/>
      <c r="BY1566" s="138"/>
    </row>
    <row r="1567" spans="1:77" ht="15" customHeight="1" outlineLevel="1" x14ac:dyDescent="0.2">
      <c r="A1567" s="583" t="s">
        <v>24</v>
      </c>
      <c r="B1567" s="583"/>
      <c r="C1567" s="583" t="s">
        <v>2093</v>
      </c>
      <c r="D1567" s="546">
        <v>0.58399999999999996</v>
      </c>
      <c r="E1567" s="162" t="s">
        <v>631</v>
      </c>
      <c r="F1567" s="358"/>
      <c r="G1567" s="65"/>
      <c r="H1567" s="73"/>
      <c r="I1567" s="90"/>
      <c r="J1567" s="73"/>
      <c r="K1567" s="734"/>
      <c r="L1567" s="717">
        <v>2011</v>
      </c>
      <c r="M1567" s="73"/>
      <c r="N1567" s="811">
        <v>1.3209999999999999E-3</v>
      </c>
      <c r="O1567" s="1041"/>
      <c r="P1567" s="73"/>
      <c r="Q1567" s="738"/>
      <c r="R1567" s="1041"/>
      <c r="S1567" s="73"/>
      <c r="T1567" s="738"/>
      <c r="U1567" s="73"/>
      <c r="V1567" s="66"/>
      <c r="W1567" s="808">
        <f t="shared" ref="W1567" si="1403">AA1567*(1+AB1567)</f>
        <v>9.9075E-7</v>
      </c>
      <c r="X1567" s="809">
        <f t="shared" ref="X1567" si="1404">AA1567*(1+AC1567)</f>
        <v>9.9075E-7</v>
      </c>
      <c r="Y1567" s="52">
        <v>2011</v>
      </c>
      <c r="Z1567" s="52"/>
      <c r="AA1567" s="807">
        <f>+N1567/1000</f>
        <v>1.3209999999999999E-6</v>
      </c>
      <c r="AB1567" s="256">
        <v>-0.25</v>
      </c>
      <c r="AC1567" s="688">
        <f t="shared" si="1333"/>
        <v>-0.25</v>
      </c>
      <c r="AD1567" s="164"/>
      <c r="AE1567" s="164"/>
      <c r="AF1567" s="25"/>
      <c r="AG1567" s="26"/>
      <c r="AH1567" s="275"/>
      <c r="AI1567" s="52"/>
      <c r="AJ1567" s="35"/>
      <c r="AK1567" s="289"/>
      <c r="AL1567" s="290"/>
      <c r="AM1567" s="211"/>
      <c r="AN1567" s="164"/>
      <c r="AO1567" s="594"/>
      <c r="AP1567" s="595"/>
      <c r="AQ1567" s="275"/>
      <c r="AR1567" s="52"/>
      <c r="AS1567" s="596"/>
      <c r="AT1567" s="79"/>
      <c r="AU1567" s="212"/>
      <c r="AV1567" s="164"/>
      <c r="AW1567" s="164"/>
      <c r="AX1567" s="76"/>
      <c r="AY1567" s="44"/>
      <c r="AZ1567" s="275"/>
      <c r="BA1567" s="52"/>
      <c r="BB1567" s="35"/>
      <c r="BC1567" s="79"/>
      <c r="BD1567" s="230"/>
      <c r="BE1567" s="211"/>
      <c r="BF1567" s="164"/>
      <c r="BG1567" s="76"/>
      <c r="BH1567" s="44"/>
      <c r="BI1567" s="275"/>
      <c r="BJ1567" s="52"/>
      <c r="BK1567" s="35"/>
      <c r="BL1567" s="79"/>
      <c r="BM1567" s="230"/>
      <c r="BN1567" s="211"/>
      <c r="BO1567" s="164"/>
      <c r="BP1567" s="726"/>
      <c r="BQ1567" s="727"/>
      <c r="BR1567" s="299"/>
      <c r="BS1567" s="35"/>
      <c r="BT1567" s="596"/>
      <c r="BU1567" s="79"/>
      <c r="BV1567" s="212"/>
      <c r="BW1567" s="304"/>
      <c r="BX1567" s="313"/>
      <c r="BY1567" s="138"/>
    </row>
    <row r="1568" spans="1:77" ht="15" customHeight="1" outlineLevel="1" x14ac:dyDescent="0.2">
      <c r="A1568" s="583" t="s">
        <v>24</v>
      </c>
      <c r="B1568" s="583"/>
      <c r="C1568" s="583" t="s">
        <v>1841</v>
      </c>
      <c r="D1568" s="546">
        <v>9.2919999999999998</v>
      </c>
      <c r="E1568" s="162" t="s">
        <v>631</v>
      </c>
      <c r="F1568" s="358"/>
      <c r="G1568" s="65"/>
      <c r="H1568" s="73"/>
      <c r="I1568" s="90"/>
      <c r="J1568" s="73"/>
      <c r="K1568" s="734"/>
      <c r="L1568" s="717">
        <v>2014</v>
      </c>
      <c r="M1568" s="73"/>
      <c r="N1568" s="738">
        <v>3.7081000000000003E-2</v>
      </c>
      <c r="O1568" s="1041"/>
      <c r="P1568" s="73"/>
      <c r="Q1568" s="738"/>
      <c r="R1568" s="1041"/>
      <c r="S1568" s="73"/>
      <c r="T1568" s="738"/>
      <c r="U1568" s="73"/>
      <c r="V1568" s="66"/>
      <c r="W1568" s="740">
        <f t="shared" ref="W1568" si="1405">AA1568*(1+AB1568)</f>
        <v>2.7439940000000001E-5</v>
      </c>
      <c r="X1568" s="741">
        <f t="shared" ref="X1568" si="1406">AA1568*(1+AC1568)</f>
        <v>2.7439940000000001E-5</v>
      </c>
      <c r="Y1568" s="52">
        <v>2014</v>
      </c>
      <c r="Z1568" s="52"/>
      <c r="AA1568" s="739">
        <f>+N1568/1000</f>
        <v>3.7081E-5</v>
      </c>
      <c r="AB1568" s="256">
        <v>-0.26</v>
      </c>
      <c r="AC1568" s="688">
        <f t="shared" si="1333"/>
        <v>-0.26</v>
      </c>
      <c r="AD1568" s="164"/>
      <c r="AE1568" s="164"/>
      <c r="AF1568" s="25"/>
      <c r="AG1568" s="26"/>
      <c r="AH1568" s="275"/>
      <c r="AI1568" s="52"/>
      <c r="AJ1568" s="35"/>
      <c r="AK1568" s="289"/>
      <c r="AL1568" s="290"/>
      <c r="AM1568" s="211"/>
      <c r="AN1568" s="164"/>
      <c r="AO1568" s="594"/>
      <c r="AP1568" s="595"/>
      <c r="AQ1568" s="275"/>
      <c r="AR1568" s="52"/>
      <c r="AS1568" s="596"/>
      <c r="AT1568" s="79"/>
      <c r="AU1568" s="212"/>
      <c r="AV1568" s="164"/>
      <c r="AW1568" s="164"/>
      <c r="AX1568" s="76"/>
      <c r="AY1568" s="44"/>
      <c r="AZ1568" s="275"/>
      <c r="BA1568" s="52"/>
      <c r="BB1568" s="35"/>
      <c r="BC1568" s="79"/>
      <c r="BD1568" s="230"/>
      <c r="BE1568" s="211"/>
      <c r="BF1568" s="164"/>
      <c r="BG1568" s="76"/>
      <c r="BH1568" s="44"/>
      <c r="BI1568" s="275"/>
      <c r="BJ1568" s="52"/>
      <c r="BK1568" s="35"/>
      <c r="BL1568" s="79"/>
      <c r="BM1568" s="230"/>
      <c r="BN1568" s="211"/>
      <c r="BO1568" s="164"/>
      <c r="BP1568" s="726"/>
      <c r="BQ1568" s="727"/>
      <c r="BR1568" s="299"/>
      <c r="BS1568" s="35"/>
      <c r="BT1568" s="596"/>
      <c r="BU1568" s="79"/>
      <c r="BV1568" s="212"/>
      <c r="BW1568" s="304"/>
      <c r="BX1568" s="313"/>
      <c r="BY1568" s="138"/>
    </row>
    <row r="1569" spans="1:77" ht="15" customHeight="1" outlineLevel="1" x14ac:dyDescent="0.2">
      <c r="A1569" s="583" t="s">
        <v>24</v>
      </c>
      <c r="B1569" s="583"/>
      <c r="C1569" s="583" t="s">
        <v>1960</v>
      </c>
      <c r="D1569" s="546">
        <v>0.66700000000000004</v>
      </c>
      <c r="E1569" s="162" t="s">
        <v>631</v>
      </c>
      <c r="F1569" s="358"/>
      <c r="G1569" s="65"/>
      <c r="H1569" s="73"/>
      <c r="I1569" s="90">
        <v>2007</v>
      </c>
      <c r="J1569" s="73"/>
      <c r="K1569" s="734">
        <v>4.5009999999999998E-3</v>
      </c>
      <c r="L1569" s="717"/>
      <c r="M1569" s="73"/>
      <c r="N1569" s="738"/>
      <c r="O1569" s="1041"/>
      <c r="P1569" s="73"/>
      <c r="Q1569" s="738"/>
      <c r="R1569" s="1041"/>
      <c r="S1569" s="73"/>
      <c r="T1569" s="738"/>
      <c r="U1569" s="73"/>
      <c r="V1569" s="66"/>
      <c r="W1569" s="788">
        <f t="shared" ref="W1569" si="1407">AA1569*(1+AB1569)</f>
        <v>3.2857299999999997E-6</v>
      </c>
      <c r="X1569" s="789">
        <f t="shared" ref="X1569" si="1408">AA1569*(1+AC1569)</f>
        <v>3.2857299999999997E-6</v>
      </c>
      <c r="Y1569" s="52">
        <v>2007</v>
      </c>
      <c r="Z1569" s="52"/>
      <c r="AA1569" s="787">
        <f>+K1569/1000</f>
        <v>4.5009999999999998E-6</v>
      </c>
      <c r="AB1569" s="256">
        <v>-0.27</v>
      </c>
      <c r="AC1569" s="688">
        <f t="shared" si="1333"/>
        <v>-0.27</v>
      </c>
      <c r="AD1569" s="164"/>
      <c r="AE1569" s="164"/>
      <c r="AF1569" s="25"/>
      <c r="AG1569" s="26"/>
      <c r="AH1569" s="275"/>
      <c r="AI1569" s="52"/>
      <c r="AJ1569" s="35"/>
      <c r="AK1569" s="289"/>
      <c r="AL1569" s="290"/>
      <c r="AM1569" s="211"/>
      <c r="AN1569" s="164"/>
      <c r="AO1569" s="594"/>
      <c r="AP1569" s="595"/>
      <c r="AQ1569" s="275"/>
      <c r="AR1569" s="52"/>
      <c r="AS1569" s="596"/>
      <c r="AT1569" s="79"/>
      <c r="AU1569" s="212"/>
      <c r="AV1569" s="164"/>
      <c r="AW1569" s="164"/>
      <c r="AX1569" s="76"/>
      <c r="AY1569" s="44"/>
      <c r="AZ1569" s="275"/>
      <c r="BA1569" s="52"/>
      <c r="BB1569" s="35"/>
      <c r="BC1569" s="79"/>
      <c r="BD1569" s="230"/>
      <c r="BE1569" s="211"/>
      <c r="BF1569" s="164"/>
      <c r="BG1569" s="76"/>
      <c r="BH1569" s="44"/>
      <c r="BI1569" s="275"/>
      <c r="BJ1569" s="52"/>
      <c r="BK1569" s="35"/>
      <c r="BL1569" s="79"/>
      <c r="BM1569" s="230"/>
      <c r="BN1569" s="211"/>
      <c r="BO1569" s="164"/>
      <c r="BP1569" s="726"/>
      <c r="BQ1569" s="727"/>
      <c r="BR1569" s="299"/>
      <c r="BS1569" s="35"/>
      <c r="BT1569" s="596"/>
      <c r="BU1569" s="79"/>
      <c r="BV1569" s="212"/>
      <c r="BW1569" s="304"/>
      <c r="BX1569" s="313"/>
      <c r="BY1569" s="138"/>
    </row>
    <row r="1570" spans="1:77" ht="15" customHeight="1" outlineLevel="1" x14ac:dyDescent="0.2">
      <c r="A1570" s="57" t="s">
        <v>24</v>
      </c>
      <c r="B1570" s="583"/>
      <c r="C1570" s="583" t="s">
        <v>1588</v>
      </c>
      <c r="D1570" s="546">
        <v>1.3069999999999999</v>
      </c>
      <c r="E1570" s="162" t="s">
        <v>631</v>
      </c>
      <c r="F1570" s="358"/>
      <c r="G1570" s="65"/>
      <c r="H1570" s="73"/>
      <c r="I1570" s="90">
        <v>2007</v>
      </c>
      <c r="J1570" s="73"/>
      <c r="K1570" s="734">
        <v>1.0943E-2</v>
      </c>
      <c r="L1570" s="717"/>
      <c r="M1570" s="73"/>
      <c r="N1570" s="359"/>
      <c r="O1570" s="1041"/>
      <c r="P1570" s="73"/>
      <c r="Q1570" s="359"/>
      <c r="R1570" s="1041"/>
      <c r="S1570" s="73"/>
      <c r="T1570" s="359"/>
      <c r="U1570" s="73"/>
      <c r="V1570" s="66"/>
      <c r="W1570" s="788">
        <f t="shared" si="1331"/>
        <v>4.9243499999999997E-6</v>
      </c>
      <c r="X1570" s="789">
        <f t="shared" si="1332"/>
        <v>4.9243499999999997E-6</v>
      </c>
      <c r="Y1570" s="52">
        <v>2007</v>
      </c>
      <c r="Z1570" s="52"/>
      <c r="AA1570" s="739">
        <f>+K1570/1000</f>
        <v>1.0943E-5</v>
      </c>
      <c r="AB1570" s="256">
        <v>-0.55000000000000004</v>
      </c>
      <c r="AC1570" s="688">
        <f t="shared" si="1333"/>
        <v>-0.55000000000000004</v>
      </c>
      <c r="AD1570" s="164"/>
      <c r="AE1570" s="164"/>
      <c r="AF1570" s="25"/>
      <c r="AG1570" s="26"/>
      <c r="AH1570" s="275"/>
      <c r="AI1570" s="52"/>
      <c r="AJ1570" s="35"/>
      <c r="AK1570" s="289"/>
      <c r="AL1570" s="290"/>
      <c r="AM1570" s="211"/>
      <c r="AN1570" s="164"/>
      <c r="AO1570" s="594"/>
      <c r="AP1570" s="595"/>
      <c r="AQ1570" s="275"/>
      <c r="AR1570" s="52"/>
      <c r="AS1570" s="596"/>
      <c r="AT1570" s="79"/>
      <c r="AU1570" s="212"/>
      <c r="AV1570" s="164"/>
      <c r="AW1570" s="164"/>
      <c r="AX1570" s="76"/>
      <c r="AY1570" s="44"/>
      <c r="AZ1570" s="275"/>
      <c r="BA1570" s="52"/>
      <c r="BB1570" s="35"/>
      <c r="BC1570" s="79"/>
      <c r="BD1570" s="230"/>
      <c r="BE1570" s="211"/>
      <c r="BF1570" s="164"/>
      <c r="BG1570" s="76"/>
      <c r="BH1570" s="44"/>
      <c r="BI1570" s="275"/>
      <c r="BJ1570" s="52"/>
      <c r="BK1570" s="35"/>
      <c r="BL1570" s="79"/>
      <c r="BM1570" s="230"/>
      <c r="BN1570" s="211"/>
      <c r="BO1570" s="164"/>
      <c r="BP1570" s="726"/>
      <c r="BQ1570" s="727"/>
      <c r="BR1570" s="299"/>
      <c r="BS1570" s="35"/>
      <c r="BT1570" s="596"/>
      <c r="BU1570" s="79"/>
      <c r="BV1570" s="212"/>
      <c r="BW1570" s="304"/>
      <c r="BX1570" s="313"/>
      <c r="BY1570" s="138"/>
    </row>
    <row r="1571" spans="1:77" ht="15" customHeight="1" outlineLevel="1" x14ac:dyDescent="0.2">
      <c r="A1571" s="583" t="s">
        <v>24</v>
      </c>
      <c r="B1571" s="583"/>
      <c r="C1571" s="583" t="s">
        <v>1781</v>
      </c>
      <c r="D1571" s="546">
        <v>4.5060000000000002</v>
      </c>
      <c r="E1571" s="162" t="s">
        <v>631</v>
      </c>
      <c r="F1571" s="358"/>
      <c r="G1571" s="65"/>
      <c r="H1571" s="73"/>
      <c r="I1571" s="90"/>
      <c r="J1571" s="73"/>
      <c r="K1571" s="734"/>
      <c r="L1571" s="717">
        <v>2008</v>
      </c>
      <c r="M1571" s="73"/>
      <c r="N1571" s="786">
        <v>9.0679999999999997E-3</v>
      </c>
      <c r="O1571" s="1041"/>
      <c r="P1571" s="73"/>
      <c r="Q1571" s="786"/>
      <c r="R1571" s="1041"/>
      <c r="S1571" s="73"/>
      <c r="T1571" s="786"/>
      <c r="U1571" s="73"/>
      <c r="V1571" s="66"/>
      <c r="W1571" s="788">
        <f t="shared" ref="W1571" si="1409">AA1571*(1+AB1571)</f>
        <v>6.8009999999999998E-6</v>
      </c>
      <c r="X1571" s="789">
        <f t="shared" ref="X1571" si="1410">AA1571*(1+AC1571)</f>
        <v>6.8009999999999998E-6</v>
      </c>
      <c r="Y1571" s="52">
        <v>2008</v>
      </c>
      <c r="Z1571" s="52"/>
      <c r="AA1571" s="739">
        <f>+N1571/1000</f>
        <v>9.0680000000000003E-6</v>
      </c>
      <c r="AB1571" s="256">
        <v>-0.25</v>
      </c>
      <c r="AC1571" s="688">
        <f t="shared" si="1333"/>
        <v>-0.25</v>
      </c>
      <c r="AD1571" s="164"/>
      <c r="AE1571" s="164"/>
      <c r="AF1571" s="25"/>
      <c r="AG1571" s="26"/>
      <c r="AH1571" s="275"/>
      <c r="AI1571" s="52"/>
      <c r="AJ1571" s="35"/>
      <c r="AK1571" s="289"/>
      <c r="AL1571" s="290"/>
      <c r="AM1571" s="211"/>
      <c r="AN1571" s="164"/>
      <c r="AO1571" s="594"/>
      <c r="AP1571" s="595"/>
      <c r="AQ1571" s="275"/>
      <c r="AR1571" s="52"/>
      <c r="AS1571" s="596"/>
      <c r="AT1571" s="79"/>
      <c r="AU1571" s="212"/>
      <c r="AV1571" s="164"/>
      <c r="AW1571" s="164"/>
      <c r="AX1571" s="76"/>
      <c r="AY1571" s="44"/>
      <c r="AZ1571" s="275"/>
      <c r="BA1571" s="52"/>
      <c r="BB1571" s="35"/>
      <c r="BC1571" s="79"/>
      <c r="BD1571" s="230"/>
      <c r="BE1571" s="211"/>
      <c r="BF1571" s="164"/>
      <c r="BG1571" s="76"/>
      <c r="BH1571" s="44"/>
      <c r="BI1571" s="275"/>
      <c r="BJ1571" s="52"/>
      <c r="BK1571" s="35"/>
      <c r="BL1571" s="79"/>
      <c r="BM1571" s="230"/>
      <c r="BN1571" s="211"/>
      <c r="BO1571" s="164"/>
      <c r="BP1571" s="726"/>
      <c r="BQ1571" s="727"/>
      <c r="BR1571" s="299"/>
      <c r="BS1571" s="35"/>
      <c r="BT1571" s="596"/>
      <c r="BU1571" s="79"/>
      <c r="BV1571" s="212"/>
      <c r="BW1571" s="304"/>
      <c r="BX1571" s="313"/>
      <c r="BY1571" s="138"/>
    </row>
    <row r="1572" spans="1:77" ht="15" customHeight="1" outlineLevel="1" x14ac:dyDescent="0.2">
      <c r="A1572" s="583" t="s">
        <v>24</v>
      </c>
      <c r="B1572" s="583"/>
      <c r="C1572" s="583" t="s">
        <v>1802</v>
      </c>
      <c r="D1572" s="546">
        <v>8.5129999999999999</v>
      </c>
      <c r="E1572" s="162" t="s">
        <v>631</v>
      </c>
      <c r="F1572" s="358"/>
      <c r="G1572" s="65"/>
      <c r="H1572" s="73"/>
      <c r="I1572" s="90">
        <v>2000</v>
      </c>
      <c r="J1572" s="73"/>
      <c r="K1572" s="734">
        <v>3.1112000000000001E-2</v>
      </c>
      <c r="L1572" s="717"/>
      <c r="M1572" s="73"/>
      <c r="N1572" s="786"/>
      <c r="O1572" s="1041"/>
      <c r="P1572" s="73"/>
      <c r="Q1572" s="786"/>
      <c r="R1572" s="1041"/>
      <c r="S1572" s="73"/>
      <c r="T1572" s="786"/>
      <c r="U1572" s="73"/>
      <c r="V1572" s="66"/>
      <c r="W1572" s="788">
        <f t="shared" ref="W1572" si="1411">AA1572*(1+AB1572)</f>
        <v>2.3334000000000004E-5</v>
      </c>
      <c r="X1572" s="789">
        <f t="shared" ref="X1572" si="1412">AA1572*(1+AC1572)</f>
        <v>2.3334000000000004E-5</v>
      </c>
      <c r="Y1572" s="52">
        <v>2000</v>
      </c>
      <c r="Z1572" s="52"/>
      <c r="AA1572" s="739">
        <f>+K1572/1000</f>
        <v>3.1112000000000003E-5</v>
      </c>
      <c r="AB1572" s="256">
        <v>-0.25</v>
      </c>
      <c r="AC1572" s="688">
        <f t="shared" si="1333"/>
        <v>-0.25</v>
      </c>
      <c r="AD1572" s="164"/>
      <c r="AE1572" s="164"/>
      <c r="AF1572" s="25"/>
      <c r="AG1572" s="26"/>
      <c r="AH1572" s="275"/>
      <c r="AI1572" s="52"/>
      <c r="AJ1572" s="35"/>
      <c r="AK1572" s="289"/>
      <c r="AL1572" s="290"/>
      <c r="AM1572" s="211"/>
      <c r="AN1572" s="164"/>
      <c r="AO1572" s="594"/>
      <c r="AP1572" s="595"/>
      <c r="AQ1572" s="275"/>
      <c r="AR1572" s="52"/>
      <c r="AS1572" s="596"/>
      <c r="AT1572" s="79"/>
      <c r="AU1572" s="212"/>
      <c r="AV1572" s="164"/>
      <c r="AW1572" s="164"/>
      <c r="AX1572" s="76"/>
      <c r="AY1572" s="44"/>
      <c r="AZ1572" s="275"/>
      <c r="BA1572" s="52"/>
      <c r="BB1572" s="35"/>
      <c r="BC1572" s="79"/>
      <c r="BD1572" s="230"/>
      <c r="BE1572" s="211"/>
      <c r="BF1572" s="164"/>
      <c r="BG1572" s="76"/>
      <c r="BH1572" s="44"/>
      <c r="BI1572" s="275"/>
      <c r="BJ1572" s="52"/>
      <c r="BK1572" s="35"/>
      <c r="BL1572" s="79"/>
      <c r="BM1572" s="230"/>
      <c r="BN1572" s="211"/>
      <c r="BO1572" s="164"/>
      <c r="BP1572" s="726"/>
      <c r="BQ1572" s="727"/>
      <c r="BR1572" s="299"/>
      <c r="BS1572" s="35"/>
      <c r="BT1572" s="596"/>
      <c r="BU1572" s="79"/>
      <c r="BV1572" s="212"/>
      <c r="BW1572" s="304"/>
      <c r="BX1572" s="313"/>
      <c r="BY1572" s="138"/>
    </row>
    <row r="1573" spans="1:77" ht="15" customHeight="1" outlineLevel="1" x14ac:dyDescent="0.2">
      <c r="A1573" s="583" t="s">
        <v>24</v>
      </c>
      <c r="B1573" s="583"/>
      <c r="C1573" s="583" t="s">
        <v>2057</v>
      </c>
      <c r="D1573" s="546">
        <v>8.5860000000000003</v>
      </c>
      <c r="E1573" s="162" t="s">
        <v>631</v>
      </c>
      <c r="F1573" s="358"/>
      <c r="G1573" s="65"/>
      <c r="H1573" s="73"/>
      <c r="I1573" s="90"/>
      <c r="J1573" s="73"/>
      <c r="K1573" s="734"/>
      <c r="L1573" s="717">
        <v>2008</v>
      </c>
      <c r="M1573" s="73"/>
      <c r="N1573" s="786">
        <v>3.4554000000000001E-2</v>
      </c>
      <c r="O1573" s="1041"/>
      <c r="P1573" s="73"/>
      <c r="Q1573" s="786"/>
      <c r="R1573" s="1041"/>
      <c r="S1573" s="73"/>
      <c r="T1573" s="786"/>
      <c r="U1573" s="73"/>
      <c r="V1573" s="66"/>
      <c r="W1573" s="788">
        <f t="shared" ref="W1573" si="1413">AA1573*(1+AB1573)</f>
        <v>2.453334E-5</v>
      </c>
      <c r="X1573" s="789">
        <f t="shared" ref="X1573" si="1414">AA1573*(1+AC1573)</f>
        <v>2.453334E-5</v>
      </c>
      <c r="Y1573" s="52">
        <v>2008</v>
      </c>
      <c r="Z1573" s="52"/>
      <c r="AA1573" s="739">
        <f>+N1573/1000</f>
        <v>3.4554000000000002E-5</v>
      </c>
      <c r="AB1573" s="256">
        <v>-0.28999999999999998</v>
      </c>
      <c r="AC1573" s="688">
        <f t="shared" si="1333"/>
        <v>-0.28999999999999998</v>
      </c>
      <c r="AD1573" s="164"/>
      <c r="AE1573" s="164"/>
      <c r="AF1573" s="25"/>
      <c r="AG1573" s="26"/>
      <c r="AH1573" s="275"/>
      <c r="AI1573" s="52"/>
      <c r="AJ1573" s="35"/>
      <c r="AK1573" s="289"/>
      <c r="AL1573" s="290"/>
      <c r="AM1573" s="211"/>
      <c r="AN1573" s="164"/>
      <c r="AO1573" s="594"/>
      <c r="AP1573" s="595"/>
      <c r="AQ1573" s="275"/>
      <c r="AR1573" s="52"/>
      <c r="AS1573" s="596"/>
      <c r="AT1573" s="79"/>
      <c r="AU1573" s="212"/>
      <c r="AV1573" s="164"/>
      <c r="AW1573" s="164"/>
      <c r="AX1573" s="76"/>
      <c r="AY1573" s="44"/>
      <c r="AZ1573" s="275"/>
      <c r="BA1573" s="52"/>
      <c r="BB1573" s="35"/>
      <c r="BC1573" s="79"/>
      <c r="BD1573" s="230"/>
      <c r="BE1573" s="211"/>
      <c r="BF1573" s="164"/>
      <c r="BG1573" s="76"/>
      <c r="BH1573" s="44"/>
      <c r="BI1573" s="275"/>
      <c r="BJ1573" s="52"/>
      <c r="BK1573" s="35"/>
      <c r="BL1573" s="79"/>
      <c r="BM1573" s="230"/>
      <c r="BN1573" s="211"/>
      <c r="BO1573" s="164"/>
      <c r="BP1573" s="726"/>
      <c r="BQ1573" s="727"/>
      <c r="BR1573" s="299"/>
      <c r="BS1573" s="35"/>
      <c r="BT1573" s="596"/>
      <c r="BU1573" s="79"/>
      <c r="BV1573" s="212"/>
      <c r="BW1573" s="304"/>
      <c r="BX1573" s="313"/>
      <c r="BY1573" s="138"/>
    </row>
    <row r="1574" spans="1:77" ht="15" customHeight="1" outlineLevel="1" x14ac:dyDescent="0.2">
      <c r="A1574" s="583" t="s">
        <v>24</v>
      </c>
      <c r="B1574" s="583"/>
      <c r="C1574" s="583" t="s">
        <v>2664</v>
      </c>
      <c r="D1574" s="546">
        <v>27.867000000000001</v>
      </c>
      <c r="E1574" s="162" t="s">
        <v>631</v>
      </c>
      <c r="F1574" s="358"/>
      <c r="G1574" s="65"/>
      <c r="H1574" s="73"/>
      <c r="I1574" s="90"/>
      <c r="J1574" s="73"/>
      <c r="K1574" s="734"/>
      <c r="L1574" s="717">
        <v>2011</v>
      </c>
      <c r="M1574" s="73"/>
      <c r="N1574" s="786">
        <v>7.0333000000000007E-2</v>
      </c>
      <c r="O1574" s="1041"/>
      <c r="P1574" s="73"/>
      <c r="Q1574" s="786"/>
      <c r="R1574" s="1041"/>
      <c r="S1574" s="73"/>
      <c r="T1574" s="786"/>
      <c r="U1574" s="73"/>
      <c r="V1574" s="66"/>
      <c r="W1574" s="788">
        <f t="shared" ref="W1574" si="1415">AA1574*(1+AB1574)</f>
        <v>4.9233100000000001E-5</v>
      </c>
      <c r="X1574" s="789">
        <f t="shared" ref="X1574" si="1416">AA1574*(1+AC1574)</f>
        <v>4.9233100000000001E-5</v>
      </c>
      <c r="Y1574" s="52">
        <v>2011</v>
      </c>
      <c r="Z1574" s="52"/>
      <c r="AA1574" s="739">
        <f>+N1574/1000</f>
        <v>7.0333000000000006E-5</v>
      </c>
      <c r="AB1574" s="256">
        <v>-0.3</v>
      </c>
      <c r="AC1574" s="688">
        <f t="shared" ref="AC1574" si="1417">AB1574</f>
        <v>-0.3</v>
      </c>
      <c r="AD1574" s="164"/>
      <c r="AE1574" s="164"/>
      <c r="AF1574" s="25"/>
      <c r="AG1574" s="26"/>
      <c r="AH1574" s="275"/>
      <c r="AI1574" s="52"/>
      <c r="AJ1574" s="35"/>
      <c r="AK1574" s="289"/>
      <c r="AL1574" s="290"/>
      <c r="AM1574" s="211"/>
      <c r="AN1574" s="164"/>
      <c r="AO1574" s="594"/>
      <c r="AP1574" s="595"/>
      <c r="AQ1574" s="275"/>
      <c r="AR1574" s="52"/>
      <c r="AS1574" s="596"/>
      <c r="AT1574" s="79"/>
      <c r="AU1574" s="212"/>
      <c r="AV1574" s="164"/>
      <c r="AW1574" s="164"/>
      <c r="AX1574" s="76"/>
      <c r="AY1574" s="44"/>
      <c r="AZ1574" s="275"/>
      <c r="BA1574" s="52"/>
      <c r="BB1574" s="35"/>
      <c r="BC1574" s="79"/>
      <c r="BD1574" s="230"/>
      <c r="BE1574" s="211"/>
      <c r="BF1574" s="164"/>
      <c r="BG1574" s="76"/>
      <c r="BH1574" s="44"/>
      <c r="BI1574" s="275"/>
      <c r="BJ1574" s="52"/>
      <c r="BK1574" s="35"/>
      <c r="BL1574" s="79"/>
      <c r="BM1574" s="230"/>
      <c r="BN1574" s="211"/>
      <c r="BO1574" s="164"/>
      <c r="BP1574" s="726"/>
      <c r="BQ1574" s="727"/>
      <c r="BR1574" s="299"/>
      <c r="BS1574" s="35"/>
      <c r="BT1574" s="596"/>
      <c r="BU1574" s="79"/>
      <c r="BV1574" s="212"/>
      <c r="BW1574" s="304"/>
      <c r="BX1574" s="313"/>
      <c r="BY1574" s="138"/>
    </row>
    <row r="1575" spans="1:77" ht="15" customHeight="1" outlineLevel="1" x14ac:dyDescent="0.2">
      <c r="A1575" s="583" t="s">
        <v>24</v>
      </c>
      <c r="B1575" s="583"/>
      <c r="C1575" s="583" t="s">
        <v>1793</v>
      </c>
      <c r="D1575" s="546">
        <v>0.155</v>
      </c>
      <c r="E1575" s="162" t="s">
        <v>631</v>
      </c>
      <c r="F1575" s="358"/>
      <c r="G1575" s="65"/>
      <c r="H1575" s="73"/>
      <c r="I1575" s="90"/>
      <c r="J1575" s="73"/>
      <c r="K1575" s="734">
        <v>7.3499999999999998E-4</v>
      </c>
      <c r="L1575" s="717"/>
      <c r="M1575" s="73"/>
      <c r="N1575" s="786"/>
      <c r="O1575" s="1041"/>
      <c r="P1575" s="73"/>
      <c r="Q1575" s="786"/>
      <c r="R1575" s="1041"/>
      <c r="S1575" s="73"/>
      <c r="T1575" s="786"/>
      <c r="U1575" s="73"/>
      <c r="V1575" s="66"/>
      <c r="W1575" s="788">
        <f t="shared" ref="W1575" si="1418">AA1575*(1+AB1575)</f>
        <v>5.5125000000000002E-7</v>
      </c>
      <c r="X1575" s="789">
        <f t="shared" ref="X1575" si="1419">AA1575*(1+AC1575)</f>
        <v>5.5125000000000002E-7</v>
      </c>
      <c r="Y1575" s="52">
        <v>2005</v>
      </c>
      <c r="Z1575" s="52"/>
      <c r="AA1575" s="739">
        <f>+K1575/1000</f>
        <v>7.3499999999999995E-7</v>
      </c>
      <c r="AB1575" s="256">
        <v>-0.25</v>
      </c>
      <c r="AC1575" s="688">
        <f t="shared" si="1333"/>
        <v>-0.25</v>
      </c>
      <c r="AD1575" s="164"/>
      <c r="AE1575" s="164"/>
      <c r="AF1575" s="25"/>
      <c r="AG1575" s="26"/>
      <c r="AH1575" s="275"/>
      <c r="AI1575" s="52"/>
      <c r="AJ1575" s="35"/>
      <c r="AK1575" s="289"/>
      <c r="AL1575" s="290"/>
      <c r="AM1575" s="211"/>
      <c r="AN1575" s="164"/>
      <c r="AO1575" s="594"/>
      <c r="AP1575" s="595"/>
      <c r="AQ1575" s="275"/>
      <c r="AR1575" s="52"/>
      <c r="AS1575" s="596"/>
      <c r="AT1575" s="79"/>
      <c r="AU1575" s="212"/>
      <c r="AV1575" s="164"/>
      <c r="AW1575" s="164"/>
      <c r="AX1575" s="76"/>
      <c r="AY1575" s="44"/>
      <c r="AZ1575" s="275"/>
      <c r="BA1575" s="52"/>
      <c r="BB1575" s="35"/>
      <c r="BC1575" s="79"/>
      <c r="BD1575" s="230"/>
      <c r="BE1575" s="211"/>
      <c r="BF1575" s="164"/>
      <c r="BG1575" s="76"/>
      <c r="BH1575" s="44"/>
      <c r="BI1575" s="275"/>
      <c r="BJ1575" s="52"/>
      <c r="BK1575" s="35"/>
      <c r="BL1575" s="79"/>
      <c r="BM1575" s="230"/>
      <c r="BN1575" s="211"/>
      <c r="BO1575" s="164"/>
      <c r="BP1575" s="726"/>
      <c r="BQ1575" s="727"/>
      <c r="BR1575" s="299"/>
      <c r="BS1575" s="35"/>
      <c r="BT1575" s="596"/>
      <c r="BU1575" s="79"/>
      <c r="BV1575" s="212"/>
      <c r="BW1575" s="304"/>
      <c r="BX1575" s="313"/>
      <c r="BY1575" s="138"/>
    </row>
    <row r="1576" spans="1:77" ht="15" customHeight="1" outlineLevel="1" x14ac:dyDescent="0.2">
      <c r="A1576" s="57" t="s">
        <v>24</v>
      </c>
      <c r="B1576" s="583"/>
      <c r="C1576" s="583" t="s">
        <v>1583</v>
      </c>
      <c r="D1576" s="546">
        <v>1.7490000000000001</v>
      </c>
      <c r="E1576" s="162" t="s">
        <v>631</v>
      </c>
      <c r="F1576" s="358"/>
      <c r="G1576" s="65"/>
      <c r="H1576" s="73"/>
      <c r="I1576" s="90"/>
      <c r="J1576" s="73"/>
      <c r="K1576" s="734"/>
      <c r="L1576" s="717">
        <v>2011</v>
      </c>
      <c r="M1576" s="73"/>
      <c r="N1576" s="786">
        <v>3.222E-3</v>
      </c>
      <c r="O1576" s="1041"/>
      <c r="P1576" s="73"/>
      <c r="Q1576" s="786"/>
      <c r="R1576" s="1041"/>
      <c r="S1576" s="73"/>
      <c r="T1576" s="786"/>
      <c r="U1576" s="73"/>
      <c r="V1576" s="66"/>
      <c r="W1576" s="788">
        <f t="shared" ref="W1576:W1654" si="1420">AA1576*(1+AB1576)</f>
        <v>2.15874E-6</v>
      </c>
      <c r="X1576" s="789">
        <f t="shared" ref="X1576:X1654" si="1421">AA1576*(1+AC1576)</f>
        <v>2.15874E-6</v>
      </c>
      <c r="Y1576" s="52">
        <v>2011</v>
      </c>
      <c r="Z1576" s="52"/>
      <c r="AA1576" s="787">
        <f>+N1576/1000</f>
        <v>3.2220000000000002E-6</v>
      </c>
      <c r="AB1576" s="256">
        <v>-0.33</v>
      </c>
      <c r="AC1576" s="688">
        <f t="shared" ref="AC1576:AC1596" si="1422">AB1576</f>
        <v>-0.33</v>
      </c>
      <c r="AD1576" s="164"/>
      <c r="AE1576" s="164"/>
      <c r="AF1576" s="25"/>
      <c r="AG1576" s="26"/>
      <c r="AH1576" s="275"/>
      <c r="AI1576" s="52"/>
      <c r="AJ1576" s="35"/>
      <c r="AK1576" s="289"/>
      <c r="AL1576" s="290"/>
      <c r="AM1576" s="211"/>
      <c r="AN1576" s="164"/>
      <c r="AO1576" s="594"/>
      <c r="AP1576" s="595"/>
      <c r="AQ1576" s="275"/>
      <c r="AR1576" s="52"/>
      <c r="AS1576" s="596"/>
      <c r="AT1576" s="79"/>
      <c r="AU1576" s="212"/>
      <c r="AV1576" s="164"/>
      <c r="AW1576" s="164"/>
      <c r="AX1576" s="76"/>
      <c r="AY1576" s="44"/>
      <c r="AZ1576" s="275"/>
      <c r="BA1576" s="52"/>
      <c r="BB1576" s="35"/>
      <c r="BC1576" s="79"/>
      <c r="BD1576" s="230"/>
      <c r="BE1576" s="211"/>
      <c r="BF1576" s="164"/>
      <c r="BG1576" s="76"/>
      <c r="BH1576" s="44"/>
      <c r="BI1576" s="275"/>
      <c r="BJ1576" s="52"/>
      <c r="BK1576" s="35"/>
      <c r="BL1576" s="79"/>
      <c r="BM1576" s="230"/>
      <c r="BN1576" s="211"/>
      <c r="BO1576" s="164"/>
      <c r="BP1576" s="726"/>
      <c r="BQ1576" s="727"/>
      <c r="BR1576" s="299"/>
      <c r="BS1576" s="35"/>
      <c r="BT1576" s="596"/>
      <c r="BU1576" s="79"/>
      <c r="BV1576" s="212"/>
      <c r="BW1576" s="304"/>
      <c r="BX1576" s="313"/>
      <c r="BY1576" s="138"/>
    </row>
    <row r="1577" spans="1:77" ht="15" customHeight="1" outlineLevel="1" x14ac:dyDescent="0.2">
      <c r="A1577" s="583" t="s">
        <v>24</v>
      </c>
      <c r="B1577" s="583"/>
      <c r="C1577" s="583" t="s">
        <v>1704</v>
      </c>
      <c r="D1577" s="546">
        <v>3.1160000000000001</v>
      </c>
      <c r="E1577" s="162" t="s">
        <v>631</v>
      </c>
      <c r="F1577" s="358"/>
      <c r="G1577" s="65"/>
      <c r="H1577" s="73"/>
      <c r="I1577" s="90"/>
      <c r="J1577" s="73"/>
      <c r="K1577" s="734"/>
      <c r="L1577" s="717">
        <v>2009</v>
      </c>
      <c r="M1577" s="73"/>
      <c r="N1577" s="786">
        <v>1.2259000000000001E-2</v>
      </c>
      <c r="O1577" s="1041"/>
      <c r="P1577" s="73"/>
      <c r="Q1577" s="786"/>
      <c r="R1577" s="1041"/>
      <c r="S1577" s="73"/>
      <c r="T1577" s="786"/>
      <c r="U1577" s="73"/>
      <c r="V1577" s="66"/>
      <c r="W1577" s="788">
        <f t="shared" ref="W1577" si="1423">AA1577*(1+AB1577)</f>
        <v>9.194250000000001E-6</v>
      </c>
      <c r="X1577" s="789">
        <f t="shared" ref="X1577" si="1424">AA1577*(1+AC1577)</f>
        <v>9.194250000000001E-6</v>
      </c>
      <c r="Y1577" s="52">
        <v>2009</v>
      </c>
      <c r="Z1577" s="52"/>
      <c r="AA1577" s="787">
        <f>+N1577/1000</f>
        <v>1.2259000000000001E-5</v>
      </c>
      <c r="AB1577" s="256">
        <v>-0.25</v>
      </c>
      <c r="AC1577" s="688">
        <f t="shared" si="1422"/>
        <v>-0.25</v>
      </c>
      <c r="AD1577" s="164"/>
      <c r="AE1577" s="164"/>
      <c r="AF1577" s="25"/>
      <c r="AG1577" s="26"/>
      <c r="AH1577" s="275"/>
      <c r="AI1577" s="52"/>
      <c r="AJ1577" s="35"/>
      <c r="AK1577" s="289"/>
      <c r="AL1577" s="290"/>
      <c r="AM1577" s="211"/>
      <c r="AN1577" s="164"/>
      <c r="AO1577" s="594"/>
      <c r="AP1577" s="595"/>
      <c r="AQ1577" s="275"/>
      <c r="AR1577" s="52"/>
      <c r="AS1577" s="596"/>
      <c r="AT1577" s="79"/>
      <c r="AU1577" s="212"/>
      <c r="AV1577" s="164"/>
      <c r="AW1577" s="164"/>
      <c r="AX1577" s="76"/>
      <c r="AY1577" s="44"/>
      <c r="AZ1577" s="275"/>
      <c r="BA1577" s="52"/>
      <c r="BB1577" s="35"/>
      <c r="BC1577" s="79"/>
      <c r="BD1577" s="230"/>
      <c r="BE1577" s="211"/>
      <c r="BF1577" s="164"/>
      <c r="BG1577" s="76"/>
      <c r="BH1577" s="44"/>
      <c r="BI1577" s="275"/>
      <c r="BJ1577" s="52"/>
      <c r="BK1577" s="35"/>
      <c r="BL1577" s="79"/>
      <c r="BM1577" s="230"/>
      <c r="BN1577" s="211"/>
      <c r="BO1577" s="164"/>
      <c r="BP1577" s="726"/>
      <c r="BQ1577" s="727"/>
      <c r="BR1577" s="299"/>
      <c r="BS1577" s="35"/>
      <c r="BT1577" s="596"/>
      <c r="BU1577" s="79"/>
      <c r="BV1577" s="212"/>
      <c r="BW1577" s="304"/>
      <c r="BX1577" s="313"/>
      <c r="BY1577" s="138"/>
    </row>
    <row r="1578" spans="1:77" ht="15" customHeight="1" outlineLevel="1" x14ac:dyDescent="0.2">
      <c r="A1578" s="583" t="s">
        <v>24</v>
      </c>
      <c r="B1578" s="583"/>
      <c r="C1578" s="583" t="s">
        <v>1951</v>
      </c>
      <c r="D1578" s="546">
        <v>1.119</v>
      </c>
      <c r="E1578" s="162" t="s">
        <v>631</v>
      </c>
      <c r="F1578" s="358"/>
      <c r="G1578" s="65"/>
      <c r="H1578" s="73"/>
      <c r="I1578" s="90"/>
      <c r="J1578" s="73"/>
      <c r="K1578" s="790">
        <v>2.8670000000000002E-3</v>
      </c>
      <c r="L1578" s="717"/>
      <c r="M1578" s="73"/>
      <c r="N1578" s="786"/>
      <c r="O1578" s="1041"/>
      <c r="P1578" s="73"/>
      <c r="Q1578" s="786"/>
      <c r="R1578" s="1041"/>
      <c r="S1578" s="73"/>
      <c r="T1578" s="786"/>
      <c r="U1578" s="73"/>
      <c r="V1578" s="66"/>
      <c r="W1578" s="788">
        <f t="shared" ref="W1578" si="1425">AA1578*(1+AB1578)</f>
        <v>2.0929100000000002E-6</v>
      </c>
      <c r="X1578" s="789">
        <f t="shared" ref="X1578" si="1426">AA1578*(1+AC1578)</f>
        <v>2.0929100000000002E-6</v>
      </c>
      <c r="Y1578" s="52">
        <v>2005</v>
      </c>
      <c r="Z1578" s="52"/>
      <c r="AA1578" s="787">
        <f>+K1578/1000</f>
        <v>2.8670000000000002E-6</v>
      </c>
      <c r="AB1578" s="256">
        <v>-0.27</v>
      </c>
      <c r="AC1578" s="688">
        <f t="shared" si="1422"/>
        <v>-0.27</v>
      </c>
      <c r="AD1578" s="164"/>
      <c r="AE1578" s="164"/>
      <c r="AF1578" s="25"/>
      <c r="AG1578" s="26"/>
      <c r="AH1578" s="275"/>
      <c r="AI1578" s="52"/>
      <c r="AJ1578" s="35"/>
      <c r="AK1578" s="289"/>
      <c r="AL1578" s="290"/>
      <c r="AM1578" s="211"/>
      <c r="AN1578" s="164"/>
      <c r="AO1578" s="594"/>
      <c r="AP1578" s="595"/>
      <c r="AQ1578" s="275"/>
      <c r="AR1578" s="52"/>
      <c r="AS1578" s="596"/>
      <c r="AT1578" s="79"/>
      <c r="AU1578" s="212"/>
      <c r="AV1578" s="164"/>
      <c r="AW1578" s="164"/>
      <c r="AX1578" s="76"/>
      <c r="AY1578" s="44"/>
      <c r="AZ1578" s="275"/>
      <c r="BA1578" s="52"/>
      <c r="BB1578" s="35"/>
      <c r="BC1578" s="79"/>
      <c r="BD1578" s="230"/>
      <c r="BE1578" s="211"/>
      <c r="BF1578" s="164"/>
      <c r="BG1578" s="76"/>
      <c r="BH1578" s="44"/>
      <c r="BI1578" s="275"/>
      <c r="BJ1578" s="52"/>
      <c r="BK1578" s="35"/>
      <c r="BL1578" s="79"/>
      <c r="BM1578" s="230"/>
      <c r="BN1578" s="211"/>
      <c r="BO1578" s="164"/>
      <c r="BP1578" s="726"/>
      <c r="BQ1578" s="727"/>
      <c r="BR1578" s="299"/>
      <c r="BS1578" s="35"/>
      <c r="BT1578" s="596"/>
      <c r="BU1578" s="79"/>
      <c r="BV1578" s="212"/>
      <c r="BW1578" s="304"/>
      <c r="BX1578" s="313"/>
      <c r="BY1578" s="138"/>
    </row>
    <row r="1579" spans="1:77" ht="15" customHeight="1" outlineLevel="1" x14ac:dyDescent="0.2">
      <c r="A1579" s="57" t="s">
        <v>24</v>
      </c>
      <c r="B1579" s="583"/>
      <c r="C1579" s="583" t="s">
        <v>1378</v>
      </c>
      <c r="D1579" s="546">
        <v>13.526999999999999</v>
      </c>
      <c r="E1579" s="162" t="s">
        <v>631</v>
      </c>
      <c r="F1579" s="358"/>
      <c r="G1579" s="65"/>
      <c r="H1579" s="73"/>
      <c r="I1579" s="90"/>
      <c r="J1579" s="73"/>
      <c r="K1579" s="734"/>
      <c r="L1579" s="717">
        <v>2010</v>
      </c>
      <c r="M1579" s="73"/>
      <c r="N1579" s="738">
        <v>6.1887999999999999E-2</v>
      </c>
      <c r="O1579" s="1041"/>
      <c r="P1579" s="73"/>
      <c r="Q1579" s="738"/>
      <c r="R1579" s="1041"/>
      <c r="S1579" s="73"/>
      <c r="T1579" s="738"/>
      <c r="U1579" s="73"/>
      <c r="V1579" s="66"/>
      <c r="W1579" s="740">
        <f t="shared" si="1420"/>
        <v>4.3321599999999995E-5</v>
      </c>
      <c r="X1579" s="741">
        <f t="shared" si="1421"/>
        <v>4.3321599999999995E-5</v>
      </c>
      <c r="Y1579" s="52">
        <v>2010</v>
      </c>
      <c r="Z1579" s="52"/>
      <c r="AA1579" s="739">
        <f>+N1579/1000</f>
        <v>6.1888000000000001E-5</v>
      </c>
      <c r="AB1579" s="256">
        <v>-0.3</v>
      </c>
      <c r="AC1579" s="688">
        <f t="shared" si="1422"/>
        <v>-0.3</v>
      </c>
      <c r="AD1579" s="164"/>
      <c r="AE1579" s="164"/>
      <c r="AF1579" s="25"/>
      <c r="AG1579" s="26"/>
      <c r="AH1579" s="275"/>
      <c r="AI1579" s="52"/>
      <c r="AJ1579" s="35"/>
      <c r="AK1579" s="289"/>
      <c r="AL1579" s="290"/>
      <c r="AM1579" s="211"/>
      <c r="AN1579" s="164"/>
      <c r="AO1579" s="594"/>
      <c r="AP1579" s="595"/>
      <c r="AQ1579" s="275"/>
      <c r="AR1579" s="52"/>
      <c r="AS1579" s="596"/>
      <c r="AT1579" s="79"/>
      <c r="AU1579" s="212"/>
      <c r="AV1579" s="164"/>
      <c r="AW1579" s="164"/>
      <c r="AX1579" s="76"/>
      <c r="AY1579" s="44"/>
      <c r="AZ1579" s="275"/>
      <c r="BA1579" s="52"/>
      <c r="BB1579" s="35"/>
      <c r="BC1579" s="79"/>
      <c r="BD1579" s="230"/>
      <c r="BE1579" s="211"/>
      <c r="BF1579" s="164"/>
      <c r="BG1579" s="76"/>
      <c r="BH1579" s="44"/>
      <c r="BI1579" s="275"/>
      <c r="BJ1579" s="52"/>
      <c r="BK1579" s="35"/>
      <c r="BL1579" s="79"/>
      <c r="BM1579" s="230"/>
      <c r="BN1579" s="211"/>
      <c r="BO1579" s="164"/>
      <c r="BP1579" s="726"/>
      <c r="BQ1579" s="727"/>
      <c r="BR1579" s="299"/>
      <c r="BS1579" s="35"/>
      <c r="BT1579" s="596"/>
      <c r="BU1579" s="79"/>
      <c r="BV1579" s="212"/>
      <c r="BW1579" s="304"/>
      <c r="BX1579" s="313"/>
      <c r="BY1579" s="138"/>
    </row>
    <row r="1580" spans="1:77" ht="15" customHeight="1" outlineLevel="1" x14ac:dyDescent="0.2">
      <c r="A1580" s="583" t="s">
        <v>24</v>
      </c>
      <c r="B1580" s="583"/>
      <c r="C1580" s="583" t="s">
        <v>1941</v>
      </c>
      <c r="D1580" s="546">
        <v>1.127</v>
      </c>
      <c r="E1580" s="162" t="s">
        <v>631</v>
      </c>
      <c r="F1580" s="358"/>
      <c r="G1580" s="65"/>
      <c r="H1580" s="73"/>
      <c r="I1580" s="90">
        <v>2007</v>
      </c>
      <c r="J1580" s="73"/>
      <c r="K1580" s="790">
        <v>4.8539999999999998E-3</v>
      </c>
      <c r="L1580" s="717"/>
      <c r="M1580" s="73"/>
      <c r="N1580" s="738"/>
      <c r="O1580" s="1041"/>
      <c r="P1580" s="73"/>
      <c r="Q1580" s="738"/>
      <c r="R1580" s="1041"/>
      <c r="S1580" s="73"/>
      <c r="T1580" s="738"/>
      <c r="U1580" s="73"/>
      <c r="V1580" s="66"/>
      <c r="W1580" s="788">
        <f t="shared" ref="W1580" si="1427">AA1580*(1+AB1580)</f>
        <v>3.5434199999999995E-6</v>
      </c>
      <c r="X1580" s="789">
        <f t="shared" ref="X1580" si="1428">AA1580*(1+AC1580)</f>
        <v>3.5434199999999995E-6</v>
      </c>
      <c r="Y1580" s="52">
        <v>2007</v>
      </c>
      <c r="Z1580" s="52"/>
      <c r="AA1580" s="787">
        <f>+K1580/1000</f>
        <v>4.8539999999999996E-6</v>
      </c>
      <c r="AB1580" s="256">
        <v>-0.27</v>
      </c>
      <c r="AC1580" s="688">
        <f t="shared" si="1422"/>
        <v>-0.27</v>
      </c>
      <c r="AD1580" s="164"/>
      <c r="AE1580" s="164"/>
      <c r="AF1580" s="25"/>
      <c r="AG1580" s="26"/>
      <c r="AH1580" s="275"/>
      <c r="AI1580" s="52"/>
      <c r="AJ1580" s="35"/>
      <c r="AK1580" s="289"/>
      <c r="AL1580" s="290"/>
      <c r="AM1580" s="211"/>
      <c r="AN1580" s="164"/>
      <c r="AO1580" s="594"/>
      <c r="AP1580" s="595"/>
      <c r="AQ1580" s="275"/>
      <c r="AR1580" s="52"/>
      <c r="AS1580" s="596"/>
      <c r="AT1580" s="79"/>
      <c r="AU1580" s="212"/>
      <c r="AV1580" s="164"/>
      <c r="AW1580" s="164"/>
      <c r="AX1580" s="76"/>
      <c r="AY1580" s="44"/>
      <c r="AZ1580" s="275"/>
      <c r="BA1580" s="52"/>
      <c r="BB1580" s="35"/>
      <c r="BC1580" s="79"/>
      <c r="BD1580" s="230"/>
      <c r="BE1580" s="211"/>
      <c r="BF1580" s="164"/>
      <c r="BG1580" s="76"/>
      <c r="BH1580" s="44"/>
      <c r="BI1580" s="275"/>
      <c r="BJ1580" s="52"/>
      <c r="BK1580" s="35"/>
      <c r="BL1580" s="79"/>
      <c r="BM1580" s="230"/>
      <c r="BN1580" s="211"/>
      <c r="BO1580" s="164"/>
      <c r="BP1580" s="726"/>
      <c r="BQ1580" s="727"/>
      <c r="BR1580" s="299"/>
      <c r="BS1580" s="35"/>
      <c r="BT1580" s="596"/>
      <c r="BU1580" s="79"/>
      <c r="BV1580" s="212"/>
      <c r="BW1580" s="304"/>
      <c r="BX1580" s="313"/>
      <c r="BY1580" s="138"/>
    </row>
    <row r="1581" spans="1:77" ht="15" customHeight="1" outlineLevel="1" x14ac:dyDescent="0.2">
      <c r="A1581" s="583" t="s">
        <v>24</v>
      </c>
      <c r="B1581" s="583"/>
      <c r="C1581" s="583" t="s">
        <v>2396</v>
      </c>
      <c r="D1581" s="546">
        <v>3.911</v>
      </c>
      <c r="E1581" s="162" t="s">
        <v>631</v>
      </c>
      <c r="F1581" s="358"/>
      <c r="G1581" s="65"/>
      <c r="H1581" s="73"/>
      <c r="I1581" s="90">
        <v>2007</v>
      </c>
      <c r="J1581" s="73"/>
      <c r="K1581" s="790">
        <v>1.3875E-2</v>
      </c>
      <c r="L1581" s="717"/>
      <c r="M1581" s="73"/>
      <c r="N1581" s="738"/>
      <c r="O1581" s="1041"/>
      <c r="P1581" s="73"/>
      <c r="Q1581" s="738"/>
      <c r="R1581" s="1041"/>
      <c r="S1581" s="73"/>
      <c r="T1581" s="738"/>
      <c r="U1581" s="73"/>
      <c r="V1581" s="66"/>
      <c r="W1581" s="788">
        <f t="shared" ref="W1581" si="1429">AA1581*(1+AB1581)</f>
        <v>9.9899999999999992E-6</v>
      </c>
      <c r="X1581" s="789">
        <f t="shared" ref="X1581" si="1430">AA1581*(1+AC1581)</f>
        <v>9.9899999999999992E-6</v>
      </c>
      <c r="Y1581" s="52">
        <v>2007</v>
      </c>
      <c r="Z1581" s="52"/>
      <c r="AA1581" s="787">
        <f>+K1581/1000</f>
        <v>1.3875E-5</v>
      </c>
      <c r="AB1581" s="256">
        <v>-0.28000000000000003</v>
      </c>
      <c r="AC1581" s="688">
        <f t="shared" ref="AC1581" si="1431">AB1581</f>
        <v>-0.28000000000000003</v>
      </c>
      <c r="AD1581" s="164"/>
      <c r="AE1581" s="164"/>
      <c r="AF1581" s="25"/>
      <c r="AG1581" s="26"/>
      <c r="AH1581" s="275"/>
      <c r="AI1581" s="52"/>
      <c r="AJ1581" s="35"/>
      <c r="AK1581" s="289"/>
      <c r="AL1581" s="290"/>
      <c r="AM1581" s="211"/>
      <c r="AN1581" s="164"/>
      <c r="AO1581" s="594"/>
      <c r="AP1581" s="595"/>
      <c r="AQ1581" s="275"/>
      <c r="AR1581" s="52"/>
      <c r="AS1581" s="596"/>
      <c r="AT1581" s="79"/>
      <c r="AU1581" s="212"/>
      <c r="AV1581" s="164"/>
      <c r="AW1581" s="164"/>
      <c r="AX1581" s="76"/>
      <c r="AY1581" s="44"/>
      <c r="AZ1581" s="275"/>
      <c r="BA1581" s="52"/>
      <c r="BB1581" s="35"/>
      <c r="BC1581" s="79"/>
      <c r="BD1581" s="230"/>
      <c r="BE1581" s="211"/>
      <c r="BF1581" s="164"/>
      <c r="BG1581" s="76"/>
      <c r="BH1581" s="44"/>
      <c r="BI1581" s="275"/>
      <c r="BJ1581" s="52"/>
      <c r="BK1581" s="35"/>
      <c r="BL1581" s="79"/>
      <c r="BM1581" s="230"/>
      <c r="BN1581" s="211"/>
      <c r="BO1581" s="164"/>
      <c r="BP1581" s="726"/>
      <c r="BQ1581" s="727"/>
      <c r="BR1581" s="299"/>
      <c r="BS1581" s="35"/>
      <c r="BT1581" s="596"/>
      <c r="BU1581" s="79"/>
      <c r="BV1581" s="212"/>
      <c r="BW1581" s="304"/>
      <c r="BX1581" s="313"/>
      <c r="BY1581" s="138"/>
    </row>
    <row r="1582" spans="1:77" ht="15" customHeight="1" outlineLevel="1" x14ac:dyDescent="0.2">
      <c r="A1582" s="583" t="s">
        <v>24</v>
      </c>
      <c r="B1582" s="583"/>
      <c r="C1582" s="583" t="s">
        <v>2663</v>
      </c>
      <c r="D1582" s="546">
        <v>3.254</v>
      </c>
      <c r="E1582" s="162" t="s">
        <v>631</v>
      </c>
      <c r="F1582" s="358"/>
      <c r="G1582" s="65"/>
      <c r="H1582" s="73"/>
      <c r="I1582" s="90">
        <v>2007</v>
      </c>
      <c r="J1582" s="73"/>
      <c r="K1582" s="790">
        <v>1.1386E-2</v>
      </c>
      <c r="L1582" s="717"/>
      <c r="M1582" s="73"/>
      <c r="N1582" s="786"/>
      <c r="O1582" s="1041"/>
      <c r="P1582" s="73"/>
      <c r="Q1582" s="738"/>
      <c r="R1582" s="1041"/>
      <c r="S1582" s="73"/>
      <c r="T1582" s="738"/>
      <c r="U1582" s="73"/>
      <c r="V1582" s="66"/>
      <c r="W1582" s="788">
        <f t="shared" ref="W1582" si="1432">AA1582*(1+AB1582)</f>
        <v>8.3117800000000009E-6</v>
      </c>
      <c r="X1582" s="789">
        <f t="shared" ref="X1582" si="1433">AA1582*(1+AC1582)</f>
        <v>8.3117800000000009E-6</v>
      </c>
      <c r="Y1582" s="52">
        <v>2007</v>
      </c>
      <c r="Z1582" s="52"/>
      <c r="AA1582" s="787">
        <f>+K1582/1000</f>
        <v>1.1386000000000001E-5</v>
      </c>
      <c r="AB1582" s="256">
        <v>-0.27</v>
      </c>
      <c r="AC1582" s="688">
        <f t="shared" ref="AC1582" si="1434">AB1582</f>
        <v>-0.27</v>
      </c>
      <c r="AD1582" s="164"/>
      <c r="AE1582" s="164"/>
      <c r="AF1582" s="25"/>
      <c r="AG1582" s="26"/>
      <c r="AH1582" s="275"/>
      <c r="AI1582" s="52"/>
      <c r="AJ1582" s="35"/>
      <c r="AK1582" s="289"/>
      <c r="AL1582" s="290"/>
      <c r="AM1582" s="211"/>
      <c r="AN1582" s="164"/>
      <c r="AO1582" s="594"/>
      <c r="AP1582" s="595"/>
      <c r="AQ1582" s="275"/>
      <c r="AR1582" s="52"/>
      <c r="AS1582" s="596"/>
      <c r="AT1582" s="79"/>
      <c r="AU1582" s="212"/>
      <c r="AV1582" s="164"/>
      <c r="AW1582" s="164"/>
      <c r="AX1582" s="76"/>
      <c r="AY1582" s="44"/>
      <c r="AZ1582" s="275"/>
      <c r="BA1582" s="52"/>
      <c r="BB1582" s="35"/>
      <c r="BC1582" s="79"/>
      <c r="BD1582" s="230"/>
      <c r="BE1582" s="211"/>
      <c r="BF1582" s="164"/>
      <c r="BG1582" s="76"/>
      <c r="BH1582" s="44"/>
      <c r="BI1582" s="275"/>
      <c r="BJ1582" s="52"/>
      <c r="BK1582" s="35"/>
      <c r="BL1582" s="79"/>
      <c r="BM1582" s="230"/>
      <c r="BN1582" s="211"/>
      <c r="BO1582" s="164"/>
      <c r="BP1582" s="726"/>
      <c r="BQ1582" s="727"/>
      <c r="BR1582" s="299"/>
      <c r="BS1582" s="35"/>
      <c r="BT1582" s="596"/>
      <c r="BU1582" s="79"/>
      <c r="BV1582" s="212"/>
      <c r="BW1582" s="304"/>
      <c r="BX1582" s="313"/>
      <c r="BY1582" s="138"/>
    </row>
    <row r="1583" spans="1:77" ht="15" customHeight="1" outlineLevel="1" x14ac:dyDescent="0.2">
      <c r="A1583" s="57" t="s">
        <v>24</v>
      </c>
      <c r="B1583" s="583"/>
      <c r="C1583" s="583" t="s">
        <v>581</v>
      </c>
      <c r="D1583" s="546">
        <v>119</v>
      </c>
      <c r="E1583" s="162" t="s">
        <v>392</v>
      </c>
      <c r="F1583" s="358"/>
      <c r="G1583" s="65"/>
      <c r="H1583" s="73"/>
      <c r="I1583" s="90">
        <v>2000</v>
      </c>
      <c r="J1583" s="73"/>
      <c r="K1583" s="734">
        <v>0.81220000000000003</v>
      </c>
      <c r="L1583" s="717"/>
      <c r="M1583" s="73"/>
      <c r="N1583" s="359"/>
      <c r="O1583" s="1041"/>
      <c r="P1583" s="73"/>
      <c r="Q1583" s="359"/>
      <c r="R1583" s="1041"/>
      <c r="S1583" s="73"/>
      <c r="T1583" s="359"/>
      <c r="U1583" s="73"/>
      <c r="V1583" s="66"/>
      <c r="W1583" s="594">
        <f t="shared" si="1420"/>
        <v>6.4976000000000009E-4</v>
      </c>
      <c r="X1583" s="595">
        <f t="shared" si="1421"/>
        <v>6.4976000000000009E-4</v>
      </c>
      <c r="Y1583" s="52">
        <v>2005</v>
      </c>
      <c r="Z1583" s="52"/>
      <c r="AA1583" s="596">
        <f>+K1583/1000</f>
        <v>8.1220000000000001E-4</v>
      </c>
      <c r="AB1583" s="256">
        <v>-0.2</v>
      </c>
      <c r="AC1583" s="688">
        <f t="shared" si="1422"/>
        <v>-0.2</v>
      </c>
      <c r="AD1583" s="164"/>
      <c r="AE1583" s="164"/>
      <c r="AF1583" s="25"/>
      <c r="AG1583" s="26"/>
      <c r="AH1583" s="275"/>
      <c r="AI1583" s="52"/>
      <c r="AJ1583" s="35"/>
      <c r="AK1583" s="289"/>
      <c r="AL1583" s="290"/>
      <c r="AM1583" s="211"/>
      <c r="AN1583" s="164"/>
      <c r="AO1583" s="594"/>
      <c r="AP1583" s="595"/>
      <c r="AQ1583" s="275"/>
      <c r="AR1583" s="52"/>
      <c r="AS1583" s="596"/>
      <c r="AT1583" s="79"/>
      <c r="AU1583" s="212"/>
      <c r="AV1583" s="164"/>
      <c r="AW1583" s="164"/>
      <c r="AX1583" s="76"/>
      <c r="AY1583" s="44"/>
      <c r="AZ1583" s="275"/>
      <c r="BA1583" s="52"/>
      <c r="BB1583" s="35"/>
      <c r="BC1583" s="79"/>
      <c r="BD1583" s="230"/>
      <c r="BE1583" s="211"/>
      <c r="BF1583" s="164"/>
      <c r="BG1583" s="76"/>
      <c r="BH1583" s="44"/>
      <c r="BI1583" s="275"/>
      <c r="BJ1583" s="52"/>
      <c r="BK1583" s="35"/>
      <c r="BL1583" s="79"/>
      <c r="BM1583" s="230"/>
      <c r="BN1583" s="211"/>
      <c r="BO1583" s="164"/>
      <c r="BP1583" s="726"/>
      <c r="BQ1583" s="727"/>
      <c r="BR1583" s="299"/>
      <c r="BS1583" s="35"/>
      <c r="BT1583" s="596"/>
      <c r="BU1583" s="79"/>
      <c r="BV1583" s="212"/>
      <c r="BW1583" s="304"/>
      <c r="BX1583" s="313"/>
      <c r="BY1583" s="138"/>
    </row>
    <row r="1584" spans="1:77" ht="15" customHeight="1" outlineLevel="1" x14ac:dyDescent="0.2">
      <c r="A1584" s="583" t="s">
        <v>24</v>
      </c>
      <c r="B1584" s="583"/>
      <c r="C1584" s="583" t="s">
        <v>1759</v>
      </c>
      <c r="D1584" s="546">
        <v>0.40300000000000002</v>
      </c>
      <c r="E1584" s="162" t="s">
        <v>631</v>
      </c>
      <c r="F1584" s="358"/>
      <c r="G1584" s="65"/>
      <c r="H1584" s="73"/>
      <c r="I1584" s="90"/>
      <c r="J1584" s="73"/>
      <c r="K1584" s="734">
        <v>1.24E-3</v>
      </c>
      <c r="L1584" s="717"/>
      <c r="M1584" s="73"/>
      <c r="N1584" s="359"/>
      <c r="O1584" s="1041"/>
      <c r="P1584" s="73"/>
      <c r="Q1584" s="359"/>
      <c r="R1584" s="1041"/>
      <c r="S1584" s="73"/>
      <c r="T1584" s="359"/>
      <c r="U1584" s="73"/>
      <c r="V1584" s="66"/>
      <c r="W1584" s="740">
        <f t="shared" ref="W1584" si="1435">AA1584*(1+AB1584)</f>
        <v>9.2999999999999999E-7</v>
      </c>
      <c r="X1584" s="741">
        <f t="shared" ref="X1584" si="1436">AA1584*(1+AC1584)</f>
        <v>9.2999999999999999E-7</v>
      </c>
      <c r="Y1584" s="52">
        <v>2005</v>
      </c>
      <c r="Z1584" s="52"/>
      <c r="AA1584" s="739">
        <f>+K1584/1000</f>
        <v>1.24E-6</v>
      </c>
      <c r="AB1584" s="256">
        <v>-0.25</v>
      </c>
      <c r="AC1584" s="688">
        <f t="shared" si="1422"/>
        <v>-0.25</v>
      </c>
      <c r="AD1584" s="164"/>
      <c r="AE1584" s="164"/>
      <c r="AF1584" s="25"/>
      <c r="AG1584" s="26"/>
      <c r="AH1584" s="275"/>
      <c r="AI1584" s="52"/>
      <c r="AJ1584" s="35"/>
      <c r="AK1584" s="289"/>
      <c r="AL1584" s="290"/>
      <c r="AM1584" s="211"/>
      <c r="AN1584" s="164"/>
      <c r="AO1584" s="594"/>
      <c r="AP1584" s="595"/>
      <c r="AQ1584" s="275"/>
      <c r="AR1584" s="52"/>
      <c r="AS1584" s="596"/>
      <c r="AT1584" s="79"/>
      <c r="AU1584" s="212"/>
      <c r="AV1584" s="164"/>
      <c r="AW1584" s="164"/>
      <c r="AX1584" s="76"/>
      <c r="AY1584" s="44"/>
      <c r="AZ1584" s="275"/>
      <c r="BA1584" s="52"/>
      <c r="BB1584" s="35"/>
      <c r="BC1584" s="79"/>
      <c r="BD1584" s="230"/>
      <c r="BE1584" s="211"/>
      <c r="BF1584" s="164"/>
      <c r="BG1584" s="76"/>
      <c r="BH1584" s="44"/>
      <c r="BI1584" s="275"/>
      <c r="BJ1584" s="52"/>
      <c r="BK1584" s="35"/>
      <c r="BL1584" s="79"/>
      <c r="BM1584" s="230"/>
      <c r="BN1584" s="211"/>
      <c r="BO1584" s="164"/>
      <c r="BP1584" s="726"/>
      <c r="BQ1584" s="727"/>
      <c r="BR1584" s="299"/>
      <c r="BS1584" s="35"/>
      <c r="BT1584" s="596"/>
      <c r="BU1584" s="79"/>
      <c r="BV1584" s="212"/>
      <c r="BW1584" s="304"/>
      <c r="BX1584" s="313"/>
      <c r="BY1584" s="138"/>
    </row>
    <row r="1585" spans="1:77" ht="15" customHeight="1" outlineLevel="1" x14ac:dyDescent="0.2">
      <c r="A1585" s="57" t="s">
        <v>24</v>
      </c>
      <c r="B1585" s="583"/>
      <c r="C1585" s="583" t="s">
        <v>1548</v>
      </c>
      <c r="D1585" s="546">
        <v>0.74399999999999999</v>
      </c>
      <c r="E1585" s="162" t="s">
        <v>631</v>
      </c>
      <c r="F1585" s="358"/>
      <c r="G1585" s="65"/>
      <c r="H1585" s="73"/>
      <c r="I1585" s="90"/>
      <c r="J1585" s="73"/>
      <c r="K1585" s="734"/>
      <c r="L1585" s="717">
        <v>2008</v>
      </c>
      <c r="M1585" s="73"/>
      <c r="N1585" s="786">
        <v>1.9E-3</v>
      </c>
      <c r="O1585" s="1041"/>
      <c r="P1585" s="73"/>
      <c r="Q1585" s="786"/>
      <c r="R1585" s="1041"/>
      <c r="S1585" s="73"/>
      <c r="T1585" s="786"/>
      <c r="U1585" s="73"/>
      <c r="V1585" s="66"/>
      <c r="W1585" s="788">
        <f t="shared" si="1420"/>
        <v>8.9299999999999996E-7</v>
      </c>
      <c r="X1585" s="789">
        <f t="shared" si="1421"/>
        <v>8.9299999999999996E-7</v>
      </c>
      <c r="Y1585" s="52">
        <v>2008</v>
      </c>
      <c r="Z1585" s="52"/>
      <c r="AA1585" s="787">
        <f>+N1585/1000</f>
        <v>1.9E-6</v>
      </c>
      <c r="AB1585" s="256">
        <v>-0.53</v>
      </c>
      <c r="AC1585" s="688">
        <f t="shared" si="1422"/>
        <v>-0.53</v>
      </c>
      <c r="AD1585" s="164"/>
      <c r="AE1585" s="164"/>
      <c r="AF1585" s="25"/>
      <c r="AG1585" s="26"/>
      <c r="AH1585" s="275"/>
      <c r="AI1585" s="52"/>
      <c r="AJ1585" s="35"/>
      <c r="AK1585" s="289"/>
      <c r="AL1585" s="290"/>
      <c r="AM1585" s="211"/>
      <c r="AN1585" s="164"/>
      <c r="AO1585" s="594"/>
      <c r="AP1585" s="595"/>
      <c r="AQ1585" s="275"/>
      <c r="AR1585" s="52"/>
      <c r="AS1585" s="596"/>
      <c r="AT1585" s="79"/>
      <c r="AU1585" s="212"/>
      <c r="AV1585" s="164"/>
      <c r="AW1585" s="164"/>
      <c r="AX1585" s="76"/>
      <c r="AY1585" s="44"/>
      <c r="AZ1585" s="275"/>
      <c r="BA1585" s="52"/>
      <c r="BB1585" s="35"/>
      <c r="BC1585" s="79"/>
      <c r="BD1585" s="230"/>
      <c r="BE1585" s="211"/>
      <c r="BF1585" s="164"/>
      <c r="BG1585" s="76"/>
      <c r="BH1585" s="44"/>
      <c r="BI1585" s="275"/>
      <c r="BJ1585" s="52"/>
      <c r="BK1585" s="35"/>
      <c r="BL1585" s="79"/>
      <c r="BM1585" s="230"/>
      <c r="BN1585" s="211"/>
      <c r="BO1585" s="164"/>
      <c r="BP1585" s="726"/>
      <c r="BQ1585" s="727"/>
      <c r="BR1585" s="299"/>
      <c r="BS1585" s="35"/>
      <c r="BT1585" s="596"/>
      <c r="BU1585" s="79"/>
      <c r="BV1585" s="212"/>
      <c r="BW1585" s="304"/>
      <c r="BX1585" s="313"/>
      <c r="BY1585" s="138"/>
    </row>
    <row r="1586" spans="1:77" ht="15" customHeight="1" outlineLevel="1" x14ac:dyDescent="0.2">
      <c r="A1586" s="57" t="s">
        <v>24</v>
      </c>
      <c r="B1586" s="583"/>
      <c r="C1586" s="583" t="s">
        <v>1481</v>
      </c>
      <c r="D1586" s="546">
        <v>0.52</v>
      </c>
      <c r="E1586" s="162" t="s">
        <v>631</v>
      </c>
      <c r="F1586" s="358"/>
      <c r="G1586" s="65"/>
      <c r="H1586" s="73"/>
      <c r="I1586" s="90">
        <v>2004</v>
      </c>
      <c r="J1586" s="73"/>
      <c r="K1586" s="814">
        <v>1.9740000000000001E-3</v>
      </c>
      <c r="L1586" s="717"/>
      <c r="M1586" s="73"/>
      <c r="N1586" s="359"/>
      <c r="O1586" s="1041"/>
      <c r="P1586" s="73"/>
      <c r="Q1586" s="359"/>
      <c r="R1586" s="1041"/>
      <c r="S1586" s="73"/>
      <c r="T1586" s="359"/>
      <c r="U1586" s="73"/>
      <c r="V1586" s="66"/>
      <c r="W1586" s="788">
        <f t="shared" si="1420"/>
        <v>1.1054400000000001E-6</v>
      </c>
      <c r="X1586" s="789">
        <f t="shared" si="1421"/>
        <v>1.1054400000000001E-6</v>
      </c>
      <c r="Y1586" s="52">
        <v>2004</v>
      </c>
      <c r="Z1586" s="52"/>
      <c r="AA1586" s="787">
        <f>+K1586/1000</f>
        <v>1.9740000000000001E-6</v>
      </c>
      <c r="AB1586" s="256">
        <v>-0.44</v>
      </c>
      <c r="AC1586" s="688">
        <f t="shared" si="1422"/>
        <v>-0.44</v>
      </c>
      <c r="AD1586" s="164"/>
      <c r="AE1586" s="164"/>
      <c r="AF1586" s="25"/>
      <c r="AG1586" s="26"/>
      <c r="AH1586" s="275"/>
      <c r="AI1586" s="52"/>
      <c r="AJ1586" s="35"/>
      <c r="AK1586" s="289"/>
      <c r="AL1586" s="290"/>
      <c r="AM1586" s="211"/>
      <c r="AN1586" s="164"/>
      <c r="AO1586" s="594"/>
      <c r="AP1586" s="595"/>
      <c r="AQ1586" s="275"/>
      <c r="AR1586" s="52"/>
      <c r="AS1586" s="596"/>
      <c r="AT1586" s="79"/>
      <c r="AU1586" s="212"/>
      <c r="AV1586" s="164"/>
      <c r="AW1586" s="164"/>
      <c r="AX1586" s="76"/>
      <c r="AY1586" s="44"/>
      <c r="AZ1586" s="275"/>
      <c r="BA1586" s="52"/>
      <c r="BB1586" s="35"/>
      <c r="BC1586" s="79"/>
      <c r="BD1586" s="230"/>
      <c r="BE1586" s="211"/>
      <c r="BF1586" s="164"/>
      <c r="BG1586" s="76"/>
      <c r="BH1586" s="44"/>
      <c r="BI1586" s="275"/>
      <c r="BJ1586" s="52"/>
      <c r="BK1586" s="35"/>
      <c r="BL1586" s="79"/>
      <c r="BM1586" s="230"/>
      <c r="BN1586" s="211"/>
      <c r="BO1586" s="164"/>
      <c r="BP1586" s="726"/>
      <c r="BQ1586" s="727"/>
      <c r="BR1586" s="299"/>
      <c r="BS1586" s="35"/>
      <c r="BT1586" s="596"/>
      <c r="BU1586" s="79"/>
      <c r="BV1586" s="212"/>
      <c r="BW1586" s="304"/>
      <c r="BX1586" s="313"/>
      <c r="BY1586" s="138"/>
    </row>
    <row r="1587" spans="1:77" ht="15" customHeight="1" outlineLevel="1" x14ac:dyDescent="0.2">
      <c r="A1587" s="583" t="s">
        <v>24</v>
      </c>
      <c r="B1587" s="583"/>
      <c r="C1587" s="583" t="s">
        <v>1847</v>
      </c>
      <c r="D1587" s="546">
        <v>4.2809999999999997</v>
      </c>
      <c r="E1587" s="162" t="s">
        <v>631</v>
      </c>
      <c r="F1587" s="358"/>
      <c r="G1587" s="65"/>
      <c r="H1587" s="73"/>
      <c r="I1587" s="90"/>
      <c r="J1587" s="73"/>
      <c r="K1587" s="814"/>
      <c r="L1587" s="717">
        <v>2009</v>
      </c>
      <c r="M1587" s="73"/>
      <c r="N1587" s="786">
        <v>1.1571E-2</v>
      </c>
      <c r="O1587" s="1041"/>
      <c r="P1587" s="73"/>
      <c r="Q1587" s="786"/>
      <c r="R1587" s="1041"/>
      <c r="S1587" s="73"/>
      <c r="T1587" s="786"/>
      <c r="U1587" s="73"/>
      <c r="V1587" s="66"/>
      <c r="W1587" s="788">
        <f t="shared" ref="W1587" si="1437">AA1587*(1+AB1587)</f>
        <v>8.5625399999999992E-6</v>
      </c>
      <c r="X1587" s="789">
        <f t="shared" ref="X1587" si="1438">AA1587*(1+AC1587)</f>
        <v>8.5625399999999992E-6</v>
      </c>
      <c r="Y1587" s="52">
        <v>2009</v>
      </c>
      <c r="Z1587" s="52"/>
      <c r="AA1587" s="787">
        <f>+N1587/1000</f>
        <v>1.1571E-5</v>
      </c>
      <c r="AB1587" s="256">
        <v>-0.26</v>
      </c>
      <c r="AC1587" s="688">
        <f t="shared" si="1422"/>
        <v>-0.26</v>
      </c>
      <c r="AD1587" s="164"/>
      <c r="AE1587" s="164"/>
      <c r="AF1587" s="25"/>
      <c r="AG1587" s="26"/>
      <c r="AH1587" s="275"/>
      <c r="AI1587" s="52"/>
      <c r="AJ1587" s="35"/>
      <c r="AK1587" s="289"/>
      <c r="AL1587" s="290"/>
      <c r="AM1587" s="211"/>
      <c r="AN1587" s="164"/>
      <c r="AO1587" s="594"/>
      <c r="AP1587" s="595"/>
      <c r="AQ1587" s="275"/>
      <c r="AR1587" s="52"/>
      <c r="AS1587" s="596"/>
      <c r="AT1587" s="79"/>
      <c r="AU1587" s="212"/>
      <c r="AV1587" s="164"/>
      <c r="AW1587" s="164"/>
      <c r="AX1587" s="76"/>
      <c r="AY1587" s="44"/>
      <c r="AZ1587" s="275"/>
      <c r="BA1587" s="52"/>
      <c r="BB1587" s="35"/>
      <c r="BC1587" s="79"/>
      <c r="BD1587" s="230"/>
      <c r="BE1587" s="211"/>
      <c r="BF1587" s="164"/>
      <c r="BG1587" s="76"/>
      <c r="BH1587" s="44"/>
      <c r="BI1587" s="275"/>
      <c r="BJ1587" s="52"/>
      <c r="BK1587" s="35"/>
      <c r="BL1587" s="79"/>
      <c r="BM1587" s="230"/>
      <c r="BN1587" s="211"/>
      <c r="BO1587" s="164"/>
      <c r="BP1587" s="726"/>
      <c r="BQ1587" s="727"/>
      <c r="BR1587" s="299"/>
      <c r="BS1587" s="35"/>
      <c r="BT1587" s="596"/>
      <c r="BU1587" s="79"/>
      <c r="BV1587" s="212"/>
      <c r="BW1587" s="304"/>
      <c r="BX1587" s="313"/>
      <c r="BY1587" s="138"/>
    </row>
    <row r="1588" spans="1:77" ht="15" customHeight="1" outlineLevel="1" x14ac:dyDescent="0.2">
      <c r="A1588" s="583" t="s">
        <v>24</v>
      </c>
      <c r="B1588" s="583"/>
      <c r="C1588" s="583" t="s">
        <v>1674</v>
      </c>
      <c r="D1588" s="546">
        <v>12.494</v>
      </c>
      <c r="E1588" s="162" t="s">
        <v>631</v>
      </c>
      <c r="F1588" s="358"/>
      <c r="G1588" s="65"/>
      <c r="H1588" s="73"/>
      <c r="I1588" s="90"/>
      <c r="J1588" s="73"/>
      <c r="K1588" s="814"/>
      <c r="L1588" s="717">
        <v>2011</v>
      </c>
      <c r="M1588" s="73"/>
      <c r="N1588" s="738">
        <v>2.6306E-2</v>
      </c>
      <c r="O1588" s="1041"/>
      <c r="P1588" s="73"/>
      <c r="Q1588" s="738"/>
      <c r="R1588" s="1041"/>
      <c r="S1588" s="73"/>
      <c r="T1588" s="738"/>
      <c r="U1588" s="73"/>
      <c r="V1588" s="66"/>
      <c r="W1588" s="788">
        <f t="shared" ref="W1588" si="1439">AA1588*(1+AB1588)</f>
        <v>1.9729499999999998E-5</v>
      </c>
      <c r="X1588" s="789">
        <f t="shared" ref="X1588" si="1440">AA1588*(1+AC1588)</f>
        <v>1.9729499999999998E-5</v>
      </c>
      <c r="Y1588" s="52">
        <v>2011</v>
      </c>
      <c r="Z1588" s="52"/>
      <c r="AA1588" s="787">
        <f>+N1588/1000</f>
        <v>2.6305999999999999E-5</v>
      </c>
      <c r="AB1588" s="256">
        <v>-0.25</v>
      </c>
      <c r="AC1588" s="688">
        <f t="shared" si="1422"/>
        <v>-0.25</v>
      </c>
      <c r="AD1588" s="164"/>
      <c r="AE1588" s="164"/>
      <c r="AF1588" s="25"/>
      <c r="AG1588" s="26"/>
      <c r="AH1588" s="275"/>
      <c r="AI1588" s="52"/>
      <c r="AJ1588" s="35"/>
      <c r="AK1588" s="289"/>
      <c r="AL1588" s="290"/>
      <c r="AM1588" s="211"/>
      <c r="AN1588" s="164"/>
      <c r="AO1588" s="594"/>
      <c r="AP1588" s="595"/>
      <c r="AQ1588" s="275"/>
      <c r="AR1588" s="52"/>
      <c r="AS1588" s="596"/>
      <c r="AT1588" s="79"/>
      <c r="AU1588" s="212"/>
      <c r="AV1588" s="164"/>
      <c r="AW1588" s="164"/>
      <c r="AX1588" s="76"/>
      <c r="AY1588" s="44"/>
      <c r="AZ1588" s="275"/>
      <c r="BA1588" s="52"/>
      <c r="BB1588" s="35"/>
      <c r="BC1588" s="79"/>
      <c r="BD1588" s="230"/>
      <c r="BE1588" s="211"/>
      <c r="BF1588" s="164"/>
      <c r="BG1588" s="76"/>
      <c r="BH1588" s="44"/>
      <c r="BI1588" s="275"/>
      <c r="BJ1588" s="52"/>
      <c r="BK1588" s="35"/>
      <c r="BL1588" s="79"/>
      <c r="BM1588" s="230"/>
      <c r="BN1588" s="211"/>
      <c r="BO1588" s="164"/>
      <c r="BP1588" s="726"/>
      <c r="BQ1588" s="727"/>
      <c r="BR1588" s="299"/>
      <c r="BS1588" s="35"/>
      <c r="BT1588" s="596"/>
      <c r="BU1588" s="79"/>
      <c r="BV1588" s="212"/>
      <c r="BW1588" s="304"/>
      <c r="BX1588" s="313"/>
      <c r="BY1588" s="138"/>
    </row>
    <row r="1589" spans="1:77" ht="15" customHeight="1" outlineLevel="1" x14ac:dyDescent="0.2">
      <c r="A1589" s="583" t="s">
        <v>24</v>
      </c>
      <c r="B1589" s="583"/>
      <c r="C1589" s="583" t="s">
        <v>1962</v>
      </c>
      <c r="D1589" s="546">
        <v>1.0880000000000001</v>
      </c>
      <c r="E1589" s="162" t="s">
        <v>631</v>
      </c>
      <c r="F1589" s="358"/>
      <c r="G1589" s="65"/>
      <c r="H1589" s="73"/>
      <c r="I1589" s="90"/>
      <c r="J1589" s="73"/>
      <c r="K1589" s="814">
        <v>2.8830000000000001E-3</v>
      </c>
      <c r="L1589" s="717"/>
      <c r="M1589" s="73"/>
      <c r="N1589" s="738"/>
      <c r="O1589" s="1041"/>
      <c r="P1589" s="73"/>
      <c r="Q1589" s="738"/>
      <c r="R1589" s="1041"/>
      <c r="S1589" s="73"/>
      <c r="T1589" s="738"/>
      <c r="U1589" s="73"/>
      <c r="V1589" s="66"/>
      <c r="W1589" s="788">
        <f t="shared" ref="W1589" si="1441">AA1589*(1+AB1589)</f>
        <v>2.1045899999999999E-6</v>
      </c>
      <c r="X1589" s="789">
        <f t="shared" ref="X1589" si="1442">AA1589*(1+AC1589)</f>
        <v>2.1045899999999999E-6</v>
      </c>
      <c r="Y1589" s="52">
        <v>2005</v>
      </c>
      <c r="Z1589" s="52"/>
      <c r="AA1589" s="787">
        <f>+K1589/1000</f>
        <v>2.8830000000000002E-6</v>
      </c>
      <c r="AB1589" s="256">
        <v>-0.27</v>
      </c>
      <c r="AC1589" s="688">
        <f t="shared" si="1422"/>
        <v>-0.27</v>
      </c>
      <c r="AD1589" s="164"/>
      <c r="AE1589" s="164"/>
      <c r="AF1589" s="25"/>
      <c r="AG1589" s="26"/>
      <c r="AH1589" s="275"/>
      <c r="AI1589" s="52"/>
      <c r="AJ1589" s="35"/>
      <c r="AK1589" s="289"/>
      <c r="AL1589" s="290"/>
      <c r="AM1589" s="211"/>
      <c r="AN1589" s="164"/>
      <c r="AO1589" s="594"/>
      <c r="AP1589" s="595"/>
      <c r="AQ1589" s="275"/>
      <c r="AR1589" s="52"/>
      <c r="AS1589" s="596"/>
      <c r="AT1589" s="79"/>
      <c r="AU1589" s="212"/>
      <c r="AV1589" s="164"/>
      <c r="AW1589" s="164"/>
      <c r="AX1589" s="76"/>
      <c r="AY1589" s="44"/>
      <c r="AZ1589" s="275"/>
      <c r="BA1589" s="52"/>
      <c r="BB1589" s="35"/>
      <c r="BC1589" s="79"/>
      <c r="BD1589" s="230"/>
      <c r="BE1589" s="211"/>
      <c r="BF1589" s="164"/>
      <c r="BG1589" s="76"/>
      <c r="BH1589" s="44"/>
      <c r="BI1589" s="275"/>
      <c r="BJ1589" s="52"/>
      <c r="BK1589" s="35"/>
      <c r="BL1589" s="79"/>
      <c r="BM1589" s="230"/>
      <c r="BN1589" s="211"/>
      <c r="BO1589" s="164"/>
      <c r="BP1589" s="726"/>
      <c r="BQ1589" s="727"/>
      <c r="BR1589" s="299"/>
      <c r="BS1589" s="35"/>
      <c r="BT1589" s="596"/>
      <c r="BU1589" s="79"/>
      <c r="BV1589" s="212"/>
      <c r="BW1589" s="304"/>
      <c r="BX1589" s="313"/>
      <c r="BY1589" s="138"/>
    </row>
    <row r="1590" spans="1:77" ht="15" customHeight="1" outlineLevel="1" x14ac:dyDescent="0.2">
      <c r="A1590" s="57" t="s">
        <v>24</v>
      </c>
      <c r="B1590" s="583"/>
      <c r="C1590" s="583" t="s">
        <v>1578</v>
      </c>
      <c r="D1590" s="546">
        <v>8.9</v>
      </c>
      <c r="E1590" s="162" t="s">
        <v>631</v>
      </c>
      <c r="F1590" s="358"/>
      <c r="G1590" s="65"/>
      <c r="H1590" s="73"/>
      <c r="I1590" s="90"/>
      <c r="J1590" s="73"/>
      <c r="K1590" s="734"/>
      <c r="L1590" s="717">
        <v>2011</v>
      </c>
      <c r="M1590" s="73"/>
      <c r="N1590" s="738">
        <v>4.2257999999999997E-2</v>
      </c>
      <c r="O1590" s="1041"/>
      <c r="P1590" s="73"/>
      <c r="Q1590" s="738"/>
      <c r="R1590" s="1041"/>
      <c r="S1590" s="73"/>
      <c r="T1590" s="738"/>
      <c r="U1590" s="73"/>
      <c r="V1590" s="66"/>
      <c r="W1590" s="740">
        <f t="shared" si="1420"/>
        <v>2.9158019999999992E-5</v>
      </c>
      <c r="X1590" s="741">
        <f t="shared" si="1421"/>
        <v>2.9158019999999992E-5</v>
      </c>
      <c r="Y1590" s="52">
        <v>2011</v>
      </c>
      <c r="Z1590" s="52"/>
      <c r="AA1590" s="739">
        <f>+N1590/1000</f>
        <v>4.2257999999999994E-5</v>
      </c>
      <c r="AB1590" s="256">
        <v>-0.31</v>
      </c>
      <c r="AC1590" s="688">
        <f t="shared" si="1422"/>
        <v>-0.31</v>
      </c>
      <c r="AD1590" s="164"/>
      <c r="AE1590" s="164"/>
      <c r="AF1590" s="25"/>
      <c r="AG1590" s="26"/>
      <c r="AH1590" s="275"/>
      <c r="AI1590" s="52"/>
      <c r="AJ1590" s="35"/>
      <c r="AK1590" s="289"/>
      <c r="AL1590" s="290"/>
      <c r="AM1590" s="211"/>
      <c r="AN1590" s="164"/>
      <c r="AO1590" s="594"/>
      <c r="AP1590" s="595"/>
      <c r="AQ1590" s="275"/>
      <c r="AR1590" s="52"/>
      <c r="AS1590" s="596"/>
      <c r="AT1590" s="79"/>
      <c r="AU1590" s="212"/>
      <c r="AV1590" s="164"/>
      <c r="AW1590" s="164"/>
      <c r="AX1590" s="76"/>
      <c r="AY1590" s="44"/>
      <c r="AZ1590" s="275"/>
      <c r="BA1590" s="52"/>
      <c r="BB1590" s="35"/>
      <c r="BC1590" s="79"/>
      <c r="BD1590" s="230"/>
      <c r="BE1590" s="211"/>
      <c r="BF1590" s="164"/>
      <c r="BG1590" s="76"/>
      <c r="BH1590" s="44"/>
      <c r="BI1590" s="275"/>
      <c r="BJ1590" s="52"/>
      <c r="BK1590" s="35"/>
      <c r="BL1590" s="79"/>
      <c r="BM1590" s="230"/>
      <c r="BN1590" s="211"/>
      <c r="BO1590" s="164"/>
      <c r="BP1590" s="726"/>
      <c r="BQ1590" s="727"/>
      <c r="BR1590" s="299"/>
      <c r="BS1590" s="35"/>
      <c r="BT1590" s="596"/>
      <c r="BU1590" s="79"/>
      <c r="BV1590" s="212"/>
      <c r="BW1590" s="304"/>
      <c r="BX1590" s="313"/>
      <c r="BY1590" s="138"/>
    </row>
    <row r="1591" spans="1:77" ht="15" customHeight="1" outlineLevel="1" x14ac:dyDescent="0.2">
      <c r="A1591" s="583" t="s">
        <v>24</v>
      </c>
      <c r="B1591" s="583"/>
      <c r="C1591" s="583" t="s">
        <v>1851</v>
      </c>
      <c r="D1591" s="546">
        <v>4.1479999999999997</v>
      </c>
      <c r="E1591" s="162" t="s">
        <v>631</v>
      </c>
      <c r="F1591" s="358"/>
      <c r="G1591" s="65"/>
      <c r="H1591" s="73"/>
      <c r="I1591" s="90"/>
      <c r="J1591" s="73"/>
      <c r="K1591" s="734">
        <v>2.6164E-2</v>
      </c>
      <c r="L1591" s="717"/>
      <c r="M1591" s="73"/>
      <c r="N1591" s="738"/>
      <c r="O1591" s="1041"/>
      <c r="P1591" s="73"/>
      <c r="Q1591" s="738"/>
      <c r="R1591" s="1041"/>
      <c r="S1591" s="73"/>
      <c r="T1591" s="738"/>
      <c r="U1591" s="73"/>
      <c r="V1591" s="66"/>
      <c r="W1591" s="740">
        <f t="shared" ref="W1591" si="1443">AA1591*(1+AB1591)</f>
        <v>1.9361359999999998E-5</v>
      </c>
      <c r="X1591" s="741">
        <f t="shared" ref="X1591" si="1444">AA1591*(1+AC1591)</f>
        <v>1.9361359999999998E-5</v>
      </c>
      <c r="Y1591" s="52">
        <v>2005</v>
      </c>
      <c r="Z1591" s="52"/>
      <c r="AA1591" s="739">
        <f>+K1591/1000</f>
        <v>2.6163999999999999E-5</v>
      </c>
      <c r="AB1591" s="256">
        <v>-0.26</v>
      </c>
      <c r="AC1591" s="688">
        <f t="shared" si="1422"/>
        <v>-0.26</v>
      </c>
      <c r="AD1591" s="164"/>
      <c r="AE1591" s="164"/>
      <c r="AF1591" s="25"/>
      <c r="AG1591" s="26"/>
      <c r="AH1591" s="275"/>
      <c r="AI1591" s="52"/>
      <c r="AJ1591" s="35"/>
      <c r="AK1591" s="289"/>
      <c r="AL1591" s="290"/>
      <c r="AM1591" s="211"/>
      <c r="AN1591" s="164"/>
      <c r="AO1591" s="594"/>
      <c r="AP1591" s="595"/>
      <c r="AQ1591" s="275"/>
      <c r="AR1591" s="52"/>
      <c r="AS1591" s="596"/>
      <c r="AT1591" s="79"/>
      <c r="AU1591" s="212"/>
      <c r="AV1591" s="164"/>
      <c r="AW1591" s="164"/>
      <c r="AX1591" s="76"/>
      <c r="AY1591" s="44"/>
      <c r="AZ1591" s="275"/>
      <c r="BA1591" s="52"/>
      <c r="BB1591" s="35"/>
      <c r="BC1591" s="79"/>
      <c r="BD1591" s="230"/>
      <c r="BE1591" s="211"/>
      <c r="BF1591" s="164"/>
      <c r="BG1591" s="76"/>
      <c r="BH1591" s="44"/>
      <c r="BI1591" s="275"/>
      <c r="BJ1591" s="52"/>
      <c r="BK1591" s="35"/>
      <c r="BL1591" s="79"/>
      <c r="BM1591" s="230"/>
      <c r="BN1591" s="211"/>
      <c r="BO1591" s="164"/>
      <c r="BP1591" s="726"/>
      <c r="BQ1591" s="727"/>
      <c r="BR1591" s="299"/>
      <c r="BS1591" s="35"/>
      <c r="BT1591" s="596"/>
      <c r="BU1591" s="79"/>
      <c r="BV1591" s="212"/>
      <c r="BW1591" s="304"/>
      <c r="BX1591" s="313"/>
      <c r="BY1591" s="138"/>
    </row>
    <row r="1592" spans="1:77" ht="15" customHeight="1" outlineLevel="1" x14ac:dyDescent="0.2">
      <c r="A1592" s="583" t="s">
        <v>24</v>
      </c>
      <c r="B1592" s="583"/>
      <c r="C1592" s="583" t="s">
        <v>2010</v>
      </c>
      <c r="D1592" s="546">
        <v>1.1519999999999999</v>
      </c>
      <c r="E1592" s="162" t="s">
        <v>631</v>
      </c>
      <c r="F1592" s="358"/>
      <c r="G1592" s="65"/>
      <c r="H1592" s="73"/>
      <c r="I1592" s="90"/>
      <c r="J1592" s="73"/>
      <c r="K1592" s="734">
        <v>3.3180000000000002E-3</v>
      </c>
      <c r="L1592" s="717"/>
      <c r="M1592" s="73"/>
      <c r="N1592" s="738"/>
      <c r="O1592" s="1041"/>
      <c r="P1592" s="73"/>
      <c r="Q1592" s="738"/>
      <c r="R1592" s="1041"/>
      <c r="S1592" s="73"/>
      <c r="T1592" s="738"/>
      <c r="U1592" s="73"/>
      <c r="V1592" s="66"/>
      <c r="W1592" s="788">
        <f t="shared" ref="W1592" si="1445">AA1592*(1+AB1592)</f>
        <v>2.3889600000000001E-6</v>
      </c>
      <c r="X1592" s="789">
        <f t="shared" ref="X1592" si="1446">AA1592*(1+AC1592)</f>
        <v>2.3889600000000001E-6</v>
      </c>
      <c r="Y1592" s="52">
        <v>2005</v>
      </c>
      <c r="Z1592" s="52"/>
      <c r="AA1592" s="787">
        <f>+K1592/1000</f>
        <v>3.3180000000000003E-6</v>
      </c>
      <c r="AB1592" s="256">
        <v>-0.28000000000000003</v>
      </c>
      <c r="AC1592" s="688">
        <f t="shared" si="1422"/>
        <v>-0.28000000000000003</v>
      </c>
      <c r="AD1592" s="164"/>
      <c r="AE1592" s="164"/>
      <c r="AF1592" s="25"/>
      <c r="AG1592" s="26"/>
      <c r="AH1592" s="275"/>
      <c r="AI1592" s="52"/>
      <c r="AJ1592" s="35"/>
      <c r="AK1592" s="289"/>
      <c r="AL1592" s="290"/>
      <c r="AM1592" s="211"/>
      <c r="AN1592" s="164"/>
      <c r="AO1592" s="594"/>
      <c r="AP1592" s="595"/>
      <c r="AQ1592" s="275"/>
      <c r="AR1592" s="52"/>
      <c r="AS1592" s="596"/>
      <c r="AT1592" s="79"/>
      <c r="AU1592" s="212"/>
      <c r="AV1592" s="164"/>
      <c r="AW1592" s="164"/>
      <c r="AX1592" s="76"/>
      <c r="AY1592" s="44"/>
      <c r="AZ1592" s="275"/>
      <c r="BA1592" s="52"/>
      <c r="BB1592" s="35"/>
      <c r="BC1592" s="79"/>
      <c r="BD1592" s="230"/>
      <c r="BE1592" s="211"/>
      <c r="BF1592" s="164"/>
      <c r="BG1592" s="76"/>
      <c r="BH1592" s="44"/>
      <c r="BI1592" s="275"/>
      <c r="BJ1592" s="52"/>
      <c r="BK1592" s="35"/>
      <c r="BL1592" s="79"/>
      <c r="BM1592" s="230"/>
      <c r="BN1592" s="211"/>
      <c r="BO1592" s="164"/>
      <c r="BP1592" s="726"/>
      <c r="BQ1592" s="727"/>
      <c r="BR1592" s="299"/>
      <c r="BS1592" s="35"/>
      <c r="BT1592" s="596"/>
      <c r="BU1592" s="79"/>
      <c r="BV1592" s="212"/>
      <c r="BW1592" s="304"/>
      <c r="BX1592" s="313"/>
      <c r="BY1592" s="138"/>
    </row>
    <row r="1593" spans="1:77" ht="15" customHeight="1" outlineLevel="1" x14ac:dyDescent="0.2">
      <c r="A1593" s="583" t="s">
        <v>24</v>
      </c>
      <c r="B1593" s="583"/>
      <c r="C1593" s="583" t="s">
        <v>1935</v>
      </c>
      <c r="D1593" s="546">
        <v>8.4079999999999995</v>
      </c>
      <c r="E1593" s="162" t="s">
        <v>631</v>
      </c>
      <c r="F1593" s="358"/>
      <c r="G1593" s="65"/>
      <c r="H1593" s="73"/>
      <c r="I1593" s="90"/>
      <c r="J1593" s="73"/>
      <c r="K1593" s="734"/>
      <c r="L1593" s="717">
        <v>2008</v>
      </c>
      <c r="M1593" s="73"/>
      <c r="N1593" s="738">
        <v>5.5014E-2</v>
      </c>
      <c r="O1593" s="1041"/>
      <c r="P1593" s="73"/>
      <c r="Q1593" s="738"/>
      <c r="R1593" s="1041"/>
      <c r="S1593" s="73"/>
      <c r="T1593" s="738"/>
      <c r="U1593" s="73"/>
      <c r="V1593" s="66"/>
      <c r="W1593" s="740">
        <f t="shared" ref="W1593" si="1447">AA1593*(1+AB1593)</f>
        <v>4.0160219999999997E-5</v>
      </c>
      <c r="X1593" s="741">
        <f t="shared" ref="X1593" si="1448">AA1593*(1+AC1593)</f>
        <v>4.0160219999999997E-5</v>
      </c>
      <c r="Y1593" s="52">
        <v>2008</v>
      </c>
      <c r="Z1593" s="52"/>
      <c r="AA1593" s="739">
        <f>+N1593/1000</f>
        <v>5.5013999999999999E-5</v>
      </c>
      <c r="AB1593" s="256">
        <v>-0.27</v>
      </c>
      <c r="AC1593" s="688">
        <f t="shared" si="1422"/>
        <v>-0.27</v>
      </c>
      <c r="AD1593" s="164"/>
      <c r="AE1593" s="164"/>
      <c r="AF1593" s="25"/>
      <c r="AG1593" s="26"/>
      <c r="AH1593" s="275"/>
      <c r="AI1593" s="52"/>
      <c r="AJ1593" s="35"/>
      <c r="AK1593" s="289"/>
      <c r="AL1593" s="290"/>
      <c r="AM1593" s="211"/>
      <c r="AN1593" s="164"/>
      <c r="AO1593" s="594"/>
      <c r="AP1593" s="595"/>
      <c r="AQ1593" s="275"/>
      <c r="AR1593" s="52"/>
      <c r="AS1593" s="596"/>
      <c r="AT1593" s="79"/>
      <c r="AU1593" s="212"/>
      <c r="AV1593" s="164"/>
      <c r="AW1593" s="164"/>
      <c r="AX1593" s="76"/>
      <c r="AY1593" s="44"/>
      <c r="AZ1593" s="275"/>
      <c r="BA1593" s="52"/>
      <c r="BB1593" s="35"/>
      <c r="BC1593" s="79"/>
      <c r="BD1593" s="230"/>
      <c r="BE1593" s="211"/>
      <c r="BF1593" s="164"/>
      <c r="BG1593" s="76"/>
      <c r="BH1593" s="44"/>
      <c r="BI1593" s="275"/>
      <c r="BJ1593" s="52"/>
      <c r="BK1593" s="35"/>
      <c r="BL1593" s="79"/>
      <c r="BM1593" s="230"/>
      <c r="BN1593" s="211"/>
      <c r="BO1593" s="164"/>
      <c r="BP1593" s="726"/>
      <c r="BQ1593" s="727"/>
      <c r="BR1593" s="299"/>
      <c r="BS1593" s="35"/>
      <c r="BT1593" s="596"/>
      <c r="BU1593" s="79"/>
      <c r="BV1593" s="212"/>
      <c r="BW1593" s="304"/>
      <c r="BX1593" s="313"/>
      <c r="BY1593" s="138"/>
    </row>
    <row r="1594" spans="1:77" ht="15" customHeight="1" outlineLevel="1" x14ac:dyDescent="0.2">
      <c r="A1594" s="583" t="s">
        <v>24</v>
      </c>
      <c r="B1594" s="583"/>
      <c r="C1594" s="583" t="s">
        <v>2404</v>
      </c>
      <c r="D1594" s="546">
        <v>0.58199999999999996</v>
      </c>
      <c r="E1594" s="162" t="s">
        <v>631</v>
      </c>
      <c r="F1594" s="358"/>
      <c r="G1594" s="65"/>
      <c r="H1594" s="73"/>
      <c r="I1594" s="90"/>
      <c r="J1594" s="73"/>
      <c r="K1594" s="734"/>
      <c r="L1594" s="717"/>
      <c r="M1594" s="73"/>
      <c r="N1594" s="786">
        <v>1.822841E-3</v>
      </c>
      <c r="O1594" s="1041"/>
      <c r="P1594" s="73"/>
      <c r="Q1594" s="738"/>
      <c r="R1594" s="1041"/>
      <c r="S1594" s="73"/>
      <c r="T1594" s="738"/>
      <c r="U1594" s="73"/>
      <c r="V1594" s="66"/>
      <c r="W1594" s="788">
        <f t="shared" ref="W1594" si="1449">AA1594*(1+AB1594)</f>
        <v>1.3124455199999999E-6</v>
      </c>
      <c r="X1594" s="789">
        <f t="shared" ref="X1594" si="1450">AA1594*(1+AC1594)</f>
        <v>1.3124455199999999E-6</v>
      </c>
      <c r="Y1594" s="52">
        <v>2010</v>
      </c>
      <c r="Z1594" s="52"/>
      <c r="AA1594" s="787">
        <f>+N1594/1000</f>
        <v>1.822841E-6</v>
      </c>
      <c r="AB1594" s="256">
        <v>-0.28000000000000003</v>
      </c>
      <c r="AC1594" s="688">
        <f t="shared" ref="AC1594" si="1451">AB1594</f>
        <v>-0.28000000000000003</v>
      </c>
      <c r="AD1594" s="164"/>
      <c r="AE1594" s="164"/>
      <c r="AF1594" s="25"/>
      <c r="AG1594" s="26"/>
      <c r="AH1594" s="275"/>
      <c r="AI1594" s="52"/>
      <c r="AJ1594" s="35"/>
      <c r="AK1594" s="289"/>
      <c r="AL1594" s="290"/>
      <c r="AM1594" s="211"/>
      <c r="AN1594" s="164"/>
      <c r="AO1594" s="594"/>
      <c r="AP1594" s="595"/>
      <c r="AQ1594" s="275"/>
      <c r="AR1594" s="52"/>
      <c r="AS1594" s="596"/>
      <c r="AT1594" s="79"/>
      <c r="AU1594" s="212"/>
      <c r="AV1594" s="164"/>
      <c r="AW1594" s="164"/>
      <c r="AX1594" s="76"/>
      <c r="AY1594" s="44"/>
      <c r="AZ1594" s="275"/>
      <c r="BA1594" s="52"/>
      <c r="BB1594" s="35"/>
      <c r="BC1594" s="79"/>
      <c r="BD1594" s="230"/>
      <c r="BE1594" s="211"/>
      <c r="BF1594" s="164"/>
      <c r="BG1594" s="76"/>
      <c r="BH1594" s="44"/>
      <c r="BI1594" s="275"/>
      <c r="BJ1594" s="52"/>
      <c r="BK1594" s="35"/>
      <c r="BL1594" s="79"/>
      <c r="BM1594" s="230"/>
      <c r="BN1594" s="211"/>
      <c r="BO1594" s="164"/>
      <c r="BP1594" s="726"/>
      <c r="BQ1594" s="727"/>
      <c r="BR1594" s="299"/>
      <c r="BS1594" s="35"/>
      <c r="BT1594" s="596"/>
      <c r="BU1594" s="79"/>
      <c r="BV1594" s="212"/>
      <c r="BW1594" s="304"/>
      <c r="BX1594" s="313"/>
      <c r="BY1594" s="138"/>
    </row>
    <row r="1595" spans="1:77" ht="15" customHeight="1" outlineLevel="1" x14ac:dyDescent="0.2">
      <c r="A1595" s="583" t="s">
        <v>24</v>
      </c>
      <c r="B1595" s="583"/>
      <c r="C1595" s="583" t="s">
        <v>2094</v>
      </c>
      <c r="D1595" s="546">
        <v>1.296</v>
      </c>
      <c r="E1595" s="162" t="s">
        <v>631</v>
      </c>
      <c r="F1595" s="358"/>
      <c r="G1595" s="65"/>
      <c r="H1595" s="73"/>
      <c r="I1595" s="90"/>
      <c r="J1595" s="73"/>
      <c r="K1595" s="734"/>
      <c r="L1595" s="717">
        <v>2011</v>
      </c>
      <c r="M1595" s="73"/>
      <c r="N1595" s="811">
        <v>2.2420000000000001E-3</v>
      </c>
      <c r="O1595" s="1041"/>
      <c r="P1595" s="73"/>
      <c r="Q1595" s="738"/>
      <c r="R1595" s="1041"/>
      <c r="S1595" s="73"/>
      <c r="T1595" s="738"/>
      <c r="U1595" s="73"/>
      <c r="V1595" s="66"/>
      <c r="W1595" s="740">
        <f t="shared" ref="W1595" si="1452">AA1595*(1+AB1595)</f>
        <v>1.6814999999999999E-6</v>
      </c>
      <c r="X1595" s="741">
        <f t="shared" ref="X1595" si="1453">AA1595*(1+AC1595)</f>
        <v>1.6814999999999999E-6</v>
      </c>
      <c r="Y1595" s="52">
        <v>2011</v>
      </c>
      <c r="Z1595" s="52"/>
      <c r="AA1595" s="739">
        <f>+N1595/1000</f>
        <v>2.2419999999999999E-6</v>
      </c>
      <c r="AB1595" s="256">
        <v>-0.25</v>
      </c>
      <c r="AC1595" s="688">
        <f t="shared" si="1422"/>
        <v>-0.25</v>
      </c>
      <c r="AD1595" s="164"/>
      <c r="AE1595" s="164"/>
      <c r="AF1595" s="25"/>
      <c r="AG1595" s="26"/>
      <c r="AH1595" s="275"/>
      <c r="AI1595" s="52"/>
      <c r="AJ1595" s="35"/>
      <c r="AK1595" s="289"/>
      <c r="AL1595" s="290"/>
      <c r="AM1595" s="211"/>
      <c r="AN1595" s="164"/>
      <c r="AO1595" s="594"/>
      <c r="AP1595" s="595"/>
      <c r="AQ1595" s="275"/>
      <c r="AR1595" s="52"/>
      <c r="AS1595" s="596"/>
      <c r="AT1595" s="79"/>
      <c r="AU1595" s="212"/>
      <c r="AV1595" s="164"/>
      <c r="AW1595" s="164"/>
      <c r="AX1595" s="76"/>
      <c r="AY1595" s="44"/>
      <c r="AZ1595" s="275"/>
      <c r="BA1595" s="52"/>
      <c r="BB1595" s="35"/>
      <c r="BC1595" s="79"/>
      <c r="BD1595" s="230"/>
      <c r="BE1595" s="211"/>
      <c r="BF1595" s="164"/>
      <c r="BG1595" s="76"/>
      <c r="BH1595" s="44"/>
      <c r="BI1595" s="275"/>
      <c r="BJ1595" s="52"/>
      <c r="BK1595" s="35"/>
      <c r="BL1595" s="79"/>
      <c r="BM1595" s="230"/>
      <c r="BN1595" s="211"/>
      <c r="BO1595" s="164"/>
      <c r="BP1595" s="726"/>
      <c r="BQ1595" s="727"/>
      <c r="BR1595" s="299"/>
      <c r="BS1595" s="35"/>
      <c r="BT1595" s="596"/>
      <c r="BU1595" s="79"/>
      <c r="BV1595" s="212"/>
      <c r="BW1595" s="304"/>
      <c r="BX1595" s="313"/>
      <c r="BY1595" s="138"/>
    </row>
    <row r="1596" spans="1:77" ht="15" customHeight="1" outlineLevel="1" x14ac:dyDescent="0.2">
      <c r="A1596" s="57" t="s">
        <v>24</v>
      </c>
      <c r="B1596" s="583"/>
      <c r="C1596" s="583" t="s">
        <v>1430</v>
      </c>
      <c r="D1596" s="546">
        <v>15.834</v>
      </c>
      <c r="E1596" s="162" t="s">
        <v>631</v>
      </c>
      <c r="F1596" s="358"/>
      <c r="G1596" s="65"/>
      <c r="H1596" s="73"/>
      <c r="I1596" s="90">
        <v>2007</v>
      </c>
      <c r="J1596" s="73"/>
      <c r="K1596" s="734">
        <v>3.1678999999999999E-2</v>
      </c>
      <c r="L1596" s="717"/>
      <c r="M1596" s="73"/>
      <c r="N1596" s="359"/>
      <c r="O1596" s="1041"/>
      <c r="P1596" s="73"/>
      <c r="Q1596" s="359"/>
      <c r="R1596" s="1041"/>
      <c r="S1596" s="73"/>
      <c r="T1596" s="359"/>
      <c r="U1596" s="73"/>
      <c r="V1596" s="66"/>
      <c r="W1596" s="740">
        <f t="shared" si="1420"/>
        <v>2.2175299999999998E-5</v>
      </c>
      <c r="X1596" s="741">
        <f t="shared" si="1421"/>
        <v>2.2175299999999998E-5</v>
      </c>
      <c r="Y1596" s="52">
        <v>2007</v>
      </c>
      <c r="Z1596" s="52"/>
      <c r="AA1596" s="739">
        <f>+K1596/1000</f>
        <v>3.1678999999999999E-5</v>
      </c>
      <c r="AB1596" s="256">
        <v>-0.3</v>
      </c>
      <c r="AC1596" s="688">
        <f t="shared" si="1422"/>
        <v>-0.3</v>
      </c>
      <c r="AD1596" s="164"/>
      <c r="AE1596" s="164"/>
      <c r="AF1596" s="25"/>
      <c r="AG1596" s="26"/>
      <c r="AH1596" s="275"/>
      <c r="AI1596" s="52"/>
      <c r="AJ1596" s="35"/>
      <c r="AK1596" s="289"/>
      <c r="AL1596" s="290"/>
      <c r="AM1596" s="211"/>
      <c r="AN1596" s="164"/>
      <c r="AO1596" s="594"/>
      <c r="AP1596" s="595"/>
      <c r="AQ1596" s="275"/>
      <c r="AR1596" s="52"/>
      <c r="AS1596" s="596"/>
      <c r="AT1596" s="79"/>
      <c r="AU1596" s="212"/>
      <c r="AV1596" s="164"/>
      <c r="AW1596" s="164"/>
      <c r="AX1596" s="76"/>
      <c r="AY1596" s="44"/>
      <c r="AZ1596" s="275"/>
      <c r="BA1596" s="52"/>
      <c r="BB1596" s="35"/>
      <c r="BC1596" s="79"/>
      <c r="BD1596" s="230"/>
      <c r="BE1596" s="211"/>
      <c r="BF1596" s="164"/>
      <c r="BG1596" s="76"/>
      <c r="BH1596" s="44"/>
      <c r="BI1596" s="275"/>
      <c r="BJ1596" s="52"/>
      <c r="BK1596" s="35"/>
      <c r="BL1596" s="79"/>
      <c r="BM1596" s="230"/>
      <c r="BN1596" s="211"/>
      <c r="BO1596" s="164"/>
      <c r="BP1596" s="726"/>
      <c r="BQ1596" s="727"/>
      <c r="BR1596" s="299"/>
      <c r="BS1596" s="35"/>
      <c r="BT1596" s="596"/>
      <c r="BU1596" s="79"/>
      <c r="BV1596" s="212"/>
      <c r="BW1596" s="304"/>
      <c r="BX1596" s="313"/>
      <c r="BY1596" s="138"/>
    </row>
    <row r="1597" spans="1:77" ht="15" customHeight="1" outlineLevel="1" x14ac:dyDescent="0.2">
      <c r="A1597" s="57" t="s">
        <v>24</v>
      </c>
      <c r="B1597" s="583"/>
      <c r="C1597" s="583" t="s">
        <v>474</v>
      </c>
      <c r="D1597" s="546">
        <v>609</v>
      </c>
      <c r="E1597" s="162" t="s">
        <v>387</v>
      </c>
      <c r="F1597" s="358"/>
      <c r="G1597" s="65"/>
      <c r="H1597" s="73"/>
      <c r="I1597" s="90"/>
      <c r="J1597" s="73"/>
      <c r="K1597" s="66">
        <v>2.2157589999999998</v>
      </c>
      <c r="L1597" s="717"/>
      <c r="M1597" s="73"/>
      <c r="N1597" s="359"/>
      <c r="O1597" s="1041">
        <v>2016</v>
      </c>
      <c r="P1597" s="73"/>
      <c r="Q1597" s="359">
        <v>1.81037</v>
      </c>
      <c r="R1597" s="1041">
        <v>2016</v>
      </c>
      <c r="S1597" s="73"/>
      <c r="T1597" s="359">
        <v>1.81037</v>
      </c>
      <c r="U1597" s="73"/>
      <c r="V1597" s="66"/>
      <c r="W1597" s="594">
        <f t="shared" si="1420"/>
        <v>1.70613443E-3</v>
      </c>
      <c r="X1597" s="595">
        <f t="shared" si="1421"/>
        <v>1.70613443E-3</v>
      </c>
      <c r="Y1597" s="52">
        <v>2005</v>
      </c>
      <c r="Z1597" s="52"/>
      <c r="AA1597" s="596">
        <f>+K1597/1000</f>
        <v>2.2157589999999999E-3</v>
      </c>
      <c r="AB1597" s="256">
        <v>-0.23</v>
      </c>
      <c r="AC1597" s="688">
        <f>AB1597</f>
        <v>-0.23</v>
      </c>
      <c r="AD1597" s="164"/>
      <c r="AE1597" s="164"/>
      <c r="AF1597" s="25"/>
      <c r="AG1597" s="26"/>
      <c r="AH1597" s="275"/>
      <c r="AI1597" s="52"/>
      <c r="AJ1597" s="35"/>
      <c r="AK1597" s="289"/>
      <c r="AL1597" s="290"/>
      <c r="AM1597" s="211"/>
      <c r="AN1597" s="164"/>
      <c r="AO1597" s="594"/>
      <c r="AP1597" s="595"/>
      <c r="AQ1597" s="275"/>
      <c r="AR1597" s="52"/>
      <c r="AS1597" s="596"/>
      <c r="AT1597" s="79"/>
      <c r="AU1597" s="212"/>
      <c r="AV1597" s="164"/>
      <c r="AW1597" s="164"/>
      <c r="AX1597" s="76"/>
      <c r="AY1597" s="44"/>
      <c r="AZ1597" s="275"/>
      <c r="BA1597" s="52"/>
      <c r="BB1597" s="35"/>
      <c r="BC1597" s="79"/>
      <c r="BD1597" s="230"/>
      <c r="BE1597" s="211"/>
      <c r="BF1597" s="164"/>
      <c r="BG1597" s="76"/>
      <c r="BH1597" s="44"/>
      <c r="BI1597" s="275"/>
      <c r="BJ1597" s="52"/>
      <c r="BK1597" s="35"/>
      <c r="BL1597" s="79"/>
      <c r="BM1597" s="230"/>
      <c r="BN1597" s="211"/>
      <c r="BO1597" s="164"/>
      <c r="BP1597" s="726"/>
      <c r="BQ1597" s="727"/>
      <c r="BR1597" s="299"/>
      <c r="BS1597" s="35"/>
      <c r="BT1597" s="596"/>
      <c r="BU1597" s="79"/>
      <c r="BV1597" s="212"/>
      <c r="BW1597" s="304"/>
      <c r="BX1597" s="313"/>
      <c r="BY1597" s="138"/>
    </row>
    <row r="1598" spans="1:77" ht="15" customHeight="1" outlineLevel="1" x14ac:dyDescent="0.2">
      <c r="A1598" s="583" t="s">
        <v>24</v>
      </c>
      <c r="B1598" s="583"/>
      <c r="C1598" s="583" t="s">
        <v>1714</v>
      </c>
      <c r="D1598" s="546">
        <v>6.0720000000000001</v>
      </c>
      <c r="E1598" s="162" t="s">
        <v>631</v>
      </c>
      <c r="F1598" s="358"/>
      <c r="G1598" s="65"/>
      <c r="H1598" s="73"/>
      <c r="I1598" s="90"/>
      <c r="J1598" s="73"/>
      <c r="K1598" s="66"/>
      <c r="L1598" s="717">
        <v>2009</v>
      </c>
      <c r="M1598" s="73"/>
      <c r="N1598" s="738">
        <v>2.0282000000000001E-2</v>
      </c>
      <c r="O1598" s="1041"/>
      <c r="P1598" s="73"/>
      <c r="Q1598" s="738"/>
      <c r="R1598" s="1041"/>
      <c r="S1598" s="73"/>
      <c r="T1598" s="738"/>
      <c r="U1598" s="73"/>
      <c r="V1598" s="66"/>
      <c r="W1598" s="740">
        <f t="shared" ref="W1598" si="1454">AA1598*(1+AB1598)</f>
        <v>1.52115E-5</v>
      </c>
      <c r="X1598" s="741">
        <f t="shared" ref="X1598" si="1455">AA1598*(1+AC1598)</f>
        <v>1.52115E-5</v>
      </c>
      <c r="Y1598" s="52">
        <v>2009</v>
      </c>
      <c r="Z1598" s="52"/>
      <c r="AA1598" s="739">
        <f>+N1598/1000</f>
        <v>2.0282E-5</v>
      </c>
      <c r="AB1598" s="256">
        <v>-0.25</v>
      </c>
      <c r="AC1598" s="688">
        <v>-0.25</v>
      </c>
      <c r="AD1598" s="164"/>
      <c r="AE1598" s="164"/>
      <c r="AF1598" s="25"/>
      <c r="AG1598" s="26"/>
      <c r="AH1598" s="275"/>
      <c r="AI1598" s="52"/>
      <c r="AJ1598" s="35"/>
      <c r="AK1598" s="289"/>
      <c r="AL1598" s="290"/>
      <c r="AM1598" s="211"/>
      <c r="AN1598" s="164"/>
      <c r="AO1598" s="594"/>
      <c r="AP1598" s="595"/>
      <c r="AQ1598" s="275"/>
      <c r="AR1598" s="52"/>
      <c r="AS1598" s="596"/>
      <c r="AT1598" s="79"/>
      <c r="AU1598" s="212"/>
      <c r="AV1598" s="164"/>
      <c r="AW1598" s="164"/>
      <c r="AX1598" s="76"/>
      <c r="AY1598" s="44"/>
      <c r="AZ1598" s="275"/>
      <c r="BA1598" s="52"/>
      <c r="BB1598" s="35"/>
      <c r="BC1598" s="79"/>
      <c r="BD1598" s="230"/>
      <c r="BE1598" s="211"/>
      <c r="BF1598" s="164"/>
      <c r="BG1598" s="76"/>
      <c r="BH1598" s="44"/>
      <c r="BI1598" s="275"/>
      <c r="BJ1598" s="52"/>
      <c r="BK1598" s="35"/>
      <c r="BL1598" s="79"/>
      <c r="BM1598" s="230"/>
      <c r="BN1598" s="211"/>
      <c r="BO1598" s="164"/>
      <c r="BP1598" s="726"/>
      <c r="BQ1598" s="727"/>
      <c r="BR1598" s="299"/>
      <c r="BS1598" s="35"/>
      <c r="BT1598" s="596"/>
      <c r="BU1598" s="79"/>
      <c r="BV1598" s="212"/>
      <c r="BW1598" s="304"/>
      <c r="BX1598" s="313"/>
      <c r="BY1598" s="138"/>
    </row>
    <row r="1599" spans="1:77" ht="15" customHeight="1" outlineLevel="1" x14ac:dyDescent="0.2">
      <c r="A1599" s="583" t="s">
        <v>24</v>
      </c>
      <c r="B1599" s="583"/>
      <c r="C1599" s="583" t="s">
        <v>1897</v>
      </c>
      <c r="D1599" s="546">
        <v>1.2929999999999999</v>
      </c>
      <c r="E1599" s="162" t="s">
        <v>631</v>
      </c>
      <c r="F1599" s="358"/>
      <c r="G1599" s="65"/>
      <c r="H1599" s="73"/>
      <c r="I1599" s="90">
        <v>2004</v>
      </c>
      <c r="J1599" s="73"/>
      <c r="K1599" s="790">
        <v>4.5589999999999997E-3</v>
      </c>
      <c r="L1599" s="717"/>
      <c r="M1599" s="73"/>
      <c r="N1599" s="738"/>
      <c r="O1599" s="1041"/>
      <c r="P1599" s="73"/>
      <c r="Q1599" s="738"/>
      <c r="R1599" s="1041"/>
      <c r="S1599" s="73"/>
      <c r="T1599" s="738"/>
      <c r="U1599" s="73"/>
      <c r="V1599" s="66"/>
      <c r="W1599" s="740">
        <f t="shared" ref="W1599" si="1456">AA1599*(1+AB1599)</f>
        <v>3.3736599999999997E-6</v>
      </c>
      <c r="X1599" s="741">
        <f t="shared" ref="X1599" si="1457">AA1599*(1+AC1599)</f>
        <v>3.3736599999999997E-6</v>
      </c>
      <c r="Y1599" s="52">
        <v>2004</v>
      </c>
      <c r="Z1599" s="52"/>
      <c r="AA1599" s="739">
        <f>+K1599/1000</f>
        <v>4.5589999999999999E-6</v>
      </c>
      <c r="AB1599" s="256">
        <v>-0.26</v>
      </c>
      <c r="AC1599" s="688">
        <v>-0.26</v>
      </c>
      <c r="AD1599" s="164"/>
      <c r="AE1599" s="164"/>
      <c r="AF1599" s="25"/>
      <c r="AG1599" s="26"/>
      <c r="AH1599" s="275"/>
      <c r="AI1599" s="52"/>
      <c r="AJ1599" s="35"/>
      <c r="AK1599" s="289"/>
      <c r="AL1599" s="290"/>
      <c r="AM1599" s="211"/>
      <c r="AN1599" s="164"/>
      <c r="AO1599" s="594"/>
      <c r="AP1599" s="595"/>
      <c r="AQ1599" s="275"/>
      <c r="AR1599" s="52"/>
      <c r="AS1599" s="596"/>
      <c r="AT1599" s="79"/>
      <c r="AU1599" s="212"/>
      <c r="AV1599" s="164"/>
      <c r="AW1599" s="164"/>
      <c r="AX1599" s="76"/>
      <c r="AY1599" s="44"/>
      <c r="AZ1599" s="275"/>
      <c r="BA1599" s="52"/>
      <c r="BB1599" s="35"/>
      <c r="BC1599" s="79"/>
      <c r="BD1599" s="230"/>
      <c r="BE1599" s="211"/>
      <c r="BF1599" s="164"/>
      <c r="BG1599" s="76"/>
      <c r="BH1599" s="44"/>
      <c r="BI1599" s="275"/>
      <c r="BJ1599" s="52"/>
      <c r="BK1599" s="35"/>
      <c r="BL1599" s="79"/>
      <c r="BM1599" s="230"/>
      <c r="BN1599" s="211"/>
      <c r="BO1599" s="164"/>
      <c r="BP1599" s="726"/>
      <c r="BQ1599" s="727"/>
      <c r="BR1599" s="299"/>
      <c r="BS1599" s="35"/>
      <c r="BT1599" s="596"/>
      <c r="BU1599" s="79"/>
      <c r="BV1599" s="212"/>
      <c r="BW1599" s="304"/>
      <c r="BX1599" s="313"/>
      <c r="BY1599" s="138"/>
    </row>
    <row r="1600" spans="1:77" ht="15" customHeight="1" outlineLevel="1" x14ac:dyDescent="0.2">
      <c r="A1600" s="583" t="s">
        <v>24</v>
      </c>
      <c r="B1600" s="583"/>
      <c r="C1600" s="583" t="s">
        <v>1675</v>
      </c>
      <c r="D1600" s="546">
        <v>2.2599999999999998</v>
      </c>
      <c r="E1600" s="162" t="s">
        <v>631</v>
      </c>
      <c r="F1600" s="358"/>
      <c r="G1600" s="65"/>
      <c r="H1600" s="73"/>
      <c r="I1600" s="90"/>
      <c r="J1600" s="73"/>
      <c r="K1600" s="66"/>
      <c r="L1600" s="717">
        <v>2011</v>
      </c>
      <c r="M1600" s="73"/>
      <c r="N1600" s="786">
        <v>7.4419999999999998E-3</v>
      </c>
      <c r="O1600" s="1041"/>
      <c r="P1600" s="73"/>
      <c r="Q1600" s="786"/>
      <c r="R1600" s="1041"/>
      <c r="S1600" s="73"/>
      <c r="T1600" s="786"/>
      <c r="U1600" s="73"/>
      <c r="V1600" s="66"/>
      <c r="W1600" s="808">
        <f t="shared" ref="W1600" si="1458">AA1600*(1+AB1600)</f>
        <v>5.5814999999999998E-6</v>
      </c>
      <c r="X1600" s="809">
        <f t="shared" ref="X1600" si="1459">AA1600*(1+AC1600)</f>
        <v>5.5814999999999998E-6</v>
      </c>
      <c r="Y1600" s="52">
        <v>2011</v>
      </c>
      <c r="Z1600" s="52"/>
      <c r="AA1600" s="807">
        <f>+N1600/1000</f>
        <v>7.4420000000000001E-6</v>
      </c>
      <c r="AB1600" s="256">
        <v>-0.25</v>
      </c>
      <c r="AC1600" s="688">
        <v>-0.25</v>
      </c>
      <c r="AD1600" s="164"/>
      <c r="AE1600" s="164"/>
      <c r="AF1600" s="25"/>
      <c r="AG1600" s="26"/>
      <c r="AH1600" s="275"/>
      <c r="AI1600" s="52"/>
      <c r="AJ1600" s="35"/>
      <c r="AK1600" s="289"/>
      <c r="AL1600" s="290"/>
      <c r="AM1600" s="211"/>
      <c r="AN1600" s="164"/>
      <c r="AO1600" s="594"/>
      <c r="AP1600" s="595"/>
      <c r="AQ1600" s="275"/>
      <c r="AR1600" s="52"/>
      <c r="AS1600" s="596"/>
      <c r="AT1600" s="79"/>
      <c r="AU1600" s="212"/>
      <c r="AV1600" s="164"/>
      <c r="AW1600" s="164"/>
      <c r="AX1600" s="76"/>
      <c r="AY1600" s="44"/>
      <c r="AZ1600" s="275"/>
      <c r="BA1600" s="52"/>
      <c r="BB1600" s="35"/>
      <c r="BC1600" s="79"/>
      <c r="BD1600" s="230"/>
      <c r="BE1600" s="211"/>
      <c r="BF1600" s="164"/>
      <c r="BG1600" s="76"/>
      <c r="BH1600" s="44"/>
      <c r="BI1600" s="275"/>
      <c r="BJ1600" s="52"/>
      <c r="BK1600" s="35"/>
      <c r="BL1600" s="79"/>
      <c r="BM1600" s="230"/>
      <c r="BN1600" s="211"/>
      <c r="BO1600" s="164"/>
      <c r="BP1600" s="726"/>
      <c r="BQ1600" s="727"/>
      <c r="BR1600" s="299"/>
      <c r="BS1600" s="35"/>
      <c r="BT1600" s="596"/>
      <c r="BU1600" s="79"/>
      <c r="BV1600" s="212"/>
      <c r="BW1600" s="304"/>
      <c r="BX1600" s="313"/>
      <c r="BY1600" s="138"/>
    </row>
    <row r="1601" spans="1:77" ht="15" customHeight="1" outlineLevel="1" x14ac:dyDescent="0.2">
      <c r="A1601" s="583" t="s">
        <v>24</v>
      </c>
      <c r="B1601" s="583"/>
      <c r="C1601" s="583" t="s">
        <v>1976</v>
      </c>
      <c r="D1601" s="546">
        <v>16.747</v>
      </c>
      <c r="E1601" s="162" t="s">
        <v>631</v>
      </c>
      <c r="F1601" s="358"/>
      <c r="G1601" s="65"/>
      <c r="H1601" s="73"/>
      <c r="I1601" s="90">
        <v>2000</v>
      </c>
      <c r="J1601" s="73"/>
      <c r="K1601" s="66">
        <v>5.9619999999999999E-2</v>
      </c>
      <c r="L1601" s="717"/>
      <c r="M1601" s="73"/>
      <c r="N1601" s="786"/>
      <c r="O1601" s="1041"/>
      <c r="P1601" s="73"/>
      <c r="Q1601" s="786"/>
      <c r="R1601" s="1041"/>
      <c r="S1601" s="73"/>
      <c r="T1601" s="786"/>
      <c r="U1601" s="73"/>
      <c r="V1601" s="66"/>
      <c r="W1601" s="808">
        <f t="shared" ref="W1601" si="1460">AA1601*(1+AB1601)</f>
        <v>4.3522600000000002E-5</v>
      </c>
      <c r="X1601" s="809">
        <f t="shared" ref="X1601" si="1461">AA1601*(1+AC1601)</f>
        <v>4.3522600000000002E-5</v>
      </c>
      <c r="Y1601" s="52">
        <v>2000</v>
      </c>
      <c r="Z1601" s="52"/>
      <c r="AA1601" s="807">
        <f>+K1601/1000</f>
        <v>5.9620000000000002E-5</v>
      </c>
      <c r="AB1601" s="256">
        <v>-0.27</v>
      </c>
      <c r="AC1601" s="688">
        <v>-0.27</v>
      </c>
      <c r="AD1601" s="164"/>
      <c r="AE1601" s="164"/>
      <c r="AF1601" s="25"/>
      <c r="AG1601" s="26"/>
      <c r="AH1601" s="275"/>
      <c r="AI1601" s="52"/>
      <c r="AJ1601" s="35"/>
      <c r="AK1601" s="289"/>
      <c r="AL1601" s="290"/>
      <c r="AM1601" s="211"/>
      <c r="AN1601" s="164"/>
      <c r="AO1601" s="594"/>
      <c r="AP1601" s="595"/>
      <c r="AQ1601" s="275"/>
      <c r="AR1601" s="52"/>
      <c r="AS1601" s="596"/>
      <c r="AT1601" s="79"/>
      <c r="AU1601" s="212"/>
      <c r="AV1601" s="164"/>
      <c r="AW1601" s="164"/>
      <c r="AX1601" s="76"/>
      <c r="AY1601" s="44"/>
      <c r="AZ1601" s="275"/>
      <c r="BA1601" s="52"/>
      <c r="BB1601" s="35"/>
      <c r="BC1601" s="79"/>
      <c r="BD1601" s="230"/>
      <c r="BE1601" s="211"/>
      <c r="BF1601" s="164"/>
      <c r="BG1601" s="76"/>
      <c r="BH1601" s="44"/>
      <c r="BI1601" s="275"/>
      <c r="BJ1601" s="52"/>
      <c r="BK1601" s="35"/>
      <c r="BL1601" s="79"/>
      <c r="BM1601" s="230"/>
      <c r="BN1601" s="211"/>
      <c r="BO1601" s="164"/>
      <c r="BP1601" s="726"/>
      <c r="BQ1601" s="727"/>
      <c r="BR1601" s="299"/>
      <c r="BS1601" s="35"/>
      <c r="BT1601" s="596"/>
      <c r="BU1601" s="79"/>
      <c r="BV1601" s="212"/>
      <c r="BW1601" s="304"/>
      <c r="BX1601" s="313"/>
      <c r="BY1601" s="138"/>
    </row>
    <row r="1602" spans="1:77" ht="15" customHeight="1" outlineLevel="1" x14ac:dyDescent="0.2">
      <c r="A1602" s="583" t="s">
        <v>24</v>
      </c>
      <c r="B1602" s="583"/>
      <c r="C1602" s="583" t="s">
        <v>1741</v>
      </c>
      <c r="D1602" s="546">
        <v>3.0059999999999998</v>
      </c>
      <c r="E1602" s="162" t="s">
        <v>631</v>
      </c>
      <c r="F1602" s="358"/>
      <c r="G1602" s="65"/>
      <c r="H1602" s="73"/>
      <c r="I1602" s="90"/>
      <c r="J1602" s="73"/>
      <c r="K1602" s="790">
        <v>2.0327000000000001E-2</v>
      </c>
      <c r="L1602" s="717"/>
      <c r="M1602" s="73"/>
      <c r="N1602" s="786"/>
      <c r="O1602" s="1041"/>
      <c r="P1602" s="73"/>
      <c r="Q1602" s="786"/>
      <c r="R1602" s="1041"/>
      <c r="S1602" s="73"/>
      <c r="T1602" s="786"/>
      <c r="U1602" s="73"/>
      <c r="V1602" s="66"/>
      <c r="W1602" s="788">
        <f>AA1602*(1+AB1602)</f>
        <v>1.5245250000000001E-5</v>
      </c>
      <c r="X1602" s="789">
        <f>AA1602*(1+AC1602)</f>
        <v>1.5245250000000001E-5</v>
      </c>
      <c r="Y1602" s="52">
        <v>2005</v>
      </c>
      <c r="Z1602" s="52"/>
      <c r="AA1602" s="787">
        <f>+K1602/1000</f>
        <v>2.0327E-5</v>
      </c>
      <c r="AB1602" s="256">
        <v>-0.25</v>
      </c>
      <c r="AC1602" s="688">
        <v>-0.25</v>
      </c>
      <c r="AD1602" s="164"/>
      <c r="AE1602" s="164"/>
      <c r="AF1602" s="25"/>
      <c r="AG1602" s="26"/>
      <c r="AH1602" s="275"/>
      <c r="AI1602" s="52"/>
      <c r="AJ1602" s="35"/>
      <c r="AK1602" s="289"/>
      <c r="AL1602" s="290"/>
      <c r="AM1602" s="211"/>
      <c r="AN1602" s="164"/>
      <c r="AO1602" s="594"/>
      <c r="AP1602" s="595"/>
      <c r="AQ1602" s="275"/>
      <c r="AR1602" s="52"/>
      <c r="AS1602" s="596"/>
      <c r="AT1602" s="79"/>
      <c r="AU1602" s="212"/>
      <c r="AV1602" s="164"/>
      <c r="AW1602" s="164"/>
      <c r="AX1602" s="76"/>
      <c r="AY1602" s="44"/>
      <c r="AZ1602" s="275"/>
      <c r="BA1602" s="52"/>
      <c r="BB1602" s="35"/>
      <c r="BC1602" s="79"/>
      <c r="BD1602" s="230"/>
      <c r="BE1602" s="211"/>
      <c r="BF1602" s="164"/>
      <c r="BG1602" s="76"/>
      <c r="BH1602" s="44"/>
      <c r="BI1602" s="275"/>
      <c r="BJ1602" s="52"/>
      <c r="BK1602" s="35"/>
      <c r="BL1602" s="79"/>
      <c r="BM1602" s="230"/>
      <c r="BN1602" s="211"/>
      <c r="BO1602" s="164"/>
      <c r="BP1602" s="726"/>
      <c r="BQ1602" s="727"/>
      <c r="BR1602" s="299"/>
      <c r="BS1602" s="35"/>
      <c r="BT1602" s="596"/>
      <c r="BU1602" s="79"/>
      <c r="BV1602" s="212"/>
      <c r="BW1602" s="304"/>
      <c r="BX1602" s="313"/>
      <c r="BY1602" s="138"/>
    </row>
    <row r="1603" spans="1:77" ht="15" customHeight="1" outlineLevel="1" x14ac:dyDescent="0.2">
      <c r="A1603" s="583" t="s">
        <v>24</v>
      </c>
      <c r="B1603" s="583"/>
      <c r="C1603" s="583" t="s">
        <v>1873</v>
      </c>
      <c r="D1603" s="546">
        <v>1.343</v>
      </c>
      <c r="E1603" s="162" t="s">
        <v>631</v>
      </c>
      <c r="F1603" s="358"/>
      <c r="G1603" s="65"/>
      <c r="H1603" s="73"/>
      <c r="I1603" s="90"/>
      <c r="J1603" s="73"/>
      <c r="K1603" s="790">
        <v>3.6350000000000002E-3</v>
      </c>
      <c r="L1603" s="717"/>
      <c r="M1603" s="73"/>
      <c r="N1603" s="786"/>
      <c r="O1603" s="1041"/>
      <c r="P1603" s="73"/>
      <c r="Q1603" s="786"/>
      <c r="R1603" s="1041"/>
      <c r="S1603" s="73"/>
      <c r="T1603" s="786"/>
      <c r="U1603" s="73"/>
      <c r="V1603" s="66"/>
      <c r="W1603" s="808">
        <f>AA1603*(1+AB1603)</f>
        <v>2.6899000000000003E-6</v>
      </c>
      <c r="X1603" s="809">
        <f>AA1603*(1+AC1603)</f>
        <v>2.6899000000000003E-6</v>
      </c>
      <c r="Y1603" s="52">
        <v>2005</v>
      </c>
      <c r="Z1603" s="52"/>
      <c r="AA1603" s="807">
        <f>+K1603/1000</f>
        <v>3.6350000000000003E-6</v>
      </c>
      <c r="AB1603" s="256">
        <v>-0.26</v>
      </c>
      <c r="AC1603" s="688">
        <v>-0.26</v>
      </c>
      <c r="AD1603" s="164"/>
      <c r="AE1603" s="164"/>
      <c r="AF1603" s="25"/>
      <c r="AG1603" s="26"/>
      <c r="AH1603" s="275"/>
      <c r="AI1603" s="52"/>
      <c r="AJ1603" s="35"/>
      <c r="AK1603" s="289"/>
      <c r="AL1603" s="290"/>
      <c r="AM1603" s="211"/>
      <c r="AN1603" s="164"/>
      <c r="AO1603" s="594"/>
      <c r="AP1603" s="595"/>
      <c r="AQ1603" s="275"/>
      <c r="AR1603" s="52"/>
      <c r="AS1603" s="596"/>
      <c r="AT1603" s="79"/>
      <c r="AU1603" s="212"/>
      <c r="AV1603" s="164"/>
      <c r="AW1603" s="164"/>
      <c r="AX1603" s="76"/>
      <c r="AY1603" s="44"/>
      <c r="AZ1603" s="275"/>
      <c r="BA1603" s="52"/>
      <c r="BB1603" s="35"/>
      <c r="BC1603" s="79"/>
      <c r="BD1603" s="230"/>
      <c r="BE1603" s="211"/>
      <c r="BF1603" s="164"/>
      <c r="BG1603" s="76"/>
      <c r="BH1603" s="44"/>
      <c r="BI1603" s="275"/>
      <c r="BJ1603" s="52"/>
      <c r="BK1603" s="35"/>
      <c r="BL1603" s="79"/>
      <c r="BM1603" s="230"/>
      <c r="BN1603" s="211"/>
      <c r="BO1603" s="164"/>
      <c r="BP1603" s="726"/>
      <c r="BQ1603" s="727"/>
      <c r="BR1603" s="299"/>
      <c r="BS1603" s="35"/>
      <c r="BT1603" s="596"/>
      <c r="BU1603" s="79"/>
      <c r="BV1603" s="212"/>
      <c r="BW1603" s="304"/>
      <c r="BX1603" s="313"/>
      <c r="BY1603" s="138"/>
    </row>
    <row r="1604" spans="1:77" ht="15" customHeight="1" outlineLevel="1" x14ac:dyDescent="0.2">
      <c r="A1604" s="583" t="s">
        <v>24</v>
      </c>
      <c r="B1604" s="583"/>
      <c r="C1604" s="583" t="s">
        <v>1796</v>
      </c>
      <c r="D1604" s="546">
        <v>3.8620000000000001</v>
      </c>
      <c r="E1604" s="162" t="s">
        <v>631</v>
      </c>
      <c r="F1604" s="358"/>
      <c r="G1604" s="65"/>
      <c r="H1604" s="73"/>
      <c r="I1604" s="90"/>
      <c r="J1604" s="73"/>
      <c r="K1604" s="790"/>
      <c r="L1604" s="717">
        <v>2008</v>
      </c>
      <c r="M1604" s="73"/>
      <c r="N1604" s="786">
        <v>1.0663000000000001E-2</v>
      </c>
      <c r="O1604" s="1041"/>
      <c r="P1604" s="73"/>
      <c r="Q1604" s="786"/>
      <c r="R1604" s="1041"/>
      <c r="S1604" s="73"/>
      <c r="T1604" s="786"/>
      <c r="U1604" s="73"/>
      <c r="V1604" s="66"/>
      <c r="W1604" s="788">
        <f t="shared" ref="W1604" si="1462">AA1604*(1+AB1604)</f>
        <v>7.9972500000000004E-6</v>
      </c>
      <c r="X1604" s="789">
        <f t="shared" ref="X1604" si="1463">AA1604*(1+AC1604)</f>
        <v>7.9972500000000004E-6</v>
      </c>
      <c r="Y1604" s="52">
        <v>2008</v>
      </c>
      <c r="Z1604" s="52"/>
      <c r="AA1604" s="787">
        <f>+N1604/1000</f>
        <v>1.0663000000000001E-5</v>
      </c>
      <c r="AB1604" s="256">
        <v>-0.25</v>
      </c>
      <c r="AC1604" s="688">
        <v>-0.25</v>
      </c>
      <c r="AD1604" s="164"/>
      <c r="AE1604" s="164"/>
      <c r="AF1604" s="25"/>
      <c r="AG1604" s="26"/>
      <c r="AH1604" s="275"/>
      <c r="AI1604" s="52"/>
      <c r="AJ1604" s="35"/>
      <c r="AK1604" s="289"/>
      <c r="AL1604" s="290"/>
      <c r="AM1604" s="211"/>
      <c r="AN1604" s="164"/>
      <c r="AO1604" s="594"/>
      <c r="AP1604" s="595"/>
      <c r="AQ1604" s="275"/>
      <c r="AR1604" s="52"/>
      <c r="AS1604" s="596"/>
      <c r="AT1604" s="79"/>
      <c r="AU1604" s="212"/>
      <c r="AV1604" s="164"/>
      <c r="AW1604" s="164"/>
      <c r="AX1604" s="76"/>
      <c r="AY1604" s="44"/>
      <c r="AZ1604" s="275"/>
      <c r="BA1604" s="52"/>
      <c r="BB1604" s="35"/>
      <c r="BC1604" s="79"/>
      <c r="BD1604" s="230"/>
      <c r="BE1604" s="211"/>
      <c r="BF1604" s="164"/>
      <c r="BG1604" s="76"/>
      <c r="BH1604" s="44"/>
      <c r="BI1604" s="275"/>
      <c r="BJ1604" s="52"/>
      <c r="BK1604" s="35"/>
      <c r="BL1604" s="79"/>
      <c r="BM1604" s="230"/>
      <c r="BN1604" s="211"/>
      <c r="BO1604" s="164"/>
      <c r="BP1604" s="726"/>
      <c r="BQ1604" s="727"/>
      <c r="BR1604" s="299"/>
      <c r="BS1604" s="35"/>
      <c r="BT1604" s="596"/>
      <c r="BU1604" s="79"/>
      <c r="BV1604" s="212"/>
      <c r="BW1604" s="304"/>
      <c r="BX1604" s="313"/>
      <c r="BY1604" s="138"/>
    </row>
    <row r="1605" spans="1:77" ht="15" customHeight="1" outlineLevel="1" x14ac:dyDescent="0.2">
      <c r="A1605" s="583" t="s">
        <v>24</v>
      </c>
      <c r="B1605" s="583"/>
      <c r="C1605" s="583" t="s">
        <v>2400</v>
      </c>
      <c r="D1605" s="546">
        <v>2.0550000000000002</v>
      </c>
      <c r="E1605" s="162" t="s">
        <v>631</v>
      </c>
      <c r="F1605" s="358"/>
      <c r="G1605" s="65"/>
      <c r="H1605" s="73"/>
      <c r="I1605" s="90"/>
      <c r="J1605" s="73"/>
      <c r="K1605" s="790"/>
      <c r="L1605" s="717">
        <v>2008</v>
      </c>
      <c r="M1605" s="73"/>
      <c r="N1605" s="786">
        <v>1.4233000000000001E-2</v>
      </c>
      <c r="O1605" s="1041"/>
      <c r="P1605" s="73"/>
      <c r="Q1605" s="786"/>
      <c r="R1605" s="1041"/>
      <c r="S1605" s="73"/>
      <c r="T1605" s="786"/>
      <c r="U1605" s="73"/>
      <c r="V1605" s="66"/>
      <c r="W1605" s="788">
        <f t="shared" ref="W1605" si="1464">AA1605*(1+AB1605)</f>
        <v>8.9667900000000013E-6</v>
      </c>
      <c r="X1605" s="789">
        <f t="shared" ref="X1605" si="1465">AA1605*(1+AC1605)</f>
        <v>8.9667900000000013E-6</v>
      </c>
      <c r="Y1605" s="52">
        <v>2008</v>
      </c>
      <c r="Z1605" s="52"/>
      <c r="AA1605" s="787">
        <f>+N1605/1000</f>
        <v>1.4233000000000001E-5</v>
      </c>
      <c r="AB1605" s="256">
        <v>-0.37</v>
      </c>
      <c r="AC1605" s="688">
        <f>AB1605</f>
        <v>-0.37</v>
      </c>
      <c r="AD1605" s="164"/>
      <c r="AE1605" s="164"/>
      <c r="AF1605" s="25"/>
      <c r="AG1605" s="26"/>
      <c r="AH1605" s="275"/>
      <c r="AI1605" s="52"/>
      <c r="AJ1605" s="35"/>
      <c r="AK1605" s="289"/>
      <c r="AL1605" s="290"/>
      <c r="AM1605" s="211"/>
      <c r="AN1605" s="164"/>
      <c r="AO1605" s="594"/>
      <c r="AP1605" s="595"/>
      <c r="AQ1605" s="275"/>
      <c r="AR1605" s="52"/>
      <c r="AS1605" s="596"/>
      <c r="AT1605" s="79"/>
      <c r="AU1605" s="212"/>
      <c r="AV1605" s="164"/>
      <c r="AW1605" s="164"/>
      <c r="AX1605" s="76"/>
      <c r="AY1605" s="44"/>
      <c r="AZ1605" s="275"/>
      <c r="BA1605" s="52"/>
      <c r="BB1605" s="35"/>
      <c r="BC1605" s="79"/>
      <c r="BD1605" s="230"/>
      <c r="BE1605" s="211"/>
      <c r="BF1605" s="164"/>
      <c r="BG1605" s="76"/>
      <c r="BH1605" s="44"/>
      <c r="BI1605" s="275"/>
      <c r="BJ1605" s="52"/>
      <c r="BK1605" s="35"/>
      <c r="BL1605" s="79"/>
      <c r="BM1605" s="230"/>
      <c r="BN1605" s="211"/>
      <c r="BO1605" s="164"/>
      <c r="BP1605" s="726"/>
      <c r="BQ1605" s="727"/>
      <c r="BR1605" s="299"/>
      <c r="BS1605" s="35"/>
      <c r="BT1605" s="596"/>
      <c r="BU1605" s="79"/>
      <c r="BV1605" s="212"/>
      <c r="BW1605" s="304"/>
      <c r="BX1605" s="313"/>
      <c r="BY1605" s="138"/>
    </row>
    <row r="1606" spans="1:77" ht="15" customHeight="1" outlineLevel="1" x14ac:dyDescent="0.2">
      <c r="A1606" s="57" t="s">
        <v>24</v>
      </c>
      <c r="B1606" s="583"/>
      <c r="C1606" s="583" t="s">
        <v>1586</v>
      </c>
      <c r="D1606" s="546">
        <v>6.8209999999999997</v>
      </c>
      <c r="E1606" s="162" t="s">
        <v>631</v>
      </c>
      <c r="F1606" s="358"/>
      <c r="G1606" s="65"/>
      <c r="H1606" s="73"/>
      <c r="I1606" s="90"/>
      <c r="J1606" s="73"/>
      <c r="K1606" s="734"/>
      <c r="L1606" s="717">
        <v>2011</v>
      </c>
      <c r="M1606" s="73"/>
      <c r="N1606" s="738">
        <v>5.4962999999999998E-2</v>
      </c>
      <c r="O1606" s="1041"/>
      <c r="P1606" s="73"/>
      <c r="Q1606" s="738"/>
      <c r="R1606" s="1041"/>
      <c r="S1606" s="73"/>
      <c r="T1606" s="738"/>
      <c r="U1606" s="73"/>
      <c r="V1606" s="66"/>
      <c r="W1606" s="740">
        <f t="shared" si="1420"/>
        <v>3.6825209999999995E-5</v>
      </c>
      <c r="X1606" s="741">
        <f t="shared" si="1421"/>
        <v>3.6825209999999995E-5</v>
      </c>
      <c r="Y1606" s="52">
        <v>2011</v>
      </c>
      <c r="Z1606" s="52"/>
      <c r="AA1606" s="739">
        <f>+N1606/1000</f>
        <v>5.4962999999999995E-5</v>
      </c>
      <c r="AB1606" s="256">
        <v>-0.33</v>
      </c>
      <c r="AC1606" s="688">
        <f t="shared" ref="AC1606:AC1655" si="1466">AB1606</f>
        <v>-0.33</v>
      </c>
      <c r="AD1606" s="164"/>
      <c r="AE1606" s="164"/>
      <c r="AF1606" s="25"/>
      <c r="AG1606" s="26"/>
      <c r="AH1606" s="275"/>
      <c r="AI1606" s="52"/>
      <c r="AJ1606" s="35"/>
      <c r="AK1606" s="289"/>
      <c r="AL1606" s="290"/>
      <c r="AM1606" s="211"/>
      <c r="AN1606" s="164"/>
      <c r="AO1606" s="594"/>
      <c r="AP1606" s="595"/>
      <c r="AQ1606" s="275"/>
      <c r="AR1606" s="52"/>
      <c r="AS1606" s="596"/>
      <c r="AT1606" s="79"/>
      <c r="AU1606" s="212"/>
      <c r="AV1606" s="164"/>
      <c r="AW1606" s="164"/>
      <c r="AX1606" s="76"/>
      <c r="AY1606" s="44"/>
      <c r="AZ1606" s="275"/>
      <c r="BA1606" s="52"/>
      <c r="BB1606" s="35"/>
      <c r="BC1606" s="79"/>
      <c r="BD1606" s="230"/>
      <c r="BE1606" s="211"/>
      <c r="BF1606" s="164"/>
      <c r="BG1606" s="76"/>
      <c r="BH1606" s="44"/>
      <c r="BI1606" s="275"/>
      <c r="BJ1606" s="52"/>
      <c r="BK1606" s="35"/>
      <c r="BL1606" s="79"/>
      <c r="BM1606" s="230"/>
      <c r="BN1606" s="211"/>
      <c r="BO1606" s="164"/>
      <c r="BP1606" s="726"/>
      <c r="BQ1606" s="727"/>
      <c r="BR1606" s="299"/>
      <c r="BS1606" s="35"/>
      <c r="BT1606" s="596"/>
      <c r="BU1606" s="79"/>
      <c r="BV1606" s="212"/>
      <c r="BW1606" s="304"/>
      <c r="BX1606" s="313"/>
      <c r="BY1606" s="138"/>
    </row>
    <row r="1607" spans="1:77" ht="15" customHeight="1" outlineLevel="1" x14ac:dyDescent="0.2">
      <c r="A1607" s="57" t="s">
        <v>24</v>
      </c>
      <c r="B1607" s="583"/>
      <c r="C1607" s="583" t="s">
        <v>1536</v>
      </c>
      <c r="D1607" s="818">
        <v>0.20499999999999999</v>
      </c>
      <c r="E1607" s="162" t="s">
        <v>631</v>
      </c>
      <c r="F1607" s="358"/>
      <c r="G1607" s="65"/>
      <c r="H1607" s="73"/>
      <c r="I1607" s="90">
        <v>2004</v>
      </c>
      <c r="J1607" s="73"/>
      <c r="K1607" s="814">
        <v>1.591E-3</v>
      </c>
      <c r="L1607" s="717"/>
      <c r="M1607" s="73"/>
      <c r="N1607" s="359"/>
      <c r="O1607" s="1041"/>
      <c r="P1607" s="73"/>
      <c r="Q1607" s="359"/>
      <c r="R1607" s="1041"/>
      <c r="S1607" s="73"/>
      <c r="T1607" s="359"/>
      <c r="U1607" s="73"/>
      <c r="V1607" s="66"/>
      <c r="W1607" s="788">
        <f t="shared" si="1420"/>
        <v>1.0818799999999998E-6</v>
      </c>
      <c r="X1607" s="789">
        <f t="shared" si="1421"/>
        <v>1.0818799999999998E-6</v>
      </c>
      <c r="Y1607" s="52">
        <v>2004</v>
      </c>
      <c r="Z1607" s="52"/>
      <c r="AA1607" s="787">
        <f>+K1607/1000</f>
        <v>1.5909999999999999E-6</v>
      </c>
      <c r="AB1607" s="256">
        <v>-0.32</v>
      </c>
      <c r="AC1607" s="688">
        <f t="shared" si="1466"/>
        <v>-0.32</v>
      </c>
      <c r="AD1607" s="164"/>
      <c r="AE1607" s="164"/>
      <c r="AF1607" s="25"/>
      <c r="AG1607" s="26"/>
      <c r="AH1607" s="275"/>
      <c r="AI1607" s="52"/>
      <c r="AJ1607" s="35"/>
      <c r="AK1607" s="289"/>
      <c r="AL1607" s="290"/>
      <c r="AM1607" s="211"/>
      <c r="AN1607" s="164"/>
      <c r="AO1607" s="594"/>
      <c r="AP1607" s="595"/>
      <c r="AQ1607" s="275"/>
      <c r="AR1607" s="52"/>
      <c r="AS1607" s="596"/>
      <c r="AT1607" s="79"/>
      <c r="AU1607" s="212"/>
      <c r="AV1607" s="164"/>
      <c r="AW1607" s="164"/>
      <c r="AX1607" s="76"/>
      <c r="AY1607" s="44"/>
      <c r="AZ1607" s="275"/>
      <c r="BA1607" s="52"/>
      <c r="BB1607" s="35"/>
      <c r="BC1607" s="79"/>
      <c r="BD1607" s="230"/>
      <c r="BE1607" s="211"/>
      <c r="BF1607" s="164"/>
      <c r="BG1607" s="76"/>
      <c r="BH1607" s="44"/>
      <c r="BI1607" s="275"/>
      <c r="BJ1607" s="52"/>
      <c r="BK1607" s="35"/>
      <c r="BL1607" s="79"/>
      <c r="BM1607" s="230"/>
      <c r="BN1607" s="211"/>
      <c r="BO1607" s="164"/>
      <c r="BP1607" s="726"/>
      <c r="BQ1607" s="727"/>
      <c r="BR1607" s="299"/>
      <c r="BS1607" s="35"/>
      <c r="BT1607" s="596"/>
      <c r="BU1607" s="79"/>
      <c r="BV1607" s="212"/>
      <c r="BW1607" s="304"/>
      <c r="BX1607" s="313"/>
      <c r="BY1607" s="138"/>
    </row>
    <row r="1608" spans="1:77" ht="15" customHeight="1" outlineLevel="1" x14ac:dyDescent="0.2">
      <c r="A1608" s="57" t="s">
        <v>24</v>
      </c>
      <c r="B1608" s="583"/>
      <c r="C1608" s="583" t="s">
        <v>1489</v>
      </c>
      <c r="D1608" s="546">
        <v>37.869999999999997</v>
      </c>
      <c r="E1608" s="162" t="s">
        <v>631</v>
      </c>
      <c r="F1608" s="358"/>
      <c r="G1608" s="65"/>
      <c r="H1608" s="73"/>
      <c r="I1608" s="90">
        <v>2000</v>
      </c>
      <c r="J1608" s="73"/>
      <c r="K1608" s="723">
        <v>0.16744000000000001</v>
      </c>
      <c r="L1608" s="717"/>
      <c r="M1608" s="73"/>
      <c r="N1608" s="359"/>
      <c r="O1608" s="1041"/>
      <c r="P1608" s="73"/>
      <c r="Q1608" s="359"/>
      <c r="R1608" s="1041"/>
      <c r="S1608" s="73"/>
      <c r="T1608" s="359"/>
      <c r="U1608" s="73"/>
      <c r="V1608" s="66"/>
      <c r="W1608" s="740">
        <f t="shared" si="1420"/>
        <v>1.121848E-4</v>
      </c>
      <c r="X1608" s="741">
        <f t="shared" si="1421"/>
        <v>1.121848E-4</v>
      </c>
      <c r="Y1608" s="52">
        <v>2000</v>
      </c>
      <c r="Z1608" s="52"/>
      <c r="AA1608" s="596">
        <f>+K1608/1000</f>
        <v>1.6744000000000001E-4</v>
      </c>
      <c r="AB1608" s="256">
        <v>-0.33</v>
      </c>
      <c r="AC1608" s="688">
        <f t="shared" si="1466"/>
        <v>-0.33</v>
      </c>
      <c r="AD1608" s="164"/>
      <c r="AE1608" s="164"/>
      <c r="AF1608" s="25"/>
      <c r="AG1608" s="26"/>
      <c r="AH1608" s="275"/>
      <c r="AI1608" s="52"/>
      <c r="AJ1608" s="35"/>
      <c r="AK1608" s="289"/>
      <c r="AL1608" s="290"/>
      <c r="AM1608" s="211"/>
      <c r="AN1608" s="164"/>
      <c r="AO1608" s="594"/>
      <c r="AP1608" s="595"/>
      <c r="AQ1608" s="275"/>
      <c r="AR1608" s="52"/>
      <c r="AS1608" s="596"/>
      <c r="AT1608" s="79"/>
      <c r="AU1608" s="212"/>
      <c r="AV1608" s="164"/>
      <c r="AW1608" s="164"/>
      <c r="AX1608" s="76"/>
      <c r="AY1608" s="44"/>
      <c r="AZ1608" s="275"/>
      <c r="BA1608" s="52"/>
      <c r="BB1608" s="35"/>
      <c r="BC1608" s="79"/>
      <c r="BD1608" s="230"/>
      <c r="BE1608" s="211"/>
      <c r="BF1608" s="164"/>
      <c r="BG1608" s="76"/>
      <c r="BH1608" s="44"/>
      <c r="BI1608" s="275"/>
      <c r="BJ1608" s="52"/>
      <c r="BK1608" s="35"/>
      <c r="BL1608" s="79"/>
      <c r="BM1608" s="230"/>
      <c r="BN1608" s="211"/>
      <c r="BO1608" s="164"/>
      <c r="BP1608" s="726"/>
      <c r="BQ1608" s="727"/>
      <c r="BR1608" s="299"/>
      <c r="BS1608" s="35"/>
      <c r="BT1608" s="596"/>
      <c r="BU1608" s="79"/>
      <c r="BV1608" s="212"/>
      <c r="BW1608" s="304"/>
      <c r="BX1608" s="313"/>
      <c r="BY1608" s="138"/>
    </row>
    <row r="1609" spans="1:77" ht="15" customHeight="1" outlineLevel="1" x14ac:dyDescent="0.2">
      <c r="A1609" s="57" t="s">
        <v>24</v>
      </c>
      <c r="B1609" s="583"/>
      <c r="C1609" s="583" t="s">
        <v>1420</v>
      </c>
      <c r="D1609" s="546">
        <v>5.9429999999999996</v>
      </c>
      <c r="E1609" s="162" t="s">
        <v>631</v>
      </c>
      <c r="F1609" s="358"/>
      <c r="G1609" s="65"/>
      <c r="H1609" s="73"/>
      <c r="I1609" s="90">
        <v>2007</v>
      </c>
      <c r="J1609" s="73"/>
      <c r="K1609" s="734">
        <v>1.1849999999999999E-2</v>
      </c>
      <c r="L1609" s="717"/>
      <c r="M1609" s="73"/>
      <c r="N1609" s="359"/>
      <c r="O1609" s="1041"/>
      <c r="P1609" s="73"/>
      <c r="Q1609" s="359"/>
      <c r="R1609" s="1041"/>
      <c r="S1609" s="73"/>
      <c r="T1609" s="359"/>
      <c r="U1609" s="73"/>
      <c r="V1609" s="66"/>
      <c r="W1609" s="788">
        <f t="shared" si="1420"/>
        <v>5.8065000000000002E-6</v>
      </c>
      <c r="X1609" s="789">
        <f t="shared" si="1421"/>
        <v>5.8065000000000002E-6</v>
      </c>
      <c r="Y1609" s="52">
        <v>2007</v>
      </c>
      <c r="Z1609" s="52"/>
      <c r="AA1609" s="787">
        <f>+K1609/1000</f>
        <v>1.185E-5</v>
      </c>
      <c r="AB1609" s="256">
        <v>-0.51</v>
      </c>
      <c r="AC1609" s="688">
        <f t="shared" si="1466"/>
        <v>-0.51</v>
      </c>
      <c r="AD1609" s="164"/>
      <c r="AE1609" s="164"/>
      <c r="AF1609" s="25"/>
      <c r="AG1609" s="26"/>
      <c r="AH1609" s="275"/>
      <c r="AI1609" s="52"/>
      <c r="AJ1609" s="35"/>
      <c r="AK1609" s="289"/>
      <c r="AL1609" s="290"/>
      <c r="AM1609" s="211"/>
      <c r="AN1609" s="164"/>
      <c r="AO1609" s="594"/>
      <c r="AP1609" s="595"/>
      <c r="AQ1609" s="275"/>
      <c r="AR1609" s="52"/>
      <c r="AS1609" s="596"/>
      <c r="AT1609" s="79"/>
      <c r="AU1609" s="212"/>
      <c r="AV1609" s="164"/>
      <c r="AW1609" s="164"/>
      <c r="AX1609" s="76"/>
      <c r="AY1609" s="44"/>
      <c r="AZ1609" s="275"/>
      <c r="BA1609" s="52"/>
      <c r="BB1609" s="35"/>
      <c r="BC1609" s="79"/>
      <c r="BD1609" s="230"/>
      <c r="BE1609" s="211"/>
      <c r="BF1609" s="164"/>
      <c r="BG1609" s="76"/>
      <c r="BH1609" s="44"/>
      <c r="BI1609" s="275"/>
      <c r="BJ1609" s="52"/>
      <c r="BK1609" s="35"/>
      <c r="BL1609" s="79"/>
      <c r="BM1609" s="230"/>
      <c r="BN1609" s="211"/>
      <c r="BO1609" s="164"/>
      <c r="BP1609" s="726"/>
      <c r="BQ1609" s="727"/>
      <c r="BR1609" s="299"/>
      <c r="BS1609" s="35"/>
      <c r="BT1609" s="596"/>
      <c r="BU1609" s="79"/>
      <c r="BV1609" s="212"/>
      <c r="BW1609" s="304"/>
      <c r="BX1609" s="313"/>
      <c r="BY1609" s="138"/>
    </row>
    <row r="1610" spans="1:77" ht="15" customHeight="1" outlineLevel="1" x14ac:dyDescent="0.2">
      <c r="A1610" s="583" t="s">
        <v>24</v>
      </c>
      <c r="B1610" s="583"/>
      <c r="C1610" s="583" t="s">
        <v>1678</v>
      </c>
      <c r="D1610" s="546">
        <v>1.8460000000000001</v>
      </c>
      <c r="E1610" s="162" t="s">
        <v>631</v>
      </c>
      <c r="F1610" s="358"/>
      <c r="G1610" s="65"/>
      <c r="H1610" s="73"/>
      <c r="I1610" s="90"/>
      <c r="J1610" s="73"/>
      <c r="K1610" s="734"/>
      <c r="L1610" s="717">
        <v>2011</v>
      </c>
      <c r="M1610" s="73"/>
      <c r="N1610" s="786">
        <v>1.531E-3</v>
      </c>
      <c r="O1610" s="1041"/>
      <c r="P1610" s="73"/>
      <c r="Q1610" s="786"/>
      <c r="R1610" s="1041"/>
      <c r="S1610" s="73"/>
      <c r="T1610" s="786"/>
      <c r="U1610" s="73"/>
      <c r="V1610" s="66"/>
      <c r="W1610" s="808">
        <f t="shared" ref="W1610" si="1467">AA1610*(1+AB1610)</f>
        <v>1.14825E-6</v>
      </c>
      <c r="X1610" s="809">
        <f t="shared" ref="X1610" si="1468">AA1610*(1+AC1610)</f>
        <v>1.14825E-6</v>
      </c>
      <c r="Y1610" s="52">
        <v>2011</v>
      </c>
      <c r="Z1610" s="52"/>
      <c r="AA1610" s="807">
        <f t="shared" ref="AA1610:AA1619" si="1469">+N1610/1000</f>
        <v>1.531E-6</v>
      </c>
      <c r="AB1610" s="256">
        <v>-0.25</v>
      </c>
      <c r="AC1610" s="688">
        <f t="shared" si="1466"/>
        <v>-0.25</v>
      </c>
      <c r="AD1610" s="164"/>
      <c r="AE1610" s="164"/>
      <c r="AF1610" s="25"/>
      <c r="AG1610" s="26"/>
      <c r="AH1610" s="275"/>
      <c r="AI1610" s="52"/>
      <c r="AJ1610" s="35"/>
      <c r="AK1610" s="289"/>
      <c r="AL1610" s="290"/>
      <c r="AM1610" s="211"/>
      <c r="AN1610" s="164"/>
      <c r="AO1610" s="594"/>
      <c r="AP1610" s="595"/>
      <c r="AQ1610" s="275"/>
      <c r="AR1610" s="52"/>
      <c r="AS1610" s="596"/>
      <c r="AT1610" s="79"/>
      <c r="AU1610" s="212"/>
      <c r="AV1610" s="164"/>
      <c r="AW1610" s="164"/>
      <c r="AX1610" s="76"/>
      <c r="AY1610" s="44"/>
      <c r="AZ1610" s="275"/>
      <c r="BA1610" s="52"/>
      <c r="BB1610" s="35"/>
      <c r="BC1610" s="79"/>
      <c r="BD1610" s="230"/>
      <c r="BE1610" s="211"/>
      <c r="BF1610" s="164"/>
      <c r="BG1610" s="76"/>
      <c r="BH1610" s="44"/>
      <c r="BI1610" s="275"/>
      <c r="BJ1610" s="52"/>
      <c r="BK1610" s="35"/>
      <c r="BL1610" s="79"/>
      <c r="BM1610" s="230"/>
      <c r="BN1610" s="211"/>
      <c r="BO1610" s="164"/>
      <c r="BP1610" s="726"/>
      <c r="BQ1610" s="727"/>
      <c r="BR1610" s="299"/>
      <c r="BS1610" s="35"/>
      <c r="BT1610" s="596"/>
      <c r="BU1610" s="79"/>
      <c r="BV1610" s="212"/>
      <c r="BW1610" s="304"/>
      <c r="BX1610" s="313"/>
      <c r="BY1610" s="138"/>
    </row>
    <row r="1611" spans="1:77" ht="15" customHeight="1" outlineLevel="1" x14ac:dyDescent="0.2">
      <c r="A1611" s="583" t="s">
        <v>24</v>
      </c>
      <c r="B1611" s="583"/>
      <c r="C1611" s="583" t="s">
        <v>1883</v>
      </c>
      <c r="D1611" s="546">
        <v>0.44600000000000001</v>
      </c>
      <c r="E1611" s="162" t="s">
        <v>631</v>
      </c>
      <c r="F1611" s="358"/>
      <c r="G1611" s="65"/>
      <c r="H1611" s="73"/>
      <c r="I1611" s="90"/>
      <c r="J1611" s="73"/>
      <c r="K1611" s="734">
        <v>1.415E-3</v>
      </c>
      <c r="L1611" s="717"/>
      <c r="M1611" s="73"/>
      <c r="N1611" s="786"/>
      <c r="O1611" s="1041"/>
      <c r="P1611" s="73"/>
      <c r="Q1611" s="786"/>
      <c r="R1611" s="1041"/>
      <c r="S1611" s="73"/>
      <c r="T1611" s="786"/>
      <c r="U1611" s="73"/>
      <c r="V1611" s="66"/>
      <c r="W1611" s="808">
        <f t="shared" ref="W1611" si="1470">AA1611*(1+AB1611)</f>
        <v>1.0470999999999999E-6</v>
      </c>
      <c r="X1611" s="809">
        <f t="shared" ref="X1611" si="1471">AA1611*(1+AC1611)</f>
        <v>1.0470999999999999E-6</v>
      </c>
      <c r="Y1611" s="52">
        <v>2005</v>
      </c>
      <c r="Z1611" s="52"/>
      <c r="AA1611" s="807">
        <f>+K1611/1000</f>
        <v>1.415E-6</v>
      </c>
      <c r="AB1611" s="256">
        <v>-0.26</v>
      </c>
      <c r="AC1611" s="688">
        <f t="shared" si="1466"/>
        <v>-0.26</v>
      </c>
      <c r="AD1611" s="164"/>
      <c r="AE1611" s="164"/>
      <c r="AF1611" s="25"/>
      <c r="AG1611" s="26"/>
      <c r="AH1611" s="275"/>
      <c r="AI1611" s="52"/>
      <c r="AJ1611" s="35"/>
      <c r="AK1611" s="289"/>
      <c r="AL1611" s="290"/>
      <c r="AM1611" s="211"/>
      <c r="AN1611" s="164"/>
      <c r="AO1611" s="594"/>
      <c r="AP1611" s="595"/>
      <c r="AQ1611" s="275"/>
      <c r="AR1611" s="52"/>
      <c r="AS1611" s="596"/>
      <c r="AT1611" s="79"/>
      <c r="AU1611" s="212"/>
      <c r="AV1611" s="164"/>
      <c r="AW1611" s="164"/>
      <c r="AX1611" s="76"/>
      <c r="AY1611" s="44"/>
      <c r="AZ1611" s="275"/>
      <c r="BA1611" s="52"/>
      <c r="BB1611" s="35"/>
      <c r="BC1611" s="79"/>
      <c r="BD1611" s="230"/>
      <c r="BE1611" s="211"/>
      <c r="BF1611" s="164"/>
      <c r="BG1611" s="76"/>
      <c r="BH1611" s="44"/>
      <c r="BI1611" s="275"/>
      <c r="BJ1611" s="52"/>
      <c r="BK1611" s="35"/>
      <c r="BL1611" s="79"/>
      <c r="BM1611" s="230"/>
      <c r="BN1611" s="211"/>
      <c r="BO1611" s="164"/>
      <c r="BP1611" s="726"/>
      <c r="BQ1611" s="727"/>
      <c r="BR1611" s="299"/>
      <c r="BS1611" s="35"/>
      <c r="BT1611" s="596"/>
      <c r="BU1611" s="79"/>
      <c r="BV1611" s="212"/>
      <c r="BW1611" s="304"/>
      <c r="BX1611" s="313"/>
      <c r="BY1611" s="138"/>
    </row>
    <row r="1612" spans="1:77" ht="15" customHeight="1" outlineLevel="1" x14ac:dyDescent="0.2">
      <c r="A1612" s="57" t="s">
        <v>24</v>
      </c>
      <c r="B1612" s="583"/>
      <c r="C1612" s="583" t="s">
        <v>1355</v>
      </c>
      <c r="D1612" s="546">
        <v>31.317</v>
      </c>
      <c r="E1612" s="162" t="s">
        <v>631</v>
      </c>
      <c r="F1612" s="358"/>
      <c r="G1612" s="65"/>
      <c r="H1612" s="73"/>
      <c r="I1612" s="90"/>
      <c r="J1612" s="73"/>
      <c r="K1612" s="734"/>
      <c r="L1612" s="717">
        <v>2011</v>
      </c>
      <c r="M1612" s="73"/>
      <c r="N1612" s="359">
        <v>0.229825</v>
      </c>
      <c r="O1612" s="1041"/>
      <c r="P1612" s="73"/>
      <c r="Q1612" s="359"/>
      <c r="R1612" s="1041"/>
      <c r="S1612" s="73"/>
      <c r="T1612" s="359"/>
      <c r="U1612" s="73"/>
      <c r="V1612" s="66"/>
      <c r="W1612" s="740">
        <f t="shared" si="1420"/>
        <v>1.6087749999999998E-4</v>
      </c>
      <c r="X1612" s="741">
        <f t="shared" si="1421"/>
        <v>1.6087749999999998E-4</v>
      </c>
      <c r="Y1612" s="52">
        <v>2011</v>
      </c>
      <c r="Z1612" s="52"/>
      <c r="AA1612" s="596">
        <f t="shared" si="1469"/>
        <v>2.2982499999999999E-4</v>
      </c>
      <c r="AB1612" s="256">
        <v>-0.3</v>
      </c>
      <c r="AC1612" s="688">
        <f t="shared" si="1466"/>
        <v>-0.3</v>
      </c>
      <c r="AD1612" s="164"/>
      <c r="AE1612" s="164"/>
      <c r="AF1612" s="25"/>
      <c r="AG1612" s="26"/>
      <c r="AH1612" s="275"/>
      <c r="AI1612" s="52"/>
      <c r="AJ1612" s="35"/>
      <c r="AK1612" s="289"/>
      <c r="AL1612" s="290"/>
      <c r="AM1612" s="211"/>
      <c r="AN1612" s="164"/>
      <c r="AO1612" s="594"/>
      <c r="AP1612" s="595"/>
      <c r="AQ1612" s="275"/>
      <c r="AR1612" s="52"/>
      <c r="AS1612" s="596"/>
      <c r="AT1612" s="79"/>
      <c r="AU1612" s="212"/>
      <c r="AV1612" s="164"/>
      <c r="AW1612" s="164"/>
      <c r="AX1612" s="76"/>
      <c r="AY1612" s="44"/>
      <c r="AZ1612" s="275"/>
      <c r="BA1612" s="52"/>
      <c r="BB1612" s="35"/>
      <c r="BC1612" s="79"/>
      <c r="BD1612" s="230"/>
      <c r="BE1612" s="211"/>
      <c r="BF1612" s="164"/>
      <c r="BG1612" s="76"/>
      <c r="BH1612" s="44"/>
      <c r="BI1612" s="275"/>
      <c r="BJ1612" s="52"/>
      <c r="BK1612" s="35"/>
      <c r="BL1612" s="79"/>
      <c r="BM1612" s="230"/>
      <c r="BN1612" s="211"/>
      <c r="BO1612" s="164"/>
      <c r="BP1612" s="726"/>
      <c r="BQ1612" s="727"/>
      <c r="BR1612" s="299"/>
      <c r="BS1612" s="35"/>
      <c r="BT1612" s="596"/>
      <c r="BU1612" s="79"/>
      <c r="BV1612" s="212"/>
      <c r="BW1612" s="304"/>
      <c r="BX1612" s="313"/>
      <c r="BY1612" s="138"/>
    </row>
    <row r="1613" spans="1:77" ht="15" customHeight="1" outlineLevel="1" x14ac:dyDescent="0.2">
      <c r="A1613" s="57" t="s">
        <v>24</v>
      </c>
      <c r="B1613" s="583"/>
      <c r="C1613" s="583" t="s">
        <v>2465</v>
      </c>
      <c r="D1613" s="546">
        <v>4.0739999999999998</v>
      </c>
      <c r="E1613" s="162" t="s">
        <v>631</v>
      </c>
      <c r="F1613" s="358"/>
      <c r="G1613" s="65"/>
      <c r="H1613" s="73"/>
      <c r="I1613" s="90"/>
      <c r="J1613" s="73"/>
      <c r="K1613" s="734"/>
      <c r="L1613" s="717"/>
      <c r="M1613" s="73"/>
      <c r="N1613" s="738">
        <v>1.8155000000000001E-2</v>
      </c>
      <c r="O1613" s="1041"/>
      <c r="P1613" s="73"/>
      <c r="Q1613" s="359"/>
      <c r="R1613" s="1041"/>
      <c r="S1613" s="73"/>
      <c r="T1613" s="359"/>
      <c r="U1613" s="73"/>
      <c r="V1613" s="66"/>
      <c r="W1613" s="740"/>
      <c r="X1613" s="741"/>
      <c r="Y1613" s="52"/>
      <c r="Z1613" s="52"/>
      <c r="AA1613" s="596"/>
      <c r="AB1613" s="256"/>
      <c r="AC1613" s="688"/>
      <c r="AD1613" s="164"/>
      <c r="AE1613" s="164"/>
      <c r="AF1613" s="25"/>
      <c r="AG1613" s="26"/>
      <c r="AH1613" s="275"/>
      <c r="AI1613" s="52"/>
      <c r="AJ1613" s="35"/>
      <c r="AK1613" s="289"/>
      <c r="AL1613" s="290"/>
      <c r="AM1613" s="211"/>
      <c r="AN1613" s="164"/>
      <c r="AO1613" s="788">
        <f>AS1613*(1+AT1613)</f>
        <v>9.6221500000000007E-6</v>
      </c>
      <c r="AP1613" s="789">
        <f>AS1613*(1+AU1613)</f>
        <v>9.6221500000000007E-6</v>
      </c>
      <c r="AQ1613" s="275">
        <v>2010</v>
      </c>
      <c r="AR1613" s="52"/>
      <c r="AS1613" s="739">
        <f>+N1613/1000</f>
        <v>1.8155000000000002E-5</v>
      </c>
      <c r="AT1613" s="79">
        <v>-0.47</v>
      </c>
      <c r="AU1613" s="212">
        <v>-0.47</v>
      </c>
      <c r="AV1613" s="164"/>
      <c r="AW1613" s="164"/>
      <c r="AX1613" s="76"/>
      <c r="AY1613" s="44"/>
      <c r="AZ1613" s="275"/>
      <c r="BA1613" s="52"/>
      <c r="BB1613" s="35"/>
      <c r="BC1613" s="79"/>
      <c r="BD1613" s="230"/>
      <c r="BE1613" s="211"/>
      <c r="BF1613" s="164"/>
      <c r="BG1613" s="76"/>
      <c r="BH1613" s="44"/>
      <c r="BI1613" s="275"/>
      <c r="BJ1613" s="52"/>
      <c r="BK1613" s="35"/>
      <c r="BL1613" s="79"/>
      <c r="BM1613" s="230"/>
      <c r="BN1613" s="211"/>
      <c r="BO1613" s="164"/>
      <c r="BP1613" s="726"/>
      <c r="BQ1613" s="727"/>
      <c r="BR1613" s="299"/>
      <c r="BS1613" s="35"/>
      <c r="BT1613" s="596"/>
      <c r="BU1613" s="79"/>
      <c r="BV1613" s="212"/>
      <c r="BW1613" s="304"/>
      <c r="BX1613" s="313"/>
      <c r="BY1613" s="138"/>
    </row>
    <row r="1614" spans="1:77" ht="15" customHeight="1" outlineLevel="1" x14ac:dyDescent="0.2">
      <c r="A1614" s="583" t="s">
        <v>24</v>
      </c>
      <c r="B1614" s="583"/>
      <c r="C1614" s="583" t="s">
        <v>2026</v>
      </c>
      <c r="D1614" s="546">
        <v>1.1000000000000001</v>
      </c>
      <c r="E1614" s="162" t="s">
        <v>631</v>
      </c>
      <c r="F1614" s="358"/>
      <c r="G1614" s="65"/>
      <c r="H1614" s="73"/>
      <c r="I1614" s="90"/>
      <c r="J1614" s="73"/>
      <c r="K1614" s="734"/>
      <c r="L1614" s="717">
        <v>2011</v>
      </c>
      <c r="M1614" s="73"/>
      <c r="N1614" s="786">
        <v>2.0590000000000001E-3</v>
      </c>
      <c r="O1614" s="1041"/>
      <c r="P1614" s="73"/>
      <c r="Q1614" s="359"/>
      <c r="R1614" s="1041"/>
      <c r="S1614" s="73"/>
      <c r="T1614" s="359"/>
      <c r="U1614" s="73"/>
      <c r="V1614" s="66"/>
      <c r="W1614" s="740">
        <f t="shared" ref="W1614" si="1472">AA1614*(1+AB1614)</f>
        <v>1.4824800000000001E-6</v>
      </c>
      <c r="X1614" s="741">
        <f t="shared" ref="X1614" si="1473">AA1614*(1+AC1614)</f>
        <v>1.4824800000000001E-6</v>
      </c>
      <c r="Y1614" s="52">
        <v>2011</v>
      </c>
      <c r="Z1614" s="52"/>
      <c r="AA1614" s="596">
        <f>+N1614/1000</f>
        <v>2.0590000000000001E-6</v>
      </c>
      <c r="AB1614" s="256">
        <v>-0.28000000000000003</v>
      </c>
      <c r="AC1614" s="688">
        <f t="shared" si="1466"/>
        <v>-0.28000000000000003</v>
      </c>
      <c r="AD1614" s="164"/>
      <c r="AE1614" s="164"/>
      <c r="AF1614" s="25"/>
      <c r="AG1614" s="26"/>
      <c r="AH1614" s="275"/>
      <c r="AI1614" s="52"/>
      <c r="AJ1614" s="35"/>
      <c r="AK1614" s="289"/>
      <c r="AL1614" s="290"/>
      <c r="AM1614" s="211"/>
      <c r="AN1614" s="164"/>
      <c r="AO1614" s="594"/>
      <c r="AP1614" s="595"/>
      <c r="AQ1614" s="275"/>
      <c r="AR1614" s="52"/>
      <c r="AS1614" s="596"/>
      <c r="AT1614" s="79"/>
      <c r="AU1614" s="212"/>
      <c r="AV1614" s="164"/>
      <c r="AW1614" s="164"/>
      <c r="AX1614" s="76"/>
      <c r="AY1614" s="44"/>
      <c r="AZ1614" s="275"/>
      <c r="BA1614" s="52"/>
      <c r="BB1614" s="35"/>
      <c r="BC1614" s="79"/>
      <c r="BD1614" s="230"/>
      <c r="BE1614" s="211"/>
      <c r="BF1614" s="164"/>
      <c r="BG1614" s="76"/>
      <c r="BH1614" s="44"/>
      <c r="BI1614" s="275"/>
      <c r="BJ1614" s="52"/>
      <c r="BK1614" s="35"/>
      <c r="BL1614" s="79"/>
      <c r="BM1614" s="230"/>
      <c r="BN1614" s="211"/>
      <c r="BO1614" s="164"/>
      <c r="BP1614" s="726"/>
      <c r="BQ1614" s="727"/>
      <c r="BR1614" s="299"/>
      <c r="BS1614" s="35"/>
      <c r="BT1614" s="596"/>
      <c r="BU1614" s="79"/>
      <c r="BV1614" s="212"/>
      <c r="BW1614" s="304"/>
      <c r="BX1614" s="313"/>
      <c r="BY1614" s="138"/>
    </row>
    <row r="1615" spans="1:77" ht="15" customHeight="1" outlineLevel="1" x14ac:dyDescent="0.2">
      <c r="A1615" s="583" t="s">
        <v>24</v>
      </c>
      <c r="B1615" s="583"/>
      <c r="C1615" s="583" t="s">
        <v>1884</v>
      </c>
      <c r="D1615" s="546">
        <v>1.427</v>
      </c>
      <c r="E1615" s="162" t="s">
        <v>631</v>
      </c>
      <c r="F1615" s="358"/>
      <c r="G1615" s="65"/>
      <c r="H1615" s="73"/>
      <c r="I1615" s="90"/>
      <c r="J1615" s="73"/>
      <c r="K1615" s="734">
        <v>4.339E-3</v>
      </c>
      <c r="L1615" s="717"/>
      <c r="M1615" s="73"/>
      <c r="N1615" s="786"/>
      <c r="O1615" s="1041"/>
      <c r="P1615" s="73"/>
      <c r="Q1615" s="786"/>
      <c r="R1615" s="1041"/>
      <c r="S1615" s="73"/>
      <c r="T1615" s="786"/>
      <c r="U1615" s="73"/>
      <c r="V1615" s="66"/>
      <c r="W1615" s="788">
        <f t="shared" ref="W1615" si="1474">AA1615*(1+AB1615)</f>
        <v>3.2108600000000002E-6</v>
      </c>
      <c r="X1615" s="789">
        <f t="shared" ref="X1615" si="1475">AA1615*(1+AC1615)</f>
        <v>3.2108600000000002E-6</v>
      </c>
      <c r="Y1615" s="52">
        <v>2005</v>
      </c>
      <c r="Z1615" s="52"/>
      <c r="AA1615" s="787">
        <f>+K1615/1000</f>
        <v>4.3390000000000003E-6</v>
      </c>
      <c r="AB1615" s="256">
        <v>-0.26</v>
      </c>
      <c r="AC1615" s="688">
        <f t="shared" si="1466"/>
        <v>-0.26</v>
      </c>
      <c r="AD1615" s="164"/>
      <c r="AE1615" s="164"/>
      <c r="AF1615" s="25"/>
      <c r="AG1615" s="26"/>
      <c r="AH1615" s="275"/>
      <c r="AI1615" s="52"/>
      <c r="AJ1615" s="35"/>
      <c r="AK1615" s="289"/>
      <c r="AL1615" s="290"/>
      <c r="AM1615" s="211"/>
      <c r="AN1615" s="164"/>
      <c r="AO1615" s="594"/>
      <c r="AP1615" s="595"/>
      <c r="AQ1615" s="275"/>
      <c r="AR1615" s="52"/>
      <c r="AS1615" s="596"/>
      <c r="AT1615" s="79"/>
      <c r="AU1615" s="212"/>
      <c r="AV1615" s="164"/>
      <c r="AW1615" s="164"/>
      <c r="AX1615" s="76"/>
      <c r="AY1615" s="44"/>
      <c r="AZ1615" s="275"/>
      <c r="BA1615" s="52"/>
      <c r="BB1615" s="35"/>
      <c r="BC1615" s="79"/>
      <c r="BD1615" s="230"/>
      <c r="BE1615" s="211"/>
      <c r="BF1615" s="164"/>
      <c r="BG1615" s="76"/>
      <c r="BH1615" s="44"/>
      <c r="BI1615" s="275"/>
      <c r="BJ1615" s="52"/>
      <c r="BK1615" s="35"/>
      <c r="BL1615" s="79"/>
      <c r="BM1615" s="230"/>
      <c r="BN1615" s="211"/>
      <c r="BO1615" s="164"/>
      <c r="BP1615" s="726"/>
      <c r="BQ1615" s="727"/>
      <c r="BR1615" s="299"/>
      <c r="BS1615" s="35"/>
      <c r="BT1615" s="596"/>
      <c r="BU1615" s="79"/>
      <c r="BV1615" s="212"/>
      <c r="BW1615" s="304"/>
      <c r="BX1615" s="313"/>
      <c r="BY1615" s="138"/>
    </row>
    <row r="1616" spans="1:77" ht="15" customHeight="1" outlineLevel="1" x14ac:dyDescent="0.2">
      <c r="A1616" s="583" t="s">
        <v>24</v>
      </c>
      <c r="B1616" s="583"/>
      <c r="C1616" s="583" t="s">
        <v>1820</v>
      </c>
      <c r="D1616" s="546">
        <v>3.3050000000000002</v>
      </c>
      <c r="E1616" s="162" t="s">
        <v>631</v>
      </c>
      <c r="F1616" s="358"/>
      <c r="G1616" s="65"/>
      <c r="H1616" s="73"/>
      <c r="I1616" s="90"/>
      <c r="J1616" s="73"/>
      <c r="K1616" s="734"/>
      <c r="L1616" s="717">
        <v>2011</v>
      </c>
      <c r="M1616" s="73"/>
      <c r="N1616" s="786">
        <v>6.6299999999999996E-3</v>
      </c>
      <c r="O1616" s="1041"/>
      <c r="P1616" s="73"/>
      <c r="Q1616" s="786"/>
      <c r="R1616" s="1041"/>
      <c r="S1616" s="73"/>
      <c r="T1616" s="786"/>
      <c r="U1616" s="73"/>
      <c r="V1616" s="66"/>
      <c r="W1616" s="788">
        <f t="shared" ref="W1616" si="1476">AA1616*(1+AB1616)</f>
        <v>4.9061999999999997E-6</v>
      </c>
      <c r="X1616" s="789">
        <f t="shared" ref="X1616" si="1477">AA1616*(1+AC1616)</f>
        <v>4.9061999999999997E-6</v>
      </c>
      <c r="Y1616" s="52">
        <v>2011</v>
      </c>
      <c r="Z1616" s="52"/>
      <c r="AA1616" s="787">
        <f t="shared" si="1469"/>
        <v>6.6299999999999992E-6</v>
      </c>
      <c r="AB1616" s="256">
        <v>-0.26</v>
      </c>
      <c r="AC1616" s="688">
        <f t="shared" si="1466"/>
        <v>-0.26</v>
      </c>
      <c r="AD1616" s="164"/>
      <c r="AE1616" s="164"/>
      <c r="AF1616" s="25"/>
      <c r="AG1616" s="26"/>
      <c r="AH1616" s="275"/>
      <c r="AI1616" s="52"/>
      <c r="AJ1616" s="35"/>
      <c r="AK1616" s="289"/>
      <c r="AL1616" s="290"/>
      <c r="AM1616" s="211"/>
      <c r="AN1616" s="164"/>
      <c r="AO1616" s="594"/>
      <c r="AP1616" s="595"/>
      <c r="AQ1616" s="275"/>
      <c r="AR1616" s="52"/>
      <c r="AS1616" s="596"/>
      <c r="AT1616" s="79"/>
      <c r="AU1616" s="212"/>
      <c r="AV1616" s="164"/>
      <c r="AW1616" s="164"/>
      <c r="AX1616" s="76"/>
      <c r="AY1616" s="44"/>
      <c r="AZ1616" s="275"/>
      <c r="BA1616" s="52"/>
      <c r="BB1616" s="35"/>
      <c r="BC1616" s="79"/>
      <c r="BD1616" s="230"/>
      <c r="BE1616" s="211"/>
      <c r="BF1616" s="164"/>
      <c r="BG1616" s="76"/>
      <c r="BH1616" s="44"/>
      <c r="BI1616" s="275"/>
      <c r="BJ1616" s="52"/>
      <c r="BK1616" s="35"/>
      <c r="BL1616" s="79"/>
      <c r="BM1616" s="230"/>
      <c r="BN1616" s="211"/>
      <c r="BO1616" s="164"/>
      <c r="BP1616" s="726"/>
      <c r="BQ1616" s="727"/>
      <c r="BR1616" s="299"/>
      <c r="BS1616" s="35"/>
      <c r="BT1616" s="596"/>
      <c r="BU1616" s="79"/>
      <c r="BV1616" s="212"/>
      <c r="BW1616" s="304"/>
      <c r="BX1616" s="313"/>
      <c r="BY1616" s="138"/>
    </row>
    <row r="1617" spans="1:77" ht="15" customHeight="1" outlineLevel="1" x14ac:dyDescent="0.2">
      <c r="A1617" s="57" t="s">
        <v>24</v>
      </c>
      <c r="B1617" s="583"/>
      <c r="C1617" s="583" t="s">
        <v>1339</v>
      </c>
      <c r="D1617" s="546">
        <v>119.804</v>
      </c>
      <c r="E1617" s="162" t="s">
        <v>631</v>
      </c>
      <c r="F1617" s="358"/>
      <c r="G1617" s="65"/>
      <c r="H1617" s="73"/>
      <c r="I1617" s="90"/>
      <c r="J1617" s="73"/>
      <c r="K1617" s="734"/>
      <c r="L1617" s="717">
        <v>2008</v>
      </c>
      <c r="M1617" s="73"/>
      <c r="N1617" s="359">
        <v>0.59495699999999996</v>
      </c>
      <c r="O1617" s="1041"/>
      <c r="P1617" s="73"/>
      <c r="Q1617" s="359"/>
      <c r="R1617" s="1041"/>
      <c r="S1617" s="73"/>
      <c r="T1617" s="359"/>
      <c r="U1617" s="73"/>
      <c r="V1617" s="66"/>
      <c r="W1617" s="594">
        <f t="shared" si="1420"/>
        <v>4.1052032999999992E-4</v>
      </c>
      <c r="X1617" s="595">
        <f t="shared" si="1421"/>
        <v>4.1052032999999992E-4</v>
      </c>
      <c r="Y1617" s="52">
        <v>2008</v>
      </c>
      <c r="Z1617" s="52"/>
      <c r="AA1617" s="596">
        <f t="shared" si="1469"/>
        <v>5.9495699999999991E-4</v>
      </c>
      <c r="AB1617" s="256">
        <v>-0.31</v>
      </c>
      <c r="AC1617" s="688">
        <f t="shared" si="1466"/>
        <v>-0.31</v>
      </c>
      <c r="AD1617" s="164"/>
      <c r="AE1617" s="164"/>
      <c r="AF1617" s="25"/>
      <c r="AG1617" s="26"/>
      <c r="AH1617" s="275"/>
      <c r="AI1617" s="52"/>
      <c r="AJ1617" s="35"/>
      <c r="AK1617" s="289"/>
      <c r="AL1617" s="290"/>
      <c r="AM1617" s="211"/>
      <c r="AN1617" s="164"/>
      <c r="AO1617" s="594"/>
      <c r="AP1617" s="595"/>
      <c r="AQ1617" s="275"/>
      <c r="AR1617" s="52"/>
      <c r="AS1617" s="596"/>
      <c r="AT1617" s="79"/>
      <c r="AU1617" s="212"/>
      <c r="AV1617" s="164"/>
      <c r="AW1617" s="164"/>
      <c r="AX1617" s="76"/>
      <c r="AY1617" s="44"/>
      <c r="AZ1617" s="275"/>
      <c r="BA1617" s="52"/>
      <c r="BB1617" s="35"/>
      <c r="BC1617" s="79"/>
      <c r="BD1617" s="230"/>
      <c r="BE1617" s="211"/>
      <c r="BF1617" s="164"/>
      <c r="BG1617" s="76"/>
      <c r="BH1617" s="44"/>
      <c r="BI1617" s="275"/>
      <c r="BJ1617" s="52"/>
      <c r="BK1617" s="35"/>
      <c r="BL1617" s="79"/>
      <c r="BM1617" s="230"/>
      <c r="BN1617" s="211"/>
      <c r="BO1617" s="164"/>
      <c r="BP1617" s="726"/>
      <c r="BQ1617" s="727"/>
      <c r="BR1617" s="299"/>
      <c r="BS1617" s="35"/>
      <c r="BT1617" s="596"/>
      <c r="BU1617" s="79"/>
      <c r="BV1617" s="212"/>
      <c r="BW1617" s="304"/>
      <c r="BX1617" s="313"/>
      <c r="BY1617" s="138"/>
    </row>
    <row r="1618" spans="1:77" ht="15" customHeight="1" outlineLevel="1" x14ac:dyDescent="0.2">
      <c r="A1618" s="57" t="s">
        <v>24</v>
      </c>
      <c r="B1618" s="583"/>
      <c r="C1618" s="583" t="s">
        <v>2782</v>
      </c>
      <c r="D1618" s="546">
        <v>13.6</v>
      </c>
      <c r="E1618" s="162" t="s">
        <v>631</v>
      </c>
      <c r="F1618" s="358"/>
      <c r="G1618" s="65"/>
      <c r="H1618" s="73"/>
      <c r="I1618" s="90"/>
      <c r="J1618" s="73"/>
      <c r="K1618" s="734"/>
      <c r="L1618" s="717"/>
      <c r="M1618" s="73"/>
      <c r="N1618" s="359"/>
      <c r="O1618" s="1041">
        <v>2014</v>
      </c>
      <c r="P1618" s="73"/>
      <c r="Q1618" s="786">
        <v>5.6513000000000001E-2</v>
      </c>
      <c r="R1618" s="1041"/>
      <c r="S1618" s="73"/>
      <c r="T1618" s="786"/>
      <c r="U1618" s="73"/>
      <c r="V1618" s="66"/>
      <c r="W1618" s="594"/>
      <c r="X1618" s="595"/>
      <c r="Y1618" s="52"/>
      <c r="Z1618" s="52"/>
      <c r="AA1618" s="596"/>
      <c r="AB1618" s="256"/>
      <c r="AC1618" s="688"/>
      <c r="AD1618" s="164"/>
      <c r="AE1618" s="164"/>
      <c r="AF1618" s="25"/>
      <c r="AG1618" s="26"/>
      <c r="AH1618" s="275"/>
      <c r="AI1618" s="52"/>
      <c r="AJ1618" s="35"/>
      <c r="AK1618" s="289"/>
      <c r="AL1618" s="290"/>
      <c r="AM1618" s="211"/>
      <c r="AN1618" s="164"/>
      <c r="AO1618" s="788">
        <f>AS1618*(1+AT1618)</f>
        <v>3.3342670000000006E-5</v>
      </c>
      <c r="AP1618" s="789">
        <f>AS1618*(1+AU1618)</f>
        <v>3.3342670000000006E-5</v>
      </c>
      <c r="AQ1618" s="275">
        <v>2014</v>
      </c>
      <c r="AR1618" s="52"/>
      <c r="AS1618" s="787">
        <f>+Q1618/1000</f>
        <v>5.6512999999999999E-5</v>
      </c>
      <c r="AT1618" s="79">
        <v>-0.41</v>
      </c>
      <c r="AU1618" s="212">
        <f>AT1618</f>
        <v>-0.41</v>
      </c>
      <c r="AV1618" s="164"/>
      <c r="AW1618" s="164"/>
      <c r="AX1618" s="76"/>
      <c r="AY1618" s="44"/>
      <c r="AZ1618" s="275"/>
      <c r="BA1618" s="52"/>
      <c r="BB1618" s="35"/>
      <c r="BC1618" s="79"/>
      <c r="BD1618" s="230"/>
      <c r="BE1618" s="211"/>
      <c r="BF1618" s="164"/>
      <c r="BG1618" s="76"/>
      <c r="BH1618" s="44"/>
      <c r="BI1618" s="275"/>
      <c r="BJ1618" s="52"/>
      <c r="BK1618" s="35"/>
      <c r="BL1618" s="79"/>
      <c r="BM1618" s="230"/>
      <c r="BN1618" s="211"/>
      <c r="BO1618" s="164"/>
      <c r="BP1618" s="726"/>
      <c r="BQ1618" s="727"/>
      <c r="BR1618" s="299"/>
      <c r="BS1618" s="35"/>
      <c r="BT1618" s="596"/>
      <c r="BU1618" s="79"/>
      <c r="BV1618" s="212"/>
      <c r="BW1618" s="304"/>
      <c r="BX1618" s="313"/>
      <c r="BY1618" s="138"/>
    </row>
    <row r="1619" spans="1:77" ht="15" customHeight="1" outlineLevel="1" x14ac:dyDescent="0.2">
      <c r="A1619" s="57" t="s">
        <v>24</v>
      </c>
      <c r="B1619" s="583"/>
      <c r="C1619" s="583" t="s">
        <v>1354</v>
      </c>
      <c r="D1619" s="546">
        <v>4.7729999999999997</v>
      </c>
      <c r="E1619" s="162" t="s">
        <v>631</v>
      </c>
      <c r="F1619" s="358"/>
      <c r="G1619" s="65"/>
      <c r="H1619" s="73"/>
      <c r="I1619" s="90"/>
      <c r="J1619" s="73"/>
      <c r="K1619" s="734"/>
      <c r="L1619" s="717">
        <v>2009</v>
      </c>
      <c r="M1619" s="73"/>
      <c r="N1619" s="738">
        <v>1.6632999999999998E-2</v>
      </c>
      <c r="O1619" s="1041"/>
      <c r="P1619" s="73"/>
      <c r="Q1619" s="738"/>
      <c r="R1619" s="1041"/>
      <c r="S1619" s="73"/>
      <c r="T1619" s="738"/>
      <c r="U1619" s="73"/>
      <c r="V1619" s="66"/>
      <c r="W1619" s="740">
        <f t="shared" si="1420"/>
        <v>1.1643099999999999E-5</v>
      </c>
      <c r="X1619" s="741">
        <f t="shared" si="1421"/>
        <v>1.1643099999999999E-5</v>
      </c>
      <c r="Y1619" s="52">
        <v>2007</v>
      </c>
      <c r="Z1619" s="52"/>
      <c r="AA1619" s="739">
        <f t="shared" si="1469"/>
        <v>1.6632999999999998E-5</v>
      </c>
      <c r="AB1619" s="256">
        <v>-0.3</v>
      </c>
      <c r="AC1619" s="688">
        <f t="shared" si="1466"/>
        <v>-0.3</v>
      </c>
      <c r="AD1619" s="164"/>
      <c r="AE1619" s="164"/>
      <c r="AF1619" s="25"/>
      <c r="AG1619" s="26"/>
      <c r="AH1619" s="275"/>
      <c r="AI1619" s="52"/>
      <c r="AJ1619" s="35"/>
      <c r="AK1619" s="289"/>
      <c r="AL1619" s="290"/>
      <c r="AM1619" s="211"/>
      <c r="AN1619" s="164"/>
      <c r="AO1619" s="594"/>
      <c r="AP1619" s="595"/>
      <c r="AQ1619" s="275"/>
      <c r="AR1619" s="52"/>
      <c r="AS1619" s="596"/>
      <c r="AT1619" s="79"/>
      <c r="AU1619" s="212"/>
      <c r="AV1619" s="164"/>
      <c r="AW1619" s="164"/>
      <c r="AX1619" s="76"/>
      <c r="AY1619" s="44"/>
      <c r="AZ1619" s="275"/>
      <c r="BA1619" s="52"/>
      <c r="BB1619" s="35"/>
      <c r="BC1619" s="79"/>
      <c r="BD1619" s="230"/>
      <c r="BE1619" s="211"/>
      <c r="BF1619" s="164"/>
      <c r="BG1619" s="76"/>
      <c r="BH1619" s="44"/>
      <c r="BI1619" s="275"/>
      <c r="BJ1619" s="52"/>
      <c r="BK1619" s="35"/>
      <c r="BL1619" s="79"/>
      <c r="BM1619" s="230"/>
      <c r="BN1619" s="211"/>
      <c r="BO1619" s="164"/>
      <c r="BP1619" s="726"/>
      <c r="BQ1619" s="727"/>
      <c r="BR1619" s="299"/>
      <c r="BS1619" s="35"/>
      <c r="BT1619" s="596"/>
      <c r="BU1619" s="79"/>
      <c r="BV1619" s="212"/>
      <c r="BW1619" s="304"/>
      <c r="BX1619" s="313"/>
      <c r="BY1619" s="138"/>
    </row>
    <row r="1620" spans="1:77" ht="15" customHeight="1" outlineLevel="1" x14ac:dyDescent="0.2">
      <c r="A1620" s="583" t="s">
        <v>24</v>
      </c>
      <c r="B1620" s="583"/>
      <c r="C1620" s="583" t="s">
        <v>2095</v>
      </c>
      <c r="D1620" s="546">
        <v>0.87</v>
      </c>
      <c r="E1620" s="162" t="s">
        <v>631</v>
      </c>
      <c r="F1620" s="358"/>
      <c r="G1620" s="65"/>
      <c r="H1620" s="73"/>
      <c r="I1620" s="90"/>
      <c r="J1620" s="73"/>
      <c r="K1620" s="734"/>
      <c r="L1620" s="717">
        <v>2011</v>
      </c>
      <c r="M1620" s="73"/>
      <c r="N1620" s="811">
        <v>1.7600000000000001E-3</v>
      </c>
      <c r="O1620" s="1041"/>
      <c r="P1620" s="73"/>
      <c r="Q1620" s="738"/>
      <c r="R1620" s="1041"/>
      <c r="S1620" s="73"/>
      <c r="T1620" s="738"/>
      <c r="U1620" s="73"/>
      <c r="V1620" s="66"/>
      <c r="W1620" s="740">
        <f t="shared" si="1420"/>
        <v>1.3200000000000001E-6</v>
      </c>
      <c r="X1620" s="741">
        <f t="shared" si="1421"/>
        <v>1.3200000000000001E-6</v>
      </c>
      <c r="Y1620" s="52">
        <v>2011</v>
      </c>
      <c r="Z1620" s="52"/>
      <c r="AA1620" s="739">
        <f>+N1620/1000</f>
        <v>1.7600000000000001E-6</v>
      </c>
      <c r="AB1620" s="256">
        <v>-0.25</v>
      </c>
      <c r="AC1620" s="688">
        <f t="shared" si="1466"/>
        <v>-0.25</v>
      </c>
      <c r="AD1620" s="164"/>
      <c r="AE1620" s="164"/>
      <c r="AF1620" s="25"/>
      <c r="AG1620" s="26"/>
      <c r="AH1620" s="275"/>
      <c r="AI1620" s="52"/>
      <c r="AJ1620" s="35"/>
      <c r="AK1620" s="289"/>
      <c r="AL1620" s="290"/>
      <c r="AM1620" s="211"/>
      <c r="AN1620" s="164"/>
      <c r="AO1620" s="594"/>
      <c r="AP1620" s="595"/>
      <c r="AQ1620" s="275"/>
      <c r="AR1620" s="52"/>
      <c r="AS1620" s="596"/>
      <c r="AT1620" s="79"/>
      <c r="AU1620" s="212"/>
      <c r="AV1620" s="164"/>
      <c r="AW1620" s="164"/>
      <c r="AX1620" s="76"/>
      <c r="AY1620" s="44"/>
      <c r="AZ1620" s="275"/>
      <c r="BA1620" s="52"/>
      <c r="BB1620" s="35"/>
      <c r="BC1620" s="79"/>
      <c r="BD1620" s="230"/>
      <c r="BE1620" s="211"/>
      <c r="BF1620" s="164"/>
      <c r="BG1620" s="76"/>
      <c r="BH1620" s="44"/>
      <c r="BI1620" s="275"/>
      <c r="BJ1620" s="52"/>
      <c r="BK1620" s="35"/>
      <c r="BL1620" s="79"/>
      <c r="BM1620" s="230"/>
      <c r="BN1620" s="211"/>
      <c r="BO1620" s="164"/>
      <c r="BP1620" s="726"/>
      <c r="BQ1620" s="727"/>
      <c r="BR1620" s="299"/>
      <c r="BS1620" s="35"/>
      <c r="BT1620" s="596"/>
      <c r="BU1620" s="79"/>
      <c r="BV1620" s="212"/>
      <c r="BW1620" s="304"/>
      <c r="BX1620" s="313"/>
      <c r="BY1620" s="138"/>
    </row>
    <row r="1621" spans="1:77" ht="15" customHeight="1" outlineLevel="1" x14ac:dyDescent="0.2">
      <c r="A1621" s="57" t="s">
        <v>24</v>
      </c>
      <c r="B1621" s="583"/>
      <c r="C1621" s="583" t="s">
        <v>1348</v>
      </c>
      <c r="D1621" s="546">
        <v>1.1100000000000001</v>
      </c>
      <c r="E1621" s="162" t="s">
        <v>631</v>
      </c>
      <c r="F1621" s="358"/>
      <c r="G1621" s="65"/>
      <c r="H1621" s="73"/>
      <c r="I1621" s="90">
        <v>2007</v>
      </c>
      <c r="J1621" s="73"/>
      <c r="K1621" s="734">
        <v>1.0019999999999999E-2</v>
      </c>
      <c r="L1621" s="717"/>
      <c r="M1621" s="73"/>
      <c r="N1621" s="359"/>
      <c r="O1621" s="1041"/>
      <c r="P1621" s="73"/>
      <c r="Q1621" s="359"/>
      <c r="R1621" s="1041"/>
      <c r="S1621" s="73"/>
      <c r="T1621" s="359"/>
      <c r="U1621" s="73"/>
      <c r="V1621" s="66"/>
      <c r="W1621" s="740">
        <f t="shared" si="1420"/>
        <v>6.1121999999999988E-6</v>
      </c>
      <c r="X1621" s="741">
        <f t="shared" si="1421"/>
        <v>6.1121999999999988E-6</v>
      </c>
      <c r="Y1621" s="52">
        <v>2007</v>
      </c>
      <c r="Z1621" s="52"/>
      <c r="AA1621" s="739">
        <f>+K1621/1000</f>
        <v>1.0019999999999999E-5</v>
      </c>
      <c r="AB1621" s="256">
        <v>-0.39</v>
      </c>
      <c r="AC1621" s="688">
        <f t="shared" si="1466"/>
        <v>-0.39</v>
      </c>
      <c r="AD1621" s="164"/>
      <c r="AE1621" s="164"/>
      <c r="AF1621" s="25"/>
      <c r="AG1621" s="26"/>
      <c r="AH1621" s="275"/>
      <c r="AI1621" s="52"/>
      <c r="AJ1621" s="35"/>
      <c r="AK1621" s="289"/>
      <c r="AL1621" s="290"/>
      <c r="AM1621" s="211"/>
      <c r="AN1621" s="164"/>
      <c r="AO1621" s="594"/>
      <c r="AP1621" s="595"/>
      <c r="AQ1621" s="275"/>
      <c r="AR1621" s="52"/>
      <c r="AS1621" s="596"/>
      <c r="AT1621" s="79"/>
      <c r="AU1621" s="212"/>
      <c r="AV1621" s="164"/>
      <c r="AW1621" s="164"/>
      <c r="AX1621" s="76"/>
      <c r="AY1621" s="44"/>
      <c r="AZ1621" s="275"/>
      <c r="BA1621" s="52"/>
      <c r="BB1621" s="35"/>
      <c r="BC1621" s="79"/>
      <c r="BD1621" s="230"/>
      <c r="BE1621" s="211"/>
      <c r="BF1621" s="164"/>
      <c r="BG1621" s="76"/>
      <c r="BH1621" s="44"/>
      <c r="BI1621" s="275"/>
      <c r="BJ1621" s="52"/>
      <c r="BK1621" s="35"/>
      <c r="BL1621" s="79"/>
      <c r="BM1621" s="230"/>
      <c r="BN1621" s="211"/>
      <c r="BO1621" s="164"/>
      <c r="BP1621" s="726"/>
      <c r="BQ1621" s="727"/>
      <c r="BR1621" s="299"/>
      <c r="BS1621" s="35"/>
      <c r="BT1621" s="596"/>
      <c r="BU1621" s="79"/>
      <c r="BV1621" s="212"/>
      <c r="BW1621" s="304"/>
      <c r="BX1621" s="313"/>
      <c r="BY1621" s="138"/>
    </row>
    <row r="1622" spans="1:77" ht="15" customHeight="1" outlineLevel="1" x14ac:dyDescent="0.2">
      <c r="A1622" s="57" t="s">
        <v>24</v>
      </c>
      <c r="B1622" s="583"/>
      <c r="C1622" s="583" t="s">
        <v>1584</v>
      </c>
      <c r="D1622" s="546">
        <v>5.5229999999999997</v>
      </c>
      <c r="E1622" s="162" t="s">
        <v>631</v>
      </c>
      <c r="F1622" s="358"/>
      <c r="G1622" s="65"/>
      <c r="H1622" s="73"/>
      <c r="I1622" s="90">
        <v>2003</v>
      </c>
      <c r="J1622" s="73"/>
      <c r="K1622" s="734">
        <v>2.1649999999999999E-2</v>
      </c>
      <c r="L1622" s="717"/>
      <c r="M1622" s="73"/>
      <c r="N1622" s="359"/>
      <c r="O1622" s="1041"/>
      <c r="P1622" s="73"/>
      <c r="Q1622" s="359"/>
      <c r="R1622" s="1041"/>
      <c r="S1622" s="73"/>
      <c r="T1622" s="359"/>
      <c r="U1622" s="73"/>
      <c r="V1622" s="66"/>
      <c r="W1622" s="740">
        <f t="shared" si="1420"/>
        <v>1.40725E-5</v>
      </c>
      <c r="X1622" s="741">
        <f t="shared" si="1421"/>
        <v>1.40725E-5</v>
      </c>
      <c r="Y1622" s="52">
        <v>2003</v>
      </c>
      <c r="Z1622" s="52"/>
      <c r="AA1622" s="739">
        <f>+K1622/1000</f>
        <v>2.1649999999999998E-5</v>
      </c>
      <c r="AB1622" s="256">
        <v>-0.35</v>
      </c>
      <c r="AC1622" s="688">
        <f t="shared" si="1466"/>
        <v>-0.35</v>
      </c>
      <c r="AD1622" s="164"/>
      <c r="AE1622" s="164"/>
      <c r="AF1622" s="25"/>
      <c r="AG1622" s="26"/>
      <c r="AH1622" s="275"/>
      <c r="AI1622" s="52"/>
      <c r="AJ1622" s="35"/>
      <c r="AK1622" s="289"/>
      <c r="AL1622" s="290"/>
      <c r="AM1622" s="211"/>
      <c r="AN1622" s="164"/>
      <c r="AO1622" s="594"/>
      <c r="AP1622" s="595"/>
      <c r="AQ1622" s="275"/>
      <c r="AR1622" s="52"/>
      <c r="AS1622" s="596"/>
      <c r="AT1622" s="79"/>
      <c r="AU1622" s="212"/>
      <c r="AV1622" s="164"/>
      <c r="AW1622" s="164"/>
      <c r="AX1622" s="76"/>
      <c r="AY1622" s="44"/>
      <c r="AZ1622" s="275"/>
      <c r="BA1622" s="52"/>
      <c r="BB1622" s="35"/>
      <c r="BC1622" s="79"/>
      <c r="BD1622" s="230"/>
      <c r="BE1622" s="211"/>
      <c r="BF1622" s="164"/>
      <c r="BG1622" s="76"/>
      <c r="BH1622" s="44"/>
      <c r="BI1622" s="275"/>
      <c r="BJ1622" s="52"/>
      <c r="BK1622" s="35"/>
      <c r="BL1622" s="79"/>
      <c r="BM1622" s="230"/>
      <c r="BN1622" s="211"/>
      <c r="BO1622" s="164"/>
      <c r="BP1622" s="726"/>
      <c r="BQ1622" s="727"/>
      <c r="BR1622" s="299"/>
      <c r="BS1622" s="35"/>
      <c r="BT1622" s="596"/>
      <c r="BU1622" s="79"/>
      <c r="BV1622" s="212"/>
      <c r="BW1622" s="304"/>
      <c r="BX1622" s="313"/>
      <c r="BY1622" s="138"/>
    </row>
    <row r="1623" spans="1:77" ht="15" customHeight="1" outlineLevel="1" x14ac:dyDescent="0.2">
      <c r="A1623" s="57" t="s">
        <v>24</v>
      </c>
      <c r="B1623" s="583"/>
      <c r="C1623" s="583" t="s">
        <v>1604</v>
      </c>
      <c r="D1623" s="546">
        <v>0.55500000000000005</v>
      </c>
      <c r="E1623" s="162" t="s">
        <v>631</v>
      </c>
      <c r="F1623" s="358"/>
      <c r="G1623" s="65"/>
      <c r="H1623" s="73"/>
      <c r="I1623" s="90"/>
      <c r="J1623" s="73"/>
      <c r="K1623" s="734"/>
      <c r="L1623" s="717">
        <v>2008</v>
      </c>
      <c r="M1623" s="73"/>
      <c r="N1623" s="786">
        <v>2.147E-3</v>
      </c>
      <c r="O1623" s="1041"/>
      <c r="P1623" s="73"/>
      <c r="Q1623" s="786"/>
      <c r="R1623" s="1041"/>
      <c r="S1623" s="73"/>
      <c r="T1623" s="786"/>
      <c r="U1623" s="73"/>
      <c r="V1623" s="66"/>
      <c r="W1623" s="740">
        <f t="shared" si="1420"/>
        <v>0</v>
      </c>
      <c r="X1623" s="741">
        <f t="shared" si="1421"/>
        <v>0</v>
      </c>
      <c r="Y1623" s="52">
        <v>2008</v>
      </c>
      <c r="Z1623" s="52"/>
      <c r="AA1623" s="787">
        <f>+N1623/1000</f>
        <v>2.1469999999999999E-6</v>
      </c>
      <c r="AB1623" s="256">
        <v>-1</v>
      </c>
      <c r="AC1623" s="688">
        <f t="shared" si="1466"/>
        <v>-1</v>
      </c>
      <c r="AD1623" s="164"/>
      <c r="AE1623" s="164"/>
      <c r="AF1623" s="25"/>
      <c r="AG1623" s="26"/>
      <c r="AH1623" s="275"/>
      <c r="AI1623" s="52"/>
      <c r="AJ1623" s="35"/>
      <c r="AK1623" s="289"/>
      <c r="AL1623" s="290"/>
      <c r="AM1623" s="211"/>
      <c r="AN1623" s="164"/>
      <c r="AO1623" s="594"/>
      <c r="AP1623" s="595"/>
      <c r="AQ1623" s="275"/>
      <c r="AR1623" s="52"/>
      <c r="AS1623" s="596"/>
      <c r="AT1623" s="79"/>
      <c r="AU1623" s="212"/>
      <c r="AV1623" s="164"/>
      <c r="AW1623" s="164"/>
      <c r="AX1623" s="76"/>
      <c r="AY1623" s="44"/>
      <c r="AZ1623" s="275"/>
      <c r="BA1623" s="52"/>
      <c r="BB1623" s="35"/>
      <c r="BC1623" s="79"/>
      <c r="BD1623" s="230"/>
      <c r="BE1623" s="211"/>
      <c r="BF1623" s="164"/>
      <c r="BG1623" s="76"/>
      <c r="BH1623" s="44"/>
      <c r="BI1623" s="275"/>
      <c r="BJ1623" s="52"/>
      <c r="BK1623" s="35"/>
      <c r="BL1623" s="79"/>
      <c r="BM1623" s="230"/>
      <c r="BN1623" s="211"/>
      <c r="BO1623" s="164"/>
      <c r="BP1623" s="726"/>
      <c r="BQ1623" s="727"/>
      <c r="BR1623" s="299"/>
      <c r="BS1623" s="35"/>
      <c r="BT1623" s="596"/>
      <c r="BU1623" s="79"/>
      <c r="BV1623" s="212"/>
      <c r="BW1623" s="304"/>
      <c r="BX1623" s="313"/>
      <c r="BY1623" s="138"/>
    </row>
    <row r="1624" spans="1:77" ht="15" customHeight="1" outlineLevel="1" x14ac:dyDescent="0.2">
      <c r="A1624" s="583" t="s">
        <v>24</v>
      </c>
      <c r="B1624" s="583"/>
      <c r="C1624" s="583" t="s">
        <v>1871</v>
      </c>
      <c r="D1624" s="546">
        <v>0.73099999999999998</v>
      </c>
      <c r="E1624" s="162" t="s">
        <v>631</v>
      </c>
      <c r="F1624" s="358"/>
      <c r="G1624" s="65"/>
      <c r="H1624" s="73"/>
      <c r="I1624" s="90"/>
      <c r="J1624" s="73"/>
      <c r="K1624" s="734">
        <v>2.0300000000000001E-3</v>
      </c>
      <c r="L1624" s="717"/>
      <c r="M1624" s="73"/>
      <c r="N1624" s="786"/>
      <c r="O1624" s="1041"/>
      <c r="P1624" s="73"/>
      <c r="Q1624" s="786"/>
      <c r="R1624" s="1041"/>
      <c r="S1624" s="73"/>
      <c r="T1624" s="786"/>
      <c r="U1624" s="73"/>
      <c r="V1624" s="66"/>
      <c r="W1624" s="788">
        <f t="shared" ref="W1624" si="1478">AA1624*(1+AB1624)</f>
        <v>1.5022E-6</v>
      </c>
      <c r="X1624" s="789">
        <f t="shared" ref="X1624" si="1479">AA1624*(1+AC1624)</f>
        <v>1.5022E-6</v>
      </c>
      <c r="Y1624" s="52">
        <v>2005</v>
      </c>
      <c r="Z1624" s="52"/>
      <c r="AA1624" s="787">
        <f>+K1624/1000</f>
        <v>2.03E-6</v>
      </c>
      <c r="AB1624" s="256">
        <v>-0.26</v>
      </c>
      <c r="AC1624" s="688">
        <f t="shared" si="1466"/>
        <v>-0.26</v>
      </c>
      <c r="AD1624" s="164"/>
      <c r="AE1624" s="164"/>
      <c r="AF1624" s="25"/>
      <c r="AG1624" s="26"/>
      <c r="AH1624" s="275"/>
      <c r="AI1624" s="52"/>
      <c r="AJ1624" s="35"/>
      <c r="AK1624" s="289"/>
      <c r="AL1624" s="290"/>
      <c r="AM1624" s="211"/>
      <c r="AN1624" s="164"/>
      <c r="AO1624" s="594"/>
      <c r="AP1624" s="595"/>
      <c r="AQ1624" s="275"/>
      <c r="AR1624" s="52"/>
      <c r="AS1624" s="596"/>
      <c r="AT1624" s="79"/>
      <c r="AU1624" s="212"/>
      <c r="AV1624" s="164"/>
      <c r="AW1624" s="164"/>
      <c r="AX1624" s="76"/>
      <c r="AY1624" s="44"/>
      <c r="AZ1624" s="275"/>
      <c r="BA1624" s="52"/>
      <c r="BB1624" s="35"/>
      <c r="BC1624" s="79"/>
      <c r="BD1624" s="230"/>
      <c r="BE1624" s="211"/>
      <c r="BF1624" s="164"/>
      <c r="BG1624" s="76"/>
      <c r="BH1624" s="44"/>
      <c r="BI1624" s="275"/>
      <c r="BJ1624" s="52"/>
      <c r="BK1624" s="35"/>
      <c r="BL1624" s="79"/>
      <c r="BM1624" s="230"/>
      <c r="BN1624" s="211"/>
      <c r="BO1624" s="164"/>
      <c r="BP1624" s="726"/>
      <c r="BQ1624" s="727"/>
      <c r="BR1624" s="299"/>
      <c r="BS1624" s="35"/>
      <c r="BT1624" s="596"/>
      <c r="BU1624" s="79"/>
      <c r="BV1624" s="212"/>
      <c r="BW1624" s="304"/>
      <c r="BX1624" s="313"/>
      <c r="BY1624" s="138"/>
    </row>
    <row r="1625" spans="1:77" ht="15" customHeight="1" outlineLevel="1" x14ac:dyDescent="0.2">
      <c r="A1625" s="57" t="s">
        <v>24</v>
      </c>
      <c r="B1625" s="583"/>
      <c r="C1625" s="583" t="s">
        <v>1435</v>
      </c>
      <c r="D1625" s="546">
        <v>0.92800000000000005</v>
      </c>
      <c r="E1625" s="162" t="s">
        <v>631</v>
      </c>
      <c r="F1625" s="358"/>
      <c r="G1625" s="65"/>
      <c r="H1625" s="73"/>
      <c r="I1625" s="90">
        <v>2006</v>
      </c>
      <c r="J1625" s="73"/>
      <c r="K1625" s="790">
        <v>1.8500000000000001E-3</v>
      </c>
      <c r="L1625" s="717"/>
      <c r="M1625" s="73"/>
      <c r="N1625" s="359"/>
      <c r="O1625" s="1041"/>
      <c r="P1625" s="73"/>
      <c r="Q1625" s="359"/>
      <c r="R1625" s="1041"/>
      <c r="S1625" s="73"/>
      <c r="T1625" s="359"/>
      <c r="U1625" s="73"/>
      <c r="V1625" s="66"/>
      <c r="W1625" s="740">
        <f t="shared" si="1420"/>
        <v>9.6200000000000006E-7</v>
      </c>
      <c r="X1625" s="741">
        <f t="shared" si="1421"/>
        <v>9.6200000000000006E-7</v>
      </c>
      <c r="Y1625" s="52">
        <v>2006</v>
      </c>
      <c r="Z1625" s="52"/>
      <c r="AA1625" s="787">
        <f>+K1625/1000</f>
        <v>1.8500000000000001E-6</v>
      </c>
      <c r="AB1625" s="256">
        <v>-0.48</v>
      </c>
      <c r="AC1625" s="688">
        <f t="shared" si="1466"/>
        <v>-0.48</v>
      </c>
      <c r="AD1625" s="164"/>
      <c r="AE1625" s="164"/>
      <c r="AF1625" s="25"/>
      <c r="AG1625" s="26"/>
      <c r="AH1625" s="275"/>
      <c r="AI1625" s="52"/>
      <c r="AJ1625" s="35"/>
      <c r="AK1625" s="289"/>
      <c r="AL1625" s="290"/>
      <c r="AM1625" s="211"/>
      <c r="AN1625" s="164"/>
      <c r="AO1625" s="594"/>
      <c r="AP1625" s="595"/>
      <c r="AQ1625" s="275"/>
      <c r="AR1625" s="52"/>
      <c r="AS1625" s="596"/>
      <c r="AT1625" s="79"/>
      <c r="AU1625" s="212"/>
      <c r="AV1625" s="164"/>
      <c r="AW1625" s="164"/>
      <c r="AX1625" s="76"/>
      <c r="AY1625" s="44"/>
      <c r="AZ1625" s="275"/>
      <c r="BA1625" s="52"/>
      <c r="BB1625" s="35"/>
      <c r="BC1625" s="79"/>
      <c r="BD1625" s="230"/>
      <c r="BE1625" s="211"/>
      <c r="BF1625" s="164"/>
      <c r="BG1625" s="76"/>
      <c r="BH1625" s="44"/>
      <c r="BI1625" s="275"/>
      <c r="BJ1625" s="52"/>
      <c r="BK1625" s="35"/>
      <c r="BL1625" s="79"/>
      <c r="BM1625" s="230"/>
      <c r="BN1625" s="211"/>
      <c r="BO1625" s="164"/>
      <c r="BP1625" s="726"/>
      <c r="BQ1625" s="727"/>
      <c r="BR1625" s="299"/>
      <c r="BS1625" s="35"/>
      <c r="BT1625" s="596"/>
      <c r="BU1625" s="79"/>
      <c r="BV1625" s="212"/>
      <c r="BW1625" s="304"/>
      <c r="BX1625" s="313"/>
      <c r="BY1625" s="138"/>
    </row>
    <row r="1626" spans="1:77" ht="15" customHeight="1" outlineLevel="1" x14ac:dyDescent="0.2">
      <c r="A1626" s="57" t="s">
        <v>24</v>
      </c>
      <c r="B1626" s="583"/>
      <c r="C1626" s="583" t="s">
        <v>1653</v>
      </c>
      <c r="D1626" s="546">
        <v>3.0979999999999999</v>
      </c>
      <c r="E1626" s="162" t="s">
        <v>631</v>
      </c>
      <c r="F1626" s="358"/>
      <c r="G1626" s="65"/>
      <c r="H1626" s="73"/>
      <c r="I1626" s="90"/>
      <c r="J1626" s="73"/>
      <c r="K1626" s="790"/>
      <c r="L1626" s="717">
        <v>2009</v>
      </c>
      <c r="M1626" s="73"/>
      <c r="N1626" s="786">
        <v>8.4980000000000003E-3</v>
      </c>
      <c r="O1626" s="1041"/>
      <c r="P1626" s="73"/>
      <c r="Q1626" s="786"/>
      <c r="R1626" s="1041"/>
      <c r="S1626" s="73"/>
      <c r="T1626" s="786"/>
      <c r="U1626" s="73"/>
      <c r="V1626" s="66"/>
      <c r="W1626" s="740">
        <f>AA1626*(1+AB1626)</f>
        <v>6.3735000000000009E-6</v>
      </c>
      <c r="X1626" s="741">
        <f>AA1626*(1+AC1626)</f>
        <v>6.3735000000000009E-6</v>
      </c>
      <c r="Y1626" s="52">
        <v>2009</v>
      </c>
      <c r="Z1626" s="52"/>
      <c r="AA1626" s="787">
        <f>+N1626/1000</f>
        <v>8.4980000000000006E-6</v>
      </c>
      <c r="AB1626" s="256">
        <v>-0.25</v>
      </c>
      <c r="AC1626" s="688">
        <f t="shared" si="1466"/>
        <v>-0.25</v>
      </c>
      <c r="AD1626" s="164"/>
      <c r="AE1626" s="164"/>
      <c r="AF1626" s="25"/>
      <c r="AG1626" s="26"/>
      <c r="AH1626" s="275"/>
      <c r="AI1626" s="52"/>
      <c r="AJ1626" s="35"/>
      <c r="AK1626" s="289"/>
      <c r="AL1626" s="290"/>
      <c r="AM1626" s="211"/>
      <c r="AN1626" s="164"/>
      <c r="AO1626" s="594"/>
      <c r="AP1626" s="595"/>
      <c r="AQ1626" s="275"/>
      <c r="AR1626" s="52"/>
      <c r="AS1626" s="596"/>
      <c r="AT1626" s="79"/>
      <c r="AU1626" s="212"/>
      <c r="AV1626" s="164"/>
      <c r="AW1626" s="164"/>
      <c r="AX1626" s="76"/>
      <c r="AY1626" s="44"/>
      <c r="AZ1626" s="275"/>
      <c r="BA1626" s="52"/>
      <c r="BB1626" s="35"/>
      <c r="BC1626" s="79"/>
      <c r="BD1626" s="230"/>
      <c r="BE1626" s="211"/>
      <c r="BF1626" s="164"/>
      <c r="BG1626" s="76"/>
      <c r="BH1626" s="44"/>
      <c r="BI1626" s="275"/>
      <c r="BJ1626" s="52"/>
      <c r="BK1626" s="35"/>
      <c r="BL1626" s="79"/>
      <c r="BM1626" s="230"/>
      <c r="BN1626" s="211"/>
      <c r="BO1626" s="164"/>
      <c r="BP1626" s="726"/>
      <c r="BQ1626" s="727"/>
      <c r="BR1626" s="299"/>
      <c r="BS1626" s="35"/>
      <c r="BT1626" s="596"/>
      <c r="BU1626" s="79"/>
      <c r="BV1626" s="212"/>
      <c r="BW1626" s="304"/>
      <c r="BX1626" s="313"/>
      <c r="BY1626" s="138"/>
    </row>
    <row r="1627" spans="1:77" ht="15" customHeight="1" outlineLevel="1" x14ac:dyDescent="0.2">
      <c r="A1627" s="583" t="s">
        <v>24</v>
      </c>
      <c r="B1627" s="583"/>
      <c r="C1627" s="583" t="s">
        <v>1751</v>
      </c>
      <c r="D1627" s="546">
        <v>0.373</v>
      </c>
      <c r="E1627" s="162" t="s">
        <v>631</v>
      </c>
      <c r="F1627" s="358"/>
      <c r="G1627" s="65"/>
      <c r="H1627" s="73"/>
      <c r="I1627" s="90"/>
      <c r="J1627" s="73"/>
      <c r="K1627" s="790">
        <v>1.222E-3</v>
      </c>
      <c r="L1627" s="717"/>
      <c r="M1627" s="73"/>
      <c r="N1627" s="786"/>
      <c r="O1627" s="1041"/>
      <c r="P1627" s="73"/>
      <c r="Q1627" s="786"/>
      <c r="R1627" s="1041"/>
      <c r="S1627" s="73"/>
      <c r="T1627" s="786"/>
      <c r="U1627" s="73"/>
      <c r="V1627" s="66"/>
      <c r="W1627" s="808">
        <f>AA1627*(1+AB1627)</f>
        <v>9.1649999999999993E-7</v>
      </c>
      <c r="X1627" s="809">
        <f>AA1627*(1+AC1627)</f>
        <v>9.1649999999999993E-7</v>
      </c>
      <c r="Y1627" s="52">
        <v>2005</v>
      </c>
      <c r="Z1627" s="52"/>
      <c r="AA1627" s="807">
        <f>+K1627/1000</f>
        <v>1.2219999999999999E-6</v>
      </c>
      <c r="AB1627" s="256">
        <v>-0.25</v>
      </c>
      <c r="AC1627" s="688">
        <f t="shared" si="1466"/>
        <v>-0.25</v>
      </c>
      <c r="AD1627" s="164"/>
      <c r="AE1627" s="164"/>
      <c r="AF1627" s="25"/>
      <c r="AG1627" s="26"/>
      <c r="AH1627" s="275"/>
      <c r="AI1627" s="52"/>
      <c r="AJ1627" s="35"/>
      <c r="AK1627" s="289"/>
      <c r="AL1627" s="290"/>
      <c r="AM1627" s="211"/>
      <c r="AN1627" s="164"/>
      <c r="AO1627" s="594"/>
      <c r="AP1627" s="595"/>
      <c r="AQ1627" s="275"/>
      <c r="AR1627" s="52"/>
      <c r="AS1627" s="596"/>
      <c r="AT1627" s="79"/>
      <c r="AU1627" s="212"/>
      <c r="AV1627" s="164"/>
      <c r="AW1627" s="164"/>
      <c r="AX1627" s="76"/>
      <c r="AY1627" s="44"/>
      <c r="AZ1627" s="275"/>
      <c r="BA1627" s="52"/>
      <c r="BB1627" s="35"/>
      <c r="BC1627" s="79"/>
      <c r="BD1627" s="230"/>
      <c r="BE1627" s="211"/>
      <c r="BF1627" s="164"/>
      <c r="BG1627" s="76"/>
      <c r="BH1627" s="44"/>
      <c r="BI1627" s="275"/>
      <c r="BJ1627" s="52"/>
      <c r="BK1627" s="35"/>
      <c r="BL1627" s="79"/>
      <c r="BM1627" s="230"/>
      <c r="BN1627" s="211"/>
      <c r="BO1627" s="164"/>
      <c r="BP1627" s="726"/>
      <c r="BQ1627" s="727"/>
      <c r="BR1627" s="299"/>
      <c r="BS1627" s="35"/>
      <c r="BT1627" s="596"/>
      <c r="BU1627" s="79"/>
      <c r="BV1627" s="212"/>
      <c r="BW1627" s="304"/>
      <c r="BX1627" s="313"/>
      <c r="BY1627" s="138"/>
    </row>
    <row r="1628" spans="1:77" ht="15" customHeight="1" outlineLevel="1" x14ac:dyDescent="0.2">
      <c r="A1628" s="57" t="s">
        <v>24</v>
      </c>
      <c r="B1628" s="583"/>
      <c r="C1628" s="583" t="s">
        <v>1549</v>
      </c>
      <c r="D1628" s="546">
        <v>5.641</v>
      </c>
      <c r="E1628" s="162" t="s">
        <v>631</v>
      </c>
      <c r="F1628" s="358"/>
      <c r="G1628" s="65"/>
      <c r="H1628" s="73"/>
      <c r="I1628" s="90"/>
      <c r="J1628" s="73"/>
      <c r="K1628" s="734"/>
      <c r="L1628" s="717">
        <v>2008</v>
      </c>
      <c r="M1628" s="73"/>
      <c r="N1628" s="738">
        <v>1.3598000000000001E-2</v>
      </c>
      <c r="O1628" s="1041"/>
      <c r="P1628" s="73"/>
      <c r="Q1628" s="738"/>
      <c r="R1628" s="1041"/>
      <c r="S1628" s="73"/>
      <c r="T1628" s="738"/>
      <c r="U1628" s="73"/>
      <c r="V1628" s="66"/>
      <c r="W1628" s="788">
        <f t="shared" si="1420"/>
        <v>8.7027200000000003E-6</v>
      </c>
      <c r="X1628" s="789">
        <f t="shared" si="1421"/>
        <v>8.7027200000000003E-6</v>
      </c>
      <c r="Y1628" s="52">
        <v>2008</v>
      </c>
      <c r="Z1628" s="52"/>
      <c r="AA1628" s="739">
        <f>+N1628/1000</f>
        <v>1.3598000000000001E-5</v>
      </c>
      <c r="AB1628" s="256">
        <v>-0.36</v>
      </c>
      <c r="AC1628" s="688">
        <f t="shared" si="1466"/>
        <v>-0.36</v>
      </c>
      <c r="AD1628" s="164"/>
      <c r="AE1628" s="164"/>
      <c r="AF1628" s="25"/>
      <c r="AG1628" s="26"/>
      <c r="AH1628" s="275"/>
      <c r="AI1628" s="52"/>
      <c r="AJ1628" s="35"/>
      <c r="AK1628" s="289"/>
      <c r="AL1628" s="290"/>
      <c r="AM1628" s="211"/>
      <c r="AN1628" s="164"/>
      <c r="AO1628" s="594"/>
      <c r="AP1628" s="595"/>
      <c r="AQ1628" s="275"/>
      <c r="AR1628" s="52"/>
      <c r="AS1628" s="596"/>
      <c r="AT1628" s="79"/>
      <c r="AU1628" s="212"/>
      <c r="AV1628" s="164"/>
      <c r="AW1628" s="164"/>
      <c r="AX1628" s="76"/>
      <c r="AY1628" s="44"/>
      <c r="AZ1628" s="275"/>
      <c r="BA1628" s="52"/>
      <c r="BB1628" s="35"/>
      <c r="BC1628" s="79"/>
      <c r="BD1628" s="230"/>
      <c r="BE1628" s="211"/>
      <c r="BF1628" s="164"/>
      <c r="BG1628" s="76"/>
      <c r="BH1628" s="44"/>
      <c r="BI1628" s="275"/>
      <c r="BJ1628" s="52"/>
      <c r="BK1628" s="35"/>
      <c r="BL1628" s="79"/>
      <c r="BM1628" s="230"/>
      <c r="BN1628" s="211"/>
      <c r="BO1628" s="164"/>
      <c r="BP1628" s="726"/>
      <c r="BQ1628" s="727"/>
      <c r="BR1628" s="299"/>
      <c r="BS1628" s="35"/>
      <c r="BT1628" s="596"/>
      <c r="BU1628" s="79"/>
      <c r="BV1628" s="212"/>
      <c r="BW1628" s="304"/>
      <c r="BX1628" s="313"/>
      <c r="BY1628" s="138"/>
    </row>
    <row r="1629" spans="1:77" ht="15" customHeight="1" outlineLevel="1" x14ac:dyDescent="0.2">
      <c r="A1629" s="57" t="s">
        <v>24</v>
      </c>
      <c r="B1629" s="583"/>
      <c r="C1629" s="583" t="s">
        <v>1332</v>
      </c>
      <c r="D1629" s="546">
        <v>14.266999999999999</v>
      </c>
      <c r="E1629" s="162" t="s">
        <v>631</v>
      </c>
      <c r="F1629" s="358"/>
      <c r="G1629" s="65"/>
      <c r="H1629" s="73"/>
      <c r="I1629" s="90">
        <v>2007</v>
      </c>
      <c r="J1629" s="73"/>
      <c r="K1629" s="734">
        <v>2.6241E-2</v>
      </c>
      <c r="L1629" s="717"/>
      <c r="M1629" s="73"/>
      <c r="N1629" s="359"/>
      <c r="O1629" s="1041"/>
      <c r="P1629" s="73"/>
      <c r="Q1629" s="359"/>
      <c r="R1629" s="1041"/>
      <c r="S1629" s="73"/>
      <c r="T1629" s="359"/>
      <c r="U1629" s="73"/>
      <c r="V1629" s="66"/>
      <c r="W1629" s="740">
        <f t="shared" si="1420"/>
        <v>1.5219780000000003E-5</v>
      </c>
      <c r="X1629" s="741">
        <f t="shared" si="1421"/>
        <v>1.5219780000000003E-5</v>
      </c>
      <c r="Y1629" s="52">
        <v>2007</v>
      </c>
      <c r="Z1629" s="52"/>
      <c r="AA1629" s="739">
        <f>+K1629/1000</f>
        <v>2.6241000000000002E-5</v>
      </c>
      <c r="AB1629" s="256">
        <v>-0.42</v>
      </c>
      <c r="AC1629" s="688">
        <f t="shared" si="1466"/>
        <v>-0.42</v>
      </c>
      <c r="AD1629" s="164"/>
      <c r="AE1629" s="164"/>
      <c r="AF1629" s="25"/>
      <c r="AG1629" s="26"/>
      <c r="AH1629" s="275"/>
      <c r="AI1629" s="52"/>
      <c r="AJ1629" s="35"/>
      <c r="AK1629" s="289"/>
      <c r="AL1629" s="290"/>
      <c r="AM1629" s="211"/>
      <c r="AN1629" s="164"/>
      <c r="AO1629" s="594"/>
      <c r="AP1629" s="595"/>
      <c r="AQ1629" s="275"/>
      <c r="AR1629" s="52"/>
      <c r="AS1629" s="596"/>
      <c r="AT1629" s="79"/>
      <c r="AU1629" s="212"/>
      <c r="AV1629" s="164"/>
      <c r="AW1629" s="164"/>
      <c r="AX1629" s="76"/>
      <c r="AY1629" s="44"/>
      <c r="AZ1629" s="275"/>
      <c r="BA1629" s="52"/>
      <c r="BB1629" s="35"/>
      <c r="BC1629" s="79"/>
      <c r="BD1629" s="230"/>
      <c r="BE1629" s="211"/>
      <c r="BF1629" s="164"/>
      <c r="BG1629" s="76"/>
      <c r="BH1629" s="44"/>
      <c r="BI1629" s="275"/>
      <c r="BJ1629" s="52"/>
      <c r="BK1629" s="35"/>
      <c r="BL1629" s="79"/>
      <c r="BM1629" s="230"/>
      <c r="BN1629" s="211"/>
      <c r="BO1629" s="164"/>
      <c r="BP1629" s="726"/>
      <c r="BQ1629" s="727"/>
      <c r="BR1629" s="299"/>
      <c r="BS1629" s="35"/>
      <c r="BT1629" s="596"/>
      <c r="BU1629" s="79"/>
      <c r="BV1629" s="212"/>
      <c r="BW1629" s="304"/>
      <c r="BX1629" s="313"/>
      <c r="BY1629" s="138"/>
    </row>
    <row r="1630" spans="1:77" ht="15" customHeight="1" outlineLevel="1" x14ac:dyDescent="0.2">
      <c r="A1630" s="583" t="s">
        <v>24</v>
      </c>
      <c r="B1630" s="583"/>
      <c r="C1630" s="583" t="s">
        <v>1756</v>
      </c>
      <c r="D1630" s="546">
        <v>0.752</v>
      </c>
      <c r="E1630" s="162" t="s">
        <v>631</v>
      </c>
      <c r="F1630" s="358"/>
      <c r="G1630" s="65"/>
      <c r="H1630" s="73"/>
      <c r="I1630" s="90"/>
      <c r="J1630" s="73"/>
      <c r="K1630" s="790">
        <v>1.9090000000000001E-3</v>
      </c>
      <c r="L1630" s="717"/>
      <c r="M1630" s="73"/>
      <c r="N1630" s="738"/>
      <c r="O1630" s="1041"/>
      <c r="P1630" s="73"/>
      <c r="Q1630" s="738"/>
      <c r="R1630" s="1041"/>
      <c r="S1630" s="73"/>
      <c r="T1630" s="738"/>
      <c r="U1630" s="73"/>
      <c r="V1630" s="66"/>
      <c r="W1630" s="788">
        <f t="shared" ref="W1630" si="1480">AA1630*(1+AB1630)</f>
        <v>1.4317500000000003E-6</v>
      </c>
      <c r="X1630" s="789">
        <f t="shared" ref="X1630" si="1481">AA1630*(1+AC1630)</f>
        <v>1.4317500000000003E-6</v>
      </c>
      <c r="Y1630" s="52">
        <v>2005</v>
      </c>
      <c r="Z1630" s="52"/>
      <c r="AA1630" s="787">
        <f>+K1630/1000</f>
        <v>1.9090000000000003E-6</v>
      </c>
      <c r="AB1630" s="256">
        <v>-0.25</v>
      </c>
      <c r="AC1630" s="688">
        <f t="shared" si="1466"/>
        <v>-0.25</v>
      </c>
      <c r="AD1630" s="164"/>
      <c r="AE1630" s="164"/>
      <c r="AF1630" s="25"/>
      <c r="AG1630" s="26"/>
      <c r="AH1630" s="275"/>
      <c r="AI1630" s="52"/>
      <c r="AJ1630" s="35"/>
      <c r="AK1630" s="289"/>
      <c r="AL1630" s="290"/>
      <c r="AM1630" s="211"/>
      <c r="AN1630" s="164"/>
      <c r="AO1630" s="594"/>
      <c r="AP1630" s="595"/>
      <c r="AQ1630" s="275"/>
      <c r="AR1630" s="52"/>
      <c r="AS1630" s="596"/>
      <c r="AT1630" s="79"/>
      <c r="AU1630" s="212"/>
      <c r="AV1630" s="164"/>
      <c r="AW1630" s="164"/>
      <c r="AX1630" s="76"/>
      <c r="AY1630" s="44"/>
      <c r="AZ1630" s="275"/>
      <c r="BA1630" s="52"/>
      <c r="BB1630" s="35"/>
      <c r="BC1630" s="79"/>
      <c r="BD1630" s="230"/>
      <c r="BE1630" s="211"/>
      <c r="BF1630" s="164"/>
      <c r="BG1630" s="76"/>
      <c r="BH1630" s="44"/>
      <c r="BI1630" s="275"/>
      <c r="BJ1630" s="52"/>
      <c r="BK1630" s="35"/>
      <c r="BL1630" s="79"/>
      <c r="BM1630" s="230"/>
      <c r="BN1630" s="211"/>
      <c r="BO1630" s="164"/>
      <c r="BP1630" s="726"/>
      <c r="BQ1630" s="727"/>
      <c r="BR1630" s="299"/>
      <c r="BS1630" s="35"/>
      <c r="BT1630" s="596"/>
      <c r="BU1630" s="79"/>
      <c r="BV1630" s="212"/>
      <c r="BW1630" s="304"/>
      <c r="BX1630" s="313"/>
      <c r="BY1630" s="138"/>
    </row>
    <row r="1631" spans="1:77" ht="15" customHeight="1" outlineLevel="1" x14ac:dyDescent="0.2">
      <c r="A1631" s="583" t="s">
        <v>24</v>
      </c>
      <c r="B1631" s="583"/>
      <c r="C1631" s="864" t="s">
        <v>1957</v>
      </c>
      <c r="D1631" s="546">
        <v>0.90500000000000003</v>
      </c>
      <c r="E1631" s="162" t="s">
        <v>631</v>
      </c>
      <c r="F1631" s="358"/>
      <c r="G1631" s="65"/>
      <c r="H1631" s="73"/>
      <c r="I1631" s="90">
        <v>2007</v>
      </c>
      <c r="J1631" s="73"/>
      <c r="K1631" s="790">
        <v>4.9399999999999999E-3</v>
      </c>
      <c r="L1631" s="717"/>
      <c r="M1631" s="73"/>
      <c r="N1631" s="738"/>
      <c r="O1631" s="1041"/>
      <c r="P1631" s="73"/>
      <c r="Q1631" s="738"/>
      <c r="R1631" s="1041"/>
      <c r="S1631" s="73"/>
      <c r="T1631" s="738"/>
      <c r="U1631" s="73"/>
      <c r="V1631" s="66"/>
      <c r="W1631" s="788">
        <f t="shared" ref="W1631" si="1482">AA1631*(1+AB1631)</f>
        <v>3.6061999999999999E-6</v>
      </c>
      <c r="X1631" s="789">
        <f t="shared" ref="X1631" si="1483">AA1631*(1+AC1631)</f>
        <v>3.6061999999999999E-6</v>
      </c>
      <c r="Y1631" s="52">
        <v>2007</v>
      </c>
      <c r="Z1631" s="52"/>
      <c r="AA1631" s="787">
        <f>+K1631/1000</f>
        <v>4.9400000000000001E-6</v>
      </c>
      <c r="AB1631" s="256">
        <v>-0.27</v>
      </c>
      <c r="AC1631" s="688">
        <f t="shared" si="1466"/>
        <v>-0.27</v>
      </c>
      <c r="AD1631" s="164"/>
      <c r="AE1631" s="164"/>
      <c r="AF1631" s="25"/>
      <c r="AG1631" s="26"/>
      <c r="AH1631" s="275"/>
      <c r="AI1631" s="52"/>
      <c r="AJ1631" s="35"/>
      <c r="AK1631" s="289"/>
      <c r="AL1631" s="290"/>
      <c r="AM1631" s="211"/>
      <c r="AN1631" s="164"/>
      <c r="AO1631" s="594"/>
      <c r="AP1631" s="595"/>
      <c r="AQ1631" s="275"/>
      <c r="AR1631" s="52"/>
      <c r="AS1631" s="596"/>
      <c r="AT1631" s="79"/>
      <c r="AU1631" s="212"/>
      <c r="AV1631" s="164"/>
      <c r="AW1631" s="164"/>
      <c r="AX1631" s="76"/>
      <c r="AY1631" s="44"/>
      <c r="AZ1631" s="275"/>
      <c r="BA1631" s="52"/>
      <c r="BB1631" s="35"/>
      <c r="BC1631" s="79"/>
      <c r="BD1631" s="230"/>
      <c r="BE1631" s="211"/>
      <c r="BF1631" s="164"/>
      <c r="BG1631" s="76"/>
      <c r="BH1631" s="44"/>
      <c r="BI1631" s="275"/>
      <c r="BJ1631" s="52"/>
      <c r="BK1631" s="35"/>
      <c r="BL1631" s="79"/>
      <c r="BM1631" s="230"/>
      <c r="BN1631" s="211"/>
      <c r="BO1631" s="164"/>
      <c r="BP1631" s="726"/>
      <c r="BQ1631" s="727"/>
      <c r="BR1631" s="299"/>
      <c r="BS1631" s="35"/>
      <c r="BT1631" s="596"/>
      <c r="BU1631" s="79"/>
      <c r="BV1631" s="212"/>
      <c r="BW1631" s="304"/>
      <c r="BX1631" s="313"/>
      <c r="BY1631" s="138"/>
    </row>
    <row r="1632" spans="1:77" ht="15" customHeight="1" outlineLevel="1" x14ac:dyDescent="0.2">
      <c r="A1632" s="583" t="s">
        <v>24</v>
      </c>
      <c r="B1632" s="583"/>
      <c r="C1632" s="583" t="s">
        <v>1835</v>
      </c>
      <c r="D1632" s="546">
        <v>161.00899999999999</v>
      </c>
      <c r="E1632" s="162" t="s">
        <v>631</v>
      </c>
      <c r="F1632" s="358"/>
      <c r="G1632" s="65"/>
      <c r="H1632" s="73"/>
      <c r="I1632" s="90"/>
      <c r="J1632" s="73"/>
      <c r="K1632" s="790"/>
      <c r="L1632" s="717">
        <v>2012</v>
      </c>
      <c r="M1632" s="73"/>
      <c r="N1632" s="738">
        <v>0.90619400000000006</v>
      </c>
      <c r="O1632" s="1041"/>
      <c r="P1632" s="73"/>
      <c r="Q1632" s="738"/>
      <c r="R1632" s="1041"/>
      <c r="S1632" s="73"/>
      <c r="T1632" s="738"/>
      <c r="U1632" s="73"/>
      <c r="V1632" s="66"/>
      <c r="W1632" s="788">
        <f t="shared" ref="W1632" si="1484">AA1632*(1+AB1632)</f>
        <v>6.7058356000000003E-4</v>
      </c>
      <c r="X1632" s="789">
        <f t="shared" ref="X1632" si="1485">AA1632*(1+AC1632)</f>
        <v>6.7058356000000003E-4</v>
      </c>
      <c r="Y1632" s="52">
        <v>2012</v>
      </c>
      <c r="Z1632" s="52"/>
      <c r="AA1632" s="787">
        <f>+N1632/1000</f>
        <v>9.0619400000000003E-4</v>
      </c>
      <c r="AB1632" s="256">
        <v>-0.26</v>
      </c>
      <c r="AC1632" s="688">
        <f t="shared" si="1466"/>
        <v>-0.26</v>
      </c>
      <c r="AD1632" s="164"/>
      <c r="AE1632" s="164"/>
      <c r="AF1632" s="25"/>
      <c r="AG1632" s="26"/>
      <c r="AH1632" s="275"/>
      <c r="AI1632" s="52"/>
      <c r="AJ1632" s="35"/>
      <c r="AK1632" s="289"/>
      <c r="AL1632" s="290"/>
      <c r="AM1632" s="211"/>
      <c r="AN1632" s="164"/>
      <c r="AO1632" s="594"/>
      <c r="AP1632" s="595"/>
      <c r="AQ1632" s="275"/>
      <c r="AR1632" s="52"/>
      <c r="AS1632" s="596"/>
      <c r="AT1632" s="79"/>
      <c r="AU1632" s="212"/>
      <c r="AV1632" s="164"/>
      <c r="AW1632" s="164"/>
      <c r="AX1632" s="76"/>
      <c r="AY1632" s="44"/>
      <c r="AZ1632" s="275"/>
      <c r="BA1632" s="52"/>
      <c r="BB1632" s="35"/>
      <c r="BC1632" s="79"/>
      <c r="BD1632" s="230"/>
      <c r="BE1632" s="211"/>
      <c r="BF1632" s="164"/>
      <c r="BG1632" s="76"/>
      <c r="BH1632" s="44"/>
      <c r="BI1632" s="275"/>
      <c r="BJ1632" s="52"/>
      <c r="BK1632" s="35"/>
      <c r="BL1632" s="79"/>
      <c r="BM1632" s="230"/>
      <c r="BN1632" s="211"/>
      <c r="BO1632" s="164"/>
      <c r="BP1632" s="726"/>
      <c r="BQ1632" s="727"/>
      <c r="BR1632" s="299"/>
      <c r="BS1632" s="35"/>
      <c r="BT1632" s="596"/>
      <c r="BU1632" s="79"/>
      <c r="BV1632" s="212"/>
      <c r="BW1632" s="304"/>
      <c r="BX1632" s="313"/>
      <c r="BY1632" s="138"/>
    </row>
    <row r="1633" spans="1:77" ht="15" customHeight="1" outlineLevel="1" x14ac:dyDescent="0.2">
      <c r="A1633" s="583" t="s">
        <v>24</v>
      </c>
      <c r="B1633" s="583"/>
      <c r="C1633" s="583" t="s">
        <v>2869</v>
      </c>
      <c r="D1633" s="546">
        <v>16.175000000000001</v>
      </c>
      <c r="E1633" s="162" t="s">
        <v>631</v>
      </c>
      <c r="F1633" s="358"/>
      <c r="G1633" s="65"/>
      <c r="H1633" s="73"/>
      <c r="I1633" s="90">
        <v>2007</v>
      </c>
      <c r="J1633" s="73"/>
      <c r="K1633" s="790">
        <v>0.15289700000000001</v>
      </c>
      <c r="L1633" s="717"/>
      <c r="M1633" s="73"/>
      <c r="N1633" s="738"/>
      <c r="O1633" s="1041"/>
      <c r="P1633" s="73"/>
      <c r="Q1633" s="738"/>
      <c r="R1633" s="1041"/>
      <c r="S1633" s="73"/>
      <c r="T1633" s="738"/>
      <c r="U1633" s="73"/>
      <c r="V1633" s="66"/>
      <c r="W1633" s="788"/>
      <c r="X1633" s="789"/>
      <c r="Y1633" s="52"/>
      <c r="Z1633" s="52"/>
      <c r="AA1633" s="787"/>
      <c r="AB1633" s="256"/>
      <c r="AC1633" s="688"/>
      <c r="AD1633" s="164"/>
      <c r="AE1633" s="164"/>
      <c r="AF1633" s="25"/>
      <c r="AG1633" s="26"/>
      <c r="AH1633" s="275"/>
      <c r="AI1633" s="52"/>
      <c r="AJ1633" s="35"/>
      <c r="AK1633" s="289"/>
      <c r="AL1633" s="290"/>
      <c r="AM1633" s="211"/>
      <c r="AN1633" s="164"/>
      <c r="AO1633" s="740">
        <f>AS1633*(1+AT1633)</f>
        <v>9.0209230000000019E-5</v>
      </c>
      <c r="AP1633" s="741">
        <f>AS1633*(1+AU1633)</f>
        <v>9.0209230000000019E-5</v>
      </c>
      <c r="AQ1633" s="275">
        <v>2007</v>
      </c>
      <c r="AR1633" s="52"/>
      <c r="AS1633" s="739">
        <f>+K1633/1000</f>
        <v>1.5289700000000001E-4</v>
      </c>
      <c r="AT1633" s="79">
        <v>-0.41</v>
      </c>
      <c r="AU1633" s="212">
        <f>AT1633</f>
        <v>-0.41</v>
      </c>
      <c r="AV1633" s="164"/>
      <c r="AW1633" s="164"/>
      <c r="AX1633" s="76"/>
      <c r="AY1633" s="44"/>
      <c r="AZ1633" s="275"/>
      <c r="BA1633" s="52"/>
      <c r="BB1633" s="35"/>
      <c r="BC1633" s="79"/>
      <c r="BD1633" s="230"/>
      <c r="BE1633" s="211"/>
      <c r="BF1633" s="164"/>
      <c r="BG1633" s="76"/>
      <c r="BH1633" s="44"/>
      <c r="BI1633" s="275"/>
      <c r="BJ1633" s="52"/>
      <c r="BK1633" s="35"/>
      <c r="BL1633" s="79"/>
      <c r="BM1633" s="230"/>
      <c r="BN1633" s="211"/>
      <c r="BO1633" s="164"/>
      <c r="BP1633" s="726"/>
      <c r="BQ1633" s="727"/>
      <c r="BR1633" s="299"/>
      <c r="BS1633" s="35"/>
      <c r="BT1633" s="596"/>
      <c r="BU1633" s="79"/>
      <c r="BV1633" s="212"/>
      <c r="BW1633" s="304"/>
      <c r="BX1633" s="313"/>
      <c r="BY1633" s="138"/>
    </row>
    <row r="1634" spans="1:77" ht="15" customHeight="1" outlineLevel="1" x14ac:dyDescent="0.2">
      <c r="A1634" s="583" t="s">
        <v>24</v>
      </c>
      <c r="B1634" s="583"/>
      <c r="C1634" s="583" t="s">
        <v>2407</v>
      </c>
      <c r="D1634" s="546">
        <v>0.55600000000000005</v>
      </c>
      <c r="E1634" s="162" t="s">
        <v>631</v>
      </c>
      <c r="F1634" s="358"/>
      <c r="G1634" s="65"/>
      <c r="H1634" s="73"/>
      <c r="I1634" s="90"/>
      <c r="J1634" s="73"/>
      <c r="K1634" s="790"/>
      <c r="L1634" s="717"/>
      <c r="M1634" s="73"/>
      <c r="N1634" s="786">
        <v>3.0539999999999999E-3</v>
      </c>
      <c r="O1634" s="1041"/>
      <c r="P1634" s="73"/>
      <c r="Q1634" s="738"/>
      <c r="R1634" s="1041"/>
      <c r="S1634" s="73"/>
      <c r="T1634" s="738"/>
      <c r="U1634" s="73"/>
      <c r="V1634" s="66"/>
      <c r="W1634" s="788">
        <f t="shared" ref="W1634" si="1486">AA1634*(1+AB1634)</f>
        <v>2.1072599999999999E-6</v>
      </c>
      <c r="X1634" s="789">
        <f t="shared" ref="X1634" si="1487">AA1634*(1+AC1634)</f>
        <v>2.1072599999999999E-6</v>
      </c>
      <c r="Y1634" s="52">
        <v>2010</v>
      </c>
      <c r="Z1634" s="52"/>
      <c r="AA1634" s="787">
        <f>+N1634/1000</f>
        <v>3.0539999999999999E-6</v>
      </c>
      <c r="AB1634" s="256">
        <v>-0.31</v>
      </c>
      <c r="AC1634" s="688">
        <f t="shared" ref="AC1634" si="1488">AB1634</f>
        <v>-0.31</v>
      </c>
      <c r="AD1634" s="164"/>
      <c r="AE1634" s="164"/>
      <c r="AF1634" s="25"/>
      <c r="AG1634" s="26"/>
      <c r="AH1634" s="275"/>
      <c r="AI1634" s="52"/>
      <c r="AJ1634" s="35"/>
      <c r="AK1634" s="289"/>
      <c r="AL1634" s="290"/>
      <c r="AM1634" s="211"/>
      <c r="AN1634" s="164"/>
      <c r="AO1634" s="594"/>
      <c r="AP1634" s="595"/>
      <c r="AQ1634" s="275"/>
      <c r="AR1634" s="52"/>
      <c r="AS1634" s="596"/>
      <c r="AT1634" s="79"/>
      <c r="AU1634" s="212"/>
      <c r="AV1634" s="164"/>
      <c r="AW1634" s="164"/>
      <c r="AX1634" s="76"/>
      <c r="AY1634" s="44"/>
      <c r="AZ1634" s="275"/>
      <c r="BA1634" s="52"/>
      <c r="BB1634" s="35"/>
      <c r="BC1634" s="79"/>
      <c r="BD1634" s="230"/>
      <c r="BE1634" s="211"/>
      <c r="BF1634" s="164"/>
      <c r="BG1634" s="76"/>
      <c r="BH1634" s="44"/>
      <c r="BI1634" s="275"/>
      <c r="BJ1634" s="52"/>
      <c r="BK1634" s="35"/>
      <c r="BL1634" s="79"/>
      <c r="BM1634" s="230"/>
      <c r="BN1634" s="211"/>
      <c r="BO1634" s="164"/>
      <c r="BP1634" s="726"/>
      <c r="BQ1634" s="727"/>
      <c r="BR1634" s="299"/>
      <c r="BS1634" s="35"/>
      <c r="BT1634" s="596"/>
      <c r="BU1634" s="79"/>
      <c r="BV1634" s="212"/>
      <c r="BW1634" s="304"/>
      <c r="BX1634" s="313"/>
      <c r="BY1634" s="138"/>
    </row>
    <row r="1635" spans="1:77" ht="15" customHeight="1" outlineLevel="1" x14ac:dyDescent="0.2">
      <c r="A1635" s="57" t="s">
        <v>24</v>
      </c>
      <c r="B1635" s="583"/>
      <c r="C1635" s="583" t="s">
        <v>1306</v>
      </c>
      <c r="D1635" s="546">
        <v>14.553000000000001</v>
      </c>
      <c r="E1635" s="162" t="s">
        <v>631</v>
      </c>
      <c r="F1635" s="358"/>
      <c r="G1635" s="65"/>
      <c r="H1635" s="73"/>
      <c r="I1635" s="90"/>
      <c r="J1635" s="73"/>
      <c r="K1635" s="734"/>
      <c r="L1635" s="717">
        <v>2009</v>
      </c>
      <c r="M1635" s="73"/>
      <c r="N1635" s="359">
        <v>5.1551E-2</v>
      </c>
      <c r="O1635" s="1041"/>
      <c r="P1635" s="73"/>
      <c r="Q1635" s="359"/>
      <c r="R1635" s="1041"/>
      <c r="S1635" s="73"/>
      <c r="T1635" s="359"/>
      <c r="U1635" s="73"/>
      <c r="V1635" s="66"/>
      <c r="W1635" s="740">
        <f t="shared" si="1420"/>
        <v>3.0930599999999998E-5</v>
      </c>
      <c r="X1635" s="741">
        <f t="shared" si="1421"/>
        <v>3.0930599999999998E-5</v>
      </c>
      <c r="Y1635" s="52">
        <v>2007</v>
      </c>
      <c r="Z1635" s="52"/>
      <c r="AA1635" s="739">
        <f>+N1635/1000</f>
        <v>5.1551000000000002E-5</v>
      </c>
      <c r="AB1635" s="256">
        <v>-0.4</v>
      </c>
      <c r="AC1635" s="688">
        <f t="shared" si="1466"/>
        <v>-0.4</v>
      </c>
      <c r="AD1635" s="164"/>
      <c r="AE1635" s="164"/>
      <c r="AF1635" s="25"/>
      <c r="AG1635" s="26"/>
      <c r="AH1635" s="275"/>
      <c r="AI1635" s="52"/>
      <c r="AJ1635" s="35"/>
      <c r="AK1635" s="289"/>
      <c r="AL1635" s="290"/>
      <c r="AM1635" s="211"/>
      <c r="AN1635" s="164"/>
      <c r="AO1635" s="594"/>
      <c r="AP1635" s="595"/>
      <c r="AQ1635" s="275"/>
      <c r="AR1635" s="52"/>
      <c r="AS1635" s="596"/>
      <c r="AT1635" s="79"/>
      <c r="AU1635" s="212"/>
      <c r="AV1635" s="164"/>
      <c r="AW1635" s="164"/>
      <c r="AX1635" s="76"/>
      <c r="AY1635" s="44"/>
      <c r="AZ1635" s="275"/>
      <c r="BA1635" s="52"/>
      <c r="BB1635" s="35"/>
      <c r="BC1635" s="79"/>
      <c r="BD1635" s="230"/>
      <c r="BE1635" s="211"/>
      <c r="BF1635" s="164"/>
      <c r="BG1635" s="76"/>
      <c r="BH1635" s="44"/>
      <c r="BI1635" s="275"/>
      <c r="BJ1635" s="52"/>
      <c r="BK1635" s="35"/>
      <c r="BL1635" s="79"/>
      <c r="BM1635" s="230"/>
      <c r="BN1635" s="211"/>
      <c r="BO1635" s="164"/>
      <c r="BP1635" s="726"/>
      <c r="BQ1635" s="727"/>
      <c r="BR1635" s="299"/>
      <c r="BS1635" s="35"/>
      <c r="BT1635" s="596"/>
      <c r="BU1635" s="79"/>
      <c r="BV1635" s="212"/>
      <c r="BW1635" s="304"/>
      <c r="BX1635" s="313"/>
      <c r="BY1635" s="138"/>
    </row>
    <row r="1636" spans="1:77" ht="15" customHeight="1" outlineLevel="1" x14ac:dyDescent="0.2">
      <c r="A1636" s="57" t="s">
        <v>24</v>
      </c>
      <c r="B1636" s="583"/>
      <c r="C1636" s="583" t="s">
        <v>2258</v>
      </c>
      <c r="D1636" s="546">
        <v>87</v>
      </c>
      <c r="E1636" s="162" t="s">
        <v>2259</v>
      </c>
      <c r="F1636" s="358"/>
      <c r="G1636" s="65"/>
      <c r="H1636" s="73"/>
      <c r="I1636" s="90"/>
      <c r="J1636" s="73"/>
      <c r="K1636" s="734">
        <v>0.41168199999999999</v>
      </c>
      <c r="L1636" s="717"/>
      <c r="M1636" s="73"/>
      <c r="N1636" s="359"/>
      <c r="O1636" s="1041"/>
      <c r="P1636" s="73"/>
      <c r="Q1636" s="359"/>
      <c r="R1636" s="1041"/>
      <c r="S1636" s="73"/>
      <c r="T1636" s="359"/>
      <c r="U1636" s="73"/>
      <c r="V1636" s="66"/>
      <c r="W1636" s="740">
        <f t="shared" si="1420"/>
        <v>3.2934559999999997E-4</v>
      </c>
      <c r="X1636" s="741">
        <f t="shared" si="1421"/>
        <v>3.2934559999999997E-4</v>
      </c>
      <c r="Y1636" s="52">
        <v>2005</v>
      </c>
      <c r="Z1636" s="52"/>
      <c r="AA1636" s="739">
        <f>+K1636/1000</f>
        <v>4.1168199999999997E-4</v>
      </c>
      <c r="AB1636" s="256">
        <v>-0.2</v>
      </c>
      <c r="AC1636" s="688">
        <f t="shared" ref="AC1636" si="1489">AB1636</f>
        <v>-0.2</v>
      </c>
      <c r="AD1636" s="164"/>
      <c r="AE1636" s="164"/>
      <c r="AF1636" s="25"/>
      <c r="AG1636" s="26"/>
      <c r="AH1636" s="275"/>
      <c r="AI1636" s="52"/>
      <c r="AJ1636" s="35"/>
      <c r="AK1636" s="289"/>
      <c r="AL1636" s="290"/>
      <c r="AM1636" s="211"/>
      <c r="AN1636" s="164"/>
      <c r="AO1636" s="594"/>
      <c r="AP1636" s="595"/>
      <c r="AQ1636" s="275"/>
      <c r="AR1636" s="52"/>
      <c r="AS1636" s="596"/>
      <c r="AT1636" s="79"/>
      <c r="AU1636" s="212"/>
      <c r="AV1636" s="164"/>
      <c r="AW1636" s="164"/>
      <c r="AX1636" s="76"/>
      <c r="AY1636" s="44"/>
      <c r="AZ1636" s="275"/>
      <c r="BA1636" s="52"/>
      <c r="BB1636" s="35"/>
      <c r="BC1636" s="79"/>
      <c r="BD1636" s="230"/>
      <c r="BE1636" s="211"/>
      <c r="BF1636" s="164"/>
      <c r="BG1636" s="76"/>
      <c r="BH1636" s="44"/>
      <c r="BI1636" s="275"/>
      <c r="BJ1636" s="52"/>
      <c r="BK1636" s="35"/>
      <c r="BL1636" s="79"/>
      <c r="BM1636" s="230"/>
      <c r="BN1636" s="211"/>
      <c r="BO1636" s="164"/>
      <c r="BP1636" s="726"/>
      <c r="BQ1636" s="727"/>
      <c r="BR1636" s="299"/>
      <c r="BS1636" s="35"/>
      <c r="BT1636" s="596"/>
      <c r="BU1636" s="79"/>
      <c r="BV1636" s="212"/>
      <c r="BW1636" s="304"/>
      <c r="BX1636" s="313"/>
      <c r="BY1636" s="138"/>
    </row>
    <row r="1637" spans="1:77" ht="15" customHeight="1" outlineLevel="1" x14ac:dyDescent="0.2">
      <c r="A1637" s="583" t="s">
        <v>24</v>
      </c>
      <c r="B1637" s="583"/>
      <c r="C1637" s="583" t="s">
        <v>1967</v>
      </c>
      <c r="D1637" s="546">
        <v>1.466</v>
      </c>
      <c r="E1637" s="162" t="s">
        <v>631</v>
      </c>
      <c r="F1637" s="358"/>
      <c r="G1637" s="65"/>
      <c r="H1637" s="73"/>
      <c r="I1637" s="90">
        <v>2004</v>
      </c>
      <c r="J1637" s="73"/>
      <c r="K1637" s="734">
        <v>5.764E-3</v>
      </c>
      <c r="L1637" s="717"/>
      <c r="M1637" s="73"/>
      <c r="N1637" s="359"/>
      <c r="O1637" s="1041"/>
      <c r="P1637" s="73"/>
      <c r="Q1637" s="359"/>
      <c r="R1637" s="1041"/>
      <c r="S1637" s="73"/>
      <c r="T1637" s="359"/>
      <c r="U1637" s="73"/>
      <c r="V1637" s="66"/>
      <c r="W1637" s="740">
        <f t="shared" ref="W1637" si="1490">AA1637*(1+AB1637)</f>
        <v>4.2077200000000001E-6</v>
      </c>
      <c r="X1637" s="741">
        <f t="shared" ref="X1637" si="1491">AA1637*(1+AC1637)</f>
        <v>4.2077200000000001E-6</v>
      </c>
      <c r="Y1637" s="52">
        <v>2004</v>
      </c>
      <c r="Z1637" s="52"/>
      <c r="AA1637" s="739">
        <f>+K1637/1000</f>
        <v>5.7640000000000002E-6</v>
      </c>
      <c r="AB1637" s="256">
        <v>-0.27</v>
      </c>
      <c r="AC1637" s="688">
        <f t="shared" si="1466"/>
        <v>-0.27</v>
      </c>
      <c r="AD1637" s="164"/>
      <c r="AE1637" s="164"/>
      <c r="AF1637" s="25"/>
      <c r="AG1637" s="26"/>
      <c r="AH1637" s="275"/>
      <c r="AI1637" s="52"/>
      <c r="AJ1637" s="35"/>
      <c r="AK1637" s="289"/>
      <c r="AL1637" s="290"/>
      <c r="AM1637" s="211"/>
      <c r="AN1637" s="164"/>
      <c r="AO1637" s="594"/>
      <c r="AP1637" s="595"/>
      <c r="AQ1637" s="275"/>
      <c r="AR1637" s="52"/>
      <c r="AS1637" s="596"/>
      <c r="AT1637" s="79"/>
      <c r="AU1637" s="212"/>
      <c r="AV1637" s="164"/>
      <c r="AW1637" s="164"/>
      <c r="AX1637" s="76"/>
      <c r="AY1637" s="44"/>
      <c r="AZ1637" s="275"/>
      <c r="BA1637" s="52"/>
      <c r="BB1637" s="35"/>
      <c r="BC1637" s="79"/>
      <c r="BD1637" s="230"/>
      <c r="BE1637" s="211"/>
      <c r="BF1637" s="164"/>
      <c r="BG1637" s="76"/>
      <c r="BH1637" s="44"/>
      <c r="BI1637" s="275"/>
      <c r="BJ1637" s="52"/>
      <c r="BK1637" s="35"/>
      <c r="BL1637" s="79"/>
      <c r="BM1637" s="230"/>
      <c r="BN1637" s="211"/>
      <c r="BO1637" s="164"/>
      <c r="BP1637" s="726"/>
      <c r="BQ1637" s="727"/>
      <c r="BR1637" s="299"/>
      <c r="BS1637" s="35"/>
      <c r="BT1637" s="596"/>
      <c r="BU1637" s="79"/>
      <c r="BV1637" s="212"/>
      <c r="BW1637" s="304"/>
      <c r="BX1637" s="313"/>
      <c r="BY1637" s="138"/>
    </row>
    <row r="1638" spans="1:77" ht="15" customHeight="1" outlineLevel="1" x14ac:dyDescent="0.2">
      <c r="A1638" s="583" t="s">
        <v>24</v>
      </c>
      <c r="B1638" s="583"/>
      <c r="C1638" s="583" t="s">
        <v>1783</v>
      </c>
      <c r="D1638" s="546">
        <v>3.84</v>
      </c>
      <c r="E1638" s="162" t="s">
        <v>631</v>
      </c>
      <c r="F1638" s="358"/>
      <c r="G1638" s="65"/>
      <c r="H1638" s="73"/>
      <c r="I1638" s="90"/>
      <c r="J1638" s="73"/>
      <c r="K1638" s="734">
        <v>1.3050000000000001E-2</v>
      </c>
      <c r="L1638" s="717"/>
      <c r="M1638" s="73"/>
      <c r="N1638" s="359"/>
      <c r="O1638" s="1041"/>
      <c r="P1638" s="73"/>
      <c r="Q1638" s="359"/>
      <c r="R1638" s="1041"/>
      <c r="S1638" s="73"/>
      <c r="T1638" s="359"/>
      <c r="U1638" s="73"/>
      <c r="V1638" s="66"/>
      <c r="W1638" s="788">
        <f t="shared" ref="W1638" si="1492">AA1638*(1+AB1638)</f>
        <v>9.7875000000000007E-6</v>
      </c>
      <c r="X1638" s="789">
        <f t="shared" ref="X1638" si="1493">AA1638*(1+AC1638)</f>
        <v>9.7875000000000007E-6</v>
      </c>
      <c r="Y1638" s="52">
        <v>2005</v>
      </c>
      <c r="Z1638" s="52"/>
      <c r="AA1638" s="787">
        <f>+K1638/1000</f>
        <v>1.305E-5</v>
      </c>
      <c r="AB1638" s="256">
        <v>-0.25</v>
      </c>
      <c r="AC1638" s="688">
        <f t="shared" si="1466"/>
        <v>-0.25</v>
      </c>
      <c r="AD1638" s="164"/>
      <c r="AE1638" s="164"/>
      <c r="AF1638" s="25"/>
      <c r="AG1638" s="26"/>
      <c r="AH1638" s="275"/>
      <c r="AI1638" s="52"/>
      <c r="AJ1638" s="35"/>
      <c r="AK1638" s="289"/>
      <c r="AL1638" s="290"/>
      <c r="AM1638" s="211"/>
      <c r="AN1638" s="164"/>
      <c r="AO1638" s="594"/>
      <c r="AP1638" s="595"/>
      <c r="AQ1638" s="275"/>
      <c r="AR1638" s="52"/>
      <c r="AS1638" s="596"/>
      <c r="AT1638" s="79"/>
      <c r="AU1638" s="212"/>
      <c r="AV1638" s="164"/>
      <c r="AW1638" s="164"/>
      <c r="AX1638" s="76"/>
      <c r="AY1638" s="44"/>
      <c r="AZ1638" s="275"/>
      <c r="BA1638" s="52"/>
      <c r="BB1638" s="35"/>
      <c r="BC1638" s="79"/>
      <c r="BD1638" s="230"/>
      <c r="BE1638" s="211"/>
      <c r="BF1638" s="164"/>
      <c r="BG1638" s="76"/>
      <c r="BH1638" s="44"/>
      <c r="BI1638" s="275"/>
      <c r="BJ1638" s="52"/>
      <c r="BK1638" s="35"/>
      <c r="BL1638" s="79"/>
      <c r="BM1638" s="230"/>
      <c r="BN1638" s="211"/>
      <c r="BO1638" s="164"/>
      <c r="BP1638" s="726"/>
      <c r="BQ1638" s="727"/>
      <c r="BR1638" s="299"/>
      <c r="BS1638" s="35"/>
      <c r="BT1638" s="596"/>
      <c r="BU1638" s="79"/>
      <c r="BV1638" s="212"/>
      <c r="BW1638" s="304"/>
      <c r="BX1638" s="313"/>
      <c r="BY1638" s="138"/>
    </row>
    <row r="1639" spans="1:77" ht="15" customHeight="1" outlineLevel="1" x14ac:dyDescent="0.2">
      <c r="A1639" s="57" t="s">
        <v>24</v>
      </c>
      <c r="B1639" s="583"/>
      <c r="C1639" s="583" t="s">
        <v>1605</v>
      </c>
      <c r="D1639" s="546">
        <v>57.454999999999998</v>
      </c>
      <c r="E1639" s="162" t="s">
        <v>631</v>
      </c>
      <c r="F1639" s="358"/>
      <c r="G1639" s="65"/>
      <c r="H1639" s="73"/>
      <c r="I1639" s="90"/>
      <c r="J1639" s="73"/>
      <c r="K1639" s="734"/>
      <c r="L1639" s="717"/>
      <c r="M1639" s="73"/>
      <c r="N1639" s="359">
        <v>8.3127999999999994E-2</v>
      </c>
      <c r="O1639" s="1041"/>
      <c r="P1639" s="73"/>
      <c r="Q1639" s="359"/>
      <c r="R1639" s="1041"/>
      <c r="S1639" s="73"/>
      <c r="T1639" s="359"/>
      <c r="U1639" s="73"/>
      <c r="V1639" s="66"/>
      <c r="W1639" s="740">
        <f t="shared" si="1420"/>
        <v>5.2370639999999999E-5</v>
      </c>
      <c r="X1639" s="741">
        <f t="shared" si="1421"/>
        <v>5.2370639999999999E-5</v>
      </c>
      <c r="Y1639" s="52">
        <v>2010</v>
      </c>
      <c r="Z1639" s="52"/>
      <c r="AA1639" s="739">
        <f>+N1639/1000</f>
        <v>8.3127999999999994E-5</v>
      </c>
      <c r="AB1639" s="256">
        <v>-0.37</v>
      </c>
      <c r="AC1639" s="688">
        <f t="shared" si="1466"/>
        <v>-0.37</v>
      </c>
      <c r="AD1639" s="164"/>
      <c r="AE1639" s="164"/>
      <c r="AF1639" s="25"/>
      <c r="AG1639" s="26"/>
      <c r="AH1639" s="275"/>
      <c r="AI1639" s="52"/>
      <c r="AJ1639" s="35"/>
      <c r="AK1639" s="289"/>
      <c r="AL1639" s="290"/>
      <c r="AM1639" s="211"/>
      <c r="AN1639" s="164"/>
      <c r="AO1639" s="594"/>
      <c r="AP1639" s="595"/>
      <c r="AQ1639" s="275"/>
      <c r="AR1639" s="52"/>
      <c r="AS1639" s="596"/>
      <c r="AT1639" s="79"/>
      <c r="AU1639" s="212"/>
      <c r="AV1639" s="164"/>
      <c r="AW1639" s="164"/>
      <c r="AX1639" s="76"/>
      <c r="AY1639" s="44"/>
      <c r="AZ1639" s="275"/>
      <c r="BA1639" s="52"/>
      <c r="BB1639" s="35"/>
      <c r="BC1639" s="79"/>
      <c r="BD1639" s="230"/>
      <c r="BE1639" s="211"/>
      <c r="BF1639" s="164"/>
      <c r="BG1639" s="76"/>
      <c r="BH1639" s="44"/>
      <c r="BI1639" s="275"/>
      <c r="BJ1639" s="52"/>
      <c r="BK1639" s="35"/>
      <c r="BL1639" s="79"/>
      <c r="BM1639" s="230"/>
      <c r="BN1639" s="211"/>
      <c r="BO1639" s="164"/>
      <c r="BP1639" s="726"/>
      <c r="BQ1639" s="727"/>
      <c r="BR1639" s="299"/>
      <c r="BS1639" s="35"/>
      <c r="BT1639" s="596"/>
      <c r="BU1639" s="79"/>
      <c r="BV1639" s="212"/>
      <c r="BW1639" s="304"/>
      <c r="BX1639" s="313"/>
      <c r="BY1639" s="138"/>
    </row>
    <row r="1640" spans="1:77" ht="15" customHeight="1" outlineLevel="1" x14ac:dyDescent="0.2">
      <c r="A1640" s="57" t="s">
        <v>24</v>
      </c>
      <c r="B1640" s="583"/>
      <c r="C1640" s="583" t="s">
        <v>2392</v>
      </c>
      <c r="D1640" s="546">
        <v>2.1509999999999998</v>
      </c>
      <c r="E1640" s="162" t="s">
        <v>631</v>
      </c>
      <c r="F1640" s="358"/>
      <c r="G1640" s="65"/>
      <c r="H1640" s="73"/>
      <c r="I1640" s="90">
        <v>2007</v>
      </c>
      <c r="J1640" s="73"/>
      <c r="K1640" s="734">
        <v>1.2336E-2</v>
      </c>
      <c r="L1640" s="717"/>
      <c r="M1640" s="73"/>
      <c r="N1640" s="359"/>
      <c r="O1640" s="1041"/>
      <c r="P1640" s="73"/>
      <c r="Q1640" s="359"/>
      <c r="R1640" s="1041"/>
      <c r="S1640" s="73"/>
      <c r="T1640" s="359"/>
      <c r="U1640" s="73"/>
      <c r="V1640" s="66"/>
      <c r="W1640" s="788">
        <f t="shared" ref="W1640" si="1494">AA1640*(1+AB1640)</f>
        <v>7.2782400000000011E-6</v>
      </c>
      <c r="X1640" s="789">
        <f t="shared" ref="X1640" si="1495">AA1640*(1+AC1640)</f>
        <v>7.2782400000000011E-6</v>
      </c>
      <c r="Y1640" s="52">
        <v>2007</v>
      </c>
      <c r="Z1640" s="52"/>
      <c r="AA1640" s="787">
        <f>+K1640/1000</f>
        <v>1.2336E-5</v>
      </c>
      <c r="AB1640" s="256">
        <v>-0.41</v>
      </c>
      <c r="AC1640" s="688">
        <f t="shared" ref="AC1640" si="1496">AB1640</f>
        <v>-0.41</v>
      </c>
      <c r="AD1640" s="164"/>
      <c r="AE1640" s="164"/>
      <c r="AF1640" s="25"/>
      <c r="AG1640" s="26"/>
      <c r="AH1640" s="275"/>
      <c r="AI1640" s="52"/>
      <c r="AJ1640" s="35"/>
      <c r="AK1640" s="289"/>
      <c r="AL1640" s="290"/>
      <c r="AM1640" s="211"/>
      <c r="AN1640" s="164"/>
      <c r="AO1640" s="594"/>
      <c r="AP1640" s="595"/>
      <c r="AQ1640" s="275"/>
      <c r="AR1640" s="52"/>
      <c r="AS1640" s="596"/>
      <c r="AT1640" s="79"/>
      <c r="AU1640" s="212"/>
      <c r="AV1640" s="164"/>
      <c r="AW1640" s="164"/>
      <c r="AX1640" s="76"/>
      <c r="AY1640" s="44"/>
      <c r="AZ1640" s="275"/>
      <c r="BA1640" s="52"/>
      <c r="BB1640" s="35"/>
      <c r="BC1640" s="79"/>
      <c r="BD1640" s="230"/>
      <c r="BE1640" s="211"/>
      <c r="BF1640" s="164"/>
      <c r="BG1640" s="76"/>
      <c r="BH1640" s="44"/>
      <c r="BI1640" s="275"/>
      <c r="BJ1640" s="52"/>
      <c r="BK1640" s="35"/>
      <c r="BL1640" s="79"/>
      <c r="BM1640" s="230"/>
      <c r="BN1640" s="211"/>
      <c r="BO1640" s="164"/>
      <c r="BP1640" s="726"/>
      <c r="BQ1640" s="727"/>
      <c r="BR1640" s="299"/>
      <c r="BS1640" s="35"/>
      <c r="BT1640" s="596"/>
      <c r="BU1640" s="79"/>
      <c r="BV1640" s="212"/>
      <c r="BW1640" s="304"/>
      <c r="BX1640" s="313"/>
      <c r="BY1640" s="138"/>
    </row>
    <row r="1641" spans="1:77" ht="15" customHeight="1" outlineLevel="1" x14ac:dyDescent="0.2">
      <c r="A1641" s="57" t="s">
        <v>24</v>
      </c>
      <c r="B1641" s="583"/>
      <c r="C1641" s="583" t="s">
        <v>1288</v>
      </c>
      <c r="D1641" s="546">
        <v>6.952</v>
      </c>
      <c r="E1641" s="162" t="s">
        <v>631</v>
      </c>
      <c r="F1641" s="358"/>
      <c r="G1641" s="65"/>
      <c r="H1641" s="73"/>
      <c r="I1641" s="90"/>
      <c r="J1641" s="73"/>
      <c r="K1641" s="734"/>
      <c r="L1641" s="717">
        <v>2011</v>
      </c>
      <c r="M1641" s="73"/>
      <c r="N1641" s="738">
        <v>1.2407E-2</v>
      </c>
      <c r="O1641" s="1041"/>
      <c r="P1641" s="73"/>
      <c r="Q1641" s="738"/>
      <c r="R1641" s="1041"/>
      <c r="S1641" s="73"/>
      <c r="T1641" s="738"/>
      <c r="U1641" s="73"/>
      <c r="V1641" s="66"/>
      <c r="W1641" s="788">
        <f t="shared" si="1420"/>
        <v>8.4367599999999992E-6</v>
      </c>
      <c r="X1641" s="789">
        <f t="shared" si="1421"/>
        <v>8.4367599999999992E-6</v>
      </c>
      <c r="Y1641" s="52">
        <v>2011</v>
      </c>
      <c r="Z1641" s="52"/>
      <c r="AA1641" s="787">
        <f>+N1641/1000</f>
        <v>1.2407E-5</v>
      </c>
      <c r="AB1641" s="256">
        <v>-0.32</v>
      </c>
      <c r="AC1641" s="688">
        <f t="shared" si="1466"/>
        <v>-0.32</v>
      </c>
      <c r="AD1641" s="164"/>
      <c r="AE1641" s="164"/>
      <c r="AF1641" s="25"/>
      <c r="AG1641" s="26"/>
      <c r="AH1641" s="275"/>
      <c r="AI1641" s="52"/>
      <c r="AJ1641" s="35"/>
      <c r="AK1641" s="289"/>
      <c r="AL1641" s="290"/>
      <c r="AM1641" s="211"/>
      <c r="AN1641" s="164"/>
      <c r="AO1641" s="594"/>
      <c r="AP1641" s="595"/>
      <c r="AQ1641" s="275"/>
      <c r="AR1641" s="52"/>
      <c r="AS1641" s="596"/>
      <c r="AT1641" s="79"/>
      <c r="AU1641" s="212"/>
      <c r="AV1641" s="164"/>
      <c r="AW1641" s="164"/>
      <c r="AX1641" s="76"/>
      <c r="AY1641" s="44"/>
      <c r="AZ1641" s="275"/>
      <c r="BA1641" s="52"/>
      <c r="BB1641" s="35"/>
      <c r="BC1641" s="79"/>
      <c r="BD1641" s="230"/>
      <c r="BE1641" s="211"/>
      <c r="BF1641" s="164"/>
      <c r="BG1641" s="76"/>
      <c r="BH1641" s="44"/>
      <c r="BI1641" s="275"/>
      <c r="BJ1641" s="52"/>
      <c r="BK1641" s="35"/>
      <c r="BL1641" s="79"/>
      <c r="BM1641" s="230"/>
      <c r="BN1641" s="211"/>
      <c r="BO1641" s="164"/>
      <c r="BP1641" s="726"/>
      <c r="BQ1641" s="727"/>
      <c r="BR1641" s="299"/>
      <c r="BS1641" s="35"/>
      <c r="BT1641" s="596"/>
      <c r="BU1641" s="79"/>
      <c r="BV1641" s="212"/>
      <c r="BW1641" s="304"/>
      <c r="BX1641" s="313"/>
      <c r="BY1641" s="138"/>
    </row>
    <row r="1642" spans="1:77" ht="15" customHeight="1" outlineLevel="1" x14ac:dyDescent="0.2">
      <c r="A1642" s="583" t="s">
        <v>24</v>
      </c>
      <c r="B1642" s="583"/>
      <c r="C1642" s="583" t="s">
        <v>1944</v>
      </c>
      <c r="D1642" s="546">
        <v>6.52</v>
      </c>
      <c r="E1642" s="162" t="s">
        <v>631</v>
      </c>
      <c r="F1642" s="358"/>
      <c r="G1642" s="65"/>
      <c r="H1642" s="73"/>
      <c r="I1642" s="90">
        <v>2004</v>
      </c>
      <c r="J1642" s="73"/>
      <c r="K1642" s="734">
        <v>2.7903000000000001E-2</v>
      </c>
      <c r="L1642" s="717"/>
      <c r="M1642" s="73"/>
      <c r="N1642" s="738"/>
      <c r="O1642" s="1041"/>
      <c r="P1642" s="73"/>
      <c r="Q1642" s="738"/>
      <c r="R1642" s="1041"/>
      <c r="S1642" s="73"/>
      <c r="T1642" s="738"/>
      <c r="U1642" s="73"/>
      <c r="V1642" s="66"/>
      <c r="W1642" s="788"/>
      <c r="X1642" s="789"/>
      <c r="Y1642" s="52"/>
      <c r="Z1642" s="52"/>
      <c r="AA1642" s="787"/>
      <c r="AB1642" s="256"/>
      <c r="AC1642" s="688"/>
      <c r="AD1642" s="164"/>
      <c r="AE1642" s="164"/>
      <c r="AF1642" s="25"/>
      <c r="AG1642" s="26"/>
      <c r="AH1642" s="275"/>
      <c r="AI1642" s="52"/>
      <c r="AJ1642" s="35"/>
      <c r="AK1642" s="289"/>
      <c r="AL1642" s="290"/>
      <c r="AM1642" s="211"/>
      <c r="AN1642" s="164"/>
      <c r="AO1642" s="594"/>
      <c r="AP1642" s="595"/>
      <c r="AQ1642" s="275"/>
      <c r="AR1642" s="52"/>
      <c r="AS1642" s="596"/>
      <c r="AT1642" s="79"/>
      <c r="AU1642" s="212"/>
      <c r="AV1642" s="164"/>
      <c r="AW1642" s="164"/>
      <c r="AX1642" s="76"/>
      <c r="AY1642" s="44"/>
      <c r="AZ1642" s="275"/>
      <c r="BA1642" s="52"/>
      <c r="BB1642" s="35"/>
      <c r="BC1642" s="79"/>
      <c r="BD1642" s="230"/>
      <c r="BE1642" s="211"/>
      <c r="BF1642" s="164"/>
      <c r="BG1642" s="76"/>
      <c r="BH1642" s="44"/>
      <c r="BI1642" s="275"/>
      <c r="BJ1642" s="52"/>
      <c r="BK1642" s="35"/>
      <c r="BL1642" s="79"/>
      <c r="BM1642" s="230"/>
      <c r="BN1642" s="211"/>
      <c r="BO1642" s="164"/>
      <c r="BP1642" s="726"/>
      <c r="BQ1642" s="727"/>
      <c r="BR1642" s="299"/>
      <c r="BS1642" s="35"/>
      <c r="BT1642" s="596"/>
      <c r="BU1642" s="79"/>
      <c r="BV1642" s="212"/>
      <c r="BW1642" s="304"/>
      <c r="BX1642" s="313"/>
      <c r="BY1642" s="138"/>
    </row>
    <row r="1643" spans="1:77" ht="15" customHeight="1" outlineLevel="1" x14ac:dyDescent="0.2">
      <c r="A1643" s="583" t="s">
        <v>24</v>
      </c>
      <c r="B1643" s="583"/>
      <c r="C1643" s="583" t="s">
        <v>1891</v>
      </c>
      <c r="D1643" s="546">
        <v>2.778</v>
      </c>
      <c r="E1643" s="162" t="s">
        <v>631</v>
      </c>
      <c r="F1643" s="358"/>
      <c r="G1643" s="65"/>
      <c r="H1643" s="73"/>
      <c r="I1643" s="90"/>
      <c r="J1643" s="73"/>
      <c r="K1643" s="734"/>
      <c r="L1643" s="717">
        <v>2008</v>
      </c>
      <c r="M1643" s="73"/>
      <c r="N1643" s="738">
        <v>6.0010000000000003E-3</v>
      </c>
      <c r="O1643" s="1041"/>
      <c r="P1643" s="73"/>
      <c r="Q1643" s="738"/>
      <c r="R1643" s="1041"/>
      <c r="S1643" s="73"/>
      <c r="T1643" s="738"/>
      <c r="U1643" s="73"/>
      <c r="V1643" s="66"/>
      <c r="W1643" s="788">
        <f t="shared" si="1420"/>
        <v>4.4407400000000008E-6</v>
      </c>
      <c r="X1643" s="789">
        <f t="shared" si="1421"/>
        <v>4.4407400000000008E-6</v>
      </c>
      <c r="Y1643" s="52">
        <v>2008</v>
      </c>
      <c r="Z1643" s="52"/>
      <c r="AA1643" s="787">
        <f>+N1643/1000</f>
        <v>6.0010000000000007E-6</v>
      </c>
      <c r="AB1643" s="256">
        <v>-0.26</v>
      </c>
      <c r="AC1643" s="688">
        <f t="shared" si="1466"/>
        <v>-0.26</v>
      </c>
      <c r="AD1643" s="164"/>
      <c r="AE1643" s="164"/>
      <c r="AF1643" s="25"/>
      <c r="AG1643" s="26"/>
      <c r="AH1643" s="275"/>
      <c r="AI1643" s="52"/>
      <c r="AJ1643" s="35"/>
      <c r="AK1643" s="289"/>
      <c r="AL1643" s="290"/>
      <c r="AM1643" s="211"/>
      <c r="AN1643" s="164"/>
      <c r="AO1643" s="594"/>
      <c r="AP1643" s="595"/>
      <c r="AQ1643" s="275"/>
      <c r="AR1643" s="52"/>
      <c r="AS1643" s="596"/>
      <c r="AT1643" s="79"/>
      <c r="AU1643" s="212"/>
      <c r="AV1643" s="164"/>
      <c r="AW1643" s="164"/>
      <c r="AX1643" s="76"/>
      <c r="AY1643" s="44"/>
      <c r="AZ1643" s="275"/>
      <c r="BA1643" s="52"/>
      <c r="BB1643" s="35"/>
      <c r="BC1643" s="79"/>
      <c r="BD1643" s="230"/>
      <c r="BE1643" s="211"/>
      <c r="BF1643" s="164"/>
      <c r="BG1643" s="76"/>
      <c r="BH1643" s="44"/>
      <c r="BI1643" s="275"/>
      <c r="BJ1643" s="52"/>
      <c r="BK1643" s="35"/>
      <c r="BL1643" s="79"/>
      <c r="BM1643" s="230"/>
      <c r="BN1643" s="211"/>
      <c r="BO1643" s="164"/>
      <c r="BP1643" s="726"/>
      <c r="BQ1643" s="727"/>
      <c r="BR1643" s="299"/>
      <c r="BS1643" s="35"/>
      <c r="BT1643" s="596"/>
      <c r="BU1643" s="79"/>
      <c r="BV1643" s="212"/>
      <c r="BW1643" s="304"/>
      <c r="BX1643" s="313"/>
      <c r="BY1643" s="138"/>
    </row>
    <row r="1644" spans="1:77" ht="15" customHeight="1" outlineLevel="1" x14ac:dyDescent="0.2">
      <c r="A1644" s="57" t="s">
        <v>24</v>
      </c>
      <c r="B1644" s="583"/>
      <c r="C1644" s="583" t="s">
        <v>1504</v>
      </c>
      <c r="D1644" s="546">
        <v>1.9750000000000001</v>
      </c>
      <c r="E1644" s="162" t="s">
        <v>631</v>
      </c>
      <c r="F1644" s="358"/>
      <c r="G1644" s="65"/>
      <c r="H1644" s="73"/>
      <c r="I1644" s="90">
        <v>2004</v>
      </c>
      <c r="J1644" s="73"/>
      <c r="K1644" s="813">
        <v>1.333E-2</v>
      </c>
      <c r="L1644" s="717"/>
      <c r="M1644" s="73"/>
      <c r="N1644" s="359"/>
      <c r="O1644" s="1041"/>
      <c r="P1644" s="73"/>
      <c r="Q1644" s="359"/>
      <c r="R1644" s="1041"/>
      <c r="S1644" s="73"/>
      <c r="T1644" s="359"/>
      <c r="U1644" s="73"/>
      <c r="V1644" s="66"/>
      <c r="W1644" s="788">
        <f t="shared" si="1420"/>
        <v>8.6644999999999998E-6</v>
      </c>
      <c r="X1644" s="789">
        <f t="shared" si="1421"/>
        <v>8.6644999999999998E-6</v>
      </c>
      <c r="Y1644" s="52">
        <v>2004</v>
      </c>
      <c r="Z1644" s="52"/>
      <c r="AA1644" s="787">
        <f>+K1644/1000</f>
        <v>1.3329999999999999E-5</v>
      </c>
      <c r="AB1644" s="256">
        <v>-0.35</v>
      </c>
      <c r="AC1644" s="688">
        <f t="shared" si="1466"/>
        <v>-0.35</v>
      </c>
      <c r="AD1644" s="164"/>
      <c r="AE1644" s="164"/>
      <c r="AF1644" s="25"/>
      <c r="AG1644" s="26"/>
      <c r="AH1644" s="275"/>
      <c r="AI1644" s="52"/>
      <c r="AJ1644" s="35"/>
      <c r="AK1644" s="289"/>
      <c r="AL1644" s="290"/>
      <c r="AM1644" s="211"/>
      <c r="AN1644" s="164"/>
      <c r="AO1644" s="594"/>
      <c r="AP1644" s="595"/>
      <c r="AQ1644" s="275"/>
      <c r="AR1644" s="52"/>
      <c r="AS1644" s="596"/>
      <c r="AT1644" s="79"/>
      <c r="AU1644" s="212"/>
      <c r="AV1644" s="164"/>
      <c r="AW1644" s="164"/>
      <c r="AX1644" s="76"/>
      <c r="AY1644" s="44"/>
      <c r="AZ1644" s="275"/>
      <c r="BA1644" s="52"/>
      <c r="BB1644" s="35"/>
      <c r="BC1644" s="79"/>
      <c r="BD1644" s="230"/>
      <c r="BE1644" s="211"/>
      <c r="BF1644" s="164"/>
      <c r="BG1644" s="76"/>
      <c r="BH1644" s="44"/>
      <c r="BI1644" s="275"/>
      <c r="BJ1644" s="52"/>
      <c r="BK1644" s="35"/>
      <c r="BL1644" s="79"/>
      <c r="BM1644" s="230"/>
      <c r="BN1644" s="211"/>
      <c r="BO1644" s="164"/>
      <c r="BP1644" s="726"/>
      <c r="BQ1644" s="727"/>
      <c r="BR1644" s="299"/>
      <c r="BS1644" s="35"/>
      <c r="BT1644" s="596"/>
      <c r="BU1644" s="79"/>
      <c r="BV1644" s="212"/>
      <c r="BW1644" s="304"/>
      <c r="BX1644" s="313"/>
      <c r="BY1644" s="138"/>
    </row>
    <row r="1645" spans="1:77" ht="15" customHeight="1" outlineLevel="1" x14ac:dyDescent="0.2">
      <c r="A1645" s="57" t="s">
        <v>24</v>
      </c>
      <c r="B1645" s="583"/>
      <c r="C1645" s="583" t="s">
        <v>1649</v>
      </c>
      <c r="D1645" s="546">
        <v>29</v>
      </c>
      <c r="E1645" s="162" t="s">
        <v>631</v>
      </c>
      <c r="F1645" s="358"/>
      <c r="G1645" s="65"/>
      <c r="H1645" s="73"/>
      <c r="I1645" s="90"/>
      <c r="J1645" s="73"/>
      <c r="K1645" s="813"/>
      <c r="L1645" s="717">
        <v>2011</v>
      </c>
      <c r="M1645" s="73"/>
      <c r="N1645" s="359">
        <v>5.7245999999999998E-2</v>
      </c>
      <c r="O1645" s="1041"/>
      <c r="P1645" s="73"/>
      <c r="Q1645" s="359"/>
      <c r="R1645" s="1041"/>
      <c r="S1645" s="73"/>
      <c r="T1645" s="359"/>
      <c r="U1645" s="73"/>
      <c r="V1645" s="66"/>
      <c r="W1645" s="788">
        <f>AA1645*(1+AB1645)</f>
        <v>4.29345E-5</v>
      </c>
      <c r="X1645" s="789">
        <f t="shared" ref="X1645:X1646" si="1497">AA1645*(1+AC1645)</f>
        <v>4.29345E-5</v>
      </c>
      <c r="Y1645" s="52">
        <v>2011</v>
      </c>
      <c r="Z1645" s="52"/>
      <c r="AA1645" s="787">
        <f>+N1645/1000</f>
        <v>5.7246E-5</v>
      </c>
      <c r="AB1645" s="256">
        <v>-0.25</v>
      </c>
      <c r="AC1645" s="688">
        <f t="shared" si="1466"/>
        <v>-0.25</v>
      </c>
      <c r="AD1645" s="164"/>
      <c r="AE1645" s="164"/>
      <c r="AF1645" s="25"/>
      <c r="AG1645" s="26"/>
      <c r="AH1645" s="275"/>
      <c r="AI1645" s="52"/>
      <c r="AJ1645" s="35"/>
      <c r="AK1645" s="289"/>
      <c r="AL1645" s="290"/>
      <c r="AM1645" s="211"/>
      <c r="AN1645" s="164"/>
      <c r="AO1645" s="594"/>
      <c r="AP1645" s="595"/>
      <c r="AQ1645" s="275"/>
      <c r="AR1645" s="52"/>
      <c r="AS1645" s="596"/>
      <c r="AT1645" s="79"/>
      <c r="AU1645" s="212"/>
      <c r="AV1645" s="164"/>
      <c r="AW1645" s="164"/>
      <c r="AX1645" s="76"/>
      <c r="AY1645" s="44"/>
      <c r="AZ1645" s="275"/>
      <c r="BA1645" s="52"/>
      <c r="BB1645" s="35"/>
      <c r="BC1645" s="79"/>
      <c r="BD1645" s="230"/>
      <c r="BE1645" s="211"/>
      <c r="BF1645" s="164"/>
      <c r="BG1645" s="76"/>
      <c r="BH1645" s="44"/>
      <c r="BI1645" s="275"/>
      <c r="BJ1645" s="52"/>
      <c r="BK1645" s="35"/>
      <c r="BL1645" s="79"/>
      <c r="BM1645" s="230"/>
      <c r="BN1645" s="211"/>
      <c r="BO1645" s="164"/>
      <c r="BP1645" s="726"/>
      <c r="BQ1645" s="727"/>
      <c r="BR1645" s="299"/>
      <c r="BS1645" s="35"/>
      <c r="BT1645" s="596"/>
      <c r="BU1645" s="79"/>
      <c r="BV1645" s="212"/>
      <c r="BW1645" s="304"/>
      <c r="BX1645" s="313"/>
      <c r="BY1645" s="138"/>
    </row>
    <row r="1646" spans="1:77" ht="15" customHeight="1" outlineLevel="1" x14ac:dyDescent="0.2">
      <c r="A1646" s="583" t="s">
        <v>24</v>
      </c>
      <c r="B1646" s="583"/>
      <c r="C1646" s="583" t="s">
        <v>1731</v>
      </c>
      <c r="D1646" s="546">
        <v>0.95299999999999996</v>
      </c>
      <c r="E1646" s="162" t="s">
        <v>631</v>
      </c>
      <c r="F1646" s="358"/>
      <c r="G1646" s="65"/>
      <c r="H1646" s="73"/>
      <c r="I1646" s="90"/>
      <c r="J1646" s="73"/>
      <c r="K1646" s="813"/>
      <c r="L1646" s="717">
        <v>2011</v>
      </c>
      <c r="M1646" s="73"/>
      <c r="N1646" s="359">
        <v>4.0899999999999999E-3</v>
      </c>
      <c r="O1646" s="1041"/>
      <c r="P1646" s="73"/>
      <c r="Q1646" s="359"/>
      <c r="R1646" s="1041"/>
      <c r="S1646" s="73"/>
      <c r="T1646" s="359"/>
      <c r="U1646" s="73"/>
      <c r="V1646" s="66"/>
      <c r="W1646" s="788">
        <f>AA1646*(1+AB1646)</f>
        <v>3.0674999999999999E-6</v>
      </c>
      <c r="X1646" s="789">
        <f t="shared" si="1497"/>
        <v>3.0674999999999999E-6</v>
      </c>
      <c r="Y1646" s="52">
        <v>2011</v>
      </c>
      <c r="Z1646" s="52"/>
      <c r="AA1646" s="787">
        <f>+N1646/1000</f>
        <v>4.0899999999999998E-6</v>
      </c>
      <c r="AB1646" s="256">
        <v>-0.25</v>
      </c>
      <c r="AC1646" s="688">
        <f t="shared" si="1466"/>
        <v>-0.25</v>
      </c>
      <c r="AD1646" s="164"/>
      <c r="AE1646" s="164"/>
      <c r="AF1646" s="25"/>
      <c r="AG1646" s="26"/>
      <c r="AH1646" s="275"/>
      <c r="AI1646" s="52"/>
      <c r="AJ1646" s="35"/>
      <c r="AK1646" s="289"/>
      <c r="AL1646" s="290"/>
      <c r="AM1646" s="211"/>
      <c r="AN1646" s="164"/>
      <c r="AO1646" s="594"/>
      <c r="AP1646" s="595"/>
      <c r="AQ1646" s="275"/>
      <c r="AR1646" s="52"/>
      <c r="AS1646" s="596"/>
      <c r="AT1646" s="79"/>
      <c r="AU1646" s="212"/>
      <c r="AV1646" s="164"/>
      <c r="AW1646" s="164"/>
      <c r="AX1646" s="76"/>
      <c r="AY1646" s="44"/>
      <c r="AZ1646" s="275"/>
      <c r="BA1646" s="52"/>
      <c r="BB1646" s="35"/>
      <c r="BC1646" s="79"/>
      <c r="BD1646" s="230"/>
      <c r="BE1646" s="211"/>
      <c r="BF1646" s="164"/>
      <c r="BG1646" s="76"/>
      <c r="BH1646" s="44"/>
      <c r="BI1646" s="275"/>
      <c r="BJ1646" s="52"/>
      <c r="BK1646" s="35"/>
      <c r="BL1646" s="79"/>
      <c r="BM1646" s="230"/>
      <c r="BN1646" s="211"/>
      <c r="BO1646" s="164"/>
      <c r="BP1646" s="726"/>
      <c r="BQ1646" s="727"/>
      <c r="BR1646" s="299"/>
      <c r="BS1646" s="35"/>
      <c r="BT1646" s="596"/>
      <c r="BU1646" s="79"/>
      <c r="BV1646" s="212"/>
      <c r="BW1646" s="304"/>
      <c r="BX1646" s="313"/>
      <c r="BY1646" s="138"/>
    </row>
    <row r="1647" spans="1:77" ht="15" customHeight="1" outlineLevel="1" x14ac:dyDescent="0.2">
      <c r="A1647" s="57" t="s">
        <v>24</v>
      </c>
      <c r="B1647" s="583"/>
      <c r="C1647" s="583" t="s">
        <v>1423</v>
      </c>
      <c r="D1647" s="546">
        <v>11.795</v>
      </c>
      <c r="E1647" s="162" t="s">
        <v>631</v>
      </c>
      <c r="F1647" s="358"/>
      <c r="G1647" s="65"/>
      <c r="H1647" s="73"/>
      <c r="I1647" s="90">
        <v>2007</v>
      </c>
      <c r="J1647" s="73"/>
      <c r="K1647" s="734">
        <v>2.3146E-2</v>
      </c>
      <c r="L1647" s="717"/>
      <c r="M1647" s="73"/>
      <c r="N1647" s="359"/>
      <c r="O1647" s="1041"/>
      <c r="P1647" s="73"/>
      <c r="Q1647" s="359"/>
      <c r="R1647" s="1041"/>
      <c r="S1647" s="73"/>
      <c r="T1647" s="359"/>
      <c r="U1647" s="73"/>
      <c r="V1647" s="66"/>
      <c r="W1647" s="740">
        <f t="shared" si="1420"/>
        <v>1.1572999999999999E-5</v>
      </c>
      <c r="X1647" s="741">
        <f t="shared" si="1421"/>
        <v>1.1572999999999999E-5</v>
      </c>
      <c r="Y1647" s="52">
        <v>2007</v>
      </c>
      <c r="Z1647" s="52"/>
      <c r="AA1647" s="739">
        <f>+K1647/1000</f>
        <v>2.3145999999999998E-5</v>
      </c>
      <c r="AB1647" s="256">
        <v>-0.5</v>
      </c>
      <c r="AC1647" s="688">
        <f t="shared" si="1466"/>
        <v>-0.5</v>
      </c>
      <c r="AD1647" s="164"/>
      <c r="AE1647" s="164"/>
      <c r="AF1647" s="25"/>
      <c r="AG1647" s="26"/>
      <c r="AH1647" s="275"/>
      <c r="AI1647" s="52"/>
      <c r="AJ1647" s="35"/>
      <c r="AK1647" s="289"/>
      <c r="AL1647" s="290"/>
      <c r="AM1647" s="211"/>
      <c r="AN1647" s="164"/>
      <c r="AO1647" s="594"/>
      <c r="AP1647" s="595"/>
      <c r="AQ1647" s="275"/>
      <c r="AR1647" s="52"/>
      <c r="AS1647" s="596"/>
      <c r="AT1647" s="79"/>
      <c r="AU1647" s="212"/>
      <c r="AV1647" s="164"/>
      <c r="AW1647" s="164"/>
      <c r="AX1647" s="76"/>
      <c r="AY1647" s="44"/>
      <c r="AZ1647" s="275"/>
      <c r="BA1647" s="52"/>
      <c r="BB1647" s="35"/>
      <c r="BC1647" s="79"/>
      <c r="BD1647" s="230"/>
      <c r="BE1647" s="211"/>
      <c r="BF1647" s="164"/>
      <c r="BG1647" s="76"/>
      <c r="BH1647" s="44"/>
      <c r="BI1647" s="275"/>
      <c r="BJ1647" s="52"/>
      <c r="BK1647" s="35"/>
      <c r="BL1647" s="79"/>
      <c r="BM1647" s="230"/>
      <c r="BN1647" s="211"/>
      <c r="BO1647" s="164"/>
      <c r="BP1647" s="726"/>
      <c r="BQ1647" s="727"/>
      <c r="BR1647" s="299"/>
      <c r="BS1647" s="35"/>
      <c r="BT1647" s="596"/>
      <c r="BU1647" s="79"/>
      <c r="BV1647" s="212"/>
      <c r="BW1647" s="304"/>
      <c r="BX1647" s="313"/>
      <c r="BY1647" s="138"/>
    </row>
    <row r="1648" spans="1:77" ht="15" customHeight="1" outlineLevel="1" x14ac:dyDescent="0.2">
      <c r="A1648" s="583" t="s">
        <v>24</v>
      </c>
      <c r="B1648" s="583"/>
      <c r="C1648" s="583" t="s">
        <v>1829</v>
      </c>
      <c r="D1648" s="546">
        <v>12.315</v>
      </c>
      <c r="E1648" s="162" t="s">
        <v>631</v>
      </c>
      <c r="F1648" s="358"/>
      <c r="G1648" s="65"/>
      <c r="H1648" s="73"/>
      <c r="I1648" s="90"/>
      <c r="J1648" s="73"/>
      <c r="K1648" s="734"/>
      <c r="L1648" s="717">
        <v>2011</v>
      </c>
      <c r="M1648" s="73"/>
      <c r="N1648" s="786">
        <v>2.6966E-2</v>
      </c>
      <c r="O1648" s="1041"/>
      <c r="P1648" s="73"/>
      <c r="Q1648" s="786"/>
      <c r="R1648" s="1041"/>
      <c r="S1648" s="73"/>
      <c r="T1648" s="786"/>
      <c r="U1648" s="73"/>
      <c r="V1648" s="66"/>
      <c r="W1648" s="740">
        <f t="shared" ref="W1648" si="1498">AA1648*(1+AB1648)</f>
        <v>1.995484E-5</v>
      </c>
      <c r="X1648" s="741">
        <f t="shared" ref="X1648" si="1499">AA1648*(1+AC1648)</f>
        <v>1.995484E-5</v>
      </c>
      <c r="Y1648" s="52">
        <v>2011</v>
      </c>
      <c r="Z1648" s="52"/>
      <c r="AA1648" s="739">
        <f>+N1648/1000</f>
        <v>2.6965999999999999E-5</v>
      </c>
      <c r="AB1648" s="256">
        <v>-0.26</v>
      </c>
      <c r="AC1648" s="688">
        <f t="shared" si="1466"/>
        <v>-0.26</v>
      </c>
      <c r="AD1648" s="164"/>
      <c r="AE1648" s="164"/>
      <c r="AF1648" s="25"/>
      <c r="AG1648" s="26"/>
      <c r="AH1648" s="275"/>
      <c r="AI1648" s="52"/>
      <c r="AJ1648" s="35"/>
      <c r="AK1648" s="289"/>
      <c r="AL1648" s="290"/>
      <c r="AM1648" s="211"/>
      <c r="AN1648" s="164"/>
      <c r="AO1648" s="594"/>
      <c r="AP1648" s="595"/>
      <c r="AQ1648" s="275"/>
      <c r="AR1648" s="52"/>
      <c r="AS1648" s="596"/>
      <c r="AT1648" s="79"/>
      <c r="AU1648" s="212"/>
      <c r="AV1648" s="164"/>
      <c r="AW1648" s="164"/>
      <c r="AX1648" s="76"/>
      <c r="AY1648" s="44"/>
      <c r="AZ1648" s="275"/>
      <c r="BA1648" s="52"/>
      <c r="BB1648" s="35"/>
      <c r="BC1648" s="79"/>
      <c r="BD1648" s="230"/>
      <c r="BE1648" s="211"/>
      <c r="BF1648" s="164"/>
      <c r="BG1648" s="76"/>
      <c r="BH1648" s="44"/>
      <c r="BI1648" s="275"/>
      <c r="BJ1648" s="52"/>
      <c r="BK1648" s="35"/>
      <c r="BL1648" s="79"/>
      <c r="BM1648" s="230"/>
      <c r="BN1648" s="211"/>
      <c r="BO1648" s="164"/>
      <c r="BP1648" s="726"/>
      <c r="BQ1648" s="727"/>
      <c r="BR1648" s="299"/>
      <c r="BS1648" s="35"/>
      <c r="BT1648" s="596"/>
      <c r="BU1648" s="79"/>
      <c r="BV1648" s="212"/>
      <c r="BW1648" s="304"/>
      <c r="BX1648" s="313"/>
      <c r="BY1648" s="138"/>
    </row>
    <row r="1649" spans="1:77" ht="15" customHeight="1" outlineLevel="1" x14ac:dyDescent="0.2">
      <c r="A1649" s="57" t="s">
        <v>24</v>
      </c>
      <c r="B1649" s="583"/>
      <c r="C1649" s="583" t="s">
        <v>1347</v>
      </c>
      <c r="D1649" s="546">
        <v>6.9189999999999996</v>
      </c>
      <c r="E1649" s="162" t="s">
        <v>631</v>
      </c>
      <c r="F1649" s="358"/>
      <c r="G1649" s="65"/>
      <c r="H1649" s="73"/>
      <c r="I1649" s="90"/>
      <c r="J1649" s="73"/>
      <c r="K1649" s="734">
        <v>3.2978E-2</v>
      </c>
      <c r="L1649" s="717"/>
      <c r="M1649" s="73"/>
      <c r="N1649" s="359"/>
      <c r="O1649" s="1041"/>
      <c r="P1649" s="73"/>
      <c r="Q1649" s="359"/>
      <c r="R1649" s="1041"/>
      <c r="S1649" s="73"/>
      <c r="T1649" s="359"/>
      <c r="U1649" s="73"/>
      <c r="V1649" s="66"/>
      <c r="W1649" s="740">
        <f t="shared" si="1420"/>
        <v>2.3084599999999999E-5</v>
      </c>
      <c r="X1649" s="741">
        <f t="shared" si="1421"/>
        <v>2.3084599999999999E-5</v>
      </c>
      <c r="Y1649" s="52">
        <v>2005</v>
      </c>
      <c r="Z1649" s="52"/>
      <c r="AA1649" s="739">
        <f>+K1649/1000</f>
        <v>3.2978000000000002E-5</v>
      </c>
      <c r="AB1649" s="256">
        <v>-0.3</v>
      </c>
      <c r="AC1649" s="688">
        <f t="shared" si="1466"/>
        <v>-0.3</v>
      </c>
      <c r="AD1649" s="164"/>
      <c r="AE1649" s="164"/>
      <c r="AF1649" s="25"/>
      <c r="AG1649" s="26"/>
      <c r="AH1649" s="275"/>
      <c r="AI1649" s="52"/>
      <c r="AJ1649" s="35"/>
      <c r="AK1649" s="289"/>
      <c r="AL1649" s="290"/>
      <c r="AM1649" s="211"/>
      <c r="AN1649" s="164"/>
      <c r="AO1649" s="594"/>
      <c r="AP1649" s="595"/>
      <c r="AQ1649" s="275"/>
      <c r="AR1649" s="52"/>
      <c r="AS1649" s="596"/>
      <c r="AT1649" s="79"/>
      <c r="AU1649" s="212"/>
      <c r="AV1649" s="164"/>
      <c r="AW1649" s="164"/>
      <c r="AX1649" s="76"/>
      <c r="AY1649" s="44"/>
      <c r="AZ1649" s="275"/>
      <c r="BA1649" s="52"/>
      <c r="BB1649" s="35"/>
      <c r="BC1649" s="79"/>
      <c r="BD1649" s="230"/>
      <c r="BE1649" s="211"/>
      <c r="BF1649" s="164"/>
      <c r="BG1649" s="76"/>
      <c r="BH1649" s="44"/>
      <c r="BI1649" s="275"/>
      <c r="BJ1649" s="52"/>
      <c r="BK1649" s="35"/>
      <c r="BL1649" s="79"/>
      <c r="BM1649" s="230"/>
      <c r="BN1649" s="211"/>
      <c r="BO1649" s="164"/>
      <c r="BP1649" s="726"/>
      <c r="BQ1649" s="727"/>
      <c r="BR1649" s="299"/>
      <c r="BS1649" s="35"/>
      <c r="BT1649" s="596"/>
      <c r="BU1649" s="79"/>
      <c r="BV1649" s="212"/>
      <c r="BW1649" s="304"/>
      <c r="BX1649" s="313"/>
      <c r="BY1649" s="138"/>
    </row>
    <row r="1650" spans="1:77" ht="15" customHeight="1" outlineLevel="1" x14ac:dyDescent="0.2">
      <c r="A1650" s="583" t="s">
        <v>24</v>
      </c>
      <c r="B1650" s="583"/>
      <c r="C1650" s="583" t="s">
        <v>1716</v>
      </c>
      <c r="D1650" s="546">
        <v>17.553999999999998</v>
      </c>
      <c r="E1650" s="162" t="s">
        <v>631</v>
      </c>
      <c r="F1650" s="358"/>
      <c r="G1650" s="65"/>
      <c r="H1650" s="73"/>
      <c r="I1650" s="90"/>
      <c r="J1650" s="73"/>
      <c r="K1650" s="734"/>
      <c r="L1650" s="717">
        <v>2009</v>
      </c>
      <c r="M1650" s="73"/>
      <c r="N1650" s="359">
        <v>7.5858999999999996E-2</v>
      </c>
      <c r="O1650" s="1041"/>
      <c r="P1650" s="73"/>
      <c r="Q1650" s="359"/>
      <c r="R1650" s="1041"/>
      <c r="S1650" s="73"/>
      <c r="T1650" s="359"/>
      <c r="U1650" s="73"/>
      <c r="V1650" s="66"/>
      <c r="W1650" s="740">
        <f t="shared" ref="W1650" si="1500">AA1650*(1+AB1650)</f>
        <v>5.6894249999999991E-5</v>
      </c>
      <c r="X1650" s="741">
        <f t="shared" ref="X1650" si="1501">AA1650*(1+AC1650)</f>
        <v>5.6894249999999991E-5</v>
      </c>
      <c r="Y1650" s="52">
        <v>2009</v>
      </c>
      <c r="Z1650" s="52"/>
      <c r="AA1650" s="739">
        <f>+N1650/1000</f>
        <v>7.5858999999999993E-5</v>
      </c>
      <c r="AB1650" s="256">
        <v>-0.25</v>
      </c>
      <c r="AC1650" s="688">
        <f t="shared" si="1466"/>
        <v>-0.25</v>
      </c>
      <c r="AD1650" s="164"/>
      <c r="AE1650" s="164"/>
      <c r="AF1650" s="25"/>
      <c r="AG1650" s="26"/>
      <c r="AH1650" s="275"/>
      <c r="AI1650" s="52"/>
      <c r="AJ1650" s="35"/>
      <c r="AK1650" s="289"/>
      <c r="AL1650" s="290"/>
      <c r="AM1650" s="211"/>
      <c r="AN1650" s="164"/>
      <c r="AO1650" s="594"/>
      <c r="AP1650" s="595"/>
      <c r="AQ1650" s="275"/>
      <c r="AR1650" s="52"/>
      <c r="AS1650" s="596"/>
      <c r="AT1650" s="79"/>
      <c r="AU1650" s="212"/>
      <c r="AV1650" s="164"/>
      <c r="AW1650" s="164"/>
      <c r="AX1650" s="76"/>
      <c r="AY1650" s="44"/>
      <c r="AZ1650" s="275"/>
      <c r="BA1650" s="52"/>
      <c r="BB1650" s="35"/>
      <c r="BC1650" s="79"/>
      <c r="BD1650" s="230"/>
      <c r="BE1650" s="211"/>
      <c r="BF1650" s="164"/>
      <c r="BG1650" s="76"/>
      <c r="BH1650" s="44"/>
      <c r="BI1650" s="275"/>
      <c r="BJ1650" s="52"/>
      <c r="BK1650" s="35"/>
      <c r="BL1650" s="79"/>
      <c r="BM1650" s="230"/>
      <c r="BN1650" s="211"/>
      <c r="BO1650" s="164"/>
      <c r="BP1650" s="726"/>
      <c r="BQ1650" s="727"/>
      <c r="BR1650" s="299"/>
      <c r="BS1650" s="35"/>
      <c r="BT1650" s="596"/>
      <c r="BU1650" s="79"/>
      <c r="BV1650" s="212"/>
      <c r="BW1650" s="304"/>
      <c r="BX1650" s="313"/>
      <c r="BY1650" s="138"/>
    </row>
    <row r="1651" spans="1:77" ht="14.45" customHeight="1" outlineLevel="1" x14ac:dyDescent="0.2">
      <c r="A1651" s="57" t="s">
        <v>24</v>
      </c>
      <c r="B1651" s="583"/>
      <c r="C1651" s="583" t="s">
        <v>1474</v>
      </c>
      <c r="D1651" s="546">
        <v>7.3570000000000002</v>
      </c>
      <c r="E1651" s="162" t="s">
        <v>631</v>
      </c>
      <c r="F1651" s="358"/>
      <c r="G1651" s="65"/>
      <c r="H1651" s="73"/>
      <c r="I1651" s="90"/>
      <c r="J1651" s="73"/>
      <c r="K1651" s="813">
        <v>1.8551999999999999E-2</v>
      </c>
      <c r="L1651" s="717"/>
      <c r="M1651" s="73"/>
      <c r="N1651" s="359"/>
      <c r="O1651" s="1041"/>
      <c r="P1651" s="73"/>
      <c r="Q1651" s="359"/>
      <c r="R1651" s="1041"/>
      <c r="S1651" s="73"/>
      <c r="T1651" s="359"/>
      <c r="U1651" s="73"/>
      <c r="V1651" s="66"/>
      <c r="W1651" s="740">
        <f t="shared" si="1420"/>
        <v>1.1502239999999999E-5</v>
      </c>
      <c r="X1651" s="741">
        <f t="shared" si="1421"/>
        <v>1.1502239999999999E-5</v>
      </c>
      <c r="Y1651" s="52">
        <v>2005</v>
      </c>
      <c r="Z1651" s="52"/>
      <c r="AA1651" s="739">
        <f>+K1651/1000</f>
        <v>1.8551999999999998E-5</v>
      </c>
      <c r="AB1651" s="256">
        <v>-0.38</v>
      </c>
      <c r="AC1651" s="688">
        <f t="shared" si="1466"/>
        <v>-0.38</v>
      </c>
      <c r="AD1651" s="164"/>
      <c r="AE1651" s="164"/>
      <c r="AF1651" s="25"/>
      <c r="AG1651" s="26"/>
      <c r="AH1651" s="275"/>
      <c r="AI1651" s="52"/>
      <c r="AJ1651" s="35"/>
      <c r="AK1651" s="289"/>
      <c r="AL1651" s="290"/>
      <c r="AM1651" s="211"/>
      <c r="AN1651" s="164"/>
      <c r="AO1651" s="594"/>
      <c r="AP1651" s="595"/>
      <c r="AQ1651" s="275"/>
      <c r="AR1651" s="52"/>
      <c r="AS1651" s="596"/>
      <c r="AT1651" s="79"/>
      <c r="AU1651" s="212"/>
      <c r="AV1651" s="164"/>
      <c r="AW1651" s="164"/>
      <c r="AX1651" s="76"/>
      <c r="AY1651" s="44"/>
      <c r="AZ1651" s="275"/>
      <c r="BA1651" s="52"/>
      <c r="BB1651" s="35"/>
      <c r="BC1651" s="79"/>
      <c r="BD1651" s="230"/>
      <c r="BE1651" s="211"/>
      <c r="BF1651" s="164"/>
      <c r="BG1651" s="76"/>
      <c r="BH1651" s="44"/>
      <c r="BI1651" s="275"/>
      <c r="BJ1651" s="52"/>
      <c r="BK1651" s="35"/>
      <c r="BL1651" s="79"/>
      <c r="BM1651" s="230"/>
      <c r="BN1651" s="211"/>
      <c r="BO1651" s="164"/>
      <c r="BP1651" s="726"/>
      <c r="BQ1651" s="727"/>
      <c r="BR1651" s="299"/>
      <c r="BS1651" s="35"/>
      <c r="BT1651" s="596"/>
      <c r="BU1651" s="79"/>
      <c r="BV1651" s="212"/>
      <c r="BW1651" s="304"/>
      <c r="BX1651" s="313"/>
      <c r="BY1651" s="138"/>
    </row>
    <row r="1652" spans="1:77" ht="15" customHeight="1" outlineLevel="1" x14ac:dyDescent="0.2">
      <c r="A1652" s="57" t="s">
        <v>24</v>
      </c>
      <c r="B1652" s="583"/>
      <c r="C1652" s="583" t="s">
        <v>1564</v>
      </c>
      <c r="D1652" s="546">
        <v>37.953000000000003</v>
      </c>
      <c r="E1652" s="162" t="s">
        <v>631</v>
      </c>
      <c r="F1652" s="358"/>
      <c r="G1652" s="65"/>
      <c r="H1652" s="73"/>
      <c r="I1652" s="90"/>
      <c r="J1652" s="73"/>
      <c r="K1652" s="734"/>
      <c r="L1652" s="717"/>
      <c r="M1652" s="73"/>
      <c r="N1652" s="359">
        <v>0.10365099999999999</v>
      </c>
      <c r="O1652" s="1041"/>
      <c r="P1652" s="73"/>
      <c r="Q1652" s="359"/>
      <c r="R1652" s="1041"/>
      <c r="S1652" s="73"/>
      <c r="T1652" s="359"/>
      <c r="U1652" s="73"/>
      <c r="V1652" s="66"/>
      <c r="W1652" s="740">
        <f t="shared" si="1420"/>
        <v>7.255569999999998E-5</v>
      </c>
      <c r="X1652" s="741">
        <f t="shared" si="1421"/>
        <v>7.255569999999998E-5</v>
      </c>
      <c r="Y1652" s="52">
        <v>2010</v>
      </c>
      <c r="Z1652" s="52"/>
      <c r="AA1652" s="739">
        <f>+N1652/1000</f>
        <v>1.0365099999999999E-4</v>
      </c>
      <c r="AB1652" s="256">
        <v>-0.3</v>
      </c>
      <c r="AC1652" s="688">
        <f t="shared" si="1466"/>
        <v>-0.3</v>
      </c>
      <c r="AD1652" s="164"/>
      <c r="AE1652" s="164"/>
      <c r="AF1652" s="25"/>
      <c r="AG1652" s="26"/>
      <c r="AH1652" s="275"/>
      <c r="AI1652" s="52"/>
      <c r="AJ1652" s="35"/>
      <c r="AK1652" s="289"/>
      <c r="AL1652" s="290"/>
      <c r="AM1652" s="211"/>
      <c r="AN1652" s="164"/>
      <c r="AO1652" s="594"/>
      <c r="AP1652" s="595"/>
      <c r="AQ1652" s="275"/>
      <c r="AR1652" s="52"/>
      <c r="AS1652" s="596"/>
      <c r="AT1652" s="79"/>
      <c r="AU1652" s="212"/>
      <c r="AV1652" s="164"/>
      <c r="AW1652" s="164"/>
      <c r="AX1652" s="76"/>
      <c r="AY1652" s="44"/>
      <c r="AZ1652" s="275"/>
      <c r="BA1652" s="52"/>
      <c r="BB1652" s="35"/>
      <c r="BC1652" s="79"/>
      <c r="BD1652" s="230"/>
      <c r="BE1652" s="211"/>
      <c r="BF1652" s="164"/>
      <c r="BG1652" s="76"/>
      <c r="BH1652" s="44"/>
      <c r="BI1652" s="275"/>
      <c r="BJ1652" s="52"/>
      <c r="BK1652" s="35"/>
      <c r="BL1652" s="79"/>
      <c r="BM1652" s="230"/>
      <c r="BN1652" s="211"/>
      <c r="BO1652" s="164"/>
      <c r="BP1652" s="726"/>
      <c r="BQ1652" s="727"/>
      <c r="BR1652" s="299"/>
      <c r="BS1652" s="35"/>
      <c r="BT1652" s="596"/>
      <c r="BU1652" s="79"/>
      <c r="BV1652" s="212"/>
      <c r="BW1652" s="304"/>
      <c r="BX1652" s="313"/>
      <c r="BY1652" s="138"/>
    </row>
    <row r="1653" spans="1:77" ht="15" customHeight="1" outlineLevel="1" x14ac:dyDescent="0.2">
      <c r="A1653" s="583" t="s">
        <v>24</v>
      </c>
      <c r="B1653" s="583"/>
      <c r="C1653" s="583" t="s">
        <v>1992</v>
      </c>
      <c r="D1653" s="546">
        <v>2.2210000000000001</v>
      </c>
      <c r="E1653" s="162" t="s">
        <v>631</v>
      </c>
      <c r="F1653" s="358"/>
      <c r="G1653" s="65"/>
      <c r="H1653" s="73"/>
      <c r="I1653" s="90">
        <v>2007</v>
      </c>
      <c r="J1653" s="73"/>
      <c r="K1653" s="734">
        <v>7.1669999999999998E-3</v>
      </c>
      <c r="L1653" s="717"/>
      <c r="M1653" s="73"/>
      <c r="N1653" s="359"/>
      <c r="O1653" s="1041"/>
      <c r="P1653" s="73"/>
      <c r="Q1653" s="359"/>
      <c r="R1653" s="1041"/>
      <c r="S1653" s="73"/>
      <c r="T1653" s="359"/>
      <c r="U1653" s="73"/>
      <c r="V1653" s="66"/>
      <c r="W1653" s="740">
        <f t="shared" ref="W1653" si="1502">AA1653*(1+AB1653)</f>
        <v>5.1602399999999996E-6</v>
      </c>
      <c r="X1653" s="741">
        <f t="shared" ref="X1653" si="1503">AA1653*(1+AC1653)</f>
        <v>5.1602399999999996E-6</v>
      </c>
      <c r="Y1653" s="52">
        <v>2007</v>
      </c>
      <c r="Z1653" s="52"/>
      <c r="AA1653" s="739">
        <f>+K1653/1000</f>
        <v>7.1670000000000002E-6</v>
      </c>
      <c r="AB1653" s="256">
        <v>-0.28000000000000003</v>
      </c>
      <c r="AC1653" s="688">
        <f t="shared" si="1466"/>
        <v>-0.28000000000000003</v>
      </c>
      <c r="AD1653" s="164"/>
      <c r="AE1653" s="164"/>
      <c r="AF1653" s="25"/>
      <c r="AG1653" s="26"/>
      <c r="AH1653" s="275"/>
      <c r="AI1653" s="52"/>
      <c r="AJ1653" s="35"/>
      <c r="AK1653" s="289"/>
      <c r="AL1653" s="290"/>
      <c r="AM1653" s="211"/>
      <c r="AN1653" s="164"/>
      <c r="AO1653" s="594"/>
      <c r="AP1653" s="595"/>
      <c r="AQ1653" s="275"/>
      <c r="AR1653" s="52"/>
      <c r="AS1653" s="596"/>
      <c r="AT1653" s="79"/>
      <c r="AU1653" s="212"/>
      <c r="AV1653" s="164"/>
      <c r="AW1653" s="164"/>
      <c r="AX1653" s="76"/>
      <c r="AY1653" s="44"/>
      <c r="AZ1653" s="275"/>
      <c r="BA1653" s="52"/>
      <c r="BB1653" s="35"/>
      <c r="BC1653" s="79"/>
      <c r="BD1653" s="230"/>
      <c r="BE1653" s="211"/>
      <c r="BF1653" s="164"/>
      <c r="BG1653" s="76"/>
      <c r="BH1653" s="44"/>
      <c r="BI1653" s="275"/>
      <c r="BJ1653" s="52"/>
      <c r="BK1653" s="35"/>
      <c r="BL1653" s="79"/>
      <c r="BM1653" s="230"/>
      <c r="BN1653" s="211"/>
      <c r="BO1653" s="164"/>
      <c r="BP1653" s="726"/>
      <c r="BQ1653" s="727"/>
      <c r="BR1653" s="299"/>
      <c r="BS1653" s="35"/>
      <c r="BT1653" s="596"/>
      <c r="BU1653" s="79"/>
      <c r="BV1653" s="212"/>
      <c r="BW1653" s="304"/>
      <c r="BX1653" s="313"/>
      <c r="BY1653" s="138"/>
    </row>
    <row r="1654" spans="1:77" ht="15" customHeight="1" outlineLevel="1" x14ac:dyDescent="0.2">
      <c r="A1654" s="57" t="s">
        <v>24</v>
      </c>
      <c r="B1654" s="583"/>
      <c r="C1654" s="583" t="s">
        <v>1418</v>
      </c>
      <c r="D1654" s="818">
        <v>0.24</v>
      </c>
      <c r="E1654" s="162" t="s">
        <v>631</v>
      </c>
      <c r="F1654" s="358"/>
      <c r="G1654" s="65"/>
      <c r="H1654" s="73"/>
      <c r="I1654" s="90"/>
      <c r="J1654" s="73"/>
      <c r="K1654" s="814">
        <v>1.1019999999999999E-3</v>
      </c>
      <c r="L1654" s="717"/>
      <c r="M1654" s="73"/>
      <c r="N1654" s="359"/>
      <c r="O1654" s="1041"/>
      <c r="P1654" s="73"/>
      <c r="Q1654" s="359"/>
      <c r="R1654" s="1041"/>
      <c r="S1654" s="73"/>
      <c r="T1654" s="359"/>
      <c r="U1654" s="73"/>
      <c r="V1654" s="66"/>
      <c r="W1654" s="788">
        <f t="shared" si="1420"/>
        <v>7.1630000000000003E-7</v>
      </c>
      <c r="X1654" s="789">
        <f t="shared" si="1421"/>
        <v>7.1630000000000003E-7</v>
      </c>
      <c r="Y1654" s="52">
        <v>2005</v>
      </c>
      <c r="Z1654" s="52"/>
      <c r="AA1654" s="787">
        <f t="shared" ref="AA1654:AA1677" si="1504">+K1654/1000</f>
        <v>1.102E-6</v>
      </c>
      <c r="AB1654" s="256">
        <v>-0.35</v>
      </c>
      <c r="AC1654" s="688">
        <f t="shared" si="1466"/>
        <v>-0.35</v>
      </c>
      <c r="AD1654" s="164"/>
      <c r="AE1654" s="164"/>
      <c r="AF1654" s="25"/>
      <c r="AG1654" s="26"/>
      <c r="AH1654" s="275"/>
      <c r="AI1654" s="52"/>
      <c r="AJ1654" s="35"/>
      <c r="AK1654" s="289"/>
      <c r="AL1654" s="290"/>
      <c r="AM1654" s="211"/>
      <c r="AN1654" s="164"/>
      <c r="AO1654" s="594"/>
      <c r="AP1654" s="595"/>
      <c r="AQ1654" s="275"/>
      <c r="AR1654" s="52"/>
      <c r="AS1654" s="596"/>
      <c r="AT1654" s="79"/>
      <c r="AU1654" s="212"/>
      <c r="AV1654" s="164"/>
      <c r="AW1654" s="164"/>
      <c r="AX1654" s="76"/>
      <c r="AY1654" s="44"/>
      <c r="AZ1654" s="275"/>
      <c r="BA1654" s="52"/>
      <c r="BB1654" s="35"/>
      <c r="BC1654" s="79"/>
      <c r="BD1654" s="230"/>
      <c r="BE1654" s="211"/>
      <c r="BF1654" s="164"/>
      <c r="BG1654" s="76"/>
      <c r="BH1654" s="44"/>
      <c r="BI1654" s="275"/>
      <c r="BJ1654" s="52"/>
      <c r="BK1654" s="35"/>
      <c r="BL1654" s="79"/>
      <c r="BM1654" s="230"/>
      <c r="BN1654" s="211"/>
      <c r="BO1654" s="164"/>
      <c r="BP1654" s="726"/>
      <c r="BQ1654" s="727"/>
      <c r="BR1654" s="299"/>
      <c r="BS1654" s="35"/>
      <c r="BT1654" s="596"/>
      <c r="BU1654" s="79"/>
      <c r="BV1654" s="212"/>
      <c r="BW1654" s="304"/>
      <c r="BX1654" s="313"/>
      <c r="BY1654" s="138"/>
    </row>
    <row r="1655" spans="1:77" ht="15" customHeight="1" outlineLevel="1" x14ac:dyDescent="0.2">
      <c r="A1655" s="583" t="s">
        <v>24</v>
      </c>
      <c r="B1655" s="583"/>
      <c r="C1655" s="583" t="s">
        <v>1676</v>
      </c>
      <c r="D1655" s="818">
        <v>2.4</v>
      </c>
      <c r="E1655" s="162" t="s">
        <v>631</v>
      </c>
      <c r="F1655" s="358"/>
      <c r="G1655" s="65"/>
      <c r="H1655" s="73"/>
      <c r="I1655" s="90"/>
      <c r="J1655" s="73"/>
      <c r="K1655" s="814"/>
      <c r="L1655" s="717">
        <v>2011</v>
      </c>
      <c r="M1655" s="73"/>
      <c r="N1655" s="786">
        <v>3.5270000000000002E-3</v>
      </c>
      <c r="O1655" s="1041"/>
      <c r="P1655" s="73"/>
      <c r="Q1655" s="786"/>
      <c r="R1655" s="1041"/>
      <c r="S1655" s="73"/>
      <c r="T1655" s="786"/>
      <c r="U1655" s="73"/>
      <c r="V1655" s="66"/>
      <c r="W1655" s="808">
        <f t="shared" ref="W1655" si="1505">AA1655*(1+AB1655)</f>
        <v>2.6452500000000002E-6</v>
      </c>
      <c r="X1655" s="809">
        <f t="shared" ref="X1655" si="1506">AA1655*(1+AC1655)</f>
        <v>2.6452500000000002E-6</v>
      </c>
      <c r="Y1655" s="52">
        <v>2011</v>
      </c>
      <c r="Z1655" s="52"/>
      <c r="AA1655" s="807">
        <f>+N1655/1000</f>
        <v>3.5270000000000003E-6</v>
      </c>
      <c r="AB1655" s="256">
        <v>-0.25</v>
      </c>
      <c r="AC1655" s="688">
        <f t="shared" si="1466"/>
        <v>-0.25</v>
      </c>
      <c r="AD1655" s="164"/>
      <c r="AE1655" s="164"/>
      <c r="AF1655" s="25"/>
      <c r="AG1655" s="26"/>
      <c r="AH1655" s="275"/>
      <c r="AI1655" s="52"/>
      <c r="AJ1655" s="35"/>
      <c r="AK1655" s="289"/>
      <c r="AL1655" s="290"/>
      <c r="AM1655" s="211"/>
      <c r="AN1655" s="164"/>
      <c r="AO1655" s="594"/>
      <c r="AP1655" s="595"/>
      <c r="AQ1655" s="275"/>
      <c r="AR1655" s="52"/>
      <c r="AS1655" s="596"/>
      <c r="AT1655" s="79"/>
      <c r="AU1655" s="212"/>
      <c r="AV1655" s="164"/>
      <c r="AW1655" s="164"/>
      <c r="AX1655" s="76"/>
      <c r="AY1655" s="44"/>
      <c r="AZ1655" s="275"/>
      <c r="BA1655" s="52"/>
      <c r="BB1655" s="35"/>
      <c r="BC1655" s="79"/>
      <c r="BD1655" s="230"/>
      <c r="BE1655" s="211"/>
      <c r="BF1655" s="164"/>
      <c r="BG1655" s="76"/>
      <c r="BH1655" s="44"/>
      <c r="BI1655" s="275"/>
      <c r="BJ1655" s="52"/>
      <c r="BK1655" s="35"/>
      <c r="BL1655" s="79"/>
      <c r="BM1655" s="230"/>
      <c r="BN1655" s="211"/>
      <c r="BO1655" s="164"/>
      <c r="BP1655" s="726"/>
      <c r="BQ1655" s="727"/>
      <c r="BR1655" s="299"/>
      <c r="BS1655" s="35"/>
      <c r="BT1655" s="596"/>
      <c r="BU1655" s="79"/>
      <c r="BV1655" s="212"/>
      <c r="BW1655" s="304"/>
      <c r="BX1655" s="313"/>
      <c r="BY1655" s="138"/>
    </row>
    <row r="1656" spans="1:77" ht="15" customHeight="1" outlineLevel="1" x14ac:dyDescent="0.2">
      <c r="A1656" s="57" t="s">
        <v>24</v>
      </c>
      <c r="B1656" s="583"/>
      <c r="C1656" s="583" t="s">
        <v>580</v>
      </c>
      <c r="D1656" s="546">
        <v>1007</v>
      </c>
      <c r="E1656" s="162" t="s">
        <v>392</v>
      </c>
      <c r="F1656" s="358"/>
      <c r="G1656" s="65"/>
      <c r="H1656" s="73"/>
      <c r="I1656" s="90"/>
      <c r="J1656" s="73"/>
      <c r="K1656" s="66">
        <v>2.488</v>
      </c>
      <c r="L1656" s="717"/>
      <c r="M1656" s="73"/>
      <c r="N1656" s="359"/>
      <c r="O1656" s="1041">
        <v>2014</v>
      </c>
      <c r="P1656" s="73"/>
      <c r="Q1656" s="359">
        <v>1.6303080000000001</v>
      </c>
      <c r="R1656" s="1041"/>
      <c r="S1656" s="73"/>
      <c r="T1656" s="359"/>
      <c r="U1656" s="73"/>
      <c r="V1656" s="66"/>
      <c r="W1656" s="594"/>
      <c r="X1656" s="595"/>
      <c r="Y1656" s="52"/>
      <c r="Z1656" s="52"/>
      <c r="AA1656" s="596"/>
      <c r="AB1656" s="256"/>
      <c r="AC1656" s="688"/>
      <c r="AD1656" s="164"/>
      <c r="AE1656" s="164"/>
      <c r="AF1656" s="25"/>
      <c r="AG1656" s="26"/>
      <c r="AH1656" s="275"/>
      <c r="AI1656" s="52"/>
      <c r="AJ1656" s="35"/>
      <c r="AK1656" s="289"/>
      <c r="AL1656" s="290"/>
      <c r="AM1656" s="211"/>
      <c r="AN1656" s="164"/>
      <c r="AO1656" s="594"/>
      <c r="AP1656" s="595"/>
      <c r="AQ1656" s="275"/>
      <c r="AR1656" s="52"/>
      <c r="AS1656" s="596"/>
      <c r="AT1656" s="79"/>
      <c r="AU1656" s="212"/>
      <c r="AV1656" s="164"/>
      <c r="AW1656" s="164"/>
      <c r="AX1656" s="76"/>
      <c r="AY1656" s="44"/>
      <c r="AZ1656" s="275"/>
      <c r="BA1656" s="52"/>
      <c r="BB1656" s="35"/>
      <c r="BC1656" s="79"/>
      <c r="BD1656" s="230"/>
      <c r="BE1656" s="211"/>
      <c r="BF1656" s="164"/>
      <c r="BG1656" s="76"/>
      <c r="BH1656" s="44"/>
      <c r="BI1656" s="275"/>
      <c r="BJ1656" s="52"/>
      <c r="BK1656" s="35"/>
      <c r="BL1656" s="79"/>
      <c r="BM1656" s="230"/>
      <c r="BN1656" s="211"/>
      <c r="BO1656" s="164"/>
      <c r="BP1656" s="584">
        <f>+BT1656*(1+BU1656)</f>
        <v>4.9759999999999995E-4</v>
      </c>
      <c r="BQ1656" s="585">
        <f>BT1656*(1+BV1656)</f>
        <v>4.9759999999999995E-4</v>
      </c>
      <c r="BR1656" s="299">
        <v>2005</v>
      </c>
      <c r="BS1656" s="596"/>
      <c r="BT1656" s="596">
        <f>+K1656/1000</f>
        <v>2.4880000000000002E-3</v>
      </c>
      <c r="BU1656" s="79">
        <v>-0.8</v>
      </c>
      <c r="BV1656" s="212">
        <v>-0.8</v>
      </c>
      <c r="BW1656" s="304"/>
      <c r="BX1656" s="313"/>
      <c r="BY1656" s="138"/>
    </row>
    <row r="1657" spans="1:77" ht="15" customHeight="1" outlineLevel="1" x14ac:dyDescent="0.2">
      <c r="A1657" s="57" t="s">
        <v>24</v>
      </c>
      <c r="B1657" s="583"/>
      <c r="C1657" s="583" t="s">
        <v>1601</v>
      </c>
      <c r="D1657" s="546">
        <v>4.9359999999999999</v>
      </c>
      <c r="E1657" s="162" t="s">
        <v>631</v>
      </c>
      <c r="F1657" s="358"/>
      <c r="G1657" s="65"/>
      <c r="H1657" s="73"/>
      <c r="I1657" s="90">
        <v>2007</v>
      </c>
      <c r="J1657" s="73"/>
      <c r="K1657" s="734">
        <v>6.1284999999999999E-2</v>
      </c>
      <c r="L1657" s="717"/>
      <c r="M1657" s="73"/>
      <c r="N1657" s="359"/>
      <c r="O1657" s="1041"/>
      <c r="P1657" s="73"/>
      <c r="Q1657" s="359"/>
      <c r="R1657" s="1041"/>
      <c r="S1657" s="73"/>
      <c r="T1657" s="359"/>
      <c r="U1657" s="73"/>
      <c r="V1657" s="66"/>
      <c r="W1657" s="740">
        <f t="shared" ref="W1657:W1737" si="1507">AA1657*(1+AB1657)</f>
        <v>4.2286649999999993E-5</v>
      </c>
      <c r="X1657" s="741">
        <f t="shared" ref="X1657:X1737" si="1508">AA1657*(1+AC1657)</f>
        <v>4.2286649999999993E-5</v>
      </c>
      <c r="Y1657" s="52">
        <v>2007</v>
      </c>
      <c r="Z1657" s="52"/>
      <c r="AA1657" s="739">
        <f t="shared" si="1504"/>
        <v>6.1284999999999993E-5</v>
      </c>
      <c r="AB1657" s="256">
        <v>-0.31</v>
      </c>
      <c r="AC1657" s="688">
        <f t="shared" ref="AC1657:AC1743" si="1509">AB1657</f>
        <v>-0.31</v>
      </c>
      <c r="AD1657" s="164"/>
      <c r="AE1657" s="164"/>
      <c r="AF1657" s="25"/>
      <c r="AG1657" s="26"/>
      <c r="AH1657" s="275"/>
      <c r="AI1657" s="52"/>
      <c r="AJ1657" s="35"/>
      <c r="AK1657" s="289"/>
      <c r="AL1657" s="290"/>
      <c r="AM1657" s="211"/>
      <c r="AN1657" s="164"/>
      <c r="AO1657" s="594"/>
      <c r="AP1657" s="595"/>
      <c r="AQ1657" s="275"/>
      <c r="AR1657" s="52"/>
      <c r="AS1657" s="596"/>
      <c r="AT1657" s="79"/>
      <c r="AU1657" s="212"/>
      <c r="AV1657" s="164"/>
      <c r="AW1657" s="164"/>
      <c r="AX1657" s="76"/>
      <c r="AY1657" s="44"/>
      <c r="AZ1657" s="275"/>
      <c r="BA1657" s="52"/>
      <c r="BB1657" s="35"/>
      <c r="BC1657" s="79"/>
      <c r="BD1657" s="230"/>
      <c r="BE1657" s="211"/>
      <c r="BF1657" s="164"/>
      <c r="BG1657" s="76"/>
      <c r="BH1657" s="44"/>
      <c r="BI1657" s="275"/>
      <c r="BJ1657" s="52"/>
      <c r="BK1657" s="35"/>
      <c r="BL1657" s="79"/>
      <c r="BM1657" s="230"/>
      <c r="BN1657" s="211"/>
      <c r="BO1657" s="164"/>
      <c r="BP1657" s="726"/>
      <c r="BQ1657" s="727"/>
      <c r="BR1657" s="299"/>
      <c r="BS1657" s="35"/>
      <c r="BT1657" s="596"/>
      <c r="BU1657" s="79"/>
      <c r="BV1657" s="212"/>
      <c r="BW1657" s="304"/>
      <c r="BX1657" s="313"/>
      <c r="BY1657" s="138"/>
    </row>
    <row r="1658" spans="1:77" ht="15" customHeight="1" outlineLevel="1" x14ac:dyDescent="0.2">
      <c r="A1658" s="57" t="s">
        <v>24</v>
      </c>
      <c r="B1658" s="583"/>
      <c r="C1658" s="583" t="s">
        <v>2398</v>
      </c>
      <c r="D1658" s="546">
        <v>3.3940000000000001</v>
      </c>
      <c r="E1658" s="162" t="s">
        <v>631</v>
      </c>
      <c r="F1658" s="358"/>
      <c r="G1658" s="65"/>
      <c r="H1658" s="73"/>
      <c r="I1658" s="90">
        <v>2007</v>
      </c>
      <c r="J1658" s="73"/>
      <c r="K1658" s="734">
        <v>0.11037</v>
      </c>
      <c r="L1658" s="717"/>
      <c r="M1658" s="73"/>
      <c r="N1658" s="359"/>
      <c r="O1658" s="1041"/>
      <c r="P1658" s="73"/>
      <c r="Q1658" s="359"/>
      <c r="R1658" s="1041"/>
      <c r="S1658" s="73"/>
      <c r="T1658" s="359"/>
      <c r="U1658" s="73"/>
      <c r="V1658" s="66"/>
      <c r="W1658" s="740">
        <f t="shared" ref="W1658" si="1510">AA1658*(1+AB1658)</f>
        <v>7.8362700000000001E-5</v>
      </c>
      <c r="X1658" s="741">
        <f t="shared" ref="X1658" si="1511">AA1658*(1+AC1658)</f>
        <v>7.8362700000000001E-5</v>
      </c>
      <c r="Y1658" s="52">
        <v>2007</v>
      </c>
      <c r="Z1658" s="52"/>
      <c r="AA1658" s="739">
        <f t="shared" ref="AA1658" si="1512">+K1658/1000</f>
        <v>1.1037E-4</v>
      </c>
      <c r="AB1658" s="256">
        <v>-0.28999999999999998</v>
      </c>
      <c r="AC1658" s="688">
        <f t="shared" ref="AC1658" si="1513">AB1658</f>
        <v>-0.28999999999999998</v>
      </c>
      <c r="AD1658" s="164"/>
      <c r="AE1658" s="164"/>
      <c r="AF1658" s="25"/>
      <c r="AG1658" s="26"/>
      <c r="AH1658" s="275"/>
      <c r="AI1658" s="52"/>
      <c r="AJ1658" s="35"/>
      <c r="AK1658" s="289"/>
      <c r="AL1658" s="290"/>
      <c r="AM1658" s="211"/>
      <c r="AN1658" s="164"/>
      <c r="AO1658" s="594"/>
      <c r="AP1658" s="595"/>
      <c r="AQ1658" s="275"/>
      <c r="AR1658" s="52"/>
      <c r="AS1658" s="596"/>
      <c r="AT1658" s="79"/>
      <c r="AU1658" s="212"/>
      <c r="AV1658" s="164"/>
      <c r="AW1658" s="164"/>
      <c r="AX1658" s="76"/>
      <c r="AY1658" s="44"/>
      <c r="AZ1658" s="275"/>
      <c r="BA1658" s="52"/>
      <c r="BB1658" s="35"/>
      <c r="BC1658" s="79"/>
      <c r="BD1658" s="230"/>
      <c r="BE1658" s="211"/>
      <c r="BF1658" s="164"/>
      <c r="BG1658" s="76"/>
      <c r="BH1658" s="44"/>
      <c r="BI1658" s="275"/>
      <c r="BJ1658" s="52"/>
      <c r="BK1658" s="35"/>
      <c r="BL1658" s="79"/>
      <c r="BM1658" s="230"/>
      <c r="BN1658" s="211"/>
      <c r="BO1658" s="164"/>
      <c r="BP1658" s="726"/>
      <c r="BQ1658" s="727"/>
      <c r="BR1658" s="299"/>
      <c r="BS1658" s="35"/>
      <c r="BT1658" s="596"/>
      <c r="BU1658" s="79"/>
      <c r="BV1658" s="212"/>
      <c r="BW1658" s="304"/>
      <c r="BX1658" s="313"/>
      <c r="BY1658" s="138"/>
    </row>
    <row r="1659" spans="1:77" ht="15" customHeight="1" outlineLevel="1" x14ac:dyDescent="0.2">
      <c r="A1659" s="583" t="s">
        <v>24</v>
      </c>
      <c r="B1659" s="583"/>
      <c r="C1659" s="583" t="s">
        <v>2004</v>
      </c>
      <c r="D1659" s="546">
        <v>3.6840000000000002</v>
      </c>
      <c r="E1659" s="162" t="s">
        <v>631</v>
      </c>
      <c r="F1659" s="358"/>
      <c r="G1659" s="65"/>
      <c r="H1659" s="73"/>
      <c r="I1659" s="90">
        <v>2007</v>
      </c>
      <c r="J1659" s="73"/>
      <c r="K1659" s="734">
        <v>7.4479999999999998E-3</v>
      </c>
      <c r="L1659" s="717"/>
      <c r="M1659" s="73"/>
      <c r="N1659" s="359"/>
      <c r="O1659" s="1041"/>
      <c r="P1659" s="73"/>
      <c r="Q1659" s="359"/>
      <c r="R1659" s="1041"/>
      <c r="S1659" s="73"/>
      <c r="T1659" s="359"/>
      <c r="U1659" s="73"/>
      <c r="V1659" s="66"/>
      <c r="W1659" s="740">
        <f t="shared" ref="W1659" si="1514">AA1659*(1+AB1659)</f>
        <v>5.3625599999999999E-6</v>
      </c>
      <c r="X1659" s="741">
        <f t="shared" ref="X1659" si="1515">AA1659*(1+AC1659)</f>
        <v>5.3625599999999999E-6</v>
      </c>
      <c r="Y1659" s="52">
        <v>2007</v>
      </c>
      <c r="Z1659" s="52"/>
      <c r="AA1659" s="739">
        <f t="shared" si="1504"/>
        <v>7.4479999999999997E-6</v>
      </c>
      <c r="AB1659" s="256">
        <v>-0.28000000000000003</v>
      </c>
      <c r="AC1659" s="688">
        <f t="shared" si="1509"/>
        <v>-0.28000000000000003</v>
      </c>
      <c r="AD1659" s="164"/>
      <c r="AE1659" s="164"/>
      <c r="AF1659" s="25"/>
      <c r="AG1659" s="26"/>
      <c r="AH1659" s="275"/>
      <c r="AI1659" s="52"/>
      <c r="AJ1659" s="35"/>
      <c r="AK1659" s="289"/>
      <c r="AL1659" s="290"/>
      <c r="AM1659" s="211"/>
      <c r="AN1659" s="164"/>
      <c r="AO1659" s="594"/>
      <c r="AP1659" s="595"/>
      <c r="AQ1659" s="275"/>
      <c r="AR1659" s="52"/>
      <c r="AS1659" s="596"/>
      <c r="AT1659" s="79"/>
      <c r="AU1659" s="212"/>
      <c r="AV1659" s="164"/>
      <c r="AW1659" s="164"/>
      <c r="AX1659" s="76"/>
      <c r="AY1659" s="44"/>
      <c r="AZ1659" s="275"/>
      <c r="BA1659" s="52"/>
      <c r="BB1659" s="35"/>
      <c r="BC1659" s="79"/>
      <c r="BD1659" s="230"/>
      <c r="BE1659" s="211"/>
      <c r="BF1659" s="164"/>
      <c r="BG1659" s="76"/>
      <c r="BH1659" s="44"/>
      <c r="BI1659" s="275"/>
      <c r="BJ1659" s="52"/>
      <c r="BK1659" s="35"/>
      <c r="BL1659" s="79"/>
      <c r="BM1659" s="230"/>
      <c r="BN1659" s="211"/>
      <c r="BO1659" s="164"/>
      <c r="BP1659" s="726"/>
      <c r="BQ1659" s="727"/>
      <c r="BR1659" s="299"/>
      <c r="BS1659" s="35"/>
      <c r="BT1659" s="596"/>
      <c r="BU1659" s="79"/>
      <c r="BV1659" s="212"/>
      <c r="BW1659" s="304"/>
      <c r="BX1659" s="313"/>
      <c r="BY1659" s="138"/>
    </row>
    <row r="1660" spans="1:77" ht="15" customHeight="1" outlineLevel="1" x14ac:dyDescent="0.2">
      <c r="A1660" s="583" t="s">
        <v>24</v>
      </c>
      <c r="B1660" s="583"/>
      <c r="C1660" s="583" t="s">
        <v>1764</v>
      </c>
      <c r="D1660" s="546">
        <v>4.8280000000000003</v>
      </c>
      <c r="E1660" s="162" t="s">
        <v>631</v>
      </c>
      <c r="F1660" s="358"/>
      <c r="G1660" s="65"/>
      <c r="H1660" s="73"/>
      <c r="I1660" s="90"/>
      <c r="J1660" s="73"/>
      <c r="K1660" s="734">
        <v>1.4019999999999999E-2</v>
      </c>
      <c r="L1660" s="717"/>
      <c r="M1660" s="73"/>
      <c r="N1660" s="359"/>
      <c r="O1660" s="1041"/>
      <c r="P1660" s="73"/>
      <c r="Q1660" s="359"/>
      <c r="R1660" s="1041"/>
      <c r="S1660" s="73"/>
      <c r="T1660" s="359"/>
      <c r="U1660" s="73"/>
      <c r="V1660" s="66"/>
      <c r="W1660" s="740">
        <f t="shared" ref="W1660" si="1516">AA1660*(1+AB1660)</f>
        <v>1.0515E-5</v>
      </c>
      <c r="X1660" s="741">
        <f t="shared" ref="X1660" si="1517">AA1660*(1+AC1660)</f>
        <v>1.0515E-5</v>
      </c>
      <c r="Y1660" s="52">
        <v>2005</v>
      </c>
      <c r="Z1660" s="52"/>
      <c r="AA1660" s="739">
        <f>+K1660/1000</f>
        <v>1.402E-5</v>
      </c>
      <c r="AB1660" s="256">
        <v>-0.25</v>
      </c>
      <c r="AC1660" s="688">
        <f t="shared" si="1509"/>
        <v>-0.25</v>
      </c>
      <c r="AD1660" s="164"/>
      <c r="AE1660" s="164"/>
      <c r="AF1660" s="25"/>
      <c r="AG1660" s="26"/>
      <c r="AH1660" s="275"/>
      <c r="AI1660" s="52"/>
      <c r="AJ1660" s="35"/>
      <c r="AK1660" s="289"/>
      <c r="AL1660" s="290"/>
      <c r="AM1660" s="211"/>
      <c r="AN1660" s="164"/>
      <c r="AO1660" s="594"/>
      <c r="AP1660" s="595"/>
      <c r="AQ1660" s="275"/>
      <c r="AR1660" s="52"/>
      <c r="AS1660" s="596"/>
      <c r="AT1660" s="79"/>
      <c r="AU1660" s="212"/>
      <c r="AV1660" s="164"/>
      <c r="AW1660" s="164"/>
      <c r="AX1660" s="76"/>
      <c r="AY1660" s="44"/>
      <c r="AZ1660" s="275"/>
      <c r="BA1660" s="52"/>
      <c r="BB1660" s="35"/>
      <c r="BC1660" s="79"/>
      <c r="BD1660" s="230"/>
      <c r="BE1660" s="211"/>
      <c r="BF1660" s="164"/>
      <c r="BG1660" s="76"/>
      <c r="BH1660" s="44"/>
      <c r="BI1660" s="275"/>
      <c r="BJ1660" s="52"/>
      <c r="BK1660" s="35"/>
      <c r="BL1660" s="79"/>
      <c r="BM1660" s="230"/>
      <c r="BN1660" s="211"/>
      <c r="BO1660" s="164"/>
      <c r="BP1660" s="726"/>
      <c r="BQ1660" s="727"/>
      <c r="BR1660" s="299"/>
      <c r="BS1660" s="35"/>
      <c r="BT1660" s="596"/>
      <c r="BU1660" s="79"/>
      <c r="BV1660" s="212"/>
      <c r="BW1660" s="304"/>
      <c r="BX1660" s="313"/>
      <c r="BY1660" s="138"/>
    </row>
    <row r="1661" spans="1:77" ht="15" customHeight="1" outlineLevel="1" x14ac:dyDescent="0.2">
      <c r="A1661" s="583" t="s">
        <v>24</v>
      </c>
      <c r="B1661" s="583"/>
      <c r="C1661" s="583" t="s">
        <v>1774</v>
      </c>
      <c r="D1661" s="546">
        <v>0.81699999999999995</v>
      </c>
      <c r="E1661" s="162" t="s">
        <v>631</v>
      </c>
      <c r="F1661" s="358"/>
      <c r="G1661" s="65"/>
      <c r="H1661" s="73"/>
      <c r="I1661" s="90"/>
      <c r="J1661" s="73"/>
      <c r="K1661" s="734"/>
      <c r="L1661" s="717"/>
      <c r="M1661" s="73"/>
      <c r="N1661" s="811">
        <v>8.61E-4</v>
      </c>
      <c r="O1661" s="1041"/>
      <c r="P1661" s="73"/>
      <c r="Q1661" s="811"/>
      <c r="R1661" s="1041"/>
      <c r="S1661" s="73"/>
      <c r="T1661" s="811"/>
      <c r="U1661" s="73"/>
      <c r="V1661" s="66"/>
      <c r="W1661" s="808">
        <f t="shared" ref="W1661" si="1518">AA1661*(1+AB1661)</f>
        <v>6.4575000000000002E-7</v>
      </c>
      <c r="X1661" s="809">
        <f t="shared" ref="X1661" si="1519">AA1661*(1+AC1661)</f>
        <v>6.4575000000000002E-7</v>
      </c>
      <c r="Y1661" s="52">
        <v>2010</v>
      </c>
      <c r="Z1661" s="52"/>
      <c r="AA1661" s="807">
        <f>+N1661/1000</f>
        <v>8.6099999999999999E-7</v>
      </c>
      <c r="AB1661" s="256">
        <v>-0.25</v>
      </c>
      <c r="AC1661" s="688">
        <f t="shared" si="1509"/>
        <v>-0.25</v>
      </c>
      <c r="AD1661" s="164"/>
      <c r="AE1661" s="164"/>
      <c r="AF1661" s="25"/>
      <c r="AG1661" s="26"/>
      <c r="AH1661" s="275"/>
      <c r="AI1661" s="52"/>
      <c r="AJ1661" s="35"/>
      <c r="AK1661" s="289"/>
      <c r="AL1661" s="290"/>
      <c r="AM1661" s="211"/>
      <c r="AN1661" s="164"/>
      <c r="AO1661" s="594"/>
      <c r="AP1661" s="595"/>
      <c r="AQ1661" s="275"/>
      <c r="AR1661" s="52"/>
      <c r="AS1661" s="596"/>
      <c r="AT1661" s="79"/>
      <c r="AU1661" s="212"/>
      <c r="AV1661" s="164"/>
      <c r="AW1661" s="164"/>
      <c r="AX1661" s="76"/>
      <c r="AY1661" s="44"/>
      <c r="AZ1661" s="275"/>
      <c r="BA1661" s="52"/>
      <c r="BB1661" s="35"/>
      <c r="BC1661" s="79"/>
      <c r="BD1661" s="230"/>
      <c r="BE1661" s="211"/>
      <c r="BF1661" s="164"/>
      <c r="BG1661" s="76"/>
      <c r="BH1661" s="44"/>
      <c r="BI1661" s="275"/>
      <c r="BJ1661" s="52"/>
      <c r="BK1661" s="35"/>
      <c r="BL1661" s="79"/>
      <c r="BM1661" s="230"/>
      <c r="BN1661" s="211"/>
      <c r="BO1661" s="164"/>
      <c r="BP1661" s="726"/>
      <c r="BQ1661" s="727"/>
      <c r="BR1661" s="299"/>
      <c r="BS1661" s="35"/>
      <c r="BT1661" s="596"/>
      <c r="BU1661" s="79"/>
      <c r="BV1661" s="212"/>
      <c r="BW1661" s="304"/>
      <c r="BX1661" s="313"/>
      <c r="BY1661" s="138"/>
    </row>
    <row r="1662" spans="1:77" ht="15" customHeight="1" outlineLevel="1" x14ac:dyDescent="0.2">
      <c r="A1662" s="57" t="s">
        <v>24</v>
      </c>
      <c r="B1662" s="583"/>
      <c r="C1662" s="583" t="s">
        <v>1379</v>
      </c>
      <c r="D1662" s="546">
        <v>39.081000000000003</v>
      </c>
      <c r="E1662" s="162" t="s">
        <v>631</v>
      </c>
      <c r="F1662" s="358"/>
      <c r="G1662" s="65"/>
      <c r="H1662" s="73"/>
      <c r="I1662" s="90"/>
      <c r="J1662" s="73"/>
      <c r="K1662" s="66">
        <v>0.15817500000000001</v>
      </c>
      <c r="L1662" s="717"/>
      <c r="M1662" s="73"/>
      <c r="N1662" s="359"/>
      <c r="O1662" s="1041"/>
      <c r="P1662" s="73"/>
      <c r="Q1662" s="359"/>
      <c r="R1662" s="1041"/>
      <c r="S1662" s="73"/>
      <c r="T1662" s="359"/>
      <c r="U1662" s="73"/>
      <c r="V1662" s="66"/>
      <c r="W1662" s="594">
        <f t="shared" si="1507"/>
        <v>1.107225E-4</v>
      </c>
      <c r="X1662" s="595">
        <f t="shared" si="1508"/>
        <v>1.107225E-4</v>
      </c>
      <c r="Y1662" s="52">
        <v>2005</v>
      </c>
      <c r="Z1662" s="52"/>
      <c r="AA1662" s="596">
        <f t="shared" si="1504"/>
        <v>1.5817500000000001E-4</v>
      </c>
      <c r="AB1662" s="256">
        <v>-0.3</v>
      </c>
      <c r="AC1662" s="688">
        <f t="shared" si="1509"/>
        <v>-0.3</v>
      </c>
      <c r="AD1662" s="164"/>
      <c r="AE1662" s="164"/>
      <c r="AF1662" s="25"/>
      <c r="AG1662" s="26"/>
      <c r="AH1662" s="275"/>
      <c r="AI1662" s="52"/>
      <c r="AJ1662" s="35"/>
      <c r="AK1662" s="289"/>
      <c r="AL1662" s="290"/>
      <c r="AM1662" s="211"/>
      <c r="AN1662" s="164"/>
      <c r="AO1662" s="594"/>
      <c r="AP1662" s="595"/>
      <c r="AQ1662" s="275"/>
      <c r="AR1662" s="52"/>
      <c r="AS1662" s="596"/>
      <c r="AT1662" s="79"/>
      <c r="AU1662" s="212"/>
      <c r="AV1662" s="164"/>
      <c r="AW1662" s="164"/>
      <c r="AX1662" s="76"/>
      <c r="AY1662" s="44"/>
      <c r="AZ1662" s="275"/>
      <c r="BA1662" s="52"/>
      <c r="BB1662" s="35"/>
      <c r="BC1662" s="79"/>
      <c r="BD1662" s="230"/>
      <c r="BE1662" s="211"/>
      <c r="BF1662" s="164"/>
      <c r="BG1662" s="76"/>
      <c r="BH1662" s="44"/>
      <c r="BI1662" s="275"/>
      <c r="BJ1662" s="52"/>
      <c r="BK1662" s="35"/>
      <c r="BL1662" s="79"/>
      <c r="BM1662" s="230"/>
      <c r="BN1662" s="211"/>
      <c r="BO1662" s="164"/>
      <c r="BP1662" s="726"/>
      <c r="BQ1662" s="727"/>
      <c r="BR1662" s="299"/>
      <c r="BS1662" s="35"/>
      <c r="BT1662" s="596"/>
      <c r="BU1662" s="79"/>
      <c r="BV1662" s="212"/>
      <c r="BW1662" s="304"/>
      <c r="BX1662" s="313"/>
      <c r="BY1662" s="138"/>
    </row>
    <row r="1663" spans="1:77" ht="15" customHeight="1" outlineLevel="1" x14ac:dyDescent="0.2">
      <c r="A1663" s="583" t="s">
        <v>24</v>
      </c>
      <c r="B1663" s="583"/>
      <c r="C1663" s="583" t="s">
        <v>1959</v>
      </c>
      <c r="D1663" s="546">
        <v>2.6280000000000001</v>
      </c>
      <c r="E1663" s="162" t="s">
        <v>631</v>
      </c>
      <c r="F1663" s="358"/>
      <c r="G1663" s="65"/>
      <c r="H1663" s="73"/>
      <c r="I1663" s="90">
        <v>2007</v>
      </c>
      <c r="J1663" s="73"/>
      <c r="K1663" s="790">
        <v>2.2509000000000001E-2</v>
      </c>
      <c r="L1663" s="717"/>
      <c r="M1663" s="73"/>
      <c r="N1663" s="359"/>
      <c r="O1663" s="1041"/>
      <c r="P1663" s="73"/>
      <c r="Q1663" s="359"/>
      <c r="R1663" s="1041"/>
      <c r="S1663" s="73"/>
      <c r="T1663" s="359"/>
      <c r="U1663" s="73"/>
      <c r="V1663" s="66"/>
      <c r="W1663" s="740">
        <f t="shared" ref="W1663" si="1520">AA1663*(1+AB1663)</f>
        <v>1.6431570000000002E-5</v>
      </c>
      <c r="X1663" s="741">
        <f t="shared" ref="X1663" si="1521">AA1663*(1+AC1663)</f>
        <v>1.6431570000000002E-5</v>
      </c>
      <c r="Y1663" s="52">
        <v>2007</v>
      </c>
      <c r="Z1663" s="52"/>
      <c r="AA1663" s="739">
        <f>+K1663/1000</f>
        <v>2.2509000000000001E-5</v>
      </c>
      <c r="AB1663" s="256">
        <v>-0.27</v>
      </c>
      <c r="AC1663" s="688">
        <f t="shared" si="1509"/>
        <v>-0.27</v>
      </c>
      <c r="AD1663" s="164"/>
      <c r="AE1663" s="164"/>
      <c r="AF1663" s="25"/>
      <c r="AG1663" s="26"/>
      <c r="AH1663" s="275"/>
      <c r="AI1663" s="52"/>
      <c r="AJ1663" s="35"/>
      <c r="AK1663" s="289"/>
      <c r="AL1663" s="290"/>
      <c r="AM1663" s="211"/>
      <c r="AN1663" s="164"/>
      <c r="AO1663" s="594"/>
      <c r="AP1663" s="595"/>
      <c r="AQ1663" s="275"/>
      <c r="AR1663" s="52"/>
      <c r="AS1663" s="596"/>
      <c r="AT1663" s="79"/>
      <c r="AU1663" s="212"/>
      <c r="AV1663" s="164"/>
      <c r="AW1663" s="164"/>
      <c r="AX1663" s="76"/>
      <c r="AY1663" s="44"/>
      <c r="AZ1663" s="275"/>
      <c r="BA1663" s="52"/>
      <c r="BB1663" s="35"/>
      <c r="BC1663" s="79"/>
      <c r="BD1663" s="230"/>
      <c r="BE1663" s="211"/>
      <c r="BF1663" s="164"/>
      <c r="BG1663" s="76"/>
      <c r="BH1663" s="44"/>
      <c r="BI1663" s="275"/>
      <c r="BJ1663" s="52"/>
      <c r="BK1663" s="35"/>
      <c r="BL1663" s="79"/>
      <c r="BM1663" s="230"/>
      <c r="BN1663" s="211"/>
      <c r="BO1663" s="164"/>
      <c r="BP1663" s="726"/>
      <c r="BQ1663" s="727"/>
      <c r="BR1663" s="299"/>
      <c r="BS1663" s="35"/>
      <c r="BT1663" s="596"/>
      <c r="BU1663" s="79"/>
      <c r="BV1663" s="212"/>
      <c r="BW1663" s="304"/>
      <c r="BX1663" s="313"/>
      <c r="BY1663" s="138"/>
    </row>
    <row r="1664" spans="1:77" ht="15" customHeight="1" outlineLevel="1" x14ac:dyDescent="0.2">
      <c r="A1664" s="583" t="s">
        <v>24</v>
      </c>
      <c r="B1664" s="583"/>
      <c r="C1664" s="583" t="s">
        <v>2657</v>
      </c>
      <c r="D1664" s="546">
        <v>4.3869999999999996</v>
      </c>
      <c r="E1664" s="162" t="s">
        <v>631</v>
      </c>
      <c r="F1664" s="358"/>
      <c r="G1664" s="65"/>
      <c r="H1664" s="73"/>
      <c r="I1664" s="90"/>
      <c r="J1664" s="73"/>
      <c r="K1664" s="790"/>
      <c r="L1664" s="717">
        <v>2009</v>
      </c>
      <c r="M1664" s="73"/>
      <c r="N1664" s="786">
        <v>1.423E-2</v>
      </c>
      <c r="O1664" s="1041"/>
      <c r="P1664" s="73"/>
      <c r="Q1664" s="359"/>
      <c r="R1664" s="1041"/>
      <c r="S1664" s="73"/>
      <c r="T1664" s="359"/>
      <c r="U1664" s="73"/>
      <c r="V1664" s="66"/>
      <c r="W1664" s="788">
        <f t="shared" ref="W1664" si="1522">AA1664*(1+AB1664)</f>
        <v>9.6763999999999994E-6</v>
      </c>
      <c r="X1664" s="789">
        <f t="shared" ref="X1664" si="1523">AA1664*(1+AC1664)</f>
        <v>9.6763999999999994E-6</v>
      </c>
      <c r="Y1664" s="52">
        <v>2009</v>
      </c>
      <c r="Z1664" s="52"/>
      <c r="AA1664" s="787">
        <f>+N1664/1000</f>
        <v>1.4229999999999999E-5</v>
      </c>
      <c r="AB1664" s="256">
        <v>-0.32</v>
      </c>
      <c r="AC1664" s="688">
        <f t="shared" ref="AC1664" si="1524">AB1664</f>
        <v>-0.32</v>
      </c>
      <c r="AD1664" s="164"/>
      <c r="AE1664" s="164"/>
      <c r="AF1664" s="25"/>
      <c r="AG1664" s="26"/>
      <c r="AH1664" s="275"/>
      <c r="AI1664" s="52"/>
      <c r="AJ1664" s="35"/>
      <c r="AK1664" s="289"/>
      <c r="AL1664" s="290"/>
      <c r="AM1664" s="211"/>
      <c r="AN1664" s="164"/>
      <c r="AO1664" s="594"/>
      <c r="AP1664" s="595"/>
      <c r="AQ1664" s="275"/>
      <c r="AR1664" s="52"/>
      <c r="AS1664" s="596"/>
      <c r="AT1664" s="79"/>
      <c r="AU1664" s="212"/>
      <c r="AV1664" s="164"/>
      <c r="AW1664" s="164"/>
      <c r="AX1664" s="76"/>
      <c r="AY1664" s="44"/>
      <c r="AZ1664" s="275"/>
      <c r="BA1664" s="52"/>
      <c r="BB1664" s="35"/>
      <c r="BC1664" s="79"/>
      <c r="BD1664" s="230"/>
      <c r="BE1664" s="211"/>
      <c r="BF1664" s="164"/>
      <c r="BG1664" s="76"/>
      <c r="BH1664" s="44"/>
      <c r="BI1664" s="275"/>
      <c r="BJ1664" s="52"/>
      <c r="BK1664" s="35"/>
      <c r="BL1664" s="79"/>
      <c r="BM1664" s="230"/>
      <c r="BN1664" s="211"/>
      <c r="BO1664" s="164"/>
      <c r="BP1664" s="726"/>
      <c r="BQ1664" s="727"/>
      <c r="BR1664" s="299"/>
      <c r="BS1664" s="35"/>
      <c r="BT1664" s="596"/>
      <c r="BU1664" s="79"/>
      <c r="BV1664" s="212"/>
      <c r="BW1664" s="304"/>
      <c r="BX1664" s="313"/>
      <c r="BY1664" s="138"/>
    </row>
    <row r="1665" spans="1:77" ht="15" customHeight="1" outlineLevel="1" x14ac:dyDescent="0.2">
      <c r="A1665" s="583" t="s">
        <v>24</v>
      </c>
      <c r="B1665" s="583"/>
      <c r="C1665" s="583" t="s">
        <v>1708</v>
      </c>
      <c r="D1665" s="546">
        <v>1.1299999999999999</v>
      </c>
      <c r="E1665" s="162" t="s">
        <v>631</v>
      </c>
      <c r="F1665" s="358"/>
      <c r="G1665" s="65"/>
      <c r="H1665" s="73"/>
      <c r="I1665" s="90"/>
      <c r="J1665" s="73"/>
      <c r="K1665" s="66"/>
      <c r="L1665" s="717">
        <v>2008</v>
      </c>
      <c r="M1665" s="73"/>
      <c r="N1665" s="786">
        <v>9.0790000000000003E-3</v>
      </c>
      <c r="O1665" s="1041"/>
      <c r="P1665" s="73"/>
      <c r="Q1665" s="359"/>
      <c r="R1665" s="1041"/>
      <c r="S1665" s="73"/>
      <c r="T1665" s="359"/>
      <c r="U1665" s="73"/>
      <c r="V1665" s="66"/>
      <c r="W1665" s="788">
        <f t="shared" ref="W1665" si="1525">AA1665*(1+AB1665)</f>
        <v>6.8092500000000009E-6</v>
      </c>
      <c r="X1665" s="789">
        <f t="shared" ref="X1665" si="1526">AA1665*(1+AC1665)</f>
        <v>6.8092500000000009E-6</v>
      </c>
      <c r="Y1665" s="52">
        <v>2008</v>
      </c>
      <c r="Z1665" s="52"/>
      <c r="AA1665" s="787">
        <f>+N1665/1000</f>
        <v>9.0790000000000007E-6</v>
      </c>
      <c r="AB1665" s="256">
        <v>-0.25</v>
      </c>
      <c r="AC1665" s="688">
        <f t="shared" si="1509"/>
        <v>-0.25</v>
      </c>
      <c r="AD1665" s="164"/>
      <c r="AE1665" s="164"/>
      <c r="AF1665" s="25"/>
      <c r="AG1665" s="26"/>
      <c r="AH1665" s="275"/>
      <c r="AI1665" s="52"/>
      <c r="AJ1665" s="35"/>
      <c r="AK1665" s="289"/>
      <c r="AL1665" s="290"/>
      <c r="AM1665" s="211"/>
      <c r="AN1665" s="164"/>
      <c r="AO1665" s="594"/>
      <c r="AP1665" s="595"/>
      <c r="AQ1665" s="275"/>
      <c r="AR1665" s="52"/>
      <c r="AS1665" s="596"/>
      <c r="AT1665" s="79"/>
      <c r="AU1665" s="212"/>
      <c r="AV1665" s="164"/>
      <c r="AW1665" s="164"/>
      <c r="AX1665" s="76"/>
      <c r="AY1665" s="44"/>
      <c r="AZ1665" s="275"/>
      <c r="BA1665" s="52"/>
      <c r="BB1665" s="35"/>
      <c r="BC1665" s="79"/>
      <c r="BD1665" s="230"/>
      <c r="BE1665" s="211"/>
      <c r="BF1665" s="164"/>
      <c r="BG1665" s="76"/>
      <c r="BH1665" s="44"/>
      <c r="BI1665" s="275"/>
      <c r="BJ1665" s="52"/>
      <c r="BK1665" s="35"/>
      <c r="BL1665" s="79"/>
      <c r="BM1665" s="230"/>
      <c r="BN1665" s="211"/>
      <c r="BO1665" s="164"/>
      <c r="BP1665" s="726"/>
      <c r="BQ1665" s="727"/>
      <c r="BR1665" s="299"/>
      <c r="BS1665" s="35"/>
      <c r="BT1665" s="596"/>
      <c r="BU1665" s="79"/>
      <c r="BV1665" s="212"/>
      <c r="BW1665" s="304"/>
      <c r="BX1665" s="313"/>
      <c r="BY1665" s="138"/>
    </row>
    <row r="1666" spans="1:77" ht="15" customHeight="1" outlineLevel="1" x14ac:dyDescent="0.2">
      <c r="A1666" s="583" t="s">
        <v>24</v>
      </c>
      <c r="B1666" s="583"/>
      <c r="C1666" s="583" t="s">
        <v>2018</v>
      </c>
      <c r="D1666" s="546">
        <v>0.39600000000000002</v>
      </c>
      <c r="E1666" s="162" t="s">
        <v>631</v>
      </c>
      <c r="F1666" s="358"/>
      <c r="G1666" s="65"/>
      <c r="H1666" s="73"/>
      <c r="I1666" s="90">
        <v>2004</v>
      </c>
      <c r="J1666" s="73"/>
      <c r="K1666" s="790">
        <v>1.7930000000000001E-3</v>
      </c>
      <c r="L1666" s="717"/>
      <c r="M1666" s="73"/>
      <c r="N1666" s="359"/>
      <c r="O1666" s="1041"/>
      <c r="P1666" s="73"/>
      <c r="Q1666" s="359"/>
      <c r="R1666" s="1041"/>
      <c r="S1666" s="73"/>
      <c r="T1666" s="359"/>
      <c r="U1666" s="73"/>
      <c r="V1666" s="66"/>
      <c r="W1666" s="788">
        <f t="shared" ref="W1666" si="1527">AA1666*(1+AB1666)</f>
        <v>1.29096E-6</v>
      </c>
      <c r="X1666" s="789">
        <f t="shared" ref="X1666" si="1528">AA1666*(1+AC1666)</f>
        <v>1.29096E-6</v>
      </c>
      <c r="Y1666" s="52">
        <v>2004</v>
      </c>
      <c r="Z1666" s="52"/>
      <c r="AA1666" s="787">
        <f>+K1666/1000</f>
        <v>1.793E-6</v>
      </c>
      <c r="AB1666" s="256">
        <v>-0.28000000000000003</v>
      </c>
      <c r="AC1666" s="688">
        <f t="shared" si="1509"/>
        <v>-0.28000000000000003</v>
      </c>
      <c r="AD1666" s="164"/>
      <c r="AE1666" s="164"/>
      <c r="AF1666" s="25"/>
      <c r="AG1666" s="26"/>
      <c r="AH1666" s="275"/>
      <c r="AI1666" s="52"/>
      <c r="AJ1666" s="35"/>
      <c r="AK1666" s="289"/>
      <c r="AL1666" s="290"/>
      <c r="AM1666" s="211"/>
      <c r="AN1666" s="164"/>
      <c r="AO1666" s="594"/>
      <c r="AP1666" s="595"/>
      <c r="AQ1666" s="275"/>
      <c r="AR1666" s="52"/>
      <c r="AS1666" s="596"/>
      <c r="AT1666" s="79"/>
      <c r="AU1666" s="212"/>
      <c r="AV1666" s="164"/>
      <c r="AW1666" s="164"/>
      <c r="AX1666" s="76"/>
      <c r="AY1666" s="44"/>
      <c r="AZ1666" s="275"/>
      <c r="BA1666" s="52"/>
      <c r="BB1666" s="35"/>
      <c r="BC1666" s="79"/>
      <c r="BD1666" s="230"/>
      <c r="BE1666" s="211"/>
      <c r="BF1666" s="164"/>
      <c r="BG1666" s="76"/>
      <c r="BH1666" s="44"/>
      <c r="BI1666" s="275"/>
      <c r="BJ1666" s="52"/>
      <c r="BK1666" s="35"/>
      <c r="BL1666" s="79"/>
      <c r="BM1666" s="230"/>
      <c r="BN1666" s="211"/>
      <c r="BO1666" s="164"/>
      <c r="BP1666" s="726"/>
      <c r="BQ1666" s="727"/>
      <c r="BR1666" s="299"/>
      <c r="BS1666" s="35"/>
      <c r="BT1666" s="596"/>
      <c r="BU1666" s="79"/>
      <c r="BV1666" s="212"/>
      <c r="BW1666" s="304"/>
      <c r="BX1666" s="313"/>
      <c r="BY1666" s="138"/>
    </row>
    <row r="1667" spans="1:77" ht="15" customHeight="1" outlineLevel="1" x14ac:dyDescent="0.2">
      <c r="A1667" s="583" t="s">
        <v>24</v>
      </c>
      <c r="B1667" s="583"/>
      <c r="C1667" s="583" t="s">
        <v>1970</v>
      </c>
      <c r="D1667" s="546">
        <v>3.6669999999999998</v>
      </c>
      <c r="E1667" s="162" t="s">
        <v>631</v>
      </c>
      <c r="F1667" s="358"/>
      <c r="G1667" s="65"/>
      <c r="H1667" s="73"/>
      <c r="I1667" s="90">
        <v>2002</v>
      </c>
      <c r="J1667" s="73"/>
      <c r="K1667" s="790">
        <v>2.0774000000000001E-2</v>
      </c>
      <c r="L1667" s="717"/>
      <c r="M1667" s="73"/>
      <c r="N1667" s="359"/>
      <c r="O1667" s="1041"/>
      <c r="P1667" s="73"/>
      <c r="Q1667" s="359"/>
      <c r="R1667" s="1041"/>
      <c r="S1667" s="73"/>
      <c r="T1667" s="359"/>
      <c r="U1667" s="73"/>
      <c r="V1667" s="66"/>
      <c r="W1667" s="788">
        <f t="shared" ref="W1667" si="1529">AA1667*(1+AB1667)</f>
        <v>1.5165020000000001E-5</v>
      </c>
      <c r="X1667" s="789">
        <f t="shared" ref="X1667" si="1530">AA1667*(1+AC1667)</f>
        <v>1.5165020000000001E-5</v>
      </c>
      <c r="Y1667" s="52">
        <v>2002</v>
      </c>
      <c r="Z1667" s="52"/>
      <c r="AA1667" s="787">
        <f>+K1667/1000</f>
        <v>2.0774000000000001E-5</v>
      </c>
      <c r="AB1667" s="256">
        <v>-0.27</v>
      </c>
      <c r="AC1667" s="688">
        <f t="shared" si="1509"/>
        <v>-0.27</v>
      </c>
      <c r="AD1667" s="164"/>
      <c r="AE1667" s="164"/>
      <c r="AF1667" s="25"/>
      <c r="AG1667" s="26"/>
      <c r="AH1667" s="275"/>
      <c r="AI1667" s="52"/>
      <c r="AJ1667" s="35"/>
      <c r="AK1667" s="289"/>
      <c r="AL1667" s="290"/>
      <c r="AM1667" s="211"/>
      <c r="AN1667" s="164"/>
      <c r="AO1667" s="594"/>
      <c r="AP1667" s="595"/>
      <c r="AQ1667" s="275"/>
      <c r="AR1667" s="52"/>
      <c r="AS1667" s="596"/>
      <c r="AT1667" s="79"/>
      <c r="AU1667" s="212"/>
      <c r="AV1667" s="164"/>
      <c r="AW1667" s="164"/>
      <c r="AX1667" s="76"/>
      <c r="AY1667" s="44"/>
      <c r="AZ1667" s="275"/>
      <c r="BA1667" s="52"/>
      <c r="BB1667" s="35"/>
      <c r="BC1667" s="79"/>
      <c r="BD1667" s="230"/>
      <c r="BE1667" s="211"/>
      <c r="BF1667" s="164"/>
      <c r="BG1667" s="76"/>
      <c r="BH1667" s="44"/>
      <c r="BI1667" s="275"/>
      <c r="BJ1667" s="52"/>
      <c r="BK1667" s="35"/>
      <c r="BL1667" s="79"/>
      <c r="BM1667" s="230"/>
      <c r="BN1667" s="211"/>
      <c r="BO1667" s="164"/>
      <c r="BP1667" s="726"/>
      <c r="BQ1667" s="727"/>
      <c r="BR1667" s="299"/>
      <c r="BS1667" s="35"/>
      <c r="BT1667" s="596"/>
      <c r="BU1667" s="79"/>
      <c r="BV1667" s="212"/>
      <c r="BW1667" s="304"/>
      <c r="BX1667" s="313"/>
      <c r="BY1667" s="138"/>
    </row>
    <row r="1668" spans="1:77" ht="15" customHeight="1" outlineLevel="1" x14ac:dyDescent="0.2">
      <c r="A1668" s="583" t="s">
        <v>24</v>
      </c>
      <c r="B1668" s="583"/>
      <c r="C1668" s="583" t="s">
        <v>1867</v>
      </c>
      <c r="D1668" s="546">
        <v>1.032</v>
      </c>
      <c r="E1668" s="162" t="s">
        <v>631</v>
      </c>
      <c r="F1668" s="358"/>
      <c r="G1668" s="65"/>
      <c r="H1668" s="73"/>
      <c r="I1668" s="90"/>
      <c r="J1668" s="73"/>
      <c r="K1668" s="790">
        <v>2.9489999999999998E-3</v>
      </c>
      <c r="L1668" s="717"/>
      <c r="M1668" s="73"/>
      <c r="N1668" s="359"/>
      <c r="O1668" s="1041"/>
      <c r="P1668" s="73"/>
      <c r="Q1668" s="359"/>
      <c r="R1668" s="1041"/>
      <c r="S1668" s="73"/>
      <c r="T1668" s="359"/>
      <c r="U1668" s="73"/>
      <c r="V1668" s="66"/>
      <c r="W1668" s="788">
        <f t="shared" ref="W1668" si="1531">AA1668*(1+AB1668)</f>
        <v>2.1822599999999996E-6</v>
      </c>
      <c r="X1668" s="789">
        <f t="shared" ref="X1668" si="1532">AA1668*(1+AC1668)</f>
        <v>2.1822599999999996E-6</v>
      </c>
      <c r="Y1668" s="52">
        <v>2005</v>
      </c>
      <c r="Z1668" s="52"/>
      <c r="AA1668" s="787">
        <f>+K1668/1000</f>
        <v>2.9489999999999996E-6</v>
      </c>
      <c r="AB1668" s="256">
        <v>-0.26</v>
      </c>
      <c r="AC1668" s="688">
        <f t="shared" si="1509"/>
        <v>-0.26</v>
      </c>
      <c r="AD1668" s="164"/>
      <c r="AE1668" s="164"/>
      <c r="AF1668" s="25"/>
      <c r="AG1668" s="26"/>
      <c r="AH1668" s="275"/>
      <c r="AI1668" s="52"/>
      <c r="AJ1668" s="35"/>
      <c r="AK1668" s="289"/>
      <c r="AL1668" s="290"/>
      <c r="AM1668" s="211"/>
      <c r="AN1668" s="164"/>
      <c r="AO1668" s="594"/>
      <c r="AP1668" s="595"/>
      <c r="AQ1668" s="275"/>
      <c r="AR1668" s="52"/>
      <c r="AS1668" s="596"/>
      <c r="AT1668" s="79"/>
      <c r="AU1668" s="212"/>
      <c r="AV1668" s="164"/>
      <c r="AW1668" s="164"/>
      <c r="AX1668" s="76"/>
      <c r="AY1668" s="44"/>
      <c r="AZ1668" s="275"/>
      <c r="BA1668" s="52"/>
      <c r="BB1668" s="35"/>
      <c r="BC1668" s="79"/>
      <c r="BD1668" s="230"/>
      <c r="BE1668" s="211"/>
      <c r="BF1668" s="164"/>
      <c r="BG1668" s="76"/>
      <c r="BH1668" s="44"/>
      <c r="BI1668" s="275"/>
      <c r="BJ1668" s="52"/>
      <c r="BK1668" s="35"/>
      <c r="BL1668" s="79"/>
      <c r="BM1668" s="230"/>
      <c r="BN1668" s="211"/>
      <c r="BO1668" s="164"/>
      <c r="BP1668" s="726"/>
      <c r="BQ1668" s="727"/>
      <c r="BR1668" s="299"/>
      <c r="BS1668" s="35"/>
      <c r="BT1668" s="596"/>
      <c r="BU1668" s="79"/>
      <c r="BV1668" s="212"/>
      <c r="BW1668" s="304"/>
      <c r="BX1668" s="313"/>
      <c r="BY1668" s="138"/>
    </row>
    <row r="1669" spans="1:77" ht="15" customHeight="1" outlineLevel="1" x14ac:dyDescent="0.2">
      <c r="A1669" s="583" t="s">
        <v>24</v>
      </c>
      <c r="B1669" s="583"/>
      <c r="C1669" s="583" t="s">
        <v>1863</v>
      </c>
      <c r="D1669" s="546">
        <v>0.53500000000000003</v>
      </c>
      <c r="E1669" s="162" t="s">
        <v>631</v>
      </c>
      <c r="F1669" s="358"/>
      <c r="G1669" s="65"/>
      <c r="H1669" s="73"/>
      <c r="I1669" s="90">
        <v>2001</v>
      </c>
      <c r="J1669" s="73"/>
      <c r="K1669" s="66">
        <v>4.5849999999999997E-3</v>
      </c>
      <c r="L1669" s="717"/>
      <c r="M1669" s="73"/>
      <c r="N1669" s="786"/>
      <c r="O1669" s="1041"/>
      <c r="P1669" s="73"/>
      <c r="Q1669" s="786"/>
      <c r="R1669" s="1041"/>
      <c r="S1669" s="73"/>
      <c r="T1669" s="786"/>
      <c r="U1669" s="73"/>
      <c r="V1669" s="66"/>
      <c r="W1669" s="788">
        <f t="shared" ref="W1669" si="1533">AA1669*(1+AB1669)</f>
        <v>3.3928999999999993E-6</v>
      </c>
      <c r="X1669" s="789">
        <f t="shared" ref="X1669" si="1534">AA1669*(1+AC1669)</f>
        <v>3.3928999999999993E-6</v>
      </c>
      <c r="Y1669" s="52">
        <v>2001</v>
      </c>
      <c r="Z1669" s="52"/>
      <c r="AA1669" s="787">
        <f>+K1669/1000</f>
        <v>4.5849999999999993E-6</v>
      </c>
      <c r="AB1669" s="256">
        <v>-0.26</v>
      </c>
      <c r="AC1669" s="688">
        <f t="shared" si="1509"/>
        <v>-0.26</v>
      </c>
      <c r="AD1669" s="164"/>
      <c r="AE1669" s="164"/>
      <c r="AF1669" s="25"/>
      <c r="AG1669" s="26"/>
      <c r="AH1669" s="275"/>
      <c r="AI1669" s="52"/>
      <c r="AJ1669" s="35"/>
      <c r="AK1669" s="289"/>
      <c r="AL1669" s="290"/>
      <c r="AM1669" s="211"/>
      <c r="AN1669" s="164"/>
      <c r="AO1669" s="594"/>
      <c r="AP1669" s="595"/>
      <c r="AQ1669" s="275"/>
      <c r="AR1669" s="52"/>
      <c r="AS1669" s="596"/>
      <c r="AT1669" s="79"/>
      <c r="AU1669" s="212"/>
      <c r="AV1669" s="164"/>
      <c r="AW1669" s="164"/>
      <c r="AX1669" s="76"/>
      <c r="AY1669" s="44"/>
      <c r="AZ1669" s="275"/>
      <c r="BA1669" s="52"/>
      <c r="BB1669" s="35"/>
      <c r="BC1669" s="79"/>
      <c r="BD1669" s="230"/>
      <c r="BE1669" s="211"/>
      <c r="BF1669" s="164"/>
      <c r="BG1669" s="76"/>
      <c r="BH1669" s="44"/>
      <c r="BI1669" s="275"/>
      <c r="BJ1669" s="52"/>
      <c r="BK1669" s="35"/>
      <c r="BL1669" s="79"/>
      <c r="BM1669" s="230"/>
      <c r="BN1669" s="211"/>
      <c r="BO1669" s="164"/>
      <c r="BP1669" s="726"/>
      <c r="BQ1669" s="727"/>
      <c r="BR1669" s="299"/>
      <c r="BS1669" s="35"/>
      <c r="BT1669" s="596"/>
      <c r="BU1669" s="79"/>
      <c r="BV1669" s="212"/>
      <c r="BW1669" s="304"/>
      <c r="BX1669" s="313"/>
      <c r="BY1669" s="138"/>
    </row>
    <row r="1670" spans="1:77" ht="15" customHeight="1" outlineLevel="1" x14ac:dyDescent="0.2">
      <c r="A1670" s="57" t="s">
        <v>24</v>
      </c>
      <c r="B1670" s="583"/>
      <c r="C1670" s="583" t="s">
        <v>1471</v>
      </c>
      <c r="D1670" s="546">
        <v>1.1839999999999999</v>
      </c>
      <c r="E1670" s="162" t="s">
        <v>631</v>
      </c>
      <c r="F1670" s="358"/>
      <c r="G1670" s="65"/>
      <c r="H1670" s="73"/>
      <c r="I1670" s="90"/>
      <c r="J1670" s="73"/>
      <c r="K1670" s="814">
        <v>3.5070000000000001E-3</v>
      </c>
      <c r="L1670" s="717"/>
      <c r="M1670" s="73"/>
      <c r="N1670" s="359"/>
      <c r="O1670" s="1041"/>
      <c r="P1670" s="73"/>
      <c r="Q1670" s="359"/>
      <c r="R1670" s="1041"/>
      <c r="S1670" s="73"/>
      <c r="T1670" s="359"/>
      <c r="U1670" s="73"/>
      <c r="V1670" s="66"/>
      <c r="W1670" s="788">
        <f t="shared" si="1507"/>
        <v>2.1743399999999999E-6</v>
      </c>
      <c r="X1670" s="789">
        <f t="shared" si="1508"/>
        <v>2.1743399999999999E-6</v>
      </c>
      <c r="Y1670" s="52">
        <v>2005</v>
      </c>
      <c r="Z1670" s="52"/>
      <c r="AA1670" s="787">
        <f t="shared" si="1504"/>
        <v>3.507E-6</v>
      </c>
      <c r="AB1670" s="256">
        <v>-0.38</v>
      </c>
      <c r="AC1670" s="688">
        <f t="shared" si="1509"/>
        <v>-0.38</v>
      </c>
      <c r="AD1670" s="164"/>
      <c r="AE1670" s="164"/>
      <c r="AF1670" s="25"/>
      <c r="AG1670" s="26"/>
      <c r="AH1670" s="275"/>
      <c r="AI1670" s="52"/>
      <c r="AJ1670" s="35"/>
      <c r="AK1670" s="289"/>
      <c r="AL1670" s="290"/>
      <c r="AM1670" s="211"/>
      <c r="AN1670" s="164"/>
      <c r="AO1670" s="594"/>
      <c r="AP1670" s="595"/>
      <c r="AQ1670" s="275"/>
      <c r="AR1670" s="52"/>
      <c r="AS1670" s="596"/>
      <c r="AT1670" s="79"/>
      <c r="AU1670" s="212"/>
      <c r="AV1670" s="164"/>
      <c r="AW1670" s="164"/>
      <c r="AX1670" s="76"/>
      <c r="AY1670" s="44"/>
      <c r="AZ1670" s="275"/>
      <c r="BA1670" s="52"/>
      <c r="BB1670" s="35"/>
      <c r="BC1670" s="79"/>
      <c r="BD1670" s="230"/>
      <c r="BE1670" s="211"/>
      <c r="BF1670" s="164"/>
      <c r="BG1670" s="76"/>
      <c r="BH1670" s="44"/>
      <c r="BI1670" s="275"/>
      <c r="BJ1670" s="52"/>
      <c r="BK1670" s="35"/>
      <c r="BL1670" s="79"/>
      <c r="BM1670" s="230"/>
      <c r="BN1670" s="211"/>
      <c r="BO1670" s="164"/>
      <c r="BP1670" s="726"/>
      <c r="BQ1670" s="727"/>
      <c r="BR1670" s="299"/>
      <c r="BS1670" s="35"/>
      <c r="BT1670" s="596"/>
      <c r="BU1670" s="79"/>
      <c r="BV1670" s="212"/>
      <c r="BW1670" s="304"/>
      <c r="BX1670" s="313"/>
      <c r="BY1670" s="138"/>
    </row>
    <row r="1671" spans="1:77" ht="15" customHeight="1" outlineLevel="1" x14ac:dyDescent="0.2">
      <c r="A1671" s="57" t="s">
        <v>24</v>
      </c>
      <c r="B1671" s="583"/>
      <c r="C1671" s="583" t="s">
        <v>2670</v>
      </c>
      <c r="D1671" s="546">
        <v>0.84499999999999997</v>
      </c>
      <c r="E1671" s="162" t="s">
        <v>631</v>
      </c>
      <c r="F1671" s="358"/>
      <c r="G1671" s="65"/>
      <c r="H1671" s="73"/>
      <c r="I1671" s="90"/>
      <c r="J1671" s="73"/>
      <c r="K1671" s="814"/>
      <c r="L1671" s="717">
        <v>2009</v>
      </c>
      <c r="M1671" s="73"/>
      <c r="N1671" s="786">
        <v>2.3E-3</v>
      </c>
      <c r="O1671" s="1041"/>
      <c r="P1671" s="73"/>
      <c r="Q1671" s="359"/>
      <c r="R1671" s="1041"/>
      <c r="S1671" s="73"/>
      <c r="T1671" s="359"/>
      <c r="U1671" s="73"/>
      <c r="V1671" s="66"/>
      <c r="W1671" s="788">
        <f t="shared" ref="W1671" si="1535">AA1671*(1+AB1671)</f>
        <v>1.5409999999999999E-6</v>
      </c>
      <c r="X1671" s="789">
        <f t="shared" ref="X1671" si="1536">AA1671*(1+AC1671)</f>
        <v>1.5409999999999999E-6</v>
      </c>
      <c r="Y1671" s="52">
        <v>2009</v>
      </c>
      <c r="Z1671" s="52"/>
      <c r="AA1671" s="787">
        <f>+N1671/1000</f>
        <v>2.3E-6</v>
      </c>
      <c r="AB1671" s="256">
        <v>-0.33</v>
      </c>
      <c r="AC1671" s="688">
        <f t="shared" ref="AC1671" si="1537">AB1671</f>
        <v>-0.33</v>
      </c>
      <c r="AD1671" s="164"/>
      <c r="AE1671" s="164"/>
      <c r="AF1671" s="25"/>
      <c r="AG1671" s="26"/>
      <c r="AH1671" s="275"/>
      <c r="AI1671" s="52"/>
      <c r="AJ1671" s="35"/>
      <c r="AK1671" s="289"/>
      <c r="AL1671" s="290"/>
      <c r="AM1671" s="211"/>
      <c r="AN1671" s="164"/>
      <c r="AO1671" s="594"/>
      <c r="AP1671" s="595"/>
      <c r="AQ1671" s="275"/>
      <c r="AR1671" s="52"/>
      <c r="AS1671" s="596"/>
      <c r="AT1671" s="79"/>
      <c r="AU1671" s="212"/>
      <c r="AV1671" s="164"/>
      <c r="AW1671" s="164"/>
      <c r="AX1671" s="76"/>
      <c r="AY1671" s="44"/>
      <c r="AZ1671" s="275"/>
      <c r="BA1671" s="52"/>
      <c r="BB1671" s="35"/>
      <c r="BC1671" s="79"/>
      <c r="BD1671" s="230"/>
      <c r="BE1671" s="211"/>
      <c r="BF1671" s="164"/>
      <c r="BG1671" s="76"/>
      <c r="BH1671" s="44"/>
      <c r="BI1671" s="275"/>
      <c r="BJ1671" s="52"/>
      <c r="BK1671" s="35"/>
      <c r="BL1671" s="79"/>
      <c r="BM1671" s="230"/>
      <c r="BN1671" s="211"/>
      <c r="BO1671" s="164"/>
      <c r="BP1671" s="726"/>
      <c r="BQ1671" s="727"/>
      <c r="BR1671" s="299"/>
      <c r="BS1671" s="35"/>
      <c r="BT1671" s="596"/>
      <c r="BU1671" s="79"/>
      <c r="BV1671" s="212"/>
      <c r="BW1671" s="304"/>
      <c r="BX1671" s="313"/>
      <c r="BY1671" s="138"/>
    </row>
    <row r="1672" spans="1:77" ht="15" customHeight="1" outlineLevel="1" x14ac:dyDescent="0.2">
      <c r="A1672" s="57" t="s">
        <v>24</v>
      </c>
      <c r="B1672" s="583"/>
      <c r="C1672" s="583" t="s">
        <v>1482</v>
      </c>
      <c r="D1672" s="818">
        <v>0.34899999999999998</v>
      </c>
      <c r="E1672" s="162" t="s">
        <v>631</v>
      </c>
      <c r="F1672" s="358"/>
      <c r="G1672" s="65"/>
      <c r="H1672" s="73"/>
      <c r="I1672" s="90">
        <v>2004</v>
      </c>
      <c r="J1672" s="73"/>
      <c r="K1672" s="814">
        <v>1.818E-3</v>
      </c>
      <c r="L1672" s="717"/>
      <c r="M1672" s="73"/>
      <c r="N1672" s="359"/>
      <c r="O1672" s="1041"/>
      <c r="P1672" s="73"/>
      <c r="Q1672" s="359"/>
      <c r="R1672" s="1041"/>
      <c r="S1672" s="73"/>
      <c r="T1672" s="359"/>
      <c r="U1672" s="73"/>
      <c r="V1672" s="66"/>
      <c r="W1672" s="788">
        <f t="shared" si="1507"/>
        <v>1.1998799999999998E-6</v>
      </c>
      <c r="X1672" s="789">
        <f t="shared" si="1508"/>
        <v>1.1998799999999998E-6</v>
      </c>
      <c r="Y1672" s="52">
        <v>2004</v>
      </c>
      <c r="Z1672" s="52"/>
      <c r="AA1672" s="787">
        <f t="shared" si="1504"/>
        <v>1.818E-6</v>
      </c>
      <c r="AB1672" s="256">
        <v>-0.34</v>
      </c>
      <c r="AC1672" s="688">
        <f t="shared" si="1509"/>
        <v>-0.34</v>
      </c>
      <c r="AD1672" s="164"/>
      <c r="AE1672" s="164"/>
      <c r="AF1672" s="25"/>
      <c r="AG1672" s="26"/>
      <c r="AH1672" s="275"/>
      <c r="AI1672" s="52"/>
      <c r="AJ1672" s="35"/>
      <c r="AK1672" s="289"/>
      <c r="AL1672" s="290"/>
      <c r="AM1672" s="211"/>
      <c r="AN1672" s="164"/>
      <c r="AO1672" s="594"/>
      <c r="AP1672" s="595"/>
      <c r="AQ1672" s="275"/>
      <c r="AR1672" s="52"/>
      <c r="AS1672" s="596"/>
      <c r="AT1672" s="79"/>
      <c r="AU1672" s="212"/>
      <c r="AV1672" s="164"/>
      <c r="AW1672" s="164"/>
      <c r="AX1672" s="76"/>
      <c r="AY1672" s="44"/>
      <c r="AZ1672" s="275"/>
      <c r="BA1672" s="52"/>
      <c r="BB1672" s="35"/>
      <c r="BC1672" s="79"/>
      <c r="BD1672" s="230"/>
      <c r="BE1672" s="211"/>
      <c r="BF1672" s="164"/>
      <c r="BG1672" s="76"/>
      <c r="BH1672" s="44"/>
      <c r="BI1672" s="275"/>
      <c r="BJ1672" s="52"/>
      <c r="BK1672" s="35"/>
      <c r="BL1672" s="79"/>
      <c r="BM1672" s="230"/>
      <c r="BN1672" s="211"/>
      <c r="BO1672" s="164"/>
      <c r="BP1672" s="726"/>
      <c r="BQ1672" s="727"/>
      <c r="BR1672" s="299"/>
      <c r="BS1672" s="35"/>
      <c r="BT1672" s="596"/>
      <c r="BU1672" s="79"/>
      <c r="BV1672" s="212"/>
      <c r="BW1672" s="304"/>
      <c r="BX1672" s="313"/>
      <c r="BY1672" s="138"/>
    </row>
    <row r="1673" spans="1:77" ht="15" customHeight="1" outlineLevel="1" x14ac:dyDescent="0.2">
      <c r="A1673" s="583" t="s">
        <v>24</v>
      </c>
      <c r="B1673" s="583"/>
      <c r="C1673" s="583" t="s">
        <v>1952</v>
      </c>
      <c r="D1673" s="818">
        <v>1.4279999999999999</v>
      </c>
      <c r="E1673" s="162" t="s">
        <v>631</v>
      </c>
      <c r="F1673" s="358"/>
      <c r="G1673" s="65"/>
      <c r="H1673" s="73"/>
      <c r="I1673" s="90"/>
      <c r="J1673" s="73"/>
      <c r="K1673" s="814"/>
      <c r="L1673" s="717">
        <v>2009</v>
      </c>
      <c r="M1673" s="73"/>
      <c r="N1673" s="786">
        <v>6.2329999999999998E-3</v>
      </c>
      <c r="O1673" s="1041"/>
      <c r="P1673" s="73"/>
      <c r="Q1673" s="359"/>
      <c r="R1673" s="1041"/>
      <c r="S1673" s="73"/>
      <c r="T1673" s="359"/>
      <c r="U1673" s="73"/>
      <c r="V1673" s="66"/>
      <c r="W1673" s="788">
        <f t="shared" ref="W1673" si="1538">AA1673*(1+AB1673)</f>
        <v>4.5500899999999992E-6</v>
      </c>
      <c r="X1673" s="789">
        <f t="shared" ref="X1673" si="1539">AA1673*(1+AC1673)</f>
        <v>4.5500899999999992E-6</v>
      </c>
      <c r="Y1673" s="52">
        <v>2009</v>
      </c>
      <c r="Z1673" s="52"/>
      <c r="AA1673" s="787">
        <f>+N1673/1000</f>
        <v>6.2329999999999994E-6</v>
      </c>
      <c r="AB1673" s="256">
        <v>-0.27</v>
      </c>
      <c r="AC1673" s="688">
        <f t="shared" si="1509"/>
        <v>-0.27</v>
      </c>
      <c r="AD1673" s="164"/>
      <c r="AE1673" s="164"/>
      <c r="AF1673" s="25"/>
      <c r="AG1673" s="26"/>
      <c r="AH1673" s="275"/>
      <c r="AI1673" s="52"/>
      <c r="AJ1673" s="35"/>
      <c r="AK1673" s="289"/>
      <c r="AL1673" s="290"/>
      <c r="AM1673" s="211"/>
      <c r="AN1673" s="164"/>
      <c r="AO1673" s="594"/>
      <c r="AP1673" s="595"/>
      <c r="AQ1673" s="275"/>
      <c r="AR1673" s="52"/>
      <c r="AS1673" s="596"/>
      <c r="AT1673" s="79"/>
      <c r="AU1673" s="212"/>
      <c r="AV1673" s="164"/>
      <c r="AW1673" s="164"/>
      <c r="AX1673" s="76"/>
      <c r="AY1673" s="44"/>
      <c r="AZ1673" s="275"/>
      <c r="BA1673" s="52"/>
      <c r="BB1673" s="35"/>
      <c r="BC1673" s="79"/>
      <c r="BD1673" s="230"/>
      <c r="BE1673" s="211"/>
      <c r="BF1673" s="164"/>
      <c r="BG1673" s="76"/>
      <c r="BH1673" s="44"/>
      <c r="BI1673" s="275"/>
      <c r="BJ1673" s="52"/>
      <c r="BK1673" s="35"/>
      <c r="BL1673" s="79"/>
      <c r="BM1673" s="230"/>
      <c r="BN1673" s="211"/>
      <c r="BO1673" s="164"/>
      <c r="BP1673" s="726"/>
      <c r="BQ1673" s="727"/>
      <c r="BR1673" s="299"/>
      <c r="BS1673" s="35"/>
      <c r="BT1673" s="596"/>
      <c r="BU1673" s="79"/>
      <c r="BV1673" s="212"/>
      <c r="BW1673" s="304"/>
      <c r="BX1673" s="313"/>
      <c r="BY1673" s="138"/>
    </row>
    <row r="1674" spans="1:77" ht="15" customHeight="1" outlineLevel="1" x14ac:dyDescent="0.2">
      <c r="A1674" s="57" t="s">
        <v>24</v>
      </c>
      <c r="B1674" s="583"/>
      <c r="C1674" s="583" t="s">
        <v>1476</v>
      </c>
      <c r="D1674" s="546">
        <v>0.82299999999999995</v>
      </c>
      <c r="E1674" s="162" t="s">
        <v>631</v>
      </c>
      <c r="F1674" s="358"/>
      <c r="G1674" s="65"/>
      <c r="H1674" s="73"/>
      <c r="I1674" s="90"/>
      <c r="J1674" s="73"/>
      <c r="K1674" s="814">
        <v>2.281E-3</v>
      </c>
      <c r="L1674" s="717"/>
      <c r="M1674" s="73"/>
      <c r="N1674" s="359"/>
      <c r="O1674" s="1041"/>
      <c r="P1674" s="73"/>
      <c r="Q1674" s="359"/>
      <c r="R1674" s="1041"/>
      <c r="S1674" s="73"/>
      <c r="T1674" s="359"/>
      <c r="U1674" s="73"/>
      <c r="V1674" s="66"/>
      <c r="W1674" s="788">
        <f>AA1674*(1+AB1674)</f>
        <v>1.20893E-6</v>
      </c>
      <c r="X1674" s="789">
        <f>AA1674*(1+AC1674)</f>
        <v>1.20893E-6</v>
      </c>
      <c r="Y1674" s="52">
        <v>2005</v>
      </c>
      <c r="Z1674" s="52"/>
      <c r="AA1674" s="787">
        <f t="shared" si="1504"/>
        <v>2.2809999999999998E-6</v>
      </c>
      <c r="AB1674" s="256">
        <v>-0.47</v>
      </c>
      <c r="AC1674" s="688">
        <f t="shared" si="1509"/>
        <v>-0.47</v>
      </c>
      <c r="AD1674" s="164"/>
      <c r="AE1674" s="164"/>
      <c r="AF1674" s="25"/>
      <c r="AG1674" s="26"/>
      <c r="AH1674" s="275"/>
      <c r="AI1674" s="52"/>
      <c r="AJ1674" s="35"/>
      <c r="AK1674" s="289"/>
      <c r="AL1674" s="290"/>
      <c r="AM1674" s="211"/>
      <c r="AN1674" s="164"/>
      <c r="AO1674" s="594"/>
      <c r="AP1674" s="595"/>
      <c r="AQ1674" s="275"/>
      <c r="AR1674" s="52"/>
      <c r="AS1674" s="596"/>
      <c r="AT1674" s="79"/>
      <c r="AU1674" s="212"/>
      <c r="AV1674" s="164"/>
      <c r="AW1674" s="164"/>
      <c r="AX1674" s="76"/>
      <c r="AY1674" s="44"/>
      <c r="AZ1674" s="275"/>
      <c r="BA1674" s="52"/>
      <c r="BB1674" s="35"/>
      <c r="BC1674" s="79"/>
      <c r="BD1674" s="230"/>
      <c r="BE1674" s="211"/>
      <c r="BF1674" s="164"/>
      <c r="BG1674" s="76"/>
      <c r="BH1674" s="44"/>
      <c r="BI1674" s="275"/>
      <c r="BJ1674" s="52"/>
      <c r="BK1674" s="35"/>
      <c r="BL1674" s="79"/>
      <c r="BM1674" s="230"/>
      <c r="BN1674" s="211"/>
      <c r="BO1674" s="164"/>
      <c r="BP1674" s="726"/>
      <c r="BQ1674" s="727"/>
      <c r="BR1674" s="299"/>
      <c r="BS1674" s="35"/>
      <c r="BT1674" s="596"/>
      <c r="BU1674" s="79"/>
      <c r="BV1674" s="212"/>
      <c r="BW1674" s="304"/>
      <c r="BX1674" s="313"/>
      <c r="BY1674" s="138"/>
    </row>
    <row r="1675" spans="1:77" ht="15" customHeight="1" outlineLevel="1" x14ac:dyDescent="0.2">
      <c r="A1675" s="583" t="s">
        <v>24</v>
      </c>
      <c r="B1675" s="583"/>
      <c r="C1675" s="583" t="s">
        <v>1738</v>
      </c>
      <c r="D1675" s="546">
        <v>2.5950000000000002</v>
      </c>
      <c r="E1675" s="162" t="s">
        <v>631</v>
      </c>
      <c r="F1675" s="358"/>
      <c r="G1675" s="65"/>
      <c r="H1675" s="73"/>
      <c r="I1675" s="90"/>
      <c r="J1675" s="73"/>
      <c r="K1675" s="814">
        <v>6.1180000000000002E-3</v>
      </c>
      <c r="L1675" s="717"/>
      <c r="M1675" s="73"/>
      <c r="N1675" s="359"/>
      <c r="O1675" s="1041"/>
      <c r="P1675" s="73"/>
      <c r="Q1675" s="359"/>
      <c r="R1675" s="1041"/>
      <c r="S1675" s="73"/>
      <c r="T1675" s="359"/>
      <c r="U1675" s="73"/>
      <c r="V1675" s="66"/>
      <c r="W1675" s="788">
        <f>AA1675*(1+AB1675)</f>
        <v>4.5885000000000002E-6</v>
      </c>
      <c r="X1675" s="789">
        <f>AA1675*(1+AC1675)</f>
        <v>4.5885000000000002E-6</v>
      </c>
      <c r="Y1675" s="52">
        <v>2005</v>
      </c>
      <c r="Z1675" s="52"/>
      <c r="AA1675" s="787">
        <f t="shared" si="1504"/>
        <v>6.1180000000000005E-6</v>
      </c>
      <c r="AB1675" s="256">
        <v>-0.25</v>
      </c>
      <c r="AC1675" s="688">
        <f t="shared" si="1509"/>
        <v>-0.25</v>
      </c>
      <c r="AD1675" s="164"/>
      <c r="AE1675" s="164"/>
      <c r="AF1675" s="25"/>
      <c r="AG1675" s="26"/>
      <c r="AH1675" s="275"/>
      <c r="AI1675" s="52"/>
      <c r="AJ1675" s="35"/>
      <c r="AK1675" s="289"/>
      <c r="AL1675" s="290"/>
      <c r="AM1675" s="211"/>
      <c r="AN1675" s="164"/>
      <c r="AO1675" s="594"/>
      <c r="AP1675" s="595"/>
      <c r="AQ1675" s="275"/>
      <c r="AR1675" s="52"/>
      <c r="AS1675" s="596"/>
      <c r="AT1675" s="79"/>
      <c r="AU1675" s="212"/>
      <c r="AV1675" s="164"/>
      <c r="AW1675" s="164"/>
      <c r="AX1675" s="76"/>
      <c r="AY1675" s="44"/>
      <c r="AZ1675" s="275"/>
      <c r="BA1675" s="52"/>
      <c r="BB1675" s="35"/>
      <c r="BC1675" s="79"/>
      <c r="BD1675" s="230"/>
      <c r="BE1675" s="211"/>
      <c r="BF1675" s="164"/>
      <c r="BG1675" s="76"/>
      <c r="BH1675" s="44"/>
      <c r="BI1675" s="275"/>
      <c r="BJ1675" s="52"/>
      <c r="BK1675" s="35"/>
      <c r="BL1675" s="79"/>
      <c r="BM1675" s="230"/>
      <c r="BN1675" s="211"/>
      <c r="BO1675" s="164"/>
      <c r="BP1675" s="726"/>
      <c r="BQ1675" s="727"/>
      <c r="BR1675" s="299"/>
      <c r="BS1675" s="35"/>
      <c r="BT1675" s="596"/>
      <c r="BU1675" s="79"/>
      <c r="BV1675" s="212"/>
      <c r="BW1675" s="304"/>
      <c r="BX1675" s="313"/>
      <c r="BY1675" s="138"/>
    </row>
    <row r="1676" spans="1:77" ht="15" customHeight="1" outlineLevel="1" x14ac:dyDescent="0.2">
      <c r="A1676" s="583" t="s">
        <v>24</v>
      </c>
      <c r="B1676" s="583"/>
      <c r="C1676" s="583" t="s">
        <v>1718</v>
      </c>
      <c r="D1676" s="546">
        <v>14.558</v>
      </c>
      <c r="E1676" s="162" t="s">
        <v>631</v>
      </c>
      <c r="F1676" s="358"/>
      <c r="G1676" s="65"/>
      <c r="H1676" s="73"/>
      <c r="I1676" s="90"/>
      <c r="J1676" s="73"/>
      <c r="K1676" s="814"/>
      <c r="L1676" s="717">
        <v>2009</v>
      </c>
      <c r="M1676" s="73"/>
      <c r="N1676" s="359">
        <v>8.9761999999999995E-2</v>
      </c>
      <c r="O1676" s="1041"/>
      <c r="P1676" s="73"/>
      <c r="Q1676" s="359"/>
      <c r="R1676" s="1041"/>
      <c r="S1676" s="73"/>
      <c r="T1676" s="359"/>
      <c r="U1676" s="73"/>
      <c r="V1676" s="66"/>
      <c r="W1676" s="788">
        <f>AA1676*(1+AB1676)</f>
        <v>6.7321499999999996E-5</v>
      </c>
      <c r="X1676" s="789">
        <f>AA1676*(1+AC1676)</f>
        <v>6.7321499999999996E-5</v>
      </c>
      <c r="Y1676" s="52">
        <v>2009</v>
      </c>
      <c r="Z1676" s="52"/>
      <c r="AA1676" s="787">
        <f>+N1676/1000</f>
        <v>8.9761999999999999E-5</v>
      </c>
      <c r="AB1676" s="256">
        <v>-0.25</v>
      </c>
      <c r="AC1676" s="688">
        <f t="shared" si="1509"/>
        <v>-0.25</v>
      </c>
      <c r="AD1676" s="164"/>
      <c r="AE1676" s="164"/>
      <c r="AF1676" s="25"/>
      <c r="AG1676" s="26"/>
      <c r="AH1676" s="275"/>
      <c r="AI1676" s="52"/>
      <c r="AJ1676" s="35"/>
      <c r="AK1676" s="289"/>
      <c r="AL1676" s="290"/>
      <c r="AM1676" s="211"/>
      <c r="AN1676" s="164"/>
      <c r="AO1676" s="594"/>
      <c r="AP1676" s="595"/>
      <c r="AQ1676" s="275"/>
      <c r="AR1676" s="52"/>
      <c r="AS1676" s="596"/>
      <c r="AT1676" s="79"/>
      <c r="AU1676" s="212"/>
      <c r="AV1676" s="164"/>
      <c r="AW1676" s="164"/>
      <c r="AX1676" s="76"/>
      <c r="AY1676" s="44"/>
      <c r="AZ1676" s="275"/>
      <c r="BA1676" s="52"/>
      <c r="BB1676" s="35"/>
      <c r="BC1676" s="79"/>
      <c r="BD1676" s="230"/>
      <c r="BE1676" s="211"/>
      <c r="BF1676" s="164"/>
      <c r="BG1676" s="76"/>
      <c r="BH1676" s="44"/>
      <c r="BI1676" s="275"/>
      <c r="BJ1676" s="52"/>
      <c r="BK1676" s="35"/>
      <c r="BL1676" s="79"/>
      <c r="BM1676" s="230"/>
      <c r="BN1676" s="211"/>
      <c r="BO1676" s="164"/>
      <c r="BP1676" s="726"/>
      <c r="BQ1676" s="727"/>
      <c r="BR1676" s="299"/>
      <c r="BS1676" s="35"/>
      <c r="BT1676" s="596"/>
      <c r="BU1676" s="79"/>
      <c r="BV1676" s="212"/>
      <c r="BW1676" s="304"/>
      <c r="BX1676" s="313"/>
      <c r="BY1676" s="138"/>
    </row>
    <row r="1677" spans="1:77" ht="15" customHeight="1" outlineLevel="1" x14ac:dyDescent="0.2">
      <c r="A1677" s="57" t="s">
        <v>24</v>
      </c>
      <c r="B1677" s="583"/>
      <c r="C1677" s="583" t="s">
        <v>1543</v>
      </c>
      <c r="D1677" s="546">
        <v>1.988</v>
      </c>
      <c r="E1677" s="162" t="s">
        <v>631</v>
      </c>
      <c r="F1677" s="358"/>
      <c r="G1677" s="65"/>
      <c r="H1677" s="73"/>
      <c r="I1677" s="90"/>
      <c r="J1677" s="73"/>
      <c r="K1677" s="814">
        <v>7.463E-3</v>
      </c>
      <c r="L1677" s="717"/>
      <c r="M1677" s="73"/>
      <c r="N1677" s="359"/>
      <c r="O1677" s="1041"/>
      <c r="P1677" s="73"/>
      <c r="Q1677" s="359"/>
      <c r="R1677" s="1041"/>
      <c r="S1677" s="73"/>
      <c r="T1677" s="359"/>
      <c r="U1677" s="73"/>
      <c r="V1677" s="66"/>
      <c r="W1677" s="788">
        <f t="shared" si="1507"/>
        <v>4.1046500000000006E-6</v>
      </c>
      <c r="X1677" s="789">
        <f t="shared" si="1508"/>
        <v>4.1046500000000006E-6</v>
      </c>
      <c r="Y1677" s="52">
        <v>2005</v>
      </c>
      <c r="Z1677" s="52"/>
      <c r="AA1677" s="787">
        <f t="shared" si="1504"/>
        <v>7.4630000000000004E-6</v>
      </c>
      <c r="AB1677" s="256">
        <v>-0.45</v>
      </c>
      <c r="AC1677" s="688">
        <f t="shared" si="1509"/>
        <v>-0.45</v>
      </c>
      <c r="AD1677" s="164"/>
      <c r="AE1677" s="164"/>
      <c r="AF1677" s="25"/>
      <c r="AG1677" s="26"/>
      <c r="AH1677" s="275"/>
      <c r="AI1677" s="52"/>
      <c r="AJ1677" s="35"/>
      <c r="AK1677" s="289"/>
      <c r="AL1677" s="290"/>
      <c r="AM1677" s="211"/>
      <c r="AN1677" s="164"/>
      <c r="AO1677" s="594"/>
      <c r="AP1677" s="595"/>
      <c r="AQ1677" s="275"/>
      <c r="AR1677" s="52"/>
      <c r="AS1677" s="596"/>
      <c r="AT1677" s="79"/>
      <c r="AU1677" s="212"/>
      <c r="AV1677" s="164"/>
      <c r="AW1677" s="164"/>
      <c r="AX1677" s="76"/>
      <c r="AY1677" s="44"/>
      <c r="AZ1677" s="275"/>
      <c r="BA1677" s="52"/>
      <c r="BB1677" s="35"/>
      <c r="BC1677" s="79"/>
      <c r="BD1677" s="230"/>
      <c r="BE1677" s="211"/>
      <c r="BF1677" s="164"/>
      <c r="BG1677" s="76"/>
      <c r="BH1677" s="44"/>
      <c r="BI1677" s="275"/>
      <c r="BJ1677" s="52"/>
      <c r="BK1677" s="35"/>
      <c r="BL1677" s="79"/>
      <c r="BM1677" s="230"/>
      <c r="BN1677" s="211"/>
      <c r="BO1677" s="164"/>
      <c r="BP1677" s="726"/>
      <c r="BQ1677" s="727"/>
      <c r="BR1677" s="299"/>
      <c r="BS1677" s="35"/>
      <c r="BT1677" s="596"/>
      <c r="BU1677" s="79"/>
      <c r="BV1677" s="212"/>
      <c r="BW1677" s="304"/>
      <c r="BX1677" s="313"/>
      <c r="BY1677" s="138"/>
    </row>
    <row r="1678" spans="1:77" ht="15" customHeight="1" outlineLevel="1" x14ac:dyDescent="0.2">
      <c r="A1678" s="57" t="s">
        <v>24</v>
      </c>
      <c r="B1678" s="583"/>
      <c r="C1678" s="583" t="s">
        <v>1377</v>
      </c>
      <c r="D1678" s="546">
        <v>8.9030000000000005</v>
      </c>
      <c r="E1678" s="162" t="s">
        <v>631</v>
      </c>
      <c r="F1678" s="358"/>
      <c r="G1678" s="65"/>
      <c r="H1678" s="73"/>
      <c r="I1678" s="90"/>
      <c r="J1678" s="73"/>
      <c r="K1678" s="734"/>
      <c r="L1678" s="717">
        <v>2011</v>
      </c>
      <c r="M1678" s="73"/>
      <c r="N1678" s="738">
        <v>2.8652E-2</v>
      </c>
      <c r="O1678" s="1041"/>
      <c r="P1678" s="73"/>
      <c r="Q1678" s="738"/>
      <c r="R1678" s="1041"/>
      <c r="S1678" s="73"/>
      <c r="T1678" s="738"/>
      <c r="U1678" s="73"/>
      <c r="V1678" s="66"/>
      <c r="W1678" s="740">
        <f t="shared" si="1507"/>
        <v>1.8910319999999999E-5</v>
      </c>
      <c r="X1678" s="741">
        <f t="shared" si="1508"/>
        <v>1.8910319999999999E-5</v>
      </c>
      <c r="Y1678" s="52">
        <v>2011</v>
      </c>
      <c r="Z1678" s="52"/>
      <c r="AA1678" s="739">
        <f>+N1678/1000</f>
        <v>2.8651999999999999E-5</v>
      </c>
      <c r="AB1678" s="256">
        <v>-0.34</v>
      </c>
      <c r="AC1678" s="688">
        <f t="shared" si="1509"/>
        <v>-0.34</v>
      </c>
      <c r="AD1678" s="164"/>
      <c r="AE1678" s="164"/>
      <c r="AF1678" s="25"/>
      <c r="AG1678" s="26"/>
      <c r="AH1678" s="275"/>
      <c r="AI1678" s="52"/>
      <c r="AJ1678" s="35"/>
      <c r="AK1678" s="289"/>
      <c r="AL1678" s="290"/>
      <c r="AM1678" s="211"/>
      <c r="AN1678" s="164"/>
      <c r="AO1678" s="594"/>
      <c r="AP1678" s="595"/>
      <c r="AQ1678" s="275"/>
      <c r="AR1678" s="52"/>
      <c r="AS1678" s="596"/>
      <c r="AT1678" s="79"/>
      <c r="AU1678" s="212"/>
      <c r="AV1678" s="164"/>
      <c r="AW1678" s="164"/>
      <c r="AX1678" s="76"/>
      <c r="AY1678" s="44"/>
      <c r="AZ1678" s="275"/>
      <c r="BA1678" s="52"/>
      <c r="BB1678" s="35"/>
      <c r="BC1678" s="79"/>
      <c r="BD1678" s="230"/>
      <c r="BE1678" s="211"/>
      <c r="BF1678" s="164"/>
      <c r="BG1678" s="76"/>
      <c r="BH1678" s="44"/>
      <c r="BI1678" s="275"/>
      <c r="BJ1678" s="52"/>
      <c r="BK1678" s="35"/>
      <c r="BL1678" s="79"/>
      <c r="BM1678" s="230"/>
      <c r="BN1678" s="211"/>
      <c r="BO1678" s="164"/>
      <c r="BP1678" s="726"/>
      <c r="BQ1678" s="727"/>
      <c r="BR1678" s="299"/>
      <c r="BS1678" s="35"/>
      <c r="BT1678" s="596"/>
      <c r="BU1678" s="79"/>
      <c r="BV1678" s="212"/>
      <c r="BW1678" s="304"/>
      <c r="BX1678" s="313"/>
      <c r="BY1678" s="138"/>
    </row>
    <row r="1679" spans="1:77" ht="15" customHeight="1" outlineLevel="1" x14ac:dyDescent="0.2">
      <c r="A1679" s="57" t="s">
        <v>24</v>
      </c>
      <c r="B1679" s="583"/>
      <c r="C1679" s="583" t="s">
        <v>1318</v>
      </c>
      <c r="D1679" s="546">
        <v>9.6</v>
      </c>
      <c r="E1679" s="162" t="s">
        <v>631</v>
      </c>
      <c r="F1679" s="358"/>
      <c r="G1679" s="65"/>
      <c r="H1679" s="73"/>
      <c r="I1679" s="90">
        <v>2007</v>
      </c>
      <c r="J1679" s="73"/>
      <c r="K1679" s="734">
        <v>3.5486999999999998E-2</v>
      </c>
      <c r="L1679" s="717"/>
      <c r="M1679" s="73"/>
      <c r="N1679" s="359"/>
      <c r="O1679" s="1041"/>
      <c r="P1679" s="73"/>
      <c r="Q1679" s="359"/>
      <c r="R1679" s="1041"/>
      <c r="S1679" s="73"/>
      <c r="T1679" s="359"/>
      <c r="U1679" s="73"/>
      <c r="V1679" s="66"/>
      <c r="W1679" s="740">
        <f t="shared" si="1507"/>
        <v>2.306655E-5</v>
      </c>
      <c r="X1679" s="741">
        <f t="shared" si="1508"/>
        <v>2.306655E-5</v>
      </c>
      <c r="Y1679" s="52">
        <v>2007</v>
      </c>
      <c r="Z1679" s="52"/>
      <c r="AA1679" s="739">
        <f>+K1679/1000</f>
        <v>3.5487000000000001E-5</v>
      </c>
      <c r="AB1679" s="256">
        <v>-0.35</v>
      </c>
      <c r="AC1679" s="688">
        <f t="shared" si="1509"/>
        <v>-0.35</v>
      </c>
      <c r="AD1679" s="164"/>
      <c r="AE1679" s="164"/>
      <c r="AF1679" s="25"/>
      <c r="AG1679" s="26"/>
      <c r="AH1679" s="275"/>
      <c r="AI1679" s="52"/>
      <c r="AJ1679" s="35"/>
      <c r="AK1679" s="289"/>
      <c r="AL1679" s="290"/>
      <c r="AM1679" s="211"/>
      <c r="AN1679" s="164"/>
      <c r="AO1679" s="594"/>
      <c r="AP1679" s="595"/>
      <c r="AQ1679" s="275"/>
      <c r="AR1679" s="52"/>
      <c r="AS1679" s="596"/>
      <c r="AT1679" s="79"/>
      <c r="AU1679" s="212"/>
      <c r="AV1679" s="164"/>
      <c r="AW1679" s="164"/>
      <c r="AX1679" s="76"/>
      <c r="AY1679" s="44"/>
      <c r="AZ1679" s="275"/>
      <c r="BA1679" s="52"/>
      <c r="BB1679" s="35"/>
      <c r="BC1679" s="79"/>
      <c r="BD1679" s="230"/>
      <c r="BE1679" s="211"/>
      <c r="BF1679" s="164"/>
      <c r="BG1679" s="76"/>
      <c r="BH1679" s="44"/>
      <c r="BI1679" s="275"/>
      <c r="BJ1679" s="52"/>
      <c r="BK1679" s="35"/>
      <c r="BL1679" s="79"/>
      <c r="BM1679" s="230"/>
      <c r="BN1679" s="211"/>
      <c r="BO1679" s="164"/>
      <c r="BP1679" s="726"/>
      <c r="BQ1679" s="727"/>
      <c r="BR1679" s="299"/>
      <c r="BS1679" s="35"/>
      <c r="BT1679" s="596"/>
      <c r="BU1679" s="79"/>
      <c r="BV1679" s="212"/>
      <c r="BW1679" s="304"/>
      <c r="BX1679" s="313"/>
      <c r="BY1679" s="138"/>
    </row>
    <row r="1680" spans="1:77" ht="15" customHeight="1" outlineLevel="1" x14ac:dyDescent="0.2">
      <c r="A1680" s="57" t="s">
        <v>24</v>
      </c>
      <c r="B1680" s="583"/>
      <c r="C1680" s="583" t="s">
        <v>2399</v>
      </c>
      <c r="D1680" s="546">
        <v>2.8140000000000001</v>
      </c>
      <c r="E1680" s="162" t="s">
        <v>631</v>
      </c>
      <c r="F1680" s="358"/>
      <c r="G1680" s="65"/>
      <c r="H1680" s="73"/>
      <c r="I1680" s="90">
        <v>2007</v>
      </c>
      <c r="J1680" s="73"/>
      <c r="K1680" s="734">
        <v>8.8000000000000005E-3</v>
      </c>
      <c r="L1680" s="717"/>
      <c r="M1680" s="73"/>
      <c r="N1680" s="359"/>
      <c r="O1680" s="1041"/>
      <c r="P1680" s="73"/>
      <c r="Q1680" s="359"/>
      <c r="R1680" s="1041"/>
      <c r="S1680" s="73"/>
      <c r="T1680" s="359"/>
      <c r="U1680" s="73"/>
      <c r="V1680" s="66"/>
      <c r="W1680" s="788">
        <f t="shared" ref="W1680" si="1540">AA1680*(1+AB1680)</f>
        <v>6.1600000000000003E-6</v>
      </c>
      <c r="X1680" s="789">
        <f t="shared" ref="X1680" si="1541">AA1680*(1+AC1680)</f>
        <v>6.1600000000000003E-6</v>
      </c>
      <c r="Y1680" s="52">
        <v>2007</v>
      </c>
      <c r="Z1680" s="52"/>
      <c r="AA1680" s="787">
        <f>+K1680/1000</f>
        <v>8.8000000000000004E-6</v>
      </c>
      <c r="AB1680" s="256">
        <v>-0.3</v>
      </c>
      <c r="AC1680" s="688">
        <f t="shared" ref="AC1680" si="1542">AB1680</f>
        <v>-0.3</v>
      </c>
      <c r="AD1680" s="164"/>
      <c r="AE1680" s="164"/>
      <c r="AF1680" s="25"/>
      <c r="AG1680" s="26"/>
      <c r="AH1680" s="275"/>
      <c r="AI1680" s="52"/>
      <c r="AJ1680" s="35"/>
      <c r="AK1680" s="289"/>
      <c r="AL1680" s="290"/>
      <c r="AM1680" s="211"/>
      <c r="AN1680" s="164"/>
      <c r="AO1680" s="594"/>
      <c r="AP1680" s="595"/>
      <c r="AQ1680" s="275"/>
      <c r="AR1680" s="52"/>
      <c r="AS1680" s="596"/>
      <c r="AT1680" s="79"/>
      <c r="AU1680" s="212"/>
      <c r="AV1680" s="164"/>
      <c r="AW1680" s="164"/>
      <c r="AX1680" s="76"/>
      <c r="AY1680" s="44"/>
      <c r="AZ1680" s="275"/>
      <c r="BA1680" s="52"/>
      <c r="BB1680" s="35"/>
      <c r="BC1680" s="79"/>
      <c r="BD1680" s="230"/>
      <c r="BE1680" s="211"/>
      <c r="BF1680" s="164"/>
      <c r="BG1680" s="76"/>
      <c r="BH1680" s="44"/>
      <c r="BI1680" s="275"/>
      <c r="BJ1680" s="52"/>
      <c r="BK1680" s="35"/>
      <c r="BL1680" s="79"/>
      <c r="BM1680" s="230"/>
      <c r="BN1680" s="211"/>
      <c r="BO1680" s="164"/>
      <c r="BP1680" s="726"/>
      <c r="BQ1680" s="727"/>
      <c r="BR1680" s="299"/>
      <c r="BS1680" s="35"/>
      <c r="BT1680" s="596"/>
      <c r="BU1680" s="79"/>
      <c r="BV1680" s="212"/>
      <c r="BW1680" s="304"/>
      <c r="BX1680" s="313"/>
      <c r="BY1680" s="138"/>
    </row>
    <row r="1681" spans="1:77" ht="15" customHeight="1" outlineLevel="1" x14ac:dyDescent="0.2">
      <c r="A1681" s="57" t="s">
        <v>24</v>
      </c>
      <c r="B1681" s="583"/>
      <c r="C1681" s="583" t="s">
        <v>2387</v>
      </c>
      <c r="D1681" s="546">
        <v>0.81599999999999995</v>
      </c>
      <c r="E1681" s="162" t="s">
        <v>631</v>
      </c>
      <c r="F1681" s="358"/>
      <c r="G1681" s="65"/>
      <c r="H1681" s="73"/>
      <c r="I1681" s="90">
        <v>2000</v>
      </c>
      <c r="J1681" s="73"/>
      <c r="K1681" s="790">
        <v>3.6610000000000002E-3</v>
      </c>
      <c r="L1681" s="717"/>
      <c r="M1681" s="73"/>
      <c r="N1681" s="359"/>
      <c r="O1681" s="1041"/>
      <c r="P1681" s="73"/>
      <c r="Q1681" s="359"/>
      <c r="R1681" s="1041"/>
      <c r="S1681" s="73"/>
      <c r="T1681" s="359"/>
      <c r="U1681" s="73"/>
      <c r="V1681" s="66"/>
      <c r="W1681" s="788">
        <f t="shared" ref="W1681" si="1543">AA1681*(1+AB1681)</f>
        <v>2.5627E-6</v>
      </c>
      <c r="X1681" s="789">
        <f t="shared" ref="X1681" si="1544">AA1681*(1+AC1681)</f>
        <v>2.5627E-6</v>
      </c>
      <c r="Y1681" s="52">
        <v>2007</v>
      </c>
      <c r="Z1681" s="52"/>
      <c r="AA1681" s="787">
        <f>+K1681/1000</f>
        <v>3.6610000000000002E-6</v>
      </c>
      <c r="AB1681" s="256">
        <v>-0.3</v>
      </c>
      <c r="AC1681" s="688">
        <f t="shared" ref="AC1681" si="1545">AB1681</f>
        <v>-0.3</v>
      </c>
      <c r="AD1681" s="164"/>
      <c r="AE1681" s="164"/>
      <c r="AF1681" s="25"/>
      <c r="AG1681" s="26"/>
      <c r="AH1681" s="275"/>
      <c r="AI1681" s="52"/>
      <c r="AJ1681" s="35"/>
      <c r="AK1681" s="289"/>
      <c r="AL1681" s="290"/>
      <c r="AM1681" s="211"/>
      <c r="AN1681" s="164"/>
      <c r="AO1681" s="594"/>
      <c r="AP1681" s="595"/>
      <c r="AQ1681" s="275"/>
      <c r="AR1681" s="52"/>
      <c r="AS1681" s="596"/>
      <c r="AT1681" s="79"/>
      <c r="AU1681" s="212"/>
      <c r="AV1681" s="164"/>
      <c r="AW1681" s="164"/>
      <c r="AX1681" s="76"/>
      <c r="AY1681" s="44"/>
      <c r="AZ1681" s="275"/>
      <c r="BA1681" s="52"/>
      <c r="BB1681" s="35"/>
      <c r="BC1681" s="79"/>
      <c r="BD1681" s="230"/>
      <c r="BE1681" s="211"/>
      <c r="BF1681" s="164"/>
      <c r="BG1681" s="76"/>
      <c r="BH1681" s="44"/>
      <c r="BI1681" s="275"/>
      <c r="BJ1681" s="52"/>
      <c r="BK1681" s="35"/>
      <c r="BL1681" s="79"/>
      <c r="BM1681" s="230"/>
      <c r="BN1681" s="211"/>
      <c r="BO1681" s="164"/>
      <c r="BP1681" s="726"/>
      <c r="BQ1681" s="727"/>
      <c r="BR1681" s="299"/>
      <c r="BS1681" s="35"/>
      <c r="BT1681" s="596"/>
      <c r="BU1681" s="79"/>
      <c r="BV1681" s="212"/>
      <c r="BW1681" s="304"/>
      <c r="BX1681" s="313"/>
      <c r="BY1681" s="138"/>
    </row>
    <row r="1682" spans="1:77" ht="15" customHeight="1" outlineLevel="1" x14ac:dyDescent="0.2">
      <c r="A1682" s="583" t="s">
        <v>24</v>
      </c>
      <c r="B1682" s="583"/>
      <c r="C1682" s="583" t="s">
        <v>2027</v>
      </c>
      <c r="D1682" s="546">
        <v>0.73599999999999999</v>
      </c>
      <c r="E1682" s="162" t="s">
        <v>631</v>
      </c>
      <c r="F1682" s="358"/>
      <c r="G1682" s="65"/>
      <c r="H1682" s="73"/>
      <c r="I1682" s="90"/>
      <c r="J1682" s="73"/>
      <c r="K1682" s="734"/>
      <c r="L1682" s="717">
        <v>2011</v>
      </c>
      <c r="M1682" s="73"/>
      <c r="N1682" s="786">
        <v>1.3439999999999999E-3</v>
      </c>
      <c r="O1682" s="1041"/>
      <c r="P1682" s="73"/>
      <c r="Q1682" s="359"/>
      <c r="R1682" s="1041"/>
      <c r="S1682" s="73"/>
      <c r="T1682" s="359"/>
      <c r="U1682" s="73"/>
      <c r="V1682" s="66"/>
      <c r="W1682" s="788">
        <f t="shared" ref="W1682" si="1546">AA1682*(1+AB1682)</f>
        <v>9.6767999999999994E-7</v>
      </c>
      <c r="X1682" s="789">
        <f t="shared" ref="X1682" si="1547">AA1682*(1+AC1682)</f>
        <v>9.6767999999999994E-7</v>
      </c>
      <c r="Y1682" s="52">
        <v>2011</v>
      </c>
      <c r="Z1682" s="52"/>
      <c r="AA1682" s="787">
        <f>+N1682/1000</f>
        <v>1.344E-6</v>
      </c>
      <c r="AB1682" s="256">
        <v>-0.28000000000000003</v>
      </c>
      <c r="AC1682" s="688">
        <f t="shared" si="1509"/>
        <v>-0.28000000000000003</v>
      </c>
      <c r="AD1682" s="164"/>
      <c r="AE1682" s="164"/>
      <c r="AF1682" s="25"/>
      <c r="AG1682" s="26"/>
      <c r="AH1682" s="275"/>
      <c r="AI1682" s="52"/>
      <c r="AJ1682" s="35"/>
      <c r="AK1682" s="289"/>
      <c r="AL1682" s="290"/>
      <c r="AM1682" s="211"/>
      <c r="AN1682" s="164"/>
      <c r="AO1682" s="594"/>
      <c r="AP1682" s="595"/>
      <c r="AQ1682" s="275"/>
      <c r="AR1682" s="52"/>
      <c r="AS1682" s="596"/>
      <c r="AT1682" s="79"/>
      <c r="AU1682" s="212"/>
      <c r="AV1682" s="164"/>
      <c r="AW1682" s="164"/>
      <c r="AX1682" s="76"/>
      <c r="AY1682" s="44"/>
      <c r="AZ1682" s="275"/>
      <c r="BA1682" s="52"/>
      <c r="BB1682" s="35"/>
      <c r="BC1682" s="79"/>
      <c r="BD1682" s="230"/>
      <c r="BE1682" s="211"/>
      <c r="BF1682" s="164"/>
      <c r="BG1682" s="76"/>
      <c r="BH1682" s="44"/>
      <c r="BI1682" s="275"/>
      <c r="BJ1682" s="52"/>
      <c r="BK1682" s="35"/>
      <c r="BL1682" s="79"/>
      <c r="BM1682" s="230"/>
      <c r="BN1682" s="211"/>
      <c r="BO1682" s="164"/>
      <c r="BP1682" s="726"/>
      <c r="BQ1682" s="727"/>
      <c r="BR1682" s="299"/>
      <c r="BS1682" s="35"/>
      <c r="BT1682" s="596"/>
      <c r="BU1682" s="79"/>
      <c r="BV1682" s="212"/>
      <c r="BW1682" s="304"/>
      <c r="BX1682" s="313"/>
      <c r="BY1682" s="138"/>
    </row>
    <row r="1683" spans="1:77" ht="15" customHeight="1" outlineLevel="1" x14ac:dyDescent="0.2">
      <c r="A1683" s="57" t="s">
        <v>24</v>
      </c>
      <c r="B1683" s="583"/>
      <c r="C1683" s="583" t="s">
        <v>1465</v>
      </c>
      <c r="D1683" s="546">
        <v>3.6509999999999998</v>
      </c>
      <c r="E1683" s="162" t="s">
        <v>631</v>
      </c>
      <c r="F1683" s="358"/>
      <c r="G1683" s="65"/>
      <c r="H1683" s="73"/>
      <c r="I1683" s="90"/>
      <c r="J1683" s="73"/>
      <c r="K1683" s="814">
        <v>3.6510000000000002E-3</v>
      </c>
      <c r="L1683" s="717"/>
      <c r="M1683" s="73"/>
      <c r="N1683" s="359"/>
      <c r="O1683" s="1041"/>
      <c r="P1683" s="73"/>
      <c r="Q1683" s="359"/>
      <c r="R1683" s="1041"/>
      <c r="S1683" s="73"/>
      <c r="T1683" s="359"/>
      <c r="U1683" s="73"/>
      <c r="V1683" s="66"/>
      <c r="W1683" s="788">
        <f t="shared" si="1507"/>
        <v>2.1175800000000006E-6</v>
      </c>
      <c r="X1683" s="789">
        <f t="shared" si="1508"/>
        <v>2.1175800000000006E-6</v>
      </c>
      <c r="Y1683" s="52">
        <v>2005</v>
      </c>
      <c r="Z1683" s="52"/>
      <c r="AA1683" s="807">
        <f>+K1683/1000</f>
        <v>3.6510000000000003E-6</v>
      </c>
      <c r="AB1683" s="256">
        <v>-0.42</v>
      </c>
      <c r="AC1683" s="688">
        <f t="shared" si="1509"/>
        <v>-0.42</v>
      </c>
      <c r="AD1683" s="164"/>
      <c r="AE1683" s="164"/>
      <c r="AF1683" s="25"/>
      <c r="AG1683" s="26"/>
      <c r="AH1683" s="275"/>
      <c r="AI1683" s="52"/>
      <c r="AJ1683" s="35"/>
      <c r="AK1683" s="289"/>
      <c r="AL1683" s="290"/>
      <c r="AM1683" s="211"/>
      <c r="AN1683" s="164"/>
      <c r="AO1683" s="594"/>
      <c r="AP1683" s="595"/>
      <c r="AQ1683" s="275"/>
      <c r="AR1683" s="52"/>
      <c r="AS1683" s="596"/>
      <c r="AT1683" s="79"/>
      <c r="AU1683" s="212"/>
      <c r="AV1683" s="164"/>
      <c r="AW1683" s="164"/>
      <c r="AX1683" s="76"/>
      <c r="AY1683" s="44"/>
      <c r="AZ1683" s="275"/>
      <c r="BA1683" s="52"/>
      <c r="BB1683" s="35"/>
      <c r="BC1683" s="79"/>
      <c r="BD1683" s="230"/>
      <c r="BE1683" s="211"/>
      <c r="BF1683" s="164"/>
      <c r="BG1683" s="76"/>
      <c r="BH1683" s="44"/>
      <c r="BI1683" s="275"/>
      <c r="BJ1683" s="52"/>
      <c r="BK1683" s="35"/>
      <c r="BL1683" s="79"/>
      <c r="BM1683" s="230"/>
      <c r="BN1683" s="211"/>
      <c r="BO1683" s="164"/>
      <c r="BP1683" s="726"/>
      <c r="BQ1683" s="727"/>
      <c r="BR1683" s="299"/>
      <c r="BS1683" s="35"/>
      <c r="BT1683" s="596"/>
      <c r="BU1683" s="79"/>
      <c r="BV1683" s="212"/>
      <c r="BW1683" s="304"/>
      <c r="BX1683" s="313"/>
      <c r="BY1683" s="138"/>
    </row>
    <row r="1684" spans="1:77" ht="15" customHeight="1" outlineLevel="1" x14ac:dyDescent="0.2">
      <c r="A1684" s="57" t="s">
        <v>24</v>
      </c>
      <c r="B1684" s="583"/>
      <c r="C1684" s="583" t="s">
        <v>1451</v>
      </c>
      <c r="D1684" s="546">
        <v>8.3130000000000006</v>
      </c>
      <c r="E1684" s="162" t="s">
        <v>631</v>
      </c>
      <c r="F1684" s="358"/>
      <c r="G1684" s="65"/>
      <c r="H1684" s="73"/>
      <c r="I1684" s="90"/>
      <c r="J1684" s="73"/>
      <c r="K1684" s="813">
        <v>2.6075000000000001E-2</v>
      </c>
      <c r="L1684" s="717"/>
      <c r="M1684" s="73"/>
      <c r="N1684" s="359"/>
      <c r="O1684" s="1041"/>
      <c r="P1684" s="73"/>
      <c r="Q1684" s="359"/>
      <c r="R1684" s="1041"/>
      <c r="S1684" s="73"/>
      <c r="T1684" s="359"/>
      <c r="U1684" s="73"/>
      <c r="V1684" s="66"/>
      <c r="W1684" s="740">
        <f t="shared" si="1507"/>
        <v>1.4862750000000001E-5</v>
      </c>
      <c r="X1684" s="741">
        <f t="shared" si="1508"/>
        <v>1.4862750000000001E-5</v>
      </c>
      <c r="Y1684" s="52">
        <v>2005</v>
      </c>
      <c r="Z1684" s="52"/>
      <c r="AA1684" s="739">
        <f>+K1684/1000</f>
        <v>2.6075E-5</v>
      </c>
      <c r="AB1684" s="256">
        <v>-0.43</v>
      </c>
      <c r="AC1684" s="688">
        <f t="shared" si="1509"/>
        <v>-0.43</v>
      </c>
      <c r="AD1684" s="164"/>
      <c r="AE1684" s="164"/>
      <c r="AF1684" s="25"/>
      <c r="AG1684" s="26"/>
      <c r="AH1684" s="275"/>
      <c r="AI1684" s="52"/>
      <c r="AJ1684" s="35"/>
      <c r="AK1684" s="289"/>
      <c r="AL1684" s="290"/>
      <c r="AM1684" s="211"/>
      <c r="AN1684" s="164"/>
      <c r="AO1684" s="594"/>
      <c r="AP1684" s="595"/>
      <c r="AQ1684" s="275"/>
      <c r="AR1684" s="52"/>
      <c r="AS1684" s="596"/>
      <c r="AT1684" s="79"/>
      <c r="AU1684" s="212"/>
      <c r="AV1684" s="164"/>
      <c r="AW1684" s="164"/>
      <c r="AX1684" s="76"/>
      <c r="AY1684" s="44"/>
      <c r="AZ1684" s="275"/>
      <c r="BA1684" s="52"/>
      <c r="BB1684" s="35"/>
      <c r="BC1684" s="79"/>
      <c r="BD1684" s="230"/>
      <c r="BE1684" s="211"/>
      <c r="BF1684" s="164"/>
      <c r="BG1684" s="76"/>
      <c r="BH1684" s="44"/>
      <c r="BI1684" s="275"/>
      <c r="BJ1684" s="52"/>
      <c r="BK1684" s="35"/>
      <c r="BL1684" s="79"/>
      <c r="BM1684" s="230"/>
      <c r="BN1684" s="211"/>
      <c r="BO1684" s="164"/>
      <c r="BP1684" s="726"/>
      <c r="BQ1684" s="727"/>
      <c r="BR1684" s="299"/>
      <c r="BS1684" s="35"/>
      <c r="BT1684" s="596"/>
      <c r="BU1684" s="79"/>
      <c r="BV1684" s="212"/>
      <c r="BW1684" s="304"/>
      <c r="BX1684" s="313"/>
      <c r="BY1684" s="138"/>
    </row>
    <row r="1685" spans="1:77" ht="15" customHeight="1" outlineLevel="1" x14ac:dyDescent="0.2">
      <c r="A1685" s="583" t="s">
        <v>24</v>
      </c>
      <c r="B1685" s="583"/>
      <c r="C1685" s="583" t="s">
        <v>2049</v>
      </c>
      <c r="D1685" s="546">
        <v>3.278</v>
      </c>
      <c r="E1685" s="162" t="s">
        <v>631</v>
      </c>
      <c r="F1685" s="358"/>
      <c r="G1685" s="65"/>
      <c r="H1685" s="73"/>
      <c r="I1685" s="90"/>
      <c r="J1685" s="73"/>
      <c r="K1685" s="813">
        <v>1.6670999999999998E-2</v>
      </c>
      <c r="L1685" s="717"/>
      <c r="M1685" s="73"/>
      <c r="N1685" s="359"/>
      <c r="O1685" s="1041"/>
      <c r="P1685" s="73"/>
      <c r="Q1685" s="359"/>
      <c r="R1685" s="1041"/>
      <c r="S1685" s="73"/>
      <c r="T1685" s="359"/>
      <c r="U1685" s="73"/>
      <c r="V1685" s="66"/>
      <c r="W1685" s="740">
        <f t="shared" ref="W1685" si="1548">AA1685*(1+AB1685)</f>
        <v>1.1836409999999996E-5</v>
      </c>
      <c r="X1685" s="741">
        <f t="shared" ref="X1685" si="1549">AA1685*(1+AC1685)</f>
        <v>1.1836409999999996E-5</v>
      </c>
      <c r="Y1685" s="52">
        <v>2005</v>
      </c>
      <c r="Z1685" s="52"/>
      <c r="AA1685" s="739">
        <f>+K1685/1000</f>
        <v>1.6670999999999997E-5</v>
      </c>
      <c r="AB1685" s="256">
        <v>-0.28999999999999998</v>
      </c>
      <c r="AC1685" s="688">
        <f t="shared" si="1509"/>
        <v>-0.28999999999999998</v>
      </c>
      <c r="AD1685" s="164"/>
      <c r="AE1685" s="164"/>
      <c r="AF1685" s="25"/>
      <c r="AG1685" s="26"/>
      <c r="AH1685" s="275"/>
      <c r="AI1685" s="52"/>
      <c r="AJ1685" s="35"/>
      <c r="AK1685" s="289"/>
      <c r="AL1685" s="290"/>
      <c r="AM1685" s="211"/>
      <c r="AN1685" s="164"/>
      <c r="AO1685" s="594"/>
      <c r="AP1685" s="595"/>
      <c r="AQ1685" s="275"/>
      <c r="AR1685" s="52"/>
      <c r="AS1685" s="596"/>
      <c r="AT1685" s="79"/>
      <c r="AU1685" s="212"/>
      <c r="AV1685" s="164"/>
      <c r="AW1685" s="164"/>
      <c r="AX1685" s="76"/>
      <c r="AY1685" s="44"/>
      <c r="AZ1685" s="275"/>
      <c r="BA1685" s="52"/>
      <c r="BB1685" s="35"/>
      <c r="BC1685" s="79"/>
      <c r="BD1685" s="230"/>
      <c r="BE1685" s="211"/>
      <c r="BF1685" s="164"/>
      <c r="BG1685" s="76"/>
      <c r="BH1685" s="44"/>
      <c r="BI1685" s="275"/>
      <c r="BJ1685" s="52"/>
      <c r="BK1685" s="35"/>
      <c r="BL1685" s="79"/>
      <c r="BM1685" s="230"/>
      <c r="BN1685" s="211"/>
      <c r="BO1685" s="164"/>
      <c r="BP1685" s="726"/>
      <c r="BQ1685" s="727"/>
      <c r="BR1685" s="299"/>
      <c r="BS1685" s="35"/>
      <c r="BT1685" s="596"/>
      <c r="BU1685" s="79"/>
      <c r="BV1685" s="212"/>
      <c r="BW1685" s="304"/>
      <c r="BX1685" s="313"/>
      <c r="BY1685" s="138"/>
    </row>
    <row r="1686" spans="1:77" ht="15" customHeight="1" outlineLevel="1" x14ac:dyDescent="0.2">
      <c r="A1686" s="57" t="s">
        <v>24</v>
      </c>
      <c r="B1686" s="583"/>
      <c r="C1686" s="583" t="s">
        <v>1303</v>
      </c>
      <c r="D1686" s="546">
        <v>1.619</v>
      </c>
      <c r="E1686" s="162" t="s">
        <v>631</v>
      </c>
      <c r="F1686" s="358"/>
      <c r="G1686" s="65"/>
      <c r="H1686" s="73"/>
      <c r="I1686" s="90">
        <v>2007</v>
      </c>
      <c r="J1686" s="73"/>
      <c r="K1686" s="734">
        <v>6.8190000000000004E-3</v>
      </c>
      <c r="L1686" s="717"/>
      <c r="M1686" s="73"/>
      <c r="N1686" s="359"/>
      <c r="O1686" s="1041"/>
      <c r="P1686" s="73"/>
      <c r="Q1686" s="359"/>
      <c r="R1686" s="1041"/>
      <c r="S1686" s="73"/>
      <c r="T1686" s="359"/>
      <c r="U1686" s="73"/>
      <c r="V1686" s="66"/>
      <c r="W1686" s="788">
        <f t="shared" si="1507"/>
        <v>4.7051099999999999E-6</v>
      </c>
      <c r="X1686" s="789">
        <f t="shared" si="1508"/>
        <v>4.7051099999999999E-6</v>
      </c>
      <c r="Y1686" s="52">
        <v>2007</v>
      </c>
      <c r="Z1686" s="52"/>
      <c r="AA1686" s="787">
        <f>+K1686/1000</f>
        <v>6.8190000000000003E-6</v>
      </c>
      <c r="AB1686" s="256">
        <v>-0.31</v>
      </c>
      <c r="AC1686" s="688">
        <f t="shared" si="1509"/>
        <v>-0.31</v>
      </c>
      <c r="AD1686" s="164"/>
      <c r="AE1686" s="164"/>
      <c r="AF1686" s="25"/>
      <c r="AG1686" s="26"/>
      <c r="AH1686" s="275"/>
      <c r="AI1686" s="52"/>
      <c r="AJ1686" s="35"/>
      <c r="AK1686" s="289"/>
      <c r="AL1686" s="290"/>
      <c r="AM1686" s="211"/>
      <c r="AN1686" s="164"/>
      <c r="AO1686" s="594"/>
      <c r="AP1686" s="595"/>
      <c r="AQ1686" s="275"/>
      <c r="AR1686" s="52"/>
      <c r="AS1686" s="596"/>
      <c r="AT1686" s="79"/>
      <c r="AU1686" s="212"/>
      <c r="AV1686" s="164"/>
      <c r="AW1686" s="164"/>
      <c r="AX1686" s="76"/>
      <c r="AY1686" s="44"/>
      <c r="AZ1686" s="275"/>
      <c r="BA1686" s="52"/>
      <c r="BB1686" s="35"/>
      <c r="BC1686" s="79"/>
      <c r="BD1686" s="230"/>
      <c r="BE1686" s="211"/>
      <c r="BF1686" s="164"/>
      <c r="BG1686" s="76"/>
      <c r="BH1686" s="44"/>
      <c r="BI1686" s="275"/>
      <c r="BJ1686" s="52"/>
      <c r="BK1686" s="35"/>
      <c r="BL1686" s="79"/>
      <c r="BM1686" s="230"/>
      <c r="BN1686" s="211"/>
      <c r="BO1686" s="164"/>
      <c r="BP1686" s="726"/>
      <c r="BQ1686" s="727"/>
      <c r="BR1686" s="299"/>
      <c r="BS1686" s="35"/>
      <c r="BT1686" s="596"/>
      <c r="BU1686" s="79"/>
      <c r="BV1686" s="212"/>
      <c r="BW1686" s="304"/>
      <c r="BX1686" s="313"/>
      <c r="BY1686" s="138"/>
    </row>
    <row r="1687" spans="1:77" ht="15" customHeight="1" outlineLevel="1" x14ac:dyDescent="0.2">
      <c r="A1687" s="57" t="s">
        <v>24</v>
      </c>
      <c r="B1687" s="583"/>
      <c r="C1687" s="583" t="s">
        <v>1309</v>
      </c>
      <c r="D1687" s="546">
        <v>0.85</v>
      </c>
      <c r="E1687" s="162" t="s">
        <v>631</v>
      </c>
      <c r="F1687" s="358"/>
      <c r="G1687" s="65"/>
      <c r="H1687" s="73"/>
      <c r="I1687" s="90"/>
      <c r="J1687" s="73"/>
      <c r="K1687" s="734"/>
      <c r="L1687" s="717">
        <v>2011</v>
      </c>
      <c r="M1687" s="73"/>
      <c r="N1687" s="786">
        <v>2.081E-3</v>
      </c>
      <c r="O1687" s="1041"/>
      <c r="P1687" s="73"/>
      <c r="Q1687" s="786"/>
      <c r="R1687" s="1041"/>
      <c r="S1687" s="73"/>
      <c r="T1687" s="786"/>
      <c r="U1687" s="73"/>
      <c r="V1687" s="66"/>
      <c r="W1687" s="788">
        <f t="shared" si="1507"/>
        <v>1.39427E-6</v>
      </c>
      <c r="X1687" s="789">
        <f t="shared" si="1508"/>
        <v>1.39427E-6</v>
      </c>
      <c r="Y1687" s="52">
        <v>2011</v>
      </c>
      <c r="Z1687" s="52"/>
      <c r="AA1687" s="787">
        <f>+N1687/1000</f>
        <v>2.0810000000000001E-6</v>
      </c>
      <c r="AB1687" s="256">
        <v>-0.33</v>
      </c>
      <c r="AC1687" s="688">
        <f t="shared" si="1509"/>
        <v>-0.33</v>
      </c>
      <c r="AD1687" s="164"/>
      <c r="AE1687" s="164"/>
      <c r="AF1687" s="25"/>
      <c r="AG1687" s="26"/>
      <c r="AH1687" s="275"/>
      <c r="AI1687" s="52"/>
      <c r="AJ1687" s="35"/>
      <c r="AK1687" s="289"/>
      <c r="AL1687" s="290"/>
      <c r="AM1687" s="211"/>
      <c r="AN1687" s="164"/>
      <c r="AO1687" s="594"/>
      <c r="AP1687" s="595"/>
      <c r="AQ1687" s="275"/>
      <c r="AR1687" s="52"/>
      <c r="AS1687" s="596"/>
      <c r="AT1687" s="79"/>
      <c r="AU1687" s="212"/>
      <c r="AV1687" s="164"/>
      <c r="AW1687" s="164"/>
      <c r="AX1687" s="76"/>
      <c r="AY1687" s="44"/>
      <c r="AZ1687" s="275"/>
      <c r="BA1687" s="52"/>
      <c r="BB1687" s="35"/>
      <c r="BC1687" s="79"/>
      <c r="BD1687" s="230"/>
      <c r="BE1687" s="211"/>
      <c r="BF1687" s="164"/>
      <c r="BG1687" s="76"/>
      <c r="BH1687" s="44"/>
      <c r="BI1687" s="275"/>
      <c r="BJ1687" s="52"/>
      <c r="BK1687" s="35"/>
      <c r="BL1687" s="79"/>
      <c r="BM1687" s="230"/>
      <c r="BN1687" s="211"/>
      <c r="BO1687" s="164"/>
      <c r="BP1687" s="726"/>
      <c r="BQ1687" s="727"/>
      <c r="BR1687" s="299"/>
      <c r="BS1687" s="35"/>
      <c r="BT1687" s="596"/>
      <c r="BU1687" s="79"/>
      <c r="BV1687" s="212"/>
      <c r="BW1687" s="304"/>
      <c r="BX1687" s="313"/>
      <c r="BY1687" s="138"/>
    </row>
    <row r="1688" spans="1:77" ht="15" customHeight="1" outlineLevel="1" x14ac:dyDescent="0.2">
      <c r="A1688" s="57" t="s">
        <v>24</v>
      </c>
      <c r="B1688" s="583"/>
      <c r="C1688" s="583" t="s">
        <v>475</v>
      </c>
      <c r="D1688" s="546">
        <v>957</v>
      </c>
      <c r="E1688" s="162" t="s">
        <v>387</v>
      </c>
      <c r="F1688" s="358"/>
      <c r="G1688" s="65"/>
      <c r="H1688" s="73"/>
      <c r="I1688" s="90"/>
      <c r="J1688" s="73"/>
      <c r="K1688" s="66">
        <v>2.9134340000000001</v>
      </c>
      <c r="L1688" s="717"/>
      <c r="M1688" s="73"/>
      <c r="N1688" s="359"/>
      <c r="O1688" s="1041"/>
      <c r="P1688" s="73"/>
      <c r="Q1688" s="359"/>
      <c r="R1688" s="1041"/>
      <c r="S1688" s="73"/>
      <c r="T1688" s="359"/>
      <c r="U1688" s="73"/>
      <c r="V1688" s="66"/>
      <c r="W1688" s="594">
        <f t="shared" si="1507"/>
        <v>2.1850755E-3</v>
      </c>
      <c r="X1688" s="595">
        <f t="shared" si="1508"/>
        <v>2.1850755E-3</v>
      </c>
      <c r="Y1688" s="52">
        <v>2005</v>
      </c>
      <c r="Z1688" s="52"/>
      <c r="AA1688" s="596">
        <f>+K1688/1000</f>
        <v>2.9134339999999999E-3</v>
      </c>
      <c r="AB1688" s="256">
        <v>-0.25</v>
      </c>
      <c r="AC1688" s="688">
        <f t="shared" si="1509"/>
        <v>-0.25</v>
      </c>
      <c r="AD1688" s="164"/>
      <c r="AE1688" s="164"/>
      <c r="AF1688" s="25"/>
      <c r="AG1688" s="26"/>
      <c r="AH1688" s="275"/>
      <c r="AI1688" s="52"/>
      <c r="AJ1688" s="35"/>
      <c r="AK1688" s="289"/>
      <c r="AL1688" s="290"/>
      <c r="AM1688" s="211"/>
      <c r="AN1688" s="164"/>
      <c r="AO1688" s="594"/>
      <c r="AP1688" s="595"/>
      <c r="AQ1688" s="275"/>
      <c r="AR1688" s="52"/>
      <c r="AS1688" s="596"/>
      <c r="AT1688" s="79"/>
      <c r="AU1688" s="212"/>
      <c r="AV1688" s="164"/>
      <c r="AW1688" s="164"/>
      <c r="AX1688" s="76"/>
      <c r="AY1688" s="44"/>
      <c r="AZ1688" s="275"/>
      <c r="BA1688" s="52"/>
      <c r="BB1688" s="35"/>
      <c r="BC1688" s="79"/>
      <c r="BD1688" s="230"/>
      <c r="BE1688" s="211"/>
      <c r="BF1688" s="164"/>
      <c r="BG1688" s="76"/>
      <c r="BH1688" s="44"/>
      <c r="BI1688" s="275"/>
      <c r="BJ1688" s="52"/>
      <c r="BK1688" s="35"/>
      <c r="BL1688" s="79"/>
      <c r="BM1688" s="230"/>
      <c r="BN1688" s="211"/>
      <c r="BO1688" s="164"/>
      <c r="BP1688" s="726"/>
      <c r="BQ1688" s="727"/>
      <c r="BR1688" s="299"/>
      <c r="BS1688" s="35"/>
      <c r="BT1688" s="596"/>
      <c r="BU1688" s="79"/>
      <c r="BV1688" s="212"/>
      <c r="BW1688" s="304"/>
      <c r="BX1688" s="313"/>
      <c r="BY1688" s="138"/>
    </row>
    <row r="1689" spans="1:77" ht="15" customHeight="1" outlineLevel="1" x14ac:dyDescent="0.2">
      <c r="A1689" s="583" t="s">
        <v>24</v>
      </c>
      <c r="B1689" s="583"/>
      <c r="C1689" s="583" t="s">
        <v>1806</v>
      </c>
      <c r="D1689" s="546">
        <v>0.59399999999999997</v>
      </c>
      <c r="E1689" s="162" t="s">
        <v>631</v>
      </c>
      <c r="F1689" s="358"/>
      <c r="G1689" s="65"/>
      <c r="H1689" s="73"/>
      <c r="I1689" s="90"/>
      <c r="J1689" s="73"/>
      <c r="K1689" s="790"/>
      <c r="L1689" s="717">
        <v>2008</v>
      </c>
      <c r="M1689" s="73"/>
      <c r="N1689" s="786">
        <v>2.0769999999999999E-3</v>
      </c>
      <c r="O1689" s="1041"/>
      <c r="P1689" s="73"/>
      <c r="Q1689" s="359"/>
      <c r="R1689" s="1041"/>
      <c r="S1689" s="73"/>
      <c r="T1689" s="359"/>
      <c r="U1689" s="73"/>
      <c r="V1689" s="66"/>
      <c r="W1689" s="808">
        <f t="shared" ref="W1689" si="1550">AA1689*(1+AB1689)</f>
        <v>1.4746699999999999E-6</v>
      </c>
      <c r="X1689" s="809">
        <f t="shared" ref="X1689" si="1551">AA1689*(1+AC1689)</f>
        <v>1.4746699999999999E-6</v>
      </c>
      <c r="Y1689" s="52">
        <v>2008</v>
      </c>
      <c r="Z1689" s="52"/>
      <c r="AA1689" s="807">
        <f>+N1689/1000</f>
        <v>2.0769999999999998E-6</v>
      </c>
      <c r="AB1689" s="256">
        <v>-0.28999999999999998</v>
      </c>
      <c r="AC1689" s="688">
        <f t="shared" si="1509"/>
        <v>-0.28999999999999998</v>
      </c>
      <c r="AD1689" s="164"/>
      <c r="AE1689" s="164"/>
      <c r="AF1689" s="25"/>
      <c r="AG1689" s="26"/>
      <c r="AH1689" s="275"/>
      <c r="AI1689" s="52"/>
      <c r="AJ1689" s="35"/>
      <c r="AK1689" s="289"/>
      <c r="AL1689" s="290"/>
      <c r="AM1689" s="211"/>
      <c r="AN1689" s="164"/>
      <c r="AO1689" s="594"/>
      <c r="AP1689" s="595"/>
      <c r="AQ1689" s="275"/>
      <c r="AR1689" s="52"/>
      <c r="AS1689" s="596"/>
      <c r="AT1689" s="79"/>
      <c r="AU1689" s="212"/>
      <c r="AV1689" s="164"/>
      <c r="AW1689" s="164"/>
      <c r="AX1689" s="76"/>
      <c r="AY1689" s="44"/>
      <c r="AZ1689" s="275"/>
      <c r="BA1689" s="52"/>
      <c r="BB1689" s="35"/>
      <c r="BC1689" s="79"/>
      <c r="BD1689" s="230"/>
      <c r="BE1689" s="211"/>
      <c r="BF1689" s="164"/>
      <c r="BG1689" s="76"/>
      <c r="BH1689" s="44"/>
      <c r="BI1689" s="275"/>
      <c r="BJ1689" s="52"/>
      <c r="BK1689" s="35"/>
      <c r="BL1689" s="79"/>
      <c r="BM1689" s="230"/>
      <c r="BN1689" s="211"/>
      <c r="BO1689" s="164"/>
      <c r="BP1689" s="726"/>
      <c r="BQ1689" s="727"/>
      <c r="BR1689" s="299"/>
      <c r="BS1689" s="35"/>
      <c r="BT1689" s="596"/>
      <c r="BU1689" s="79"/>
      <c r="BV1689" s="212"/>
      <c r="BW1689" s="304"/>
      <c r="BX1689" s="313"/>
      <c r="BY1689" s="138"/>
    </row>
    <row r="1690" spans="1:77" ht="15" customHeight="1" outlineLevel="1" x14ac:dyDescent="0.2">
      <c r="A1690" s="583" t="s">
        <v>24</v>
      </c>
      <c r="B1690" s="583"/>
      <c r="C1690" s="583" t="s">
        <v>2381</v>
      </c>
      <c r="D1690" s="546">
        <v>1.4039999999999999</v>
      </c>
      <c r="E1690" s="162" t="s">
        <v>631</v>
      </c>
      <c r="F1690" s="358"/>
      <c r="G1690" s="65"/>
      <c r="H1690" s="73"/>
      <c r="I1690" s="90"/>
      <c r="J1690" s="73"/>
      <c r="K1690" s="790"/>
      <c r="L1690" s="717">
        <v>2008</v>
      </c>
      <c r="M1690" s="73"/>
      <c r="N1690" s="786">
        <v>3.529E-3</v>
      </c>
      <c r="O1690" s="1041"/>
      <c r="P1690" s="73"/>
      <c r="Q1690" s="359"/>
      <c r="R1690" s="1041"/>
      <c r="S1690" s="73"/>
      <c r="T1690" s="359"/>
      <c r="U1690" s="73"/>
      <c r="V1690" s="66"/>
      <c r="W1690" s="594"/>
      <c r="X1690" s="595"/>
      <c r="Y1690" s="52"/>
      <c r="Z1690" s="52"/>
      <c r="AA1690" s="596"/>
      <c r="AB1690" s="256"/>
      <c r="AC1690" s="688"/>
      <c r="AD1690" s="164"/>
      <c r="AE1690" s="164"/>
      <c r="AF1690" s="25"/>
      <c r="AG1690" s="26"/>
      <c r="AH1690" s="275"/>
      <c r="AI1690" s="52"/>
      <c r="AJ1690" s="35"/>
      <c r="AK1690" s="289"/>
      <c r="AL1690" s="290"/>
      <c r="AM1690" s="211"/>
      <c r="AN1690" s="164"/>
      <c r="AO1690" s="594"/>
      <c r="AP1690" s="595"/>
      <c r="AQ1690" s="275"/>
      <c r="AR1690" s="52"/>
      <c r="AS1690" s="596"/>
      <c r="AT1690" s="79"/>
      <c r="AU1690" s="212"/>
      <c r="AV1690" s="164"/>
      <c r="AW1690" s="164"/>
      <c r="AX1690" s="76"/>
      <c r="AY1690" s="44"/>
      <c r="AZ1690" s="275"/>
      <c r="BA1690" s="52"/>
      <c r="BB1690" s="35"/>
      <c r="BC1690" s="79"/>
      <c r="BD1690" s="230"/>
      <c r="BE1690" s="211"/>
      <c r="BF1690" s="164"/>
      <c r="BG1690" s="76"/>
      <c r="BH1690" s="44"/>
      <c r="BI1690" s="275"/>
      <c r="BJ1690" s="52"/>
      <c r="BK1690" s="35"/>
      <c r="BL1690" s="79"/>
      <c r="BM1690" s="230"/>
      <c r="BN1690" s="211"/>
      <c r="BO1690" s="164"/>
      <c r="BP1690" s="726"/>
      <c r="BQ1690" s="727"/>
      <c r="BR1690" s="299"/>
      <c r="BS1690" s="35"/>
      <c r="BT1690" s="596"/>
      <c r="BU1690" s="79"/>
      <c r="BV1690" s="212"/>
      <c r="BW1690" s="304"/>
      <c r="BX1690" s="313"/>
      <c r="BY1690" s="138"/>
    </row>
    <row r="1691" spans="1:77" ht="15" customHeight="1" outlineLevel="1" x14ac:dyDescent="0.2">
      <c r="A1691" s="57" t="s">
        <v>24</v>
      </c>
      <c r="B1691" s="583"/>
      <c r="C1691" s="583" t="s">
        <v>1488</v>
      </c>
      <c r="D1691" s="546">
        <v>1.35</v>
      </c>
      <c r="E1691" s="162" t="s">
        <v>631</v>
      </c>
      <c r="F1691" s="358"/>
      <c r="G1691" s="65"/>
      <c r="H1691" s="73"/>
      <c r="I1691" s="90">
        <v>2004</v>
      </c>
      <c r="J1691" s="73"/>
      <c r="K1691" s="814">
        <v>5.9880000000000003E-3</v>
      </c>
      <c r="L1691" s="717"/>
      <c r="M1691" s="73"/>
      <c r="N1691" s="359"/>
      <c r="O1691" s="1041"/>
      <c r="P1691" s="73"/>
      <c r="Q1691" s="359"/>
      <c r="R1691" s="1041"/>
      <c r="S1691" s="73"/>
      <c r="T1691" s="359"/>
      <c r="U1691" s="73"/>
      <c r="V1691" s="66"/>
      <c r="W1691" s="788">
        <f t="shared" si="1507"/>
        <v>3.2335200000000002E-6</v>
      </c>
      <c r="X1691" s="789">
        <f t="shared" si="1508"/>
        <v>3.2335200000000002E-6</v>
      </c>
      <c r="Y1691" s="52">
        <v>2004</v>
      </c>
      <c r="Z1691" s="52"/>
      <c r="AA1691" s="787">
        <f>+K1691/1000</f>
        <v>5.9880000000000001E-6</v>
      </c>
      <c r="AB1691" s="256">
        <v>-0.46</v>
      </c>
      <c r="AC1691" s="688">
        <f t="shared" si="1509"/>
        <v>-0.46</v>
      </c>
      <c r="AD1691" s="164"/>
      <c r="AE1691" s="164"/>
      <c r="AF1691" s="25"/>
      <c r="AG1691" s="26"/>
      <c r="AH1691" s="275"/>
      <c r="AI1691" s="52"/>
      <c r="AJ1691" s="35"/>
      <c r="AK1691" s="289"/>
      <c r="AL1691" s="290"/>
      <c r="AM1691" s="211"/>
      <c r="AN1691" s="164"/>
      <c r="AO1691" s="594"/>
      <c r="AP1691" s="595"/>
      <c r="AQ1691" s="275"/>
      <c r="AR1691" s="52"/>
      <c r="AS1691" s="596"/>
      <c r="AT1691" s="79"/>
      <c r="AU1691" s="212"/>
      <c r="AV1691" s="164"/>
      <c r="AW1691" s="164"/>
      <c r="AX1691" s="76"/>
      <c r="AY1691" s="44"/>
      <c r="AZ1691" s="275"/>
      <c r="BA1691" s="52"/>
      <c r="BB1691" s="35"/>
      <c r="BC1691" s="79"/>
      <c r="BD1691" s="230"/>
      <c r="BE1691" s="211"/>
      <c r="BF1691" s="164"/>
      <c r="BG1691" s="76"/>
      <c r="BH1691" s="44"/>
      <c r="BI1691" s="275"/>
      <c r="BJ1691" s="52"/>
      <c r="BK1691" s="35"/>
      <c r="BL1691" s="79"/>
      <c r="BM1691" s="230"/>
      <c r="BN1691" s="211"/>
      <c r="BO1691" s="164"/>
      <c r="BP1691" s="726"/>
      <c r="BQ1691" s="727"/>
      <c r="BR1691" s="299"/>
      <c r="BS1691" s="35"/>
      <c r="BT1691" s="596"/>
      <c r="BU1691" s="79"/>
      <c r="BV1691" s="212"/>
      <c r="BW1691" s="304"/>
      <c r="BX1691" s="313"/>
      <c r="BY1691" s="138"/>
    </row>
    <row r="1692" spans="1:77" ht="15" customHeight="1" outlineLevel="1" x14ac:dyDescent="0.2">
      <c r="A1692" s="57" t="s">
        <v>24</v>
      </c>
      <c r="B1692" s="583"/>
      <c r="C1692" s="583" t="s">
        <v>1545</v>
      </c>
      <c r="D1692" s="546">
        <v>0.98</v>
      </c>
      <c r="E1692" s="162" t="s">
        <v>631</v>
      </c>
      <c r="F1692" s="358"/>
      <c r="G1692" s="65"/>
      <c r="H1692" s="73"/>
      <c r="I1692" s="90"/>
      <c r="J1692" s="73"/>
      <c r="K1692" s="814">
        <v>3.0730000000000002E-3</v>
      </c>
      <c r="L1692" s="717"/>
      <c r="M1692" s="73"/>
      <c r="N1692" s="359"/>
      <c r="O1692" s="1041"/>
      <c r="P1692" s="73"/>
      <c r="Q1692" s="359"/>
      <c r="R1692" s="1041"/>
      <c r="S1692" s="73"/>
      <c r="T1692" s="359"/>
      <c r="U1692" s="73"/>
      <c r="V1692" s="66"/>
      <c r="W1692" s="788">
        <f t="shared" si="1507"/>
        <v>1.7516100000000002E-6</v>
      </c>
      <c r="X1692" s="789">
        <f t="shared" si="1508"/>
        <v>1.7516100000000002E-6</v>
      </c>
      <c r="Y1692" s="52">
        <v>2005</v>
      </c>
      <c r="Z1692" s="52"/>
      <c r="AA1692" s="787">
        <f>+K1692/1000</f>
        <v>3.0730000000000001E-6</v>
      </c>
      <c r="AB1692" s="256">
        <v>-0.43</v>
      </c>
      <c r="AC1692" s="688">
        <f t="shared" si="1509"/>
        <v>-0.43</v>
      </c>
      <c r="AD1692" s="164"/>
      <c r="AE1692" s="164"/>
      <c r="AF1692" s="25"/>
      <c r="AG1692" s="26"/>
      <c r="AH1692" s="275"/>
      <c r="AI1692" s="52"/>
      <c r="AJ1692" s="35"/>
      <c r="AK1692" s="289"/>
      <c r="AL1692" s="290"/>
      <c r="AM1692" s="211"/>
      <c r="AN1692" s="164"/>
      <c r="AO1692" s="594"/>
      <c r="AP1692" s="595"/>
      <c r="AQ1692" s="275"/>
      <c r="AR1692" s="52"/>
      <c r="AS1692" s="596"/>
      <c r="AT1692" s="79"/>
      <c r="AU1692" s="212"/>
      <c r="AV1692" s="164"/>
      <c r="AW1692" s="164"/>
      <c r="AX1692" s="76"/>
      <c r="AY1692" s="44"/>
      <c r="AZ1692" s="275"/>
      <c r="BA1692" s="52"/>
      <c r="BB1692" s="35"/>
      <c r="BC1692" s="79"/>
      <c r="BD1692" s="230"/>
      <c r="BE1692" s="211"/>
      <c r="BF1692" s="164"/>
      <c r="BG1692" s="76"/>
      <c r="BH1692" s="44"/>
      <c r="BI1692" s="275"/>
      <c r="BJ1692" s="52"/>
      <c r="BK1692" s="35"/>
      <c r="BL1692" s="79"/>
      <c r="BM1692" s="230"/>
      <c r="BN1692" s="211"/>
      <c r="BO1692" s="164"/>
      <c r="BP1692" s="726"/>
      <c r="BQ1692" s="727"/>
      <c r="BR1692" s="299"/>
      <c r="BS1692" s="35"/>
      <c r="BT1692" s="596"/>
      <c r="BU1692" s="79"/>
      <c r="BV1692" s="212"/>
      <c r="BW1692" s="304"/>
      <c r="BX1692" s="313"/>
      <c r="BY1692" s="138"/>
    </row>
    <row r="1693" spans="1:77" ht="15" customHeight="1" outlineLevel="1" x14ac:dyDescent="0.2">
      <c r="A1693" s="57" t="s">
        <v>24</v>
      </c>
      <c r="B1693" s="583"/>
      <c r="C1693" s="583" t="s">
        <v>1371</v>
      </c>
      <c r="D1693" s="546">
        <v>5.5330000000000004</v>
      </c>
      <c r="E1693" s="162" t="s">
        <v>631</v>
      </c>
      <c r="F1693" s="358"/>
      <c r="G1693" s="65"/>
      <c r="H1693" s="73"/>
      <c r="I1693" s="90"/>
      <c r="J1693" s="73"/>
      <c r="K1693" s="734"/>
      <c r="L1693" s="717">
        <v>2009</v>
      </c>
      <c r="M1693" s="73"/>
      <c r="N1693" s="738">
        <v>1.0355E-2</v>
      </c>
      <c r="O1693" s="1041"/>
      <c r="P1693" s="73"/>
      <c r="Q1693" s="738"/>
      <c r="R1693" s="1041"/>
      <c r="S1693" s="73"/>
      <c r="T1693" s="738"/>
      <c r="U1693" s="73"/>
      <c r="V1693" s="66"/>
      <c r="W1693" s="788">
        <f>AA1693*(1+AB1693)</f>
        <v>6.8342999999999991E-6</v>
      </c>
      <c r="X1693" s="789">
        <f t="shared" si="1508"/>
        <v>6.8342999999999991E-6</v>
      </c>
      <c r="Y1693" s="52">
        <v>2009</v>
      </c>
      <c r="Z1693" s="52"/>
      <c r="AA1693" s="787">
        <f>+N1693/1000</f>
        <v>1.0355E-5</v>
      </c>
      <c r="AB1693" s="256">
        <v>-0.34</v>
      </c>
      <c r="AC1693" s="688">
        <f t="shared" si="1509"/>
        <v>-0.34</v>
      </c>
      <c r="AD1693" s="164"/>
      <c r="AE1693" s="164"/>
      <c r="AF1693" s="25"/>
      <c r="AG1693" s="26"/>
      <c r="AH1693" s="275"/>
      <c r="AI1693" s="52"/>
      <c r="AJ1693" s="35"/>
      <c r="AK1693" s="289"/>
      <c r="AL1693" s="290"/>
      <c r="AM1693" s="211"/>
      <c r="AN1693" s="164"/>
      <c r="AO1693" s="594"/>
      <c r="AP1693" s="595"/>
      <c r="AQ1693" s="275"/>
      <c r="AR1693" s="52"/>
      <c r="AS1693" s="596"/>
      <c r="AT1693" s="79"/>
      <c r="AU1693" s="212"/>
      <c r="AV1693" s="164"/>
      <c r="AW1693" s="164"/>
      <c r="AX1693" s="76"/>
      <c r="AY1693" s="44"/>
      <c r="AZ1693" s="275"/>
      <c r="BA1693" s="52"/>
      <c r="BB1693" s="35"/>
      <c r="BC1693" s="79"/>
      <c r="BD1693" s="230"/>
      <c r="BE1693" s="211"/>
      <c r="BF1693" s="164"/>
      <c r="BG1693" s="76"/>
      <c r="BH1693" s="44"/>
      <c r="BI1693" s="275"/>
      <c r="BJ1693" s="52"/>
      <c r="BK1693" s="35"/>
      <c r="BL1693" s="79"/>
      <c r="BM1693" s="230"/>
      <c r="BN1693" s="211"/>
      <c r="BO1693" s="164"/>
      <c r="BP1693" s="726"/>
      <c r="BQ1693" s="727"/>
      <c r="BR1693" s="299"/>
      <c r="BS1693" s="35"/>
      <c r="BT1693" s="596"/>
      <c r="BU1693" s="79"/>
      <c r="BV1693" s="212"/>
      <c r="BW1693" s="304"/>
      <c r="BX1693" s="313"/>
      <c r="BY1693" s="138"/>
    </row>
    <row r="1694" spans="1:77" ht="15" customHeight="1" outlineLevel="1" x14ac:dyDescent="0.2">
      <c r="A1694" s="583" t="s">
        <v>24</v>
      </c>
      <c r="B1694" s="583"/>
      <c r="C1694" s="583" t="s">
        <v>2077</v>
      </c>
      <c r="D1694" s="546">
        <v>49.009</v>
      </c>
      <c r="E1694" s="162" t="s">
        <v>631</v>
      </c>
      <c r="F1694" s="358"/>
      <c r="G1694" s="65"/>
      <c r="H1694" s="73"/>
      <c r="I1694" s="90">
        <v>2000</v>
      </c>
      <c r="J1694" s="73"/>
      <c r="K1694" s="734">
        <v>0.19139900000000001</v>
      </c>
      <c r="L1694" s="717"/>
      <c r="M1694" s="73"/>
      <c r="N1694" s="738"/>
      <c r="O1694" s="1041"/>
      <c r="P1694" s="73"/>
      <c r="Q1694" s="738"/>
      <c r="R1694" s="1041"/>
      <c r="S1694" s="73"/>
      <c r="T1694" s="738"/>
      <c r="U1694" s="73"/>
      <c r="V1694" s="66"/>
      <c r="W1694" s="788">
        <f>AA1694*(1+AB1694)</f>
        <v>1.3589329E-4</v>
      </c>
      <c r="X1694" s="789">
        <f t="shared" ref="X1694" si="1552">AA1694*(1+AC1694)</f>
        <v>1.3589329E-4</v>
      </c>
      <c r="Y1694" s="52">
        <v>2000</v>
      </c>
      <c r="Z1694" s="52"/>
      <c r="AA1694" s="787">
        <f>+K1694/1000</f>
        <v>1.91399E-4</v>
      </c>
      <c r="AB1694" s="256">
        <v>-0.28999999999999998</v>
      </c>
      <c r="AC1694" s="688">
        <f t="shared" si="1509"/>
        <v>-0.28999999999999998</v>
      </c>
      <c r="AD1694" s="164"/>
      <c r="AE1694" s="164"/>
      <c r="AF1694" s="25"/>
      <c r="AG1694" s="26"/>
      <c r="AH1694" s="275"/>
      <c r="AI1694" s="52"/>
      <c r="AJ1694" s="35"/>
      <c r="AK1694" s="289"/>
      <c r="AL1694" s="290"/>
      <c r="AM1694" s="211"/>
      <c r="AN1694" s="164"/>
      <c r="AO1694" s="594"/>
      <c r="AP1694" s="595"/>
      <c r="AQ1694" s="275"/>
      <c r="AR1694" s="52"/>
      <c r="AS1694" s="596"/>
      <c r="AT1694" s="79"/>
      <c r="AU1694" s="212"/>
      <c r="AV1694" s="164"/>
      <c r="AW1694" s="164"/>
      <c r="AX1694" s="76"/>
      <c r="AY1694" s="44"/>
      <c r="AZ1694" s="275"/>
      <c r="BA1694" s="52"/>
      <c r="BB1694" s="35"/>
      <c r="BC1694" s="79"/>
      <c r="BD1694" s="230"/>
      <c r="BE1694" s="211"/>
      <c r="BF1694" s="164"/>
      <c r="BG1694" s="76"/>
      <c r="BH1694" s="44"/>
      <c r="BI1694" s="275"/>
      <c r="BJ1694" s="52"/>
      <c r="BK1694" s="35"/>
      <c r="BL1694" s="79"/>
      <c r="BM1694" s="230"/>
      <c r="BN1694" s="211"/>
      <c r="BO1694" s="164"/>
      <c r="BP1694" s="726"/>
      <c r="BQ1694" s="727"/>
      <c r="BR1694" s="299"/>
      <c r="BS1694" s="35"/>
      <c r="BT1694" s="596"/>
      <c r="BU1694" s="79"/>
      <c r="BV1694" s="212"/>
      <c r="BW1694" s="304"/>
      <c r="BX1694" s="313"/>
      <c r="BY1694" s="138"/>
    </row>
    <row r="1695" spans="1:77" ht="15" customHeight="1" outlineLevel="1" x14ac:dyDescent="0.2">
      <c r="A1695" s="583" t="s">
        <v>24</v>
      </c>
      <c r="B1695" s="583"/>
      <c r="C1695" s="583" t="s">
        <v>1982</v>
      </c>
      <c r="D1695" s="546">
        <v>1.8260000000000001</v>
      </c>
      <c r="E1695" s="162" t="s">
        <v>631</v>
      </c>
      <c r="F1695" s="358"/>
      <c r="G1695" s="65"/>
      <c r="H1695" s="73"/>
      <c r="I1695" s="90"/>
      <c r="J1695" s="73"/>
      <c r="K1695" s="815">
        <v>4.8529999999999997E-3</v>
      </c>
      <c r="L1695" s="717"/>
      <c r="M1695" s="73"/>
      <c r="N1695" s="738"/>
      <c r="O1695" s="1041"/>
      <c r="P1695" s="73"/>
      <c r="Q1695" s="738"/>
      <c r="R1695" s="1041"/>
      <c r="S1695" s="73"/>
      <c r="T1695" s="738"/>
      <c r="U1695" s="73"/>
      <c r="V1695" s="66"/>
      <c r="W1695" s="788">
        <f>AA1695*(1+AB1695)</f>
        <v>3.4941599999999997E-6</v>
      </c>
      <c r="X1695" s="789">
        <f t="shared" ref="X1695" si="1553">AA1695*(1+AC1695)</f>
        <v>3.4941599999999997E-6</v>
      </c>
      <c r="Y1695" s="52">
        <v>2005</v>
      </c>
      <c r="Z1695" s="52"/>
      <c r="AA1695" s="787">
        <f>+K1695/1000</f>
        <v>4.853E-6</v>
      </c>
      <c r="AB1695" s="256">
        <v>-0.28000000000000003</v>
      </c>
      <c r="AC1695" s="688">
        <f t="shared" si="1509"/>
        <v>-0.28000000000000003</v>
      </c>
      <c r="AD1695" s="164"/>
      <c r="AE1695" s="164"/>
      <c r="AF1695" s="25"/>
      <c r="AG1695" s="26"/>
      <c r="AH1695" s="275"/>
      <c r="AI1695" s="52"/>
      <c r="AJ1695" s="35"/>
      <c r="AK1695" s="289"/>
      <c r="AL1695" s="290"/>
      <c r="AM1695" s="211"/>
      <c r="AN1695" s="164"/>
      <c r="AO1695" s="594"/>
      <c r="AP1695" s="595"/>
      <c r="AQ1695" s="275"/>
      <c r="AR1695" s="52"/>
      <c r="AS1695" s="596"/>
      <c r="AT1695" s="79"/>
      <c r="AU1695" s="212"/>
      <c r="AV1695" s="164"/>
      <c r="AW1695" s="164"/>
      <c r="AX1695" s="76"/>
      <c r="AY1695" s="44"/>
      <c r="AZ1695" s="275"/>
      <c r="BA1695" s="52"/>
      <c r="BB1695" s="35"/>
      <c r="BC1695" s="79"/>
      <c r="BD1695" s="230"/>
      <c r="BE1695" s="211"/>
      <c r="BF1695" s="164"/>
      <c r="BG1695" s="76"/>
      <c r="BH1695" s="44"/>
      <c r="BI1695" s="275"/>
      <c r="BJ1695" s="52"/>
      <c r="BK1695" s="35"/>
      <c r="BL1695" s="79"/>
      <c r="BM1695" s="230"/>
      <c r="BN1695" s="211"/>
      <c r="BO1695" s="164"/>
      <c r="BP1695" s="726"/>
      <c r="BQ1695" s="727"/>
      <c r="BR1695" s="299"/>
      <c r="BS1695" s="35"/>
      <c r="BT1695" s="596"/>
      <c r="BU1695" s="79"/>
      <c r="BV1695" s="212"/>
      <c r="BW1695" s="304"/>
      <c r="BX1695" s="313"/>
      <c r="BY1695" s="138"/>
    </row>
    <row r="1696" spans="1:77" ht="15" customHeight="1" outlineLevel="1" x14ac:dyDescent="0.2">
      <c r="A1696" s="583" t="s">
        <v>24</v>
      </c>
      <c r="B1696" s="583"/>
      <c r="C1696" s="583" t="s">
        <v>354</v>
      </c>
      <c r="D1696" s="546">
        <v>8.0340000000000007</v>
      </c>
      <c r="E1696" s="162" t="s">
        <v>631</v>
      </c>
      <c r="F1696" s="358"/>
      <c r="G1696" s="65"/>
      <c r="H1696" s="73"/>
      <c r="I1696" s="90"/>
      <c r="J1696" s="73"/>
      <c r="K1696" s="734"/>
      <c r="L1696" s="717">
        <v>2009</v>
      </c>
      <c r="M1696" s="73"/>
      <c r="N1696" s="738">
        <v>3.5263999999999997E-2</v>
      </c>
      <c r="O1696" s="1041"/>
      <c r="P1696" s="73"/>
      <c r="Q1696" s="738"/>
      <c r="R1696" s="1041"/>
      <c r="S1696" s="73"/>
      <c r="T1696" s="738"/>
      <c r="U1696" s="73"/>
      <c r="V1696" s="66"/>
      <c r="W1696" s="788">
        <f>AA1696*(1+AB1696)</f>
        <v>2.5390079999999998E-5</v>
      </c>
      <c r="X1696" s="789">
        <f t="shared" ref="X1696" si="1554">AA1696*(1+AC1696)</f>
        <v>2.5390079999999998E-5</v>
      </c>
      <c r="Y1696" s="52">
        <v>2009</v>
      </c>
      <c r="Z1696" s="52"/>
      <c r="AA1696" s="787">
        <f>+N1696/1000</f>
        <v>3.5264E-5</v>
      </c>
      <c r="AB1696" s="256">
        <v>-0.28000000000000003</v>
      </c>
      <c r="AC1696" s="688">
        <f t="shared" si="1509"/>
        <v>-0.28000000000000003</v>
      </c>
      <c r="AD1696" s="164"/>
      <c r="AE1696" s="164"/>
      <c r="AF1696" s="25"/>
      <c r="AG1696" s="26"/>
      <c r="AH1696" s="275"/>
      <c r="AI1696" s="52"/>
      <c r="AJ1696" s="35"/>
      <c r="AK1696" s="289"/>
      <c r="AL1696" s="290"/>
      <c r="AM1696" s="211"/>
      <c r="AN1696" s="164"/>
      <c r="AO1696" s="594"/>
      <c r="AP1696" s="595"/>
      <c r="AQ1696" s="275"/>
      <c r="AR1696" s="52"/>
      <c r="AS1696" s="596"/>
      <c r="AT1696" s="79"/>
      <c r="AU1696" s="212"/>
      <c r="AV1696" s="164"/>
      <c r="AW1696" s="164"/>
      <c r="AX1696" s="76"/>
      <c r="AY1696" s="44"/>
      <c r="AZ1696" s="275"/>
      <c r="BA1696" s="52"/>
      <c r="BB1696" s="35"/>
      <c r="BC1696" s="79"/>
      <c r="BD1696" s="230"/>
      <c r="BE1696" s="211"/>
      <c r="BF1696" s="164"/>
      <c r="BG1696" s="76"/>
      <c r="BH1696" s="44"/>
      <c r="BI1696" s="275"/>
      <c r="BJ1696" s="52"/>
      <c r="BK1696" s="35"/>
      <c r="BL1696" s="79"/>
      <c r="BM1696" s="230"/>
      <c r="BN1696" s="211"/>
      <c r="BO1696" s="164"/>
      <c r="BP1696" s="726"/>
      <c r="BQ1696" s="727"/>
      <c r="BR1696" s="299"/>
      <c r="BS1696" s="35"/>
      <c r="BT1696" s="596"/>
      <c r="BU1696" s="79"/>
      <c r="BV1696" s="212"/>
      <c r="BW1696" s="304"/>
      <c r="BX1696" s="313"/>
      <c r="BY1696" s="138"/>
    </row>
    <row r="1697" spans="1:77" ht="15" customHeight="1" outlineLevel="1" x14ac:dyDescent="0.2">
      <c r="A1697" s="57" t="s">
        <v>24</v>
      </c>
      <c r="B1697" s="583"/>
      <c r="C1697" s="583" t="s">
        <v>1396</v>
      </c>
      <c r="D1697" s="546">
        <v>6.9790000000000001</v>
      </c>
      <c r="E1697" s="162" t="s">
        <v>631</v>
      </c>
      <c r="F1697" s="358"/>
      <c r="G1697" s="65"/>
      <c r="H1697" s="73"/>
      <c r="I1697" s="90"/>
      <c r="J1697" s="73"/>
      <c r="K1697" s="734">
        <v>1.8452E-2</v>
      </c>
      <c r="L1697" s="717"/>
      <c r="M1697" s="73"/>
      <c r="N1697" s="359"/>
      <c r="O1697" s="1041"/>
      <c r="P1697" s="73"/>
      <c r="Q1697" s="359"/>
      <c r="R1697" s="1041"/>
      <c r="S1697" s="73"/>
      <c r="T1697" s="359"/>
      <c r="U1697" s="73"/>
      <c r="V1697" s="66"/>
      <c r="W1697" s="740">
        <f t="shared" si="1507"/>
        <v>1.2731879999999998E-5</v>
      </c>
      <c r="X1697" s="741">
        <f t="shared" si="1508"/>
        <v>1.2731879999999998E-5</v>
      </c>
      <c r="Y1697" s="52">
        <v>2005</v>
      </c>
      <c r="Z1697" s="52"/>
      <c r="AA1697" s="739">
        <f>+K1697/1000</f>
        <v>1.8451999999999999E-5</v>
      </c>
      <c r="AB1697" s="256">
        <v>-0.31</v>
      </c>
      <c r="AC1697" s="688">
        <f t="shared" si="1509"/>
        <v>-0.31</v>
      </c>
      <c r="AD1697" s="164"/>
      <c r="AE1697" s="164"/>
      <c r="AF1697" s="25"/>
      <c r="AG1697" s="26"/>
      <c r="AH1697" s="275"/>
      <c r="AI1697" s="52"/>
      <c r="AJ1697" s="35"/>
      <c r="AK1697" s="289"/>
      <c r="AL1697" s="290"/>
      <c r="AM1697" s="211"/>
      <c r="AN1697" s="164"/>
      <c r="AO1697" s="594"/>
      <c r="AP1697" s="595"/>
      <c r="AQ1697" s="275"/>
      <c r="AR1697" s="52"/>
      <c r="AS1697" s="596"/>
      <c r="AT1697" s="79"/>
      <c r="AU1697" s="212"/>
      <c r="AV1697" s="164"/>
      <c r="AW1697" s="164"/>
      <c r="AX1697" s="76"/>
      <c r="AY1697" s="44"/>
      <c r="AZ1697" s="275"/>
      <c r="BA1697" s="52"/>
      <c r="BB1697" s="35"/>
      <c r="BC1697" s="79"/>
      <c r="BD1697" s="230"/>
      <c r="BE1697" s="211"/>
      <c r="BF1697" s="164"/>
      <c r="BG1697" s="76"/>
      <c r="BH1697" s="44"/>
      <c r="BI1697" s="275"/>
      <c r="BJ1697" s="52"/>
      <c r="BK1697" s="35"/>
      <c r="BL1697" s="79"/>
      <c r="BM1697" s="230"/>
      <c r="BN1697" s="211"/>
      <c r="BO1697" s="164"/>
      <c r="BP1697" s="726"/>
      <c r="BQ1697" s="727"/>
      <c r="BR1697" s="299"/>
      <c r="BS1697" s="35"/>
      <c r="BT1697" s="596"/>
      <c r="BU1697" s="79"/>
      <c r="BV1697" s="212"/>
      <c r="BW1697" s="304"/>
      <c r="BX1697" s="313"/>
      <c r="BY1697" s="138"/>
    </row>
    <row r="1698" spans="1:77" ht="15" customHeight="1" outlineLevel="1" x14ac:dyDescent="0.2">
      <c r="A1698" s="57" t="s">
        <v>24</v>
      </c>
      <c r="B1698" s="583"/>
      <c r="C1698" s="583" t="s">
        <v>2872</v>
      </c>
      <c r="D1698" s="546">
        <v>1.325</v>
      </c>
      <c r="E1698" s="162" t="s">
        <v>631</v>
      </c>
      <c r="F1698" s="358"/>
      <c r="G1698" s="65"/>
      <c r="H1698" s="73"/>
      <c r="I1698" s="90"/>
      <c r="J1698" s="73"/>
      <c r="K1698" s="734"/>
      <c r="L1698" s="717">
        <v>2011</v>
      </c>
      <c r="M1698" s="73"/>
      <c r="N1698" s="786">
        <v>3.0279999999999999E-3</v>
      </c>
      <c r="O1698" s="1041"/>
      <c r="P1698" s="73"/>
      <c r="Q1698" s="359"/>
      <c r="R1698" s="1041"/>
      <c r="S1698" s="73"/>
      <c r="T1698" s="359"/>
      <c r="U1698" s="73"/>
      <c r="V1698" s="66"/>
      <c r="W1698" s="740"/>
      <c r="X1698" s="741"/>
      <c r="Y1698" s="52"/>
      <c r="Z1698" s="52"/>
      <c r="AA1698" s="739"/>
      <c r="AB1698" s="256"/>
      <c r="AC1698" s="688"/>
      <c r="AD1698" s="164"/>
      <c r="AE1698" s="164"/>
      <c r="AF1698" s="25"/>
      <c r="AG1698" s="26"/>
      <c r="AH1698" s="275"/>
      <c r="AI1698" s="52"/>
      <c r="AJ1698" s="35"/>
      <c r="AK1698" s="289"/>
      <c r="AL1698" s="290"/>
      <c r="AM1698" s="211"/>
      <c r="AN1698" s="164"/>
      <c r="AO1698" s="788">
        <f>AS1698*(1+AT1698)</f>
        <v>1.7562400000000003E-6</v>
      </c>
      <c r="AP1698" s="789">
        <f>AS1698*(1+AU1698)</f>
        <v>1.7562400000000003E-6</v>
      </c>
      <c r="AQ1698" s="275">
        <v>2012</v>
      </c>
      <c r="AR1698" s="52"/>
      <c r="AS1698" s="787">
        <f>+N1698/1000</f>
        <v>3.0280000000000001E-6</v>
      </c>
      <c r="AT1698" s="79">
        <v>-0.42</v>
      </c>
      <c r="AU1698" s="212">
        <f>AT1698</f>
        <v>-0.42</v>
      </c>
      <c r="AV1698" s="164"/>
      <c r="AW1698" s="164"/>
      <c r="AX1698" s="76"/>
      <c r="AY1698" s="44"/>
      <c r="AZ1698" s="275"/>
      <c r="BA1698" s="52"/>
      <c r="BB1698" s="35"/>
      <c r="BC1698" s="79"/>
      <c r="BD1698" s="230"/>
      <c r="BE1698" s="211"/>
      <c r="BF1698" s="164"/>
      <c r="BG1698" s="76"/>
      <c r="BH1698" s="44"/>
      <c r="BI1698" s="275"/>
      <c r="BJ1698" s="52"/>
      <c r="BK1698" s="35"/>
      <c r="BL1698" s="79"/>
      <c r="BM1698" s="230"/>
      <c r="BN1698" s="211"/>
      <c r="BO1698" s="164"/>
      <c r="BP1698" s="726"/>
      <c r="BQ1698" s="727"/>
      <c r="BR1698" s="299"/>
      <c r="BS1698" s="35"/>
      <c r="BT1698" s="596"/>
      <c r="BU1698" s="79"/>
      <c r="BV1698" s="212"/>
      <c r="BW1698" s="304"/>
      <c r="BX1698" s="313"/>
      <c r="BY1698" s="138"/>
    </row>
    <row r="1699" spans="1:77" ht="15" customHeight="1" outlineLevel="1" x14ac:dyDescent="0.2">
      <c r="A1699" s="583" t="s">
        <v>24</v>
      </c>
      <c r="B1699" s="583"/>
      <c r="C1699" s="583" t="s">
        <v>2066</v>
      </c>
      <c r="D1699" s="546">
        <v>6.8819999999999997</v>
      </c>
      <c r="E1699" s="162" t="s">
        <v>631</v>
      </c>
      <c r="F1699" s="358"/>
      <c r="G1699" s="65"/>
      <c r="H1699" s="73"/>
      <c r="I1699" s="90">
        <v>2004</v>
      </c>
      <c r="J1699" s="73"/>
      <c r="K1699" s="734">
        <v>2.3924999999999998E-2</v>
      </c>
      <c r="L1699" s="717"/>
      <c r="M1699" s="73"/>
      <c r="N1699" s="359"/>
      <c r="O1699" s="1041"/>
      <c r="P1699" s="73"/>
      <c r="Q1699" s="359"/>
      <c r="R1699" s="1041"/>
      <c r="S1699" s="73"/>
      <c r="T1699" s="359"/>
      <c r="U1699" s="73"/>
      <c r="V1699" s="66"/>
      <c r="W1699" s="740">
        <f t="shared" ref="W1699" si="1555">AA1699*(1+AB1699)</f>
        <v>1.6986749999999998E-5</v>
      </c>
      <c r="X1699" s="741">
        <f t="shared" ref="X1699" si="1556">AA1699*(1+AC1699)</f>
        <v>1.6986749999999998E-5</v>
      </c>
      <c r="Y1699" s="52">
        <v>2004</v>
      </c>
      <c r="Z1699" s="52"/>
      <c r="AA1699" s="739">
        <f>+K1699/1000</f>
        <v>2.3924999999999999E-5</v>
      </c>
      <c r="AB1699" s="256">
        <v>-0.28999999999999998</v>
      </c>
      <c r="AC1699" s="688">
        <f t="shared" si="1509"/>
        <v>-0.28999999999999998</v>
      </c>
      <c r="AD1699" s="164"/>
      <c r="AE1699" s="164"/>
      <c r="AF1699" s="25"/>
      <c r="AG1699" s="26"/>
      <c r="AH1699" s="275"/>
      <c r="AI1699" s="52"/>
      <c r="AJ1699" s="35"/>
      <c r="AK1699" s="289"/>
      <c r="AL1699" s="290"/>
      <c r="AM1699" s="211"/>
      <c r="AN1699" s="164"/>
      <c r="AO1699" s="594"/>
      <c r="AP1699" s="595"/>
      <c r="AQ1699" s="275"/>
      <c r="AR1699" s="52"/>
      <c r="AS1699" s="596"/>
      <c r="AT1699" s="79"/>
      <c r="AU1699" s="212"/>
      <c r="AV1699" s="164"/>
      <c r="AW1699" s="164"/>
      <c r="AX1699" s="76"/>
      <c r="AY1699" s="44"/>
      <c r="AZ1699" s="275"/>
      <c r="BA1699" s="52"/>
      <c r="BB1699" s="35"/>
      <c r="BC1699" s="79"/>
      <c r="BD1699" s="230"/>
      <c r="BE1699" s="211"/>
      <c r="BF1699" s="164"/>
      <c r="BG1699" s="76"/>
      <c r="BH1699" s="44"/>
      <c r="BI1699" s="275"/>
      <c r="BJ1699" s="52"/>
      <c r="BK1699" s="35"/>
      <c r="BL1699" s="79"/>
      <c r="BM1699" s="230"/>
      <c r="BN1699" s="211"/>
      <c r="BO1699" s="164"/>
      <c r="BP1699" s="726"/>
      <c r="BQ1699" s="727"/>
      <c r="BR1699" s="299"/>
      <c r="BS1699" s="35"/>
      <c r="BT1699" s="596"/>
      <c r="BU1699" s="79"/>
      <c r="BV1699" s="212"/>
      <c r="BW1699" s="304"/>
      <c r="BX1699" s="313"/>
      <c r="BY1699" s="138"/>
    </row>
    <row r="1700" spans="1:77" ht="15" customHeight="1" outlineLevel="1" x14ac:dyDescent="0.2">
      <c r="A1700" s="583" t="s">
        <v>24</v>
      </c>
      <c r="B1700" s="583"/>
      <c r="C1700" s="583" t="s">
        <v>1926</v>
      </c>
      <c r="D1700" s="546">
        <v>21.667000000000002</v>
      </c>
      <c r="E1700" s="162" t="s">
        <v>631</v>
      </c>
      <c r="F1700" s="358"/>
      <c r="G1700" s="65"/>
      <c r="H1700" s="73"/>
      <c r="I1700" s="90">
        <v>2000</v>
      </c>
      <c r="J1700" s="73"/>
      <c r="K1700" s="734">
        <v>0.114826</v>
      </c>
      <c r="L1700" s="717"/>
      <c r="M1700" s="73"/>
      <c r="N1700" s="786"/>
      <c r="O1700" s="1041"/>
      <c r="P1700" s="73"/>
      <c r="Q1700" s="786"/>
      <c r="R1700" s="1041"/>
      <c r="S1700" s="73"/>
      <c r="T1700" s="786"/>
      <c r="U1700" s="73"/>
      <c r="V1700" s="66"/>
      <c r="W1700" s="740">
        <f t="shared" ref="W1700" si="1557">AA1700*(1+AB1700)</f>
        <v>8.3822979999999999E-5</v>
      </c>
      <c r="X1700" s="741">
        <f t="shared" ref="X1700" si="1558">AA1700*(1+AC1700)</f>
        <v>8.3822979999999999E-5</v>
      </c>
      <c r="Y1700" s="52">
        <v>2000</v>
      </c>
      <c r="Z1700" s="52"/>
      <c r="AA1700" s="739">
        <f>+K1700/1000</f>
        <v>1.14826E-4</v>
      </c>
      <c r="AB1700" s="256">
        <v>-0.27</v>
      </c>
      <c r="AC1700" s="688">
        <f t="shared" si="1509"/>
        <v>-0.27</v>
      </c>
      <c r="AD1700" s="164"/>
      <c r="AE1700" s="164"/>
      <c r="AF1700" s="25"/>
      <c r="AG1700" s="26"/>
      <c r="AH1700" s="275"/>
      <c r="AI1700" s="52"/>
      <c r="AJ1700" s="35"/>
      <c r="AK1700" s="289"/>
      <c r="AL1700" s="290"/>
      <c r="AM1700" s="211"/>
      <c r="AN1700" s="164"/>
      <c r="AO1700" s="594"/>
      <c r="AP1700" s="595"/>
      <c r="AQ1700" s="275"/>
      <c r="AR1700" s="52"/>
      <c r="AS1700" s="596"/>
      <c r="AT1700" s="79"/>
      <c r="AU1700" s="212"/>
      <c r="AV1700" s="164"/>
      <c r="AW1700" s="164"/>
      <c r="AX1700" s="76"/>
      <c r="AY1700" s="44"/>
      <c r="AZ1700" s="275"/>
      <c r="BA1700" s="52"/>
      <c r="BB1700" s="35"/>
      <c r="BC1700" s="79"/>
      <c r="BD1700" s="230"/>
      <c r="BE1700" s="211"/>
      <c r="BF1700" s="164"/>
      <c r="BG1700" s="76"/>
      <c r="BH1700" s="44"/>
      <c r="BI1700" s="275"/>
      <c r="BJ1700" s="52"/>
      <c r="BK1700" s="35"/>
      <c r="BL1700" s="79"/>
      <c r="BM1700" s="230"/>
      <c r="BN1700" s="211"/>
      <c r="BO1700" s="164"/>
      <c r="BP1700" s="726"/>
      <c r="BQ1700" s="727"/>
      <c r="BR1700" s="299"/>
      <c r="BS1700" s="35"/>
      <c r="BT1700" s="596"/>
      <c r="BU1700" s="79"/>
      <c r="BV1700" s="212"/>
      <c r="BW1700" s="304"/>
      <c r="BX1700" s="313"/>
      <c r="BY1700" s="138"/>
    </row>
    <row r="1701" spans="1:77" ht="15" customHeight="1" outlineLevel="1" x14ac:dyDescent="0.2">
      <c r="A1701" s="583" t="s">
        <v>24</v>
      </c>
      <c r="B1701" s="583"/>
      <c r="C1701" s="583" t="s">
        <v>2390</v>
      </c>
      <c r="D1701" s="546">
        <f>0.841</f>
        <v>0.84099999999999997</v>
      </c>
      <c r="E1701" s="162" t="s">
        <v>631</v>
      </c>
      <c r="F1701" s="358"/>
      <c r="G1701" s="65"/>
      <c r="H1701" s="73"/>
      <c r="I1701" s="90">
        <v>2007</v>
      </c>
      <c r="J1701" s="73"/>
      <c r="K1701" s="734">
        <v>8.9379999999999998E-3</v>
      </c>
      <c r="L1701" s="717"/>
      <c r="M1701" s="73"/>
      <c r="N1701" s="786"/>
      <c r="O1701" s="1041"/>
      <c r="P1701" s="73"/>
      <c r="Q1701" s="786"/>
      <c r="R1701" s="1041"/>
      <c r="S1701" s="73"/>
      <c r="T1701" s="786"/>
      <c r="U1701" s="73"/>
      <c r="V1701" s="66"/>
      <c r="W1701" s="740">
        <f t="shared" ref="W1701" si="1559">AA1701*(1+AB1701)</f>
        <v>5.3628000000000046E-7</v>
      </c>
      <c r="X1701" s="741">
        <f t="shared" ref="X1701" si="1560">AA1701*(1+AC1701)</f>
        <v>5.3628000000000046E-7</v>
      </c>
      <c r="Y1701" s="52">
        <v>2007</v>
      </c>
      <c r="Z1701" s="52"/>
      <c r="AA1701" s="739">
        <f>+K1701/1000</f>
        <v>8.9379999999999998E-6</v>
      </c>
      <c r="AB1701" s="256">
        <v>-0.94</v>
      </c>
      <c r="AC1701" s="688">
        <f t="shared" ref="AC1701" si="1561">AB1701</f>
        <v>-0.94</v>
      </c>
      <c r="AD1701" s="164"/>
      <c r="AE1701" s="164"/>
      <c r="AF1701" s="25"/>
      <c r="AG1701" s="26"/>
      <c r="AH1701" s="275"/>
      <c r="AI1701" s="52"/>
      <c r="AJ1701" s="35"/>
      <c r="AK1701" s="289"/>
      <c r="AL1701" s="290"/>
      <c r="AM1701" s="211"/>
      <c r="AN1701" s="164"/>
      <c r="AO1701" s="594"/>
      <c r="AP1701" s="595"/>
      <c r="AQ1701" s="275"/>
      <c r="AR1701" s="52"/>
      <c r="AS1701" s="596"/>
      <c r="AT1701" s="79"/>
      <c r="AU1701" s="212"/>
      <c r="AV1701" s="164"/>
      <c r="AW1701" s="164"/>
      <c r="AX1701" s="76"/>
      <c r="AY1701" s="44"/>
      <c r="AZ1701" s="275"/>
      <c r="BA1701" s="52"/>
      <c r="BB1701" s="35"/>
      <c r="BC1701" s="79"/>
      <c r="BD1701" s="230"/>
      <c r="BE1701" s="211"/>
      <c r="BF1701" s="164"/>
      <c r="BG1701" s="76"/>
      <c r="BH1701" s="44"/>
      <c r="BI1701" s="275"/>
      <c r="BJ1701" s="52"/>
      <c r="BK1701" s="35"/>
      <c r="BL1701" s="79"/>
      <c r="BM1701" s="230"/>
      <c r="BN1701" s="211"/>
      <c r="BO1701" s="164"/>
      <c r="BP1701" s="726"/>
      <c r="BQ1701" s="727"/>
      <c r="BR1701" s="299"/>
      <c r="BS1701" s="35"/>
      <c r="BT1701" s="596"/>
      <c r="BU1701" s="79"/>
      <c r="BV1701" s="212"/>
      <c r="BW1701" s="304"/>
      <c r="BX1701" s="313"/>
      <c r="BY1701" s="138"/>
    </row>
    <row r="1702" spans="1:77" ht="15" customHeight="1" outlineLevel="1" x14ac:dyDescent="0.2">
      <c r="A1702" s="57" t="s">
        <v>24</v>
      </c>
      <c r="B1702" s="583"/>
      <c r="C1702" s="583" t="s">
        <v>1558</v>
      </c>
      <c r="D1702" s="546">
        <v>24.186</v>
      </c>
      <c r="E1702" s="162" t="s">
        <v>631</v>
      </c>
      <c r="F1702" s="358"/>
      <c r="G1702" s="65"/>
      <c r="H1702" s="73"/>
      <c r="I1702" s="90"/>
      <c r="J1702" s="73"/>
      <c r="K1702" s="734"/>
      <c r="L1702" s="717"/>
      <c r="M1702" s="73"/>
      <c r="N1702" s="738">
        <v>8.4946999999999995E-2</v>
      </c>
      <c r="O1702" s="1041"/>
      <c r="P1702" s="73"/>
      <c r="Q1702" s="738"/>
      <c r="R1702" s="1041"/>
      <c r="S1702" s="73"/>
      <c r="T1702" s="738"/>
      <c r="U1702" s="73"/>
      <c r="V1702" s="66"/>
      <c r="W1702" s="740">
        <f t="shared" si="1507"/>
        <v>5.6065019999999994E-5</v>
      </c>
      <c r="X1702" s="741">
        <f t="shared" si="1508"/>
        <v>5.6065019999999994E-5</v>
      </c>
      <c r="Y1702" s="52">
        <v>2010</v>
      </c>
      <c r="Z1702" s="52"/>
      <c r="AA1702" s="739">
        <f>+N1702/1000</f>
        <v>8.4946999999999998E-5</v>
      </c>
      <c r="AB1702" s="256">
        <v>-0.34</v>
      </c>
      <c r="AC1702" s="688">
        <f t="shared" si="1509"/>
        <v>-0.34</v>
      </c>
      <c r="AD1702" s="164"/>
      <c r="AE1702" s="164"/>
      <c r="AF1702" s="25"/>
      <c r="AG1702" s="26"/>
      <c r="AH1702" s="275"/>
      <c r="AI1702" s="52"/>
      <c r="AJ1702" s="35"/>
      <c r="AK1702" s="289"/>
      <c r="AL1702" s="290"/>
      <c r="AM1702" s="211"/>
      <c r="AN1702" s="164"/>
      <c r="AO1702" s="594"/>
      <c r="AP1702" s="595"/>
      <c r="AQ1702" s="275"/>
      <c r="AR1702" s="52"/>
      <c r="AS1702" s="596"/>
      <c r="AT1702" s="79"/>
      <c r="AU1702" s="212"/>
      <c r="AV1702" s="164"/>
      <c r="AW1702" s="164"/>
      <c r="AX1702" s="76"/>
      <c r="AY1702" s="44"/>
      <c r="AZ1702" s="275"/>
      <c r="BA1702" s="52"/>
      <c r="BB1702" s="35"/>
      <c r="BC1702" s="79"/>
      <c r="BD1702" s="230"/>
      <c r="BE1702" s="211"/>
      <c r="BF1702" s="164"/>
      <c r="BG1702" s="76"/>
      <c r="BH1702" s="44"/>
      <c r="BI1702" s="275"/>
      <c r="BJ1702" s="52"/>
      <c r="BK1702" s="35"/>
      <c r="BL1702" s="79"/>
      <c r="BM1702" s="230"/>
      <c r="BN1702" s="211"/>
      <c r="BO1702" s="164"/>
      <c r="BP1702" s="726"/>
      <c r="BQ1702" s="727"/>
      <c r="BR1702" s="299"/>
      <c r="BS1702" s="35"/>
      <c r="BT1702" s="596"/>
      <c r="BU1702" s="79"/>
      <c r="BV1702" s="212"/>
      <c r="BW1702" s="304"/>
      <c r="BX1702" s="313"/>
      <c r="BY1702" s="138"/>
    </row>
    <row r="1703" spans="1:77" ht="15" customHeight="1" outlineLevel="1" x14ac:dyDescent="0.2">
      <c r="A1703" s="57" t="s">
        <v>24</v>
      </c>
      <c r="B1703" s="583"/>
      <c r="C1703" s="583" t="s">
        <v>478</v>
      </c>
      <c r="D1703" s="546">
        <v>210.44</v>
      </c>
      <c r="E1703" s="162" t="s">
        <v>387</v>
      </c>
      <c r="F1703" s="358"/>
      <c r="G1703" s="65"/>
      <c r="H1703" s="73"/>
      <c r="I1703" s="90"/>
      <c r="J1703" s="73"/>
      <c r="K1703" s="66">
        <v>2.094868</v>
      </c>
      <c r="L1703" s="717"/>
      <c r="M1703" s="73"/>
      <c r="N1703" s="359"/>
      <c r="O1703" s="1041"/>
      <c r="P1703" s="73"/>
      <c r="Q1703" s="359"/>
      <c r="R1703" s="1041"/>
      <c r="S1703" s="73"/>
      <c r="T1703" s="359"/>
      <c r="U1703" s="73"/>
      <c r="V1703" s="66"/>
      <c r="W1703" s="594">
        <f t="shared" si="1507"/>
        <v>1.6758944000000002E-3</v>
      </c>
      <c r="X1703" s="595">
        <f t="shared" si="1508"/>
        <v>1.6758944000000002E-3</v>
      </c>
      <c r="Y1703" s="52">
        <v>2005</v>
      </c>
      <c r="Z1703" s="52"/>
      <c r="AA1703" s="596">
        <f t="shared" ref="AA1703:AA1709" si="1562">+K1703/1000</f>
        <v>2.0948680000000002E-3</v>
      </c>
      <c r="AB1703" s="256">
        <v>-0.2</v>
      </c>
      <c r="AC1703" s="688">
        <f t="shared" si="1509"/>
        <v>-0.2</v>
      </c>
      <c r="AD1703" s="164"/>
      <c r="AE1703" s="164"/>
      <c r="AF1703" s="25"/>
      <c r="AG1703" s="26"/>
      <c r="AH1703" s="275"/>
      <c r="AI1703" s="52"/>
      <c r="AJ1703" s="35"/>
      <c r="AK1703" s="289"/>
      <c r="AL1703" s="290"/>
      <c r="AM1703" s="211"/>
      <c r="AN1703" s="164"/>
      <c r="AO1703" s="594">
        <f>AS1703*(1+AT1703)</f>
        <v>1.0055366400000001E-3</v>
      </c>
      <c r="AP1703" s="595">
        <f>AS1703*(1+AU1703)</f>
        <v>1.0055366400000001E-3</v>
      </c>
      <c r="AQ1703" s="275">
        <v>2005</v>
      </c>
      <c r="AR1703" s="52"/>
      <c r="AS1703" s="596">
        <f>+K1703/1000</f>
        <v>2.0948680000000002E-3</v>
      </c>
      <c r="AT1703" s="79">
        <v>-0.52</v>
      </c>
      <c r="AU1703" s="212">
        <f>AT1703</f>
        <v>-0.52</v>
      </c>
      <c r="AV1703" s="164"/>
      <c r="AW1703" s="164"/>
      <c r="AX1703" s="76"/>
      <c r="AY1703" s="44"/>
      <c r="AZ1703" s="275"/>
      <c r="BA1703" s="52"/>
      <c r="BB1703" s="35"/>
      <c r="BC1703" s="79"/>
      <c r="BD1703" s="230"/>
      <c r="BE1703" s="211"/>
      <c r="BF1703" s="164"/>
      <c r="BG1703" s="76"/>
      <c r="BH1703" s="44"/>
      <c r="BI1703" s="275"/>
      <c r="BJ1703" s="52"/>
      <c r="BK1703" s="35"/>
      <c r="BL1703" s="79"/>
      <c r="BM1703" s="230"/>
      <c r="BN1703" s="211"/>
      <c r="BO1703" s="164"/>
      <c r="BP1703" s="726"/>
      <c r="BQ1703" s="727"/>
      <c r="BR1703" s="299"/>
      <c r="BS1703" s="35"/>
      <c r="BT1703" s="596"/>
      <c r="BU1703" s="79"/>
      <c r="BV1703" s="212"/>
      <c r="BW1703" s="304"/>
      <c r="BX1703" s="313"/>
      <c r="BY1703" s="138"/>
    </row>
    <row r="1704" spans="1:77" ht="15" customHeight="1" outlineLevel="1" x14ac:dyDescent="0.2">
      <c r="A1704" s="583" t="s">
        <v>24</v>
      </c>
      <c r="B1704" s="583"/>
      <c r="C1704" s="583" t="s">
        <v>2037</v>
      </c>
      <c r="D1704" s="546">
        <v>5.5229999999999997</v>
      </c>
      <c r="E1704" s="162" t="s">
        <v>631</v>
      </c>
      <c r="F1704" s="358"/>
      <c r="G1704" s="65"/>
      <c r="H1704" s="73"/>
      <c r="I1704" s="90"/>
      <c r="J1704" s="73"/>
      <c r="K1704" s="66"/>
      <c r="L1704" s="717">
        <v>2011</v>
      </c>
      <c r="M1704" s="73"/>
      <c r="N1704" s="786">
        <v>1.3398999999999999E-2</v>
      </c>
      <c r="O1704" s="1041"/>
      <c r="P1704" s="73"/>
      <c r="Q1704" s="359"/>
      <c r="R1704" s="1041"/>
      <c r="S1704" s="73"/>
      <c r="T1704" s="359"/>
      <c r="U1704" s="73"/>
      <c r="V1704" s="66"/>
      <c r="W1704" s="788">
        <f t="shared" ref="W1704" si="1563">AA1704*(1+AB1704)</f>
        <v>9.6472800000000002E-6</v>
      </c>
      <c r="X1704" s="789">
        <f t="shared" ref="X1704" si="1564">AA1704*(1+AC1704)</f>
        <v>9.6472800000000002E-6</v>
      </c>
      <c r="Y1704" s="52">
        <v>2011</v>
      </c>
      <c r="Z1704" s="52"/>
      <c r="AA1704" s="787">
        <f>+N1704/1000</f>
        <v>1.3399E-5</v>
      </c>
      <c r="AB1704" s="256">
        <v>-0.28000000000000003</v>
      </c>
      <c r="AC1704" s="688">
        <f t="shared" si="1509"/>
        <v>-0.28000000000000003</v>
      </c>
      <c r="AD1704" s="164"/>
      <c r="AE1704" s="164"/>
      <c r="AF1704" s="25"/>
      <c r="AG1704" s="26"/>
      <c r="AH1704" s="275"/>
      <c r="AI1704" s="52"/>
      <c r="AJ1704" s="35"/>
      <c r="AK1704" s="289"/>
      <c r="AL1704" s="290"/>
      <c r="AM1704" s="211"/>
      <c r="AN1704" s="164"/>
      <c r="AO1704" s="594"/>
      <c r="AP1704" s="595"/>
      <c r="AQ1704" s="275"/>
      <c r="AR1704" s="52"/>
      <c r="AS1704" s="596"/>
      <c r="AT1704" s="79"/>
      <c r="AU1704" s="212"/>
      <c r="AV1704" s="164"/>
      <c r="AW1704" s="164"/>
      <c r="AX1704" s="76"/>
      <c r="AY1704" s="44"/>
      <c r="AZ1704" s="275"/>
      <c r="BA1704" s="52"/>
      <c r="BB1704" s="35"/>
      <c r="BC1704" s="79"/>
      <c r="BD1704" s="230"/>
      <c r="BE1704" s="211"/>
      <c r="BF1704" s="164"/>
      <c r="BG1704" s="76"/>
      <c r="BH1704" s="44"/>
      <c r="BI1704" s="275"/>
      <c r="BJ1704" s="52"/>
      <c r="BK1704" s="35"/>
      <c r="BL1704" s="79"/>
      <c r="BM1704" s="230"/>
      <c r="BN1704" s="211"/>
      <c r="BO1704" s="164"/>
      <c r="BP1704" s="726"/>
      <c r="BQ1704" s="727"/>
      <c r="BR1704" s="299"/>
      <c r="BS1704" s="35"/>
      <c r="BT1704" s="596"/>
      <c r="BU1704" s="79"/>
      <c r="BV1704" s="212"/>
      <c r="BW1704" s="304"/>
      <c r="BX1704" s="313"/>
      <c r="BY1704" s="138"/>
    </row>
    <row r="1705" spans="1:77" ht="15" customHeight="1" outlineLevel="1" x14ac:dyDescent="0.2">
      <c r="A1705" s="57" t="s">
        <v>24</v>
      </c>
      <c r="B1705" s="583"/>
      <c r="C1705" s="583" t="s">
        <v>1547</v>
      </c>
      <c r="D1705" s="546">
        <v>1.4530000000000001</v>
      </c>
      <c r="E1705" s="162" t="s">
        <v>631</v>
      </c>
      <c r="F1705" s="358"/>
      <c r="G1705" s="65"/>
      <c r="H1705" s="73"/>
      <c r="I1705" s="90"/>
      <c r="J1705" s="73"/>
      <c r="K1705" s="814">
        <v>4.4349999999999997E-3</v>
      </c>
      <c r="L1705" s="717"/>
      <c r="M1705" s="73"/>
      <c r="N1705" s="359"/>
      <c r="O1705" s="1041"/>
      <c r="P1705" s="73"/>
      <c r="Q1705" s="359"/>
      <c r="R1705" s="1041"/>
      <c r="S1705" s="73"/>
      <c r="T1705" s="359"/>
      <c r="U1705" s="73"/>
      <c r="V1705" s="66"/>
      <c r="W1705" s="788">
        <f t="shared" si="1507"/>
        <v>2.9714499999999997E-6</v>
      </c>
      <c r="X1705" s="789">
        <f t="shared" si="1508"/>
        <v>2.9714499999999997E-6</v>
      </c>
      <c r="Y1705" s="52">
        <v>2005</v>
      </c>
      <c r="Z1705" s="52"/>
      <c r="AA1705" s="787">
        <f t="shared" si="1562"/>
        <v>4.4349999999999999E-6</v>
      </c>
      <c r="AB1705" s="256">
        <v>-0.33</v>
      </c>
      <c r="AC1705" s="688">
        <f t="shared" si="1509"/>
        <v>-0.33</v>
      </c>
      <c r="AD1705" s="164"/>
      <c r="AE1705" s="164"/>
      <c r="AF1705" s="25"/>
      <c r="AG1705" s="26"/>
      <c r="AH1705" s="275"/>
      <c r="AI1705" s="52"/>
      <c r="AJ1705" s="35"/>
      <c r="AK1705" s="289"/>
      <c r="AL1705" s="290"/>
      <c r="AM1705" s="211"/>
      <c r="AN1705" s="164"/>
      <c r="AO1705" s="594"/>
      <c r="AP1705" s="595"/>
      <c r="AQ1705" s="275"/>
      <c r="AR1705" s="52"/>
      <c r="AS1705" s="596"/>
      <c r="AT1705" s="79"/>
      <c r="AU1705" s="212"/>
      <c r="AV1705" s="164"/>
      <c r="AW1705" s="164"/>
      <c r="AX1705" s="76"/>
      <c r="AY1705" s="44"/>
      <c r="AZ1705" s="275"/>
      <c r="BA1705" s="52"/>
      <c r="BB1705" s="35"/>
      <c r="BC1705" s="79"/>
      <c r="BD1705" s="230"/>
      <c r="BE1705" s="211"/>
      <c r="BF1705" s="164"/>
      <c r="BG1705" s="76"/>
      <c r="BH1705" s="44"/>
      <c r="BI1705" s="275"/>
      <c r="BJ1705" s="52"/>
      <c r="BK1705" s="35"/>
      <c r="BL1705" s="79"/>
      <c r="BM1705" s="230"/>
      <c r="BN1705" s="211"/>
      <c r="BO1705" s="164"/>
      <c r="BP1705" s="726"/>
      <c r="BQ1705" s="727"/>
      <c r="BR1705" s="299"/>
      <c r="BS1705" s="35"/>
      <c r="BT1705" s="596"/>
      <c r="BU1705" s="79"/>
      <c r="BV1705" s="212"/>
      <c r="BW1705" s="304"/>
      <c r="BX1705" s="313"/>
      <c r="BY1705" s="138"/>
    </row>
    <row r="1706" spans="1:77" ht="15" customHeight="1" outlineLevel="1" x14ac:dyDescent="0.2">
      <c r="A1706" s="57" t="s">
        <v>24</v>
      </c>
      <c r="B1706" s="583"/>
      <c r="C1706" s="583" t="s">
        <v>1287</v>
      </c>
      <c r="D1706" s="546">
        <v>1.177</v>
      </c>
      <c r="E1706" s="162" t="s">
        <v>631</v>
      </c>
      <c r="F1706" s="358"/>
      <c r="G1706" s="65"/>
      <c r="H1706" s="73"/>
      <c r="I1706" s="90">
        <v>2006</v>
      </c>
      <c r="J1706" s="73"/>
      <c r="K1706" s="790">
        <v>1.9780000000000002E-3</v>
      </c>
      <c r="L1706" s="717"/>
      <c r="M1706" s="73"/>
      <c r="N1706" s="359"/>
      <c r="O1706" s="1041"/>
      <c r="P1706" s="73"/>
      <c r="Q1706" s="359"/>
      <c r="R1706" s="1041"/>
      <c r="S1706" s="73"/>
      <c r="T1706" s="359"/>
      <c r="U1706" s="73"/>
      <c r="V1706" s="66"/>
      <c r="W1706" s="788">
        <f t="shared" si="1507"/>
        <v>1.22636E-6</v>
      </c>
      <c r="X1706" s="789">
        <f t="shared" si="1508"/>
        <v>1.22636E-6</v>
      </c>
      <c r="Y1706" s="52">
        <v>2006</v>
      </c>
      <c r="Z1706" s="52"/>
      <c r="AA1706" s="787">
        <f t="shared" si="1562"/>
        <v>1.978E-6</v>
      </c>
      <c r="AB1706" s="256">
        <v>-0.38</v>
      </c>
      <c r="AC1706" s="688">
        <f t="shared" si="1509"/>
        <v>-0.38</v>
      </c>
      <c r="AD1706" s="164"/>
      <c r="AE1706" s="164"/>
      <c r="AF1706" s="25"/>
      <c r="AG1706" s="26"/>
      <c r="AH1706" s="275"/>
      <c r="AI1706" s="52"/>
      <c r="AJ1706" s="35"/>
      <c r="AK1706" s="289"/>
      <c r="AL1706" s="290"/>
      <c r="AM1706" s="211"/>
      <c r="AN1706" s="164"/>
      <c r="AO1706" s="594"/>
      <c r="AP1706" s="595"/>
      <c r="AQ1706" s="275"/>
      <c r="AR1706" s="52"/>
      <c r="AS1706" s="596"/>
      <c r="AT1706" s="79"/>
      <c r="AU1706" s="212"/>
      <c r="AV1706" s="164"/>
      <c r="AW1706" s="164"/>
      <c r="AX1706" s="76"/>
      <c r="AY1706" s="44"/>
      <c r="AZ1706" s="275"/>
      <c r="BA1706" s="52"/>
      <c r="BB1706" s="35"/>
      <c r="BC1706" s="79"/>
      <c r="BD1706" s="230"/>
      <c r="BE1706" s="211"/>
      <c r="BF1706" s="164"/>
      <c r="BG1706" s="76"/>
      <c r="BH1706" s="44"/>
      <c r="BI1706" s="275"/>
      <c r="BJ1706" s="52"/>
      <c r="BK1706" s="35"/>
      <c r="BL1706" s="79"/>
      <c r="BM1706" s="230"/>
      <c r="BN1706" s="211"/>
      <c r="BO1706" s="164"/>
      <c r="BP1706" s="726"/>
      <c r="BQ1706" s="727"/>
      <c r="BR1706" s="299"/>
      <c r="BS1706" s="35"/>
      <c r="BT1706" s="596"/>
      <c r="BU1706" s="79"/>
      <c r="BV1706" s="212"/>
      <c r="BW1706" s="304"/>
      <c r="BX1706" s="313"/>
      <c r="BY1706" s="138"/>
    </row>
    <row r="1707" spans="1:77" ht="15" customHeight="1" outlineLevel="1" x14ac:dyDescent="0.2">
      <c r="A1707" s="583" t="s">
        <v>24</v>
      </c>
      <c r="B1707" s="583"/>
      <c r="C1707" s="583" t="s">
        <v>1923</v>
      </c>
      <c r="D1707" s="546">
        <v>23.927</v>
      </c>
      <c r="E1707" s="162" t="s">
        <v>631</v>
      </c>
      <c r="F1707" s="358"/>
      <c r="G1707" s="65"/>
      <c r="H1707" s="73"/>
      <c r="I1707" s="90"/>
      <c r="J1707" s="73"/>
      <c r="K1707" s="790"/>
      <c r="L1707" s="717">
        <v>2011</v>
      </c>
      <c r="M1707" s="73"/>
      <c r="N1707" s="786">
        <v>7.7348E-2</v>
      </c>
      <c r="O1707" s="1041"/>
      <c r="P1707" s="73"/>
      <c r="Q1707" s="359"/>
      <c r="R1707" s="1041"/>
      <c r="S1707" s="73"/>
      <c r="T1707" s="359"/>
      <c r="U1707" s="73"/>
      <c r="V1707" s="66"/>
      <c r="W1707" s="788">
        <f t="shared" ref="W1707" si="1565">AA1707*(1+AB1707)</f>
        <v>5.6464040000000003E-5</v>
      </c>
      <c r="X1707" s="789">
        <f t="shared" ref="X1707" si="1566">AA1707*(1+AC1707)</f>
        <v>5.6464040000000003E-5</v>
      </c>
      <c r="Y1707" s="52">
        <v>2011</v>
      </c>
      <c r="Z1707" s="52"/>
      <c r="AA1707" s="787">
        <f>+N1707/1000</f>
        <v>7.7348000000000006E-5</v>
      </c>
      <c r="AB1707" s="256">
        <v>-0.27</v>
      </c>
      <c r="AC1707" s="688">
        <f t="shared" si="1509"/>
        <v>-0.27</v>
      </c>
      <c r="AD1707" s="164"/>
      <c r="AE1707" s="164"/>
      <c r="AF1707" s="25"/>
      <c r="AG1707" s="26"/>
      <c r="AH1707" s="275"/>
      <c r="AI1707" s="52"/>
      <c r="AJ1707" s="35"/>
      <c r="AK1707" s="289"/>
      <c r="AL1707" s="290"/>
      <c r="AM1707" s="211"/>
      <c r="AN1707" s="164"/>
      <c r="AO1707" s="594"/>
      <c r="AP1707" s="595"/>
      <c r="AQ1707" s="275"/>
      <c r="AR1707" s="52"/>
      <c r="AS1707" s="596"/>
      <c r="AT1707" s="79"/>
      <c r="AU1707" s="212"/>
      <c r="AV1707" s="164"/>
      <c r="AW1707" s="164"/>
      <c r="AX1707" s="76"/>
      <c r="AY1707" s="44"/>
      <c r="AZ1707" s="275"/>
      <c r="BA1707" s="52"/>
      <c r="BB1707" s="35"/>
      <c r="BC1707" s="79"/>
      <c r="BD1707" s="230"/>
      <c r="BE1707" s="211"/>
      <c r="BF1707" s="164"/>
      <c r="BG1707" s="76"/>
      <c r="BH1707" s="44"/>
      <c r="BI1707" s="275"/>
      <c r="BJ1707" s="52"/>
      <c r="BK1707" s="35"/>
      <c r="BL1707" s="79"/>
      <c r="BM1707" s="230"/>
      <c r="BN1707" s="211"/>
      <c r="BO1707" s="164"/>
      <c r="BP1707" s="726"/>
      <c r="BQ1707" s="727"/>
      <c r="BR1707" s="299"/>
      <c r="BS1707" s="35"/>
      <c r="BT1707" s="596"/>
      <c r="BU1707" s="79"/>
      <c r="BV1707" s="212"/>
      <c r="BW1707" s="304"/>
      <c r="BX1707" s="313"/>
      <c r="BY1707" s="138"/>
    </row>
    <row r="1708" spans="1:77" ht="15" customHeight="1" outlineLevel="1" x14ac:dyDescent="0.2">
      <c r="A1708" s="583" t="s">
        <v>24</v>
      </c>
      <c r="B1708" s="583"/>
      <c r="C1708" s="583" t="s">
        <v>1735</v>
      </c>
      <c r="D1708" s="546">
        <v>1.0109999999999999</v>
      </c>
      <c r="E1708" s="162" t="s">
        <v>631</v>
      </c>
      <c r="F1708" s="358"/>
      <c r="G1708" s="65"/>
      <c r="H1708" s="73"/>
      <c r="I1708" s="90"/>
      <c r="J1708" s="73"/>
      <c r="K1708" s="790">
        <v>2.99E-3</v>
      </c>
      <c r="L1708" s="717"/>
      <c r="M1708" s="73"/>
      <c r="N1708" s="359"/>
      <c r="O1708" s="1041"/>
      <c r="P1708" s="73"/>
      <c r="Q1708" s="359"/>
      <c r="R1708" s="1041"/>
      <c r="S1708" s="73"/>
      <c r="T1708" s="359"/>
      <c r="U1708" s="73"/>
      <c r="V1708" s="66"/>
      <c r="W1708" s="788">
        <f t="shared" ref="W1708:W1709" si="1567">AA1708*(1+AB1708)</f>
        <v>2.2425000000000001E-6</v>
      </c>
      <c r="X1708" s="789">
        <f t="shared" ref="X1708:X1709" si="1568">AA1708*(1+AC1708)</f>
        <v>2.2425000000000001E-6</v>
      </c>
      <c r="Y1708" s="52">
        <v>2005</v>
      </c>
      <c r="Z1708" s="52"/>
      <c r="AA1708" s="787">
        <f t="shared" si="1562"/>
        <v>2.9900000000000002E-6</v>
      </c>
      <c r="AB1708" s="256">
        <v>-0.25</v>
      </c>
      <c r="AC1708" s="688">
        <f t="shared" si="1509"/>
        <v>-0.25</v>
      </c>
      <c r="AD1708" s="164"/>
      <c r="AE1708" s="164"/>
      <c r="AF1708" s="25"/>
      <c r="AG1708" s="26"/>
      <c r="AH1708" s="275"/>
      <c r="AI1708" s="52"/>
      <c r="AJ1708" s="35"/>
      <c r="AK1708" s="289"/>
      <c r="AL1708" s="290"/>
      <c r="AM1708" s="211"/>
      <c r="AN1708" s="164"/>
      <c r="AO1708" s="594"/>
      <c r="AP1708" s="595"/>
      <c r="AQ1708" s="275"/>
      <c r="AR1708" s="52"/>
      <c r="AS1708" s="596"/>
      <c r="AT1708" s="79"/>
      <c r="AU1708" s="212"/>
      <c r="AV1708" s="164"/>
      <c r="AW1708" s="164"/>
      <c r="AX1708" s="76"/>
      <c r="AY1708" s="44"/>
      <c r="AZ1708" s="275"/>
      <c r="BA1708" s="52"/>
      <c r="BB1708" s="35"/>
      <c r="BC1708" s="79"/>
      <c r="BD1708" s="230"/>
      <c r="BE1708" s="211"/>
      <c r="BF1708" s="164"/>
      <c r="BG1708" s="76"/>
      <c r="BH1708" s="44"/>
      <c r="BI1708" s="275"/>
      <c r="BJ1708" s="52"/>
      <c r="BK1708" s="35"/>
      <c r="BL1708" s="79"/>
      <c r="BM1708" s="230"/>
      <c r="BN1708" s="211"/>
      <c r="BO1708" s="164"/>
      <c r="BP1708" s="726"/>
      <c r="BQ1708" s="727"/>
      <c r="BR1708" s="299"/>
      <c r="BS1708" s="35"/>
      <c r="BT1708" s="596"/>
      <c r="BU1708" s="79"/>
      <c r="BV1708" s="212"/>
      <c r="BW1708" s="304"/>
      <c r="BX1708" s="313"/>
      <c r="BY1708" s="138"/>
    </row>
    <row r="1709" spans="1:77" ht="15" customHeight="1" outlineLevel="1" x14ac:dyDescent="0.2">
      <c r="A1709" s="583" t="s">
        <v>24</v>
      </c>
      <c r="B1709" s="583"/>
      <c r="C1709" s="583" t="s">
        <v>1739</v>
      </c>
      <c r="D1709" s="546">
        <v>1.1639999999999999</v>
      </c>
      <c r="E1709" s="162" t="s">
        <v>631</v>
      </c>
      <c r="F1709" s="358"/>
      <c r="G1709" s="65"/>
      <c r="H1709" s="73"/>
      <c r="I1709" s="90"/>
      <c r="J1709" s="73"/>
      <c r="K1709" s="790">
        <v>3.5639999999999999E-3</v>
      </c>
      <c r="L1709" s="717"/>
      <c r="M1709" s="73"/>
      <c r="N1709" s="359"/>
      <c r="O1709" s="1041"/>
      <c r="P1709" s="73"/>
      <c r="Q1709" s="359"/>
      <c r="R1709" s="1041"/>
      <c r="S1709" s="73"/>
      <c r="T1709" s="359"/>
      <c r="U1709" s="73"/>
      <c r="V1709" s="66"/>
      <c r="W1709" s="788">
        <f t="shared" si="1567"/>
        <v>2.6730000000000001E-6</v>
      </c>
      <c r="X1709" s="789">
        <f t="shared" si="1568"/>
        <v>2.6730000000000001E-6</v>
      </c>
      <c r="Y1709" s="52">
        <v>2005</v>
      </c>
      <c r="Z1709" s="52"/>
      <c r="AA1709" s="787">
        <f t="shared" si="1562"/>
        <v>3.5640000000000001E-6</v>
      </c>
      <c r="AB1709" s="256">
        <v>-0.25</v>
      </c>
      <c r="AC1709" s="688">
        <f t="shared" si="1509"/>
        <v>-0.25</v>
      </c>
      <c r="AD1709" s="164"/>
      <c r="AE1709" s="164"/>
      <c r="AF1709" s="25"/>
      <c r="AG1709" s="26"/>
      <c r="AH1709" s="275"/>
      <c r="AI1709" s="52"/>
      <c r="AJ1709" s="35"/>
      <c r="AK1709" s="289"/>
      <c r="AL1709" s="290"/>
      <c r="AM1709" s="211"/>
      <c r="AN1709" s="164"/>
      <c r="AO1709" s="594"/>
      <c r="AP1709" s="595"/>
      <c r="AQ1709" s="275"/>
      <c r="AR1709" s="52"/>
      <c r="AS1709" s="596"/>
      <c r="AT1709" s="79"/>
      <c r="AU1709" s="212"/>
      <c r="AV1709" s="164"/>
      <c r="AW1709" s="164"/>
      <c r="AX1709" s="76"/>
      <c r="AY1709" s="44"/>
      <c r="AZ1709" s="275"/>
      <c r="BA1709" s="52"/>
      <c r="BB1709" s="35"/>
      <c r="BC1709" s="79"/>
      <c r="BD1709" s="230"/>
      <c r="BE1709" s="211"/>
      <c r="BF1709" s="164"/>
      <c r="BG1709" s="76"/>
      <c r="BH1709" s="44"/>
      <c r="BI1709" s="275"/>
      <c r="BJ1709" s="52"/>
      <c r="BK1709" s="35"/>
      <c r="BL1709" s="79"/>
      <c r="BM1709" s="230"/>
      <c r="BN1709" s="211"/>
      <c r="BO1709" s="164"/>
      <c r="BP1709" s="726"/>
      <c r="BQ1709" s="727"/>
      <c r="BR1709" s="299"/>
      <c r="BS1709" s="35"/>
      <c r="BT1709" s="596"/>
      <c r="BU1709" s="79"/>
      <c r="BV1709" s="212"/>
      <c r="BW1709" s="304"/>
      <c r="BX1709" s="313"/>
      <c r="BY1709" s="138"/>
    </row>
    <row r="1710" spans="1:77" ht="15" customHeight="1" outlineLevel="1" x14ac:dyDescent="0.2">
      <c r="A1710" s="57" t="s">
        <v>24</v>
      </c>
      <c r="B1710" s="583"/>
      <c r="C1710" s="583" t="s">
        <v>1366</v>
      </c>
      <c r="D1710" s="801">
        <v>0.18</v>
      </c>
      <c r="E1710" s="162" t="s">
        <v>631</v>
      </c>
      <c r="F1710" s="358"/>
      <c r="G1710" s="65"/>
      <c r="H1710" s="73"/>
      <c r="I1710" s="90"/>
      <c r="J1710" s="73"/>
      <c r="K1710" s="734"/>
      <c r="L1710" s="717">
        <v>2008</v>
      </c>
      <c r="M1710" s="73"/>
      <c r="N1710" s="786">
        <v>9.873900000000001E-4</v>
      </c>
      <c r="O1710" s="1041"/>
      <c r="P1710" s="73"/>
      <c r="Q1710" s="786"/>
      <c r="R1710" s="1041"/>
      <c r="S1710" s="73"/>
      <c r="T1710" s="786"/>
      <c r="U1710" s="73"/>
      <c r="V1710" s="66"/>
      <c r="W1710" s="788">
        <f t="shared" si="1507"/>
        <v>5.0356889999999998E-7</v>
      </c>
      <c r="X1710" s="789">
        <f t="shared" si="1508"/>
        <v>5.0356889999999998E-7</v>
      </c>
      <c r="Y1710" s="52">
        <v>2008</v>
      </c>
      <c r="Z1710" s="52"/>
      <c r="AA1710" s="787">
        <f>+N1710/1000</f>
        <v>9.8739E-7</v>
      </c>
      <c r="AB1710" s="256">
        <v>-0.49</v>
      </c>
      <c r="AC1710" s="688">
        <f t="shared" si="1509"/>
        <v>-0.49</v>
      </c>
      <c r="AD1710" s="164"/>
      <c r="AE1710" s="164"/>
      <c r="AF1710" s="25"/>
      <c r="AG1710" s="26"/>
      <c r="AH1710" s="275"/>
      <c r="AI1710" s="52"/>
      <c r="AJ1710" s="35"/>
      <c r="AK1710" s="289"/>
      <c r="AL1710" s="290"/>
      <c r="AM1710" s="211"/>
      <c r="AN1710" s="164"/>
      <c r="AO1710" s="594"/>
      <c r="AP1710" s="595"/>
      <c r="AQ1710" s="275"/>
      <c r="AR1710" s="52"/>
      <c r="AS1710" s="596"/>
      <c r="AT1710" s="79"/>
      <c r="AU1710" s="212"/>
      <c r="AV1710" s="164"/>
      <c r="AW1710" s="164"/>
      <c r="AX1710" s="76"/>
      <c r="AY1710" s="44"/>
      <c r="AZ1710" s="275"/>
      <c r="BA1710" s="52"/>
      <c r="BB1710" s="35"/>
      <c r="BC1710" s="79"/>
      <c r="BD1710" s="230"/>
      <c r="BE1710" s="211"/>
      <c r="BF1710" s="164"/>
      <c r="BG1710" s="76"/>
      <c r="BH1710" s="44"/>
      <c r="BI1710" s="275"/>
      <c r="BJ1710" s="52"/>
      <c r="BK1710" s="35"/>
      <c r="BL1710" s="79"/>
      <c r="BM1710" s="230"/>
      <c r="BN1710" s="211"/>
      <c r="BO1710" s="164"/>
      <c r="BP1710" s="726"/>
      <c r="BQ1710" s="727"/>
      <c r="BR1710" s="299"/>
      <c r="BS1710" s="35"/>
      <c r="BT1710" s="596"/>
      <c r="BU1710" s="79"/>
      <c r="BV1710" s="212"/>
      <c r="BW1710" s="304"/>
      <c r="BX1710" s="313"/>
      <c r="BY1710" s="138"/>
    </row>
    <row r="1711" spans="1:77" ht="15" customHeight="1" outlineLevel="1" x14ac:dyDescent="0.2">
      <c r="A1711" s="57" t="s">
        <v>24</v>
      </c>
      <c r="B1711" s="583"/>
      <c r="C1711" s="583" t="s">
        <v>1337</v>
      </c>
      <c r="D1711" s="546">
        <v>1.1990000000000001</v>
      </c>
      <c r="E1711" s="162" t="s">
        <v>631</v>
      </c>
      <c r="F1711" s="358"/>
      <c r="G1711" s="65"/>
      <c r="H1711" s="73"/>
      <c r="I1711" s="90"/>
      <c r="J1711" s="73"/>
      <c r="K1711" s="734"/>
      <c r="L1711" s="717">
        <v>2011</v>
      </c>
      <c r="M1711" s="73"/>
      <c r="N1711" s="786">
        <v>2.6340000000000001E-3</v>
      </c>
      <c r="O1711" s="1041"/>
      <c r="P1711" s="73"/>
      <c r="Q1711" s="786"/>
      <c r="R1711" s="1041"/>
      <c r="S1711" s="73"/>
      <c r="T1711" s="786"/>
      <c r="U1711" s="73"/>
      <c r="V1711" s="66"/>
      <c r="W1711" s="788">
        <f t="shared" si="1507"/>
        <v>1.8438E-6</v>
      </c>
      <c r="X1711" s="789">
        <f t="shared" si="1508"/>
        <v>1.8438E-6</v>
      </c>
      <c r="Y1711" s="52">
        <v>2011</v>
      </c>
      <c r="Z1711" s="52"/>
      <c r="AA1711" s="787">
        <f>+N1711/1000</f>
        <v>2.6340000000000001E-6</v>
      </c>
      <c r="AB1711" s="256">
        <v>-0.3</v>
      </c>
      <c r="AC1711" s="688">
        <f t="shared" si="1509"/>
        <v>-0.3</v>
      </c>
      <c r="AD1711" s="164"/>
      <c r="AE1711" s="164"/>
      <c r="AF1711" s="25"/>
      <c r="AG1711" s="26"/>
      <c r="AH1711" s="275"/>
      <c r="AI1711" s="52"/>
      <c r="AJ1711" s="35"/>
      <c r="AK1711" s="289"/>
      <c r="AL1711" s="290"/>
      <c r="AM1711" s="211"/>
      <c r="AN1711" s="164"/>
      <c r="AO1711" s="594"/>
      <c r="AP1711" s="595"/>
      <c r="AQ1711" s="275"/>
      <c r="AR1711" s="52"/>
      <c r="AS1711" s="596"/>
      <c r="AT1711" s="79"/>
      <c r="AU1711" s="212"/>
      <c r="AV1711" s="164"/>
      <c r="AW1711" s="164"/>
      <c r="AX1711" s="76"/>
      <c r="AY1711" s="44"/>
      <c r="AZ1711" s="275"/>
      <c r="BA1711" s="52"/>
      <c r="BB1711" s="35"/>
      <c r="BC1711" s="79"/>
      <c r="BD1711" s="230"/>
      <c r="BE1711" s="211"/>
      <c r="BF1711" s="164"/>
      <c r="BG1711" s="76"/>
      <c r="BH1711" s="44"/>
      <c r="BI1711" s="275"/>
      <c r="BJ1711" s="52"/>
      <c r="BK1711" s="35"/>
      <c r="BL1711" s="79"/>
      <c r="BM1711" s="230"/>
      <c r="BN1711" s="211"/>
      <c r="BO1711" s="164"/>
      <c r="BP1711" s="726"/>
      <c r="BQ1711" s="727"/>
      <c r="BR1711" s="299"/>
      <c r="BS1711" s="35"/>
      <c r="BT1711" s="596"/>
      <c r="BU1711" s="79"/>
      <c r="BV1711" s="212"/>
      <c r="BW1711" s="304"/>
      <c r="BX1711" s="313"/>
      <c r="BY1711" s="138"/>
    </row>
    <row r="1712" spans="1:77" ht="15" customHeight="1" outlineLevel="1" x14ac:dyDescent="0.2">
      <c r="A1712" s="583" t="s">
        <v>24</v>
      </c>
      <c r="B1712" s="583"/>
      <c r="C1712" s="583" t="s">
        <v>1757</v>
      </c>
      <c r="D1712" s="546">
        <v>0.34399999999999997</v>
      </c>
      <c r="E1712" s="162" t="s">
        <v>631</v>
      </c>
      <c r="F1712" s="358"/>
      <c r="G1712" s="65"/>
      <c r="H1712" s="73"/>
      <c r="I1712" s="90"/>
      <c r="J1712" s="73"/>
      <c r="K1712" s="734"/>
      <c r="L1712" s="717">
        <v>2008</v>
      </c>
      <c r="M1712" s="73"/>
      <c r="N1712" s="811">
        <v>2.7300000000000002E-4</v>
      </c>
      <c r="O1712" s="1041"/>
      <c r="P1712" s="73"/>
      <c r="Q1712" s="811"/>
      <c r="R1712" s="1041"/>
      <c r="S1712" s="73"/>
      <c r="T1712" s="811"/>
      <c r="U1712" s="73"/>
      <c r="V1712" s="66"/>
      <c r="W1712" s="808">
        <f t="shared" ref="W1712" si="1569">AA1712*(1+AB1712)</f>
        <v>2.0475000000000003E-7</v>
      </c>
      <c r="X1712" s="809">
        <f t="shared" ref="X1712" si="1570">AA1712*(1+AC1712)</f>
        <v>2.0475000000000003E-7</v>
      </c>
      <c r="Y1712" s="52">
        <v>2008</v>
      </c>
      <c r="Z1712" s="52"/>
      <c r="AA1712" s="807">
        <f>+N1712/1000</f>
        <v>2.7300000000000002E-7</v>
      </c>
      <c r="AB1712" s="256">
        <v>-0.25</v>
      </c>
      <c r="AC1712" s="688">
        <f t="shared" si="1509"/>
        <v>-0.25</v>
      </c>
      <c r="AD1712" s="164"/>
      <c r="AE1712" s="164"/>
      <c r="AF1712" s="25"/>
      <c r="AG1712" s="26"/>
      <c r="AH1712" s="275"/>
      <c r="AI1712" s="52"/>
      <c r="AJ1712" s="35"/>
      <c r="AK1712" s="289"/>
      <c r="AL1712" s="290"/>
      <c r="AM1712" s="211"/>
      <c r="AN1712" s="164"/>
      <c r="AO1712" s="594"/>
      <c r="AP1712" s="595"/>
      <c r="AQ1712" s="275"/>
      <c r="AR1712" s="52"/>
      <c r="AS1712" s="596"/>
      <c r="AT1712" s="79"/>
      <c r="AU1712" s="212"/>
      <c r="AV1712" s="164"/>
      <c r="AW1712" s="164"/>
      <c r="AX1712" s="76"/>
      <c r="AY1712" s="44"/>
      <c r="AZ1712" s="275"/>
      <c r="BA1712" s="52"/>
      <c r="BB1712" s="35"/>
      <c r="BC1712" s="79"/>
      <c r="BD1712" s="230"/>
      <c r="BE1712" s="211"/>
      <c r="BF1712" s="164"/>
      <c r="BG1712" s="76"/>
      <c r="BH1712" s="44"/>
      <c r="BI1712" s="275"/>
      <c r="BJ1712" s="52"/>
      <c r="BK1712" s="35"/>
      <c r="BL1712" s="79"/>
      <c r="BM1712" s="230"/>
      <c r="BN1712" s="211"/>
      <c r="BO1712" s="164"/>
      <c r="BP1712" s="726"/>
      <c r="BQ1712" s="727"/>
      <c r="BR1712" s="299"/>
      <c r="BS1712" s="35"/>
      <c r="BT1712" s="596"/>
      <c r="BU1712" s="79"/>
      <c r="BV1712" s="212"/>
      <c r="BW1712" s="304"/>
      <c r="BX1712" s="313"/>
      <c r="BY1712" s="138"/>
    </row>
    <row r="1713" spans="1:77" ht="15" customHeight="1" outlineLevel="1" x14ac:dyDescent="0.2">
      <c r="A1713" s="583" t="s">
        <v>24</v>
      </c>
      <c r="B1713" s="583"/>
      <c r="C1713" s="583" t="s">
        <v>1940</v>
      </c>
      <c r="D1713" s="546">
        <v>9.4770000000000003</v>
      </c>
      <c r="E1713" s="162" t="s">
        <v>631</v>
      </c>
      <c r="F1713" s="358"/>
      <c r="G1713" s="65"/>
      <c r="H1713" s="73"/>
      <c r="I1713" s="90">
        <v>2007</v>
      </c>
      <c r="J1713" s="73"/>
      <c r="K1713" s="734">
        <v>1.9878E-2</v>
      </c>
      <c r="L1713" s="717"/>
      <c r="M1713" s="73"/>
      <c r="N1713" s="811"/>
      <c r="O1713" s="1041"/>
      <c r="P1713" s="73"/>
      <c r="Q1713" s="811"/>
      <c r="R1713" s="1041"/>
      <c r="S1713" s="73"/>
      <c r="T1713" s="811"/>
      <c r="U1713" s="73"/>
      <c r="V1713" s="66"/>
      <c r="W1713" s="788">
        <f t="shared" ref="W1713" si="1571">AA1713*(1+AB1713)</f>
        <v>1.4510939999999998E-5</v>
      </c>
      <c r="X1713" s="789">
        <f t="shared" ref="X1713" si="1572">AA1713*(1+AC1713)</f>
        <v>1.4510939999999998E-5</v>
      </c>
      <c r="Y1713" s="52">
        <v>2007</v>
      </c>
      <c r="Z1713" s="52"/>
      <c r="AA1713" s="787">
        <f>+K1713/1000</f>
        <v>1.9877999999999998E-5</v>
      </c>
      <c r="AB1713" s="256">
        <v>-0.27</v>
      </c>
      <c r="AC1713" s="688">
        <f t="shared" si="1509"/>
        <v>-0.27</v>
      </c>
      <c r="AD1713" s="164"/>
      <c r="AE1713" s="164"/>
      <c r="AF1713" s="25"/>
      <c r="AG1713" s="26"/>
      <c r="AH1713" s="275"/>
      <c r="AI1713" s="52"/>
      <c r="AJ1713" s="35"/>
      <c r="AK1713" s="289"/>
      <c r="AL1713" s="290"/>
      <c r="AM1713" s="211"/>
      <c r="AN1713" s="164"/>
      <c r="AO1713" s="594"/>
      <c r="AP1713" s="595"/>
      <c r="AQ1713" s="275"/>
      <c r="AR1713" s="52"/>
      <c r="AS1713" s="596"/>
      <c r="AT1713" s="79"/>
      <c r="AU1713" s="212"/>
      <c r="AV1713" s="164"/>
      <c r="AW1713" s="164"/>
      <c r="AX1713" s="76"/>
      <c r="AY1713" s="44"/>
      <c r="AZ1713" s="275"/>
      <c r="BA1713" s="52"/>
      <c r="BB1713" s="35"/>
      <c r="BC1713" s="79"/>
      <c r="BD1713" s="230"/>
      <c r="BE1713" s="211"/>
      <c r="BF1713" s="164"/>
      <c r="BG1713" s="76"/>
      <c r="BH1713" s="44"/>
      <c r="BI1713" s="275"/>
      <c r="BJ1713" s="52"/>
      <c r="BK1713" s="35"/>
      <c r="BL1713" s="79"/>
      <c r="BM1713" s="230"/>
      <c r="BN1713" s="211"/>
      <c r="BO1713" s="164"/>
      <c r="BP1713" s="726"/>
      <c r="BQ1713" s="727"/>
      <c r="BR1713" s="299"/>
      <c r="BS1713" s="35"/>
      <c r="BT1713" s="596"/>
      <c r="BU1713" s="79"/>
      <c r="BV1713" s="212"/>
      <c r="BW1713" s="304"/>
      <c r="BX1713" s="313"/>
      <c r="BY1713" s="138"/>
    </row>
    <row r="1714" spans="1:77" ht="15" customHeight="1" outlineLevel="1" x14ac:dyDescent="0.2">
      <c r="A1714" s="583" t="s">
        <v>24</v>
      </c>
      <c r="B1714" s="583"/>
      <c r="C1714" s="583" t="s">
        <v>1989</v>
      </c>
      <c r="D1714" s="546">
        <v>48.734000000000002</v>
      </c>
      <c r="E1714" s="162" t="s">
        <v>631</v>
      </c>
      <c r="F1714" s="358"/>
      <c r="G1714" s="65"/>
      <c r="H1714" s="73"/>
      <c r="I1714" s="90"/>
      <c r="J1714" s="73"/>
      <c r="K1714" s="734"/>
      <c r="L1714" s="717">
        <v>2011</v>
      </c>
      <c r="M1714" s="73"/>
      <c r="N1714" s="811">
        <v>0.19789999999999999</v>
      </c>
      <c r="O1714" s="1041"/>
      <c r="P1714" s="73"/>
      <c r="Q1714" s="811"/>
      <c r="R1714" s="1041"/>
      <c r="S1714" s="73"/>
      <c r="T1714" s="811"/>
      <c r="U1714" s="73"/>
      <c r="V1714" s="66"/>
      <c r="W1714" s="788">
        <f t="shared" ref="W1714" si="1573">AA1714*(1+AB1714)</f>
        <v>1.42488E-4</v>
      </c>
      <c r="X1714" s="789">
        <f t="shared" ref="X1714" si="1574">AA1714*(1+AC1714)</f>
        <v>1.42488E-4</v>
      </c>
      <c r="Y1714" s="52">
        <v>2011</v>
      </c>
      <c r="Z1714" s="52"/>
      <c r="AA1714" s="787">
        <f>+N1714/1000</f>
        <v>1.9789999999999999E-4</v>
      </c>
      <c r="AB1714" s="256">
        <v>-0.28000000000000003</v>
      </c>
      <c r="AC1714" s="688">
        <f t="shared" si="1509"/>
        <v>-0.28000000000000003</v>
      </c>
      <c r="AD1714" s="164"/>
      <c r="AE1714" s="164"/>
      <c r="AF1714" s="25"/>
      <c r="AG1714" s="26"/>
      <c r="AH1714" s="275"/>
      <c r="AI1714" s="52"/>
      <c r="AJ1714" s="35"/>
      <c r="AK1714" s="289"/>
      <c r="AL1714" s="290"/>
      <c r="AM1714" s="211"/>
      <c r="AN1714" s="164"/>
      <c r="AO1714" s="594"/>
      <c r="AP1714" s="595"/>
      <c r="AQ1714" s="275"/>
      <c r="AR1714" s="52"/>
      <c r="AS1714" s="596"/>
      <c r="AT1714" s="79"/>
      <c r="AU1714" s="212"/>
      <c r="AV1714" s="164"/>
      <c r="AW1714" s="164"/>
      <c r="AX1714" s="76"/>
      <c r="AY1714" s="44"/>
      <c r="AZ1714" s="275"/>
      <c r="BA1714" s="52"/>
      <c r="BB1714" s="35"/>
      <c r="BC1714" s="79"/>
      <c r="BD1714" s="230"/>
      <c r="BE1714" s="211"/>
      <c r="BF1714" s="164"/>
      <c r="BG1714" s="76"/>
      <c r="BH1714" s="44"/>
      <c r="BI1714" s="275"/>
      <c r="BJ1714" s="52"/>
      <c r="BK1714" s="35"/>
      <c r="BL1714" s="79"/>
      <c r="BM1714" s="230"/>
      <c r="BN1714" s="211"/>
      <c r="BO1714" s="164"/>
      <c r="BP1714" s="726"/>
      <c r="BQ1714" s="727"/>
      <c r="BR1714" s="299"/>
      <c r="BS1714" s="35"/>
      <c r="BT1714" s="596"/>
      <c r="BU1714" s="79"/>
      <c r="BV1714" s="212"/>
      <c r="BW1714" s="304"/>
      <c r="BX1714" s="313"/>
      <c r="BY1714" s="138"/>
    </row>
    <row r="1715" spans="1:77" ht="15" customHeight="1" outlineLevel="1" x14ac:dyDescent="0.2">
      <c r="A1715" s="583" t="s">
        <v>24</v>
      </c>
      <c r="B1715" s="583"/>
      <c r="C1715" s="583" t="s">
        <v>2114</v>
      </c>
      <c r="D1715" s="546">
        <v>2.7770000000000001</v>
      </c>
      <c r="E1715" s="162" t="s">
        <v>631</v>
      </c>
      <c r="F1715" s="358"/>
      <c r="G1715" s="65"/>
      <c r="H1715" s="73"/>
      <c r="I1715" s="90"/>
      <c r="J1715" s="73"/>
      <c r="K1715" s="1019">
        <v>1.7548999999999999E-2</v>
      </c>
      <c r="L1715" s="717"/>
      <c r="M1715" s="73"/>
      <c r="N1715" s="811"/>
      <c r="O1715" s="1041"/>
      <c r="P1715" s="73"/>
      <c r="Q1715" s="811"/>
      <c r="R1715" s="1041"/>
      <c r="S1715" s="73"/>
      <c r="T1715" s="811"/>
      <c r="U1715" s="73"/>
      <c r="V1715" s="66"/>
      <c r="W1715" s="788">
        <f t="shared" ref="W1715" si="1575">AA1715*(1+AB1715)</f>
        <v>1.0529399999999998E-5</v>
      </c>
      <c r="X1715" s="789">
        <f t="shared" ref="X1715" si="1576">AA1715*(1+AC1715)</f>
        <v>1.0529399999999998E-5</v>
      </c>
      <c r="Y1715" s="52">
        <v>2005</v>
      </c>
      <c r="Z1715" s="52"/>
      <c r="AA1715" s="787">
        <f t="shared" ref="AA1715:AA1720" si="1577">+K1715/1000</f>
        <v>1.7548999999999997E-5</v>
      </c>
      <c r="AB1715" s="256">
        <v>-0.4</v>
      </c>
      <c r="AC1715" s="688">
        <f t="shared" ref="AC1715" si="1578">AB1715</f>
        <v>-0.4</v>
      </c>
      <c r="AD1715" s="164"/>
      <c r="AE1715" s="164"/>
      <c r="AF1715" s="25"/>
      <c r="AG1715" s="26"/>
      <c r="AH1715" s="275"/>
      <c r="AI1715" s="52"/>
      <c r="AJ1715" s="35"/>
      <c r="AK1715" s="289"/>
      <c r="AL1715" s="290"/>
      <c r="AM1715" s="211"/>
      <c r="AN1715" s="164"/>
      <c r="AO1715" s="788"/>
      <c r="AP1715" s="789"/>
      <c r="AQ1715" s="52"/>
      <c r="AR1715" s="52"/>
      <c r="AS1715" s="787"/>
      <c r="AT1715" s="256"/>
      <c r="AU1715" s="688"/>
      <c r="AV1715" s="164"/>
      <c r="AW1715" s="164"/>
      <c r="AX1715" s="76"/>
      <c r="AY1715" s="44"/>
      <c r="AZ1715" s="275"/>
      <c r="BA1715" s="52"/>
      <c r="BB1715" s="35"/>
      <c r="BC1715" s="79"/>
      <c r="BD1715" s="230"/>
      <c r="BE1715" s="211"/>
      <c r="BF1715" s="164"/>
      <c r="BG1715" s="76"/>
      <c r="BH1715" s="44"/>
      <c r="BI1715" s="275"/>
      <c r="BJ1715" s="52"/>
      <c r="BK1715" s="35"/>
      <c r="BL1715" s="79"/>
      <c r="BM1715" s="230"/>
      <c r="BN1715" s="211"/>
      <c r="BO1715" s="164"/>
      <c r="BP1715" s="726"/>
      <c r="BQ1715" s="727"/>
      <c r="BR1715" s="299"/>
      <c r="BS1715" s="35"/>
      <c r="BT1715" s="596"/>
      <c r="BU1715" s="79"/>
      <c r="BV1715" s="212"/>
      <c r="BW1715" s="304"/>
      <c r="BX1715" s="313"/>
      <c r="BY1715" s="138"/>
    </row>
    <row r="1716" spans="1:77" ht="15" customHeight="1" outlineLevel="1" x14ac:dyDescent="0.2">
      <c r="A1716" s="583" t="s">
        <v>24</v>
      </c>
      <c r="B1716" s="583"/>
      <c r="C1716" s="583" t="s">
        <v>2393</v>
      </c>
      <c r="D1716" s="546">
        <v>3.93</v>
      </c>
      <c r="E1716" s="162" t="s">
        <v>631</v>
      </c>
      <c r="F1716" s="358"/>
      <c r="G1716" s="65"/>
      <c r="H1716" s="73"/>
      <c r="I1716" s="90">
        <v>2000</v>
      </c>
      <c r="J1716" s="73"/>
      <c r="K1716" s="1019">
        <v>2.3085999999999999E-2</v>
      </c>
      <c r="L1716" s="717"/>
      <c r="M1716" s="73"/>
      <c r="N1716" s="811"/>
      <c r="O1716" s="1041"/>
      <c r="P1716" s="73"/>
      <c r="Q1716" s="811"/>
      <c r="R1716" s="1041"/>
      <c r="S1716" s="73"/>
      <c r="T1716" s="811"/>
      <c r="U1716" s="73"/>
      <c r="V1716" s="66"/>
      <c r="W1716" s="788">
        <f t="shared" ref="W1716" si="1579">AA1716*(1+AB1716)</f>
        <v>1.1312139999999999E-5</v>
      </c>
      <c r="X1716" s="789">
        <f t="shared" ref="X1716" si="1580">AA1716*(1+AC1716)</f>
        <v>1.1312139999999999E-5</v>
      </c>
      <c r="Y1716" s="52">
        <v>2000</v>
      </c>
      <c r="Z1716" s="52"/>
      <c r="AA1716" s="787">
        <f t="shared" si="1577"/>
        <v>2.3085999999999999E-5</v>
      </c>
      <c r="AB1716" s="256">
        <v>-0.51</v>
      </c>
      <c r="AC1716" s="688">
        <f t="shared" ref="AC1716" si="1581">AB1716</f>
        <v>-0.51</v>
      </c>
      <c r="AD1716" s="164"/>
      <c r="AE1716" s="164"/>
      <c r="AF1716" s="25"/>
      <c r="AG1716" s="26"/>
      <c r="AH1716" s="275"/>
      <c r="AI1716" s="52"/>
      <c r="AJ1716" s="35"/>
      <c r="AK1716" s="289"/>
      <c r="AL1716" s="290"/>
      <c r="AM1716" s="211"/>
      <c r="AN1716" s="164"/>
      <c r="AO1716" s="788"/>
      <c r="AP1716" s="789"/>
      <c r="AQ1716" s="1018"/>
      <c r="AR1716" s="52"/>
      <c r="AS1716" s="787"/>
      <c r="AT1716" s="256"/>
      <c r="AU1716" s="688"/>
      <c r="AV1716" s="164"/>
      <c r="AW1716" s="164"/>
      <c r="AX1716" s="76"/>
      <c r="AY1716" s="44"/>
      <c r="AZ1716" s="275"/>
      <c r="BA1716" s="52"/>
      <c r="BB1716" s="35"/>
      <c r="BC1716" s="79"/>
      <c r="BD1716" s="230"/>
      <c r="BE1716" s="211"/>
      <c r="BF1716" s="164"/>
      <c r="BG1716" s="76"/>
      <c r="BH1716" s="44"/>
      <c r="BI1716" s="275"/>
      <c r="BJ1716" s="52"/>
      <c r="BK1716" s="35"/>
      <c r="BL1716" s="79"/>
      <c r="BM1716" s="230"/>
      <c r="BN1716" s="211"/>
      <c r="BO1716" s="164"/>
      <c r="BP1716" s="726"/>
      <c r="BQ1716" s="727"/>
      <c r="BR1716" s="299"/>
      <c r="BS1716" s="35"/>
      <c r="BT1716" s="596"/>
      <c r="BU1716" s="79"/>
      <c r="BV1716" s="212"/>
      <c r="BW1716" s="304"/>
      <c r="BX1716" s="313"/>
      <c r="BY1716" s="138"/>
    </row>
    <row r="1717" spans="1:77" ht="15" customHeight="1" outlineLevel="1" x14ac:dyDescent="0.2">
      <c r="A1717" s="583" t="s">
        <v>24</v>
      </c>
      <c r="B1717" s="583"/>
      <c r="C1717" s="583" t="s">
        <v>2391</v>
      </c>
      <c r="D1717" s="546">
        <v>0.79400000000000004</v>
      </c>
      <c r="E1717" s="162" t="s">
        <v>631</v>
      </c>
      <c r="F1717" s="358"/>
      <c r="G1717" s="65"/>
      <c r="H1717" s="73"/>
      <c r="I1717" s="90">
        <v>2007</v>
      </c>
      <c r="J1717" s="73"/>
      <c r="K1717" s="790">
        <v>4.2900000000000004E-3</v>
      </c>
      <c r="L1717" s="717"/>
      <c r="M1717" s="73"/>
      <c r="N1717" s="811"/>
      <c r="O1717" s="1041"/>
      <c r="P1717" s="73"/>
      <c r="Q1717" s="811"/>
      <c r="R1717" s="1041"/>
      <c r="S1717" s="73"/>
      <c r="T1717" s="811"/>
      <c r="U1717" s="73"/>
      <c r="V1717" s="66"/>
      <c r="W1717" s="788">
        <f t="shared" ref="W1717" si="1582">AA1717*(1+AB1717)</f>
        <v>3.4319999999999984E-7</v>
      </c>
      <c r="X1717" s="789">
        <f t="shared" ref="X1717" si="1583">AA1717*(1+AC1717)</f>
        <v>3.4319999999999984E-7</v>
      </c>
      <c r="Y1717" s="52">
        <v>2007</v>
      </c>
      <c r="Z1717" s="52"/>
      <c r="AA1717" s="787">
        <f t="shared" si="1577"/>
        <v>4.2900000000000004E-6</v>
      </c>
      <c r="AB1717" s="256">
        <v>-0.92</v>
      </c>
      <c r="AC1717" s="688">
        <f t="shared" ref="AC1717" si="1584">AB1717</f>
        <v>-0.92</v>
      </c>
      <c r="AD1717" s="164"/>
      <c r="AE1717" s="164"/>
      <c r="AF1717" s="25"/>
      <c r="AG1717" s="26"/>
      <c r="AH1717" s="275"/>
      <c r="AI1717" s="52"/>
      <c r="AJ1717" s="35"/>
      <c r="AK1717" s="289"/>
      <c r="AL1717" s="290"/>
      <c r="AM1717" s="211"/>
      <c r="AN1717" s="164"/>
      <c r="AO1717" s="788"/>
      <c r="AP1717" s="789"/>
      <c r="AQ1717" s="1018"/>
      <c r="AR1717" s="52"/>
      <c r="AS1717" s="787"/>
      <c r="AT1717" s="256"/>
      <c r="AU1717" s="688"/>
      <c r="AV1717" s="164"/>
      <c r="AW1717" s="164"/>
      <c r="AX1717" s="76"/>
      <c r="AY1717" s="44"/>
      <c r="AZ1717" s="275"/>
      <c r="BA1717" s="52"/>
      <c r="BB1717" s="35"/>
      <c r="BC1717" s="79"/>
      <c r="BD1717" s="230"/>
      <c r="BE1717" s="211"/>
      <c r="BF1717" s="164"/>
      <c r="BG1717" s="76"/>
      <c r="BH1717" s="44"/>
      <c r="BI1717" s="275"/>
      <c r="BJ1717" s="52"/>
      <c r="BK1717" s="35"/>
      <c r="BL1717" s="79"/>
      <c r="BM1717" s="230"/>
      <c r="BN1717" s="211"/>
      <c r="BO1717" s="164"/>
      <c r="BP1717" s="726"/>
      <c r="BQ1717" s="727"/>
      <c r="BR1717" s="299"/>
      <c r="BS1717" s="35"/>
      <c r="BT1717" s="596"/>
      <c r="BU1717" s="79"/>
      <c r="BV1717" s="212"/>
      <c r="BW1717" s="304"/>
      <c r="BX1717" s="313"/>
      <c r="BY1717" s="138"/>
    </row>
    <row r="1718" spans="1:77" ht="15" customHeight="1" outlineLevel="1" x14ac:dyDescent="0.2">
      <c r="A1718" s="583" t="s">
        <v>24</v>
      </c>
      <c r="B1718" s="583"/>
      <c r="C1718" s="583" t="s">
        <v>1775</v>
      </c>
      <c r="D1718" s="546">
        <v>0.33200000000000002</v>
      </c>
      <c r="E1718" s="162" t="s">
        <v>631</v>
      </c>
      <c r="F1718" s="358"/>
      <c r="G1718" s="65"/>
      <c r="H1718" s="73"/>
      <c r="I1718" s="90"/>
      <c r="J1718" s="73"/>
      <c r="K1718" s="734">
        <v>9.2800000000000001E-4</v>
      </c>
      <c r="L1718" s="717"/>
      <c r="M1718" s="73"/>
      <c r="N1718" s="786"/>
      <c r="O1718" s="1041"/>
      <c r="P1718" s="73"/>
      <c r="Q1718" s="786"/>
      <c r="R1718" s="1041"/>
      <c r="S1718" s="73"/>
      <c r="T1718" s="786"/>
      <c r="U1718" s="73"/>
      <c r="V1718" s="66"/>
      <c r="W1718" s="788">
        <f t="shared" ref="W1718:W1723" si="1585">AA1718*(1+AB1718)</f>
        <v>6.9599999999999999E-7</v>
      </c>
      <c r="X1718" s="789">
        <f t="shared" ref="X1718" si="1586">AA1718*(1+AC1718)</f>
        <v>6.9599999999999999E-7</v>
      </c>
      <c r="Y1718" s="52">
        <v>2005</v>
      </c>
      <c r="Z1718" s="52"/>
      <c r="AA1718" s="787">
        <f t="shared" si="1577"/>
        <v>9.2800000000000005E-7</v>
      </c>
      <c r="AB1718" s="256">
        <v>-0.25</v>
      </c>
      <c r="AC1718" s="688">
        <f t="shared" si="1509"/>
        <v>-0.25</v>
      </c>
      <c r="AD1718" s="164"/>
      <c r="AE1718" s="164"/>
      <c r="AF1718" s="25"/>
      <c r="AG1718" s="26"/>
      <c r="AH1718" s="275"/>
      <c r="AI1718" s="52"/>
      <c r="AJ1718" s="35"/>
      <c r="AK1718" s="289"/>
      <c r="AL1718" s="290"/>
      <c r="AM1718" s="211"/>
      <c r="AN1718" s="164"/>
      <c r="AO1718" s="594"/>
      <c r="AP1718" s="595"/>
      <c r="AQ1718" s="275"/>
      <c r="AR1718" s="52"/>
      <c r="AS1718" s="596"/>
      <c r="AT1718" s="79"/>
      <c r="AU1718" s="212"/>
      <c r="AV1718" s="164"/>
      <c r="AW1718" s="164"/>
      <c r="AX1718" s="76"/>
      <c r="AY1718" s="44"/>
      <c r="AZ1718" s="275"/>
      <c r="BA1718" s="52"/>
      <c r="BB1718" s="35"/>
      <c r="BC1718" s="79"/>
      <c r="BD1718" s="230"/>
      <c r="BE1718" s="211"/>
      <c r="BF1718" s="164"/>
      <c r="BG1718" s="76"/>
      <c r="BH1718" s="44"/>
      <c r="BI1718" s="275"/>
      <c r="BJ1718" s="52"/>
      <c r="BK1718" s="35"/>
      <c r="BL1718" s="79"/>
      <c r="BM1718" s="230"/>
      <c r="BN1718" s="211"/>
      <c r="BO1718" s="164"/>
      <c r="BP1718" s="726"/>
      <c r="BQ1718" s="727"/>
      <c r="BR1718" s="299"/>
      <c r="BS1718" s="35"/>
      <c r="BT1718" s="596"/>
      <c r="BU1718" s="79"/>
      <c r="BV1718" s="212"/>
      <c r="BW1718" s="304"/>
      <c r="BX1718" s="313"/>
      <c r="BY1718" s="138"/>
    </row>
    <row r="1719" spans="1:77" ht="15" customHeight="1" outlineLevel="1" x14ac:dyDescent="0.2">
      <c r="A1719" s="583" t="s">
        <v>24</v>
      </c>
      <c r="B1719" s="583"/>
      <c r="C1719" s="583" t="s">
        <v>1869</v>
      </c>
      <c r="D1719" s="546">
        <v>0.54800000000000004</v>
      </c>
      <c r="E1719" s="162" t="s">
        <v>631</v>
      </c>
      <c r="F1719" s="358"/>
      <c r="G1719" s="65"/>
      <c r="H1719" s="73"/>
      <c r="I1719" s="90"/>
      <c r="J1719" s="73"/>
      <c r="K1719" s="790">
        <v>1.508E-3</v>
      </c>
      <c r="L1719" s="717"/>
      <c r="M1719" s="73"/>
      <c r="N1719" s="786"/>
      <c r="O1719" s="1041"/>
      <c r="P1719" s="73"/>
      <c r="Q1719" s="786"/>
      <c r="R1719" s="1041"/>
      <c r="S1719" s="73"/>
      <c r="T1719" s="786"/>
      <c r="U1719" s="73"/>
      <c r="V1719" s="66"/>
      <c r="W1719" s="788">
        <f t="shared" si="1585"/>
        <v>1.1159199999999999E-6</v>
      </c>
      <c r="X1719" s="789">
        <f t="shared" ref="X1719" si="1587">AA1719*(1+AC1719)</f>
        <v>1.1159199999999999E-6</v>
      </c>
      <c r="Y1719" s="52">
        <v>2005</v>
      </c>
      <c r="Z1719" s="52"/>
      <c r="AA1719" s="787">
        <f t="shared" si="1577"/>
        <v>1.508E-6</v>
      </c>
      <c r="AB1719" s="256">
        <v>-0.26</v>
      </c>
      <c r="AC1719" s="688">
        <f t="shared" si="1509"/>
        <v>-0.26</v>
      </c>
      <c r="AD1719" s="164"/>
      <c r="AE1719" s="164"/>
      <c r="AF1719" s="25"/>
      <c r="AG1719" s="26"/>
      <c r="AH1719" s="275"/>
      <c r="AI1719" s="52"/>
      <c r="AJ1719" s="35"/>
      <c r="AK1719" s="289"/>
      <c r="AL1719" s="290"/>
      <c r="AM1719" s="211"/>
      <c r="AN1719" s="164"/>
      <c r="AO1719" s="594"/>
      <c r="AP1719" s="595"/>
      <c r="AQ1719" s="275"/>
      <c r="AR1719" s="52"/>
      <c r="AS1719" s="596"/>
      <c r="AT1719" s="79"/>
      <c r="AU1719" s="212"/>
      <c r="AV1719" s="164"/>
      <c r="AW1719" s="164"/>
      <c r="AX1719" s="76"/>
      <c r="AY1719" s="44"/>
      <c r="AZ1719" s="275"/>
      <c r="BA1719" s="52"/>
      <c r="BB1719" s="35"/>
      <c r="BC1719" s="79"/>
      <c r="BD1719" s="230"/>
      <c r="BE1719" s="211"/>
      <c r="BF1719" s="164"/>
      <c r="BG1719" s="76"/>
      <c r="BH1719" s="44"/>
      <c r="BI1719" s="275"/>
      <c r="BJ1719" s="52"/>
      <c r="BK1719" s="35"/>
      <c r="BL1719" s="79"/>
      <c r="BM1719" s="230"/>
      <c r="BN1719" s="211"/>
      <c r="BO1719" s="164"/>
      <c r="BP1719" s="726"/>
      <c r="BQ1719" s="727"/>
      <c r="BR1719" s="299"/>
      <c r="BS1719" s="35"/>
      <c r="BT1719" s="596"/>
      <c r="BU1719" s="79"/>
      <c r="BV1719" s="212"/>
      <c r="BW1719" s="304"/>
      <c r="BX1719" s="313"/>
      <c r="BY1719" s="138"/>
    </row>
    <row r="1720" spans="1:77" ht="15" customHeight="1" outlineLevel="1" x14ac:dyDescent="0.2">
      <c r="A1720" s="583" t="s">
        <v>24</v>
      </c>
      <c r="B1720" s="583"/>
      <c r="C1720" s="583" t="s">
        <v>1913</v>
      </c>
      <c r="D1720" s="546">
        <v>12.451000000000001</v>
      </c>
      <c r="E1720" s="162" t="s">
        <v>631</v>
      </c>
      <c r="F1720" s="358"/>
      <c r="G1720" s="65"/>
      <c r="H1720" s="73"/>
      <c r="I1720" s="90"/>
      <c r="J1720" s="73"/>
      <c r="K1720" s="790">
        <v>5.8208000000000003E-2</v>
      </c>
      <c r="L1720" s="717"/>
      <c r="M1720" s="73"/>
      <c r="N1720" s="786"/>
      <c r="O1720" s="1041"/>
      <c r="P1720" s="73"/>
      <c r="Q1720" s="786"/>
      <c r="R1720" s="1041"/>
      <c r="S1720" s="73"/>
      <c r="T1720" s="786"/>
      <c r="U1720" s="73"/>
      <c r="V1720" s="66"/>
      <c r="W1720" s="788">
        <f t="shared" si="1585"/>
        <v>4.2491840000000001E-5</v>
      </c>
      <c r="X1720" s="789">
        <f t="shared" ref="X1720" si="1588">AA1720*(1+AC1720)</f>
        <v>4.2491840000000001E-5</v>
      </c>
      <c r="Y1720" s="52">
        <v>2005</v>
      </c>
      <c r="Z1720" s="52"/>
      <c r="AA1720" s="787">
        <f t="shared" si="1577"/>
        <v>5.8208000000000002E-5</v>
      </c>
      <c r="AB1720" s="256">
        <v>-0.27</v>
      </c>
      <c r="AC1720" s="688">
        <f t="shared" si="1509"/>
        <v>-0.27</v>
      </c>
      <c r="AD1720" s="164"/>
      <c r="AE1720" s="164"/>
      <c r="AF1720" s="25"/>
      <c r="AG1720" s="26"/>
      <c r="AH1720" s="275"/>
      <c r="AI1720" s="52"/>
      <c r="AJ1720" s="35"/>
      <c r="AK1720" s="289"/>
      <c r="AL1720" s="290"/>
      <c r="AM1720" s="211"/>
      <c r="AN1720" s="164"/>
      <c r="AO1720" s="594"/>
      <c r="AP1720" s="595"/>
      <c r="AQ1720" s="275"/>
      <c r="AR1720" s="52"/>
      <c r="AS1720" s="596"/>
      <c r="AT1720" s="79"/>
      <c r="AU1720" s="212"/>
      <c r="AV1720" s="164"/>
      <c r="AW1720" s="164"/>
      <c r="AX1720" s="76"/>
      <c r="AY1720" s="44"/>
      <c r="AZ1720" s="275"/>
      <c r="BA1720" s="52"/>
      <c r="BB1720" s="35"/>
      <c r="BC1720" s="79"/>
      <c r="BD1720" s="230"/>
      <c r="BE1720" s="211"/>
      <c r="BF1720" s="164"/>
      <c r="BG1720" s="76"/>
      <c r="BH1720" s="44"/>
      <c r="BI1720" s="275"/>
      <c r="BJ1720" s="52"/>
      <c r="BK1720" s="35"/>
      <c r="BL1720" s="79"/>
      <c r="BM1720" s="230"/>
      <c r="BN1720" s="211"/>
      <c r="BO1720" s="164"/>
      <c r="BP1720" s="726"/>
      <c r="BQ1720" s="727"/>
      <c r="BR1720" s="299"/>
      <c r="BS1720" s="35"/>
      <c r="BT1720" s="596"/>
      <c r="BU1720" s="79"/>
      <c r="BV1720" s="212"/>
      <c r="BW1720" s="304"/>
      <c r="BX1720" s="313"/>
      <c r="BY1720" s="138"/>
    </row>
    <row r="1721" spans="1:77" ht="15" customHeight="1" outlineLevel="1" x14ac:dyDescent="0.2">
      <c r="A1721" s="583" t="s">
        <v>24</v>
      </c>
      <c r="B1721" s="583"/>
      <c r="C1721" s="583" t="s">
        <v>2473</v>
      </c>
      <c r="D1721" s="546">
        <v>1.9570000000000001</v>
      </c>
      <c r="E1721" s="162" t="s">
        <v>631</v>
      </c>
      <c r="F1721" s="358"/>
      <c r="G1721" s="65"/>
      <c r="H1721" s="73"/>
      <c r="I1721" s="90"/>
      <c r="J1721" s="73"/>
      <c r="K1721" s="790"/>
      <c r="L1721" s="717"/>
      <c r="M1721" s="73"/>
      <c r="N1721" s="786"/>
      <c r="O1721" s="1041">
        <v>2012</v>
      </c>
      <c r="P1721" s="73"/>
      <c r="Q1721" s="786">
        <v>8.8140000000000007E-3</v>
      </c>
      <c r="R1721" s="1041"/>
      <c r="S1721" s="73"/>
      <c r="T1721" s="786"/>
      <c r="U1721" s="73"/>
      <c r="V1721" s="66"/>
      <c r="W1721" s="788"/>
      <c r="X1721" s="789"/>
      <c r="Y1721" s="52"/>
      <c r="Z1721" s="52"/>
      <c r="AA1721" s="787"/>
      <c r="AB1721" s="256"/>
      <c r="AC1721" s="688"/>
      <c r="AD1721" s="164"/>
      <c r="AE1721" s="164"/>
      <c r="AF1721" s="25"/>
      <c r="AG1721" s="26"/>
      <c r="AH1721" s="275"/>
      <c r="AI1721" s="52"/>
      <c r="AJ1721" s="35"/>
      <c r="AK1721" s="289"/>
      <c r="AL1721" s="290"/>
      <c r="AM1721" s="211"/>
      <c r="AN1721" s="164"/>
      <c r="AO1721" s="788">
        <f>AS1721*(1+AT1721)</f>
        <v>5.2002600000000014E-6</v>
      </c>
      <c r="AP1721" s="789">
        <f>AS1721*(1+AU1721)</f>
        <v>5.2002600000000014E-6</v>
      </c>
      <c r="AQ1721" s="275">
        <v>2012</v>
      </c>
      <c r="AR1721" s="52"/>
      <c r="AS1721" s="739">
        <f>+Q1721/1000</f>
        <v>8.8140000000000007E-6</v>
      </c>
      <c r="AT1721" s="79">
        <v>-0.41</v>
      </c>
      <c r="AU1721" s="212">
        <f>AT1721</f>
        <v>-0.41</v>
      </c>
      <c r="AV1721" s="164"/>
      <c r="AW1721" s="164"/>
      <c r="AX1721" s="76"/>
      <c r="AY1721" s="44"/>
      <c r="AZ1721" s="275"/>
      <c r="BA1721" s="52"/>
      <c r="BB1721" s="35"/>
      <c r="BC1721" s="79"/>
      <c r="BD1721" s="230"/>
      <c r="BE1721" s="211"/>
      <c r="BF1721" s="164"/>
      <c r="BG1721" s="76"/>
      <c r="BH1721" s="44"/>
      <c r="BI1721" s="275"/>
      <c r="BJ1721" s="52"/>
      <c r="BK1721" s="35"/>
      <c r="BL1721" s="79"/>
      <c r="BM1721" s="230"/>
      <c r="BN1721" s="211"/>
      <c r="BO1721" s="164"/>
      <c r="BP1721" s="726"/>
      <c r="BQ1721" s="727"/>
      <c r="BR1721" s="299"/>
      <c r="BS1721" s="35"/>
      <c r="BT1721" s="596"/>
      <c r="BU1721" s="79"/>
      <c r="BV1721" s="212"/>
      <c r="BW1721" s="304"/>
      <c r="BX1721" s="313"/>
      <c r="BY1721" s="138"/>
    </row>
    <row r="1722" spans="1:77" ht="15" customHeight="1" outlineLevel="1" x14ac:dyDescent="0.2">
      <c r="A1722" s="583" t="s">
        <v>24</v>
      </c>
      <c r="B1722" s="583"/>
      <c r="C1722" s="583" t="s">
        <v>1650</v>
      </c>
      <c r="D1722" s="1051">
        <v>0.5</v>
      </c>
      <c r="E1722" s="162" t="s">
        <v>631</v>
      </c>
      <c r="F1722" s="358"/>
      <c r="G1722" s="65"/>
      <c r="H1722" s="73"/>
      <c r="I1722" s="90"/>
      <c r="J1722" s="73"/>
      <c r="K1722" s="734">
        <v>1.02629E-2</v>
      </c>
      <c r="L1722" s="717"/>
      <c r="M1722" s="73"/>
      <c r="N1722" s="786"/>
      <c r="O1722" s="1041"/>
      <c r="P1722" s="73"/>
      <c r="Q1722" s="786"/>
      <c r="R1722" s="1041"/>
      <c r="S1722" s="73"/>
      <c r="T1722" s="786"/>
      <c r="U1722" s="73"/>
      <c r="V1722" s="66"/>
      <c r="W1722" s="788">
        <f t="shared" si="1585"/>
        <v>7.6971749999999997E-6</v>
      </c>
      <c r="X1722" s="789">
        <f t="shared" ref="X1722" si="1589">AA1722*(1+AC1722)</f>
        <v>7.6971749999999997E-6</v>
      </c>
      <c r="Y1722" s="52">
        <v>2005</v>
      </c>
      <c r="Z1722" s="52"/>
      <c r="AA1722" s="787">
        <f>+K1722/1000</f>
        <v>1.02629E-5</v>
      </c>
      <c r="AB1722" s="256">
        <v>-0.25</v>
      </c>
      <c r="AC1722" s="688">
        <f t="shared" si="1509"/>
        <v>-0.25</v>
      </c>
      <c r="AD1722" s="164"/>
      <c r="AE1722" s="164"/>
      <c r="AF1722" s="25"/>
      <c r="AG1722" s="26"/>
      <c r="AH1722" s="275"/>
      <c r="AI1722" s="52"/>
      <c r="AJ1722" s="35"/>
      <c r="AK1722" s="289"/>
      <c r="AL1722" s="290"/>
      <c r="AM1722" s="211"/>
      <c r="AN1722" s="164"/>
      <c r="AO1722" s="594"/>
      <c r="AP1722" s="595"/>
      <c r="AQ1722" s="275"/>
      <c r="AR1722" s="52"/>
      <c r="AS1722" s="596"/>
      <c r="AT1722" s="79"/>
      <c r="AU1722" s="212"/>
      <c r="AV1722" s="164"/>
      <c r="AW1722" s="164"/>
      <c r="AX1722" s="76"/>
      <c r="AY1722" s="44"/>
      <c r="AZ1722" s="275"/>
      <c r="BA1722" s="52"/>
      <c r="BB1722" s="35"/>
      <c r="BC1722" s="79"/>
      <c r="BD1722" s="230"/>
      <c r="BE1722" s="211"/>
      <c r="BF1722" s="164"/>
      <c r="BG1722" s="76"/>
      <c r="BH1722" s="44"/>
      <c r="BI1722" s="275"/>
      <c r="BJ1722" s="52"/>
      <c r="BK1722" s="35"/>
      <c r="BL1722" s="79"/>
      <c r="BM1722" s="230"/>
      <c r="BN1722" s="211"/>
      <c r="BO1722" s="164"/>
      <c r="BP1722" s="726"/>
      <c r="BQ1722" s="727"/>
      <c r="BR1722" s="299"/>
      <c r="BS1722" s="35"/>
      <c r="BT1722" s="596"/>
      <c r="BU1722" s="79"/>
      <c r="BV1722" s="212"/>
      <c r="BW1722" s="304"/>
      <c r="BX1722" s="313"/>
      <c r="BY1722" s="138"/>
    </row>
    <row r="1723" spans="1:77" ht="15" customHeight="1" outlineLevel="1" x14ac:dyDescent="0.2">
      <c r="A1723" s="583" t="s">
        <v>24</v>
      </c>
      <c r="B1723" s="583"/>
      <c r="C1723" s="583" t="s">
        <v>1693</v>
      </c>
      <c r="D1723" s="546">
        <v>2.8879999999999999</v>
      </c>
      <c r="E1723" s="162" t="s">
        <v>631</v>
      </c>
      <c r="F1723" s="358"/>
      <c r="G1723" s="65"/>
      <c r="H1723" s="73"/>
      <c r="I1723" s="90"/>
      <c r="J1723" s="73"/>
      <c r="K1723" s="734"/>
      <c r="L1723" s="717">
        <v>2011</v>
      </c>
      <c r="M1723" s="73"/>
      <c r="N1723" s="786">
        <v>8.7060000000000002E-3</v>
      </c>
      <c r="O1723" s="1041"/>
      <c r="P1723" s="73"/>
      <c r="Q1723" s="786"/>
      <c r="R1723" s="1041"/>
      <c r="S1723" s="73"/>
      <c r="T1723" s="786"/>
      <c r="U1723" s="73"/>
      <c r="V1723" s="66"/>
      <c r="W1723" s="788">
        <f t="shared" si="1585"/>
        <v>6.5295000000000008E-6</v>
      </c>
      <c r="X1723" s="789">
        <f t="shared" ref="X1723" si="1590">AA1723*(1+AC1723)</f>
        <v>6.5295000000000008E-6</v>
      </c>
      <c r="Y1723" s="52">
        <v>2011</v>
      </c>
      <c r="Z1723" s="52"/>
      <c r="AA1723" s="787">
        <f>+N1723/1000</f>
        <v>8.706000000000001E-6</v>
      </c>
      <c r="AB1723" s="256">
        <v>-0.25</v>
      </c>
      <c r="AC1723" s="688">
        <f t="shared" si="1509"/>
        <v>-0.25</v>
      </c>
      <c r="AD1723" s="164"/>
      <c r="AE1723" s="164"/>
      <c r="AF1723" s="25"/>
      <c r="AG1723" s="26"/>
      <c r="AH1723" s="275"/>
      <c r="AI1723" s="52"/>
      <c r="AJ1723" s="35"/>
      <c r="AK1723" s="289"/>
      <c r="AL1723" s="290"/>
      <c r="AM1723" s="211"/>
      <c r="AN1723" s="164"/>
      <c r="AO1723" s="594"/>
      <c r="AP1723" s="595"/>
      <c r="AQ1723" s="275"/>
      <c r="AR1723" s="52"/>
      <c r="AS1723" s="596"/>
      <c r="AT1723" s="79"/>
      <c r="AU1723" s="212"/>
      <c r="AV1723" s="164"/>
      <c r="AW1723" s="164"/>
      <c r="AX1723" s="76"/>
      <c r="AY1723" s="44"/>
      <c r="AZ1723" s="275"/>
      <c r="BA1723" s="52"/>
      <c r="BB1723" s="35"/>
      <c r="BC1723" s="79"/>
      <c r="BD1723" s="230"/>
      <c r="BE1723" s="211"/>
      <c r="BF1723" s="164"/>
      <c r="BG1723" s="76"/>
      <c r="BH1723" s="44"/>
      <c r="BI1723" s="275"/>
      <c r="BJ1723" s="52"/>
      <c r="BK1723" s="35"/>
      <c r="BL1723" s="79"/>
      <c r="BM1723" s="230"/>
      <c r="BN1723" s="211"/>
      <c r="BO1723" s="164"/>
      <c r="BP1723" s="726"/>
      <c r="BQ1723" s="727"/>
      <c r="BR1723" s="299"/>
      <c r="BS1723" s="35"/>
      <c r="BT1723" s="596"/>
      <c r="BU1723" s="79"/>
      <c r="BV1723" s="212"/>
      <c r="BW1723" s="304"/>
      <c r="BX1723" s="313"/>
      <c r="BY1723" s="138"/>
    </row>
    <row r="1724" spans="1:77" ht="15" customHeight="1" outlineLevel="1" x14ac:dyDescent="0.2">
      <c r="A1724" s="57" t="s">
        <v>24</v>
      </c>
      <c r="B1724" s="583"/>
      <c r="C1724" s="583" t="s">
        <v>1365</v>
      </c>
      <c r="D1724" s="546">
        <v>6.09</v>
      </c>
      <c r="E1724" s="162" t="s">
        <v>631</v>
      </c>
      <c r="F1724" s="358"/>
      <c r="G1724" s="65"/>
      <c r="H1724" s="73"/>
      <c r="I1724" s="90"/>
      <c r="J1724" s="73"/>
      <c r="K1724" s="734"/>
      <c r="L1724" s="717">
        <v>2009</v>
      </c>
      <c r="M1724" s="73"/>
      <c r="N1724" s="738">
        <v>1.6357E-2</v>
      </c>
      <c r="O1724" s="1041"/>
      <c r="P1724" s="73"/>
      <c r="Q1724" s="738"/>
      <c r="R1724" s="1041"/>
      <c r="S1724" s="73"/>
      <c r="T1724" s="738"/>
      <c r="U1724" s="73"/>
      <c r="V1724" s="66"/>
      <c r="W1724" s="788">
        <f t="shared" si="1507"/>
        <v>1.0632049999999999E-5</v>
      </c>
      <c r="X1724" s="789">
        <f t="shared" si="1508"/>
        <v>1.0632049999999999E-5</v>
      </c>
      <c r="Y1724" s="52">
        <v>2009</v>
      </c>
      <c r="Z1724" s="52"/>
      <c r="AA1724" s="787">
        <f>+N1724/1000</f>
        <v>1.6356999999999999E-5</v>
      </c>
      <c r="AB1724" s="256">
        <v>-0.35</v>
      </c>
      <c r="AC1724" s="688">
        <f t="shared" si="1509"/>
        <v>-0.35</v>
      </c>
      <c r="AD1724" s="164"/>
      <c r="AE1724" s="164"/>
      <c r="AF1724" s="25"/>
      <c r="AG1724" s="26"/>
      <c r="AH1724" s="275"/>
      <c r="AI1724" s="52"/>
      <c r="AJ1724" s="35"/>
      <c r="AK1724" s="289"/>
      <c r="AL1724" s="290"/>
      <c r="AM1724" s="211"/>
      <c r="AN1724" s="164"/>
      <c r="AO1724" s="594"/>
      <c r="AP1724" s="595"/>
      <c r="AQ1724" s="275"/>
      <c r="AR1724" s="52"/>
      <c r="AS1724" s="596"/>
      <c r="AT1724" s="79"/>
      <c r="AU1724" s="212"/>
      <c r="AV1724" s="164"/>
      <c r="AW1724" s="164"/>
      <c r="AX1724" s="76"/>
      <c r="AY1724" s="44"/>
      <c r="AZ1724" s="275"/>
      <c r="BA1724" s="52"/>
      <c r="BB1724" s="35"/>
      <c r="BC1724" s="79"/>
      <c r="BD1724" s="230"/>
      <c r="BE1724" s="211"/>
      <c r="BF1724" s="164"/>
      <c r="BG1724" s="76"/>
      <c r="BH1724" s="44"/>
      <c r="BI1724" s="275"/>
      <c r="BJ1724" s="52"/>
      <c r="BK1724" s="35"/>
      <c r="BL1724" s="79"/>
      <c r="BM1724" s="230"/>
      <c r="BN1724" s="211"/>
      <c r="BO1724" s="164"/>
      <c r="BP1724" s="726"/>
      <c r="BQ1724" s="727"/>
      <c r="BR1724" s="299"/>
      <c r="BS1724" s="35"/>
      <c r="BT1724" s="596"/>
      <c r="BU1724" s="79"/>
      <c r="BV1724" s="212"/>
      <c r="BW1724" s="304"/>
      <c r="BX1724" s="313"/>
      <c r="BY1724" s="138"/>
    </row>
    <row r="1725" spans="1:77" ht="15" customHeight="1" outlineLevel="1" x14ac:dyDescent="0.2">
      <c r="A1725" s="583" t="s">
        <v>24</v>
      </c>
      <c r="B1725" s="583"/>
      <c r="C1725" s="583" t="s">
        <v>2007</v>
      </c>
      <c r="D1725" s="546">
        <v>1.5429999999999999</v>
      </c>
      <c r="E1725" s="162" t="s">
        <v>631</v>
      </c>
      <c r="F1725" s="358"/>
      <c r="G1725" s="65"/>
      <c r="H1725" s="73"/>
      <c r="I1725" s="90"/>
      <c r="J1725" s="73"/>
      <c r="K1725" s="815">
        <v>2.813E-3</v>
      </c>
      <c r="L1725" s="717"/>
      <c r="M1725" s="73"/>
      <c r="N1725" s="738"/>
      <c r="O1725" s="1041"/>
      <c r="P1725" s="73"/>
      <c r="Q1725" s="738"/>
      <c r="R1725" s="1041"/>
      <c r="S1725" s="73"/>
      <c r="T1725" s="738"/>
      <c r="U1725" s="73"/>
      <c r="V1725" s="66"/>
      <c r="W1725" s="788">
        <f t="shared" ref="W1725" si="1591">AA1725*(1+AB1725)</f>
        <v>2.0253599999999999E-6</v>
      </c>
      <c r="X1725" s="789">
        <f t="shared" ref="X1725" si="1592">AA1725*(1+AC1725)</f>
        <v>2.0253599999999999E-6</v>
      </c>
      <c r="Y1725" s="52">
        <v>2005</v>
      </c>
      <c r="Z1725" s="52"/>
      <c r="AA1725" s="787">
        <f>+K1725/1000</f>
        <v>2.813E-6</v>
      </c>
      <c r="AB1725" s="256">
        <v>-0.28000000000000003</v>
      </c>
      <c r="AC1725" s="688">
        <f t="shared" si="1509"/>
        <v>-0.28000000000000003</v>
      </c>
      <c r="AD1725" s="164"/>
      <c r="AE1725" s="164"/>
      <c r="AF1725" s="25"/>
      <c r="AG1725" s="26"/>
      <c r="AH1725" s="275"/>
      <c r="AI1725" s="52"/>
      <c r="AJ1725" s="35"/>
      <c r="AK1725" s="289"/>
      <c r="AL1725" s="290"/>
      <c r="AM1725" s="211"/>
      <c r="AN1725" s="164"/>
      <c r="AO1725" s="594"/>
      <c r="AP1725" s="595"/>
      <c r="AQ1725" s="275"/>
      <c r="AR1725" s="52"/>
      <c r="AS1725" s="596"/>
      <c r="AT1725" s="79"/>
      <c r="AU1725" s="212"/>
      <c r="AV1725" s="164"/>
      <c r="AW1725" s="164"/>
      <c r="AX1725" s="76"/>
      <c r="AY1725" s="44"/>
      <c r="AZ1725" s="275"/>
      <c r="BA1725" s="52"/>
      <c r="BB1725" s="35"/>
      <c r="BC1725" s="79"/>
      <c r="BD1725" s="230"/>
      <c r="BE1725" s="211"/>
      <c r="BF1725" s="164"/>
      <c r="BG1725" s="76"/>
      <c r="BH1725" s="44"/>
      <c r="BI1725" s="275"/>
      <c r="BJ1725" s="52"/>
      <c r="BK1725" s="35"/>
      <c r="BL1725" s="79"/>
      <c r="BM1725" s="230"/>
      <c r="BN1725" s="211"/>
      <c r="BO1725" s="164"/>
      <c r="BP1725" s="726"/>
      <c r="BQ1725" s="727"/>
      <c r="BR1725" s="299"/>
      <c r="BS1725" s="35"/>
      <c r="BT1725" s="596"/>
      <c r="BU1725" s="79"/>
      <c r="BV1725" s="212"/>
      <c r="BW1725" s="304"/>
      <c r="BX1725" s="313"/>
      <c r="BY1725" s="138"/>
    </row>
    <row r="1726" spans="1:77" ht="15" customHeight="1" outlineLevel="1" x14ac:dyDescent="0.2">
      <c r="A1726" s="583" t="s">
        <v>24</v>
      </c>
      <c r="B1726" s="583"/>
      <c r="C1726" s="583" t="s">
        <v>1947</v>
      </c>
      <c r="D1726" s="546">
        <v>0.246</v>
      </c>
      <c r="E1726" s="162" t="s">
        <v>631</v>
      </c>
      <c r="F1726" s="358"/>
      <c r="G1726" s="65"/>
      <c r="H1726" s="73"/>
      <c r="I1726" s="90">
        <v>2005</v>
      </c>
      <c r="J1726" s="73"/>
      <c r="K1726" s="815">
        <v>6.7100000000000005E-4</v>
      </c>
      <c r="L1726" s="717"/>
      <c r="M1726" s="73"/>
      <c r="N1726" s="738"/>
      <c r="O1726" s="1041"/>
      <c r="P1726" s="73"/>
      <c r="Q1726" s="738"/>
      <c r="R1726" s="1041"/>
      <c r="S1726" s="73"/>
      <c r="T1726" s="738"/>
      <c r="U1726" s="73"/>
      <c r="V1726" s="66"/>
      <c r="W1726" s="788">
        <f t="shared" ref="W1726" si="1593">AA1726*(1+AB1726)</f>
        <v>4.8983000000000004E-7</v>
      </c>
      <c r="X1726" s="789">
        <f t="shared" ref="X1726" si="1594">AA1726*(1+AC1726)</f>
        <v>4.8983000000000004E-7</v>
      </c>
      <c r="Y1726" s="52">
        <v>2005</v>
      </c>
      <c r="Z1726" s="52"/>
      <c r="AA1726" s="787">
        <f>+K1726/1000</f>
        <v>6.7100000000000001E-7</v>
      </c>
      <c r="AB1726" s="256">
        <v>-0.27</v>
      </c>
      <c r="AC1726" s="688">
        <f t="shared" si="1509"/>
        <v>-0.27</v>
      </c>
      <c r="AD1726" s="164"/>
      <c r="AE1726" s="164"/>
      <c r="AF1726" s="25"/>
      <c r="AG1726" s="26"/>
      <c r="AH1726" s="275"/>
      <c r="AI1726" s="52"/>
      <c r="AJ1726" s="35"/>
      <c r="AK1726" s="289"/>
      <c r="AL1726" s="290"/>
      <c r="AM1726" s="211"/>
      <c r="AN1726" s="164"/>
      <c r="AO1726" s="594"/>
      <c r="AP1726" s="595"/>
      <c r="AQ1726" s="275"/>
      <c r="AR1726" s="52"/>
      <c r="AS1726" s="596"/>
      <c r="AT1726" s="79"/>
      <c r="AU1726" s="212"/>
      <c r="AV1726" s="164"/>
      <c r="AW1726" s="164"/>
      <c r="AX1726" s="76"/>
      <c r="AY1726" s="44"/>
      <c r="AZ1726" s="275"/>
      <c r="BA1726" s="52"/>
      <c r="BB1726" s="35"/>
      <c r="BC1726" s="79"/>
      <c r="BD1726" s="230"/>
      <c r="BE1726" s="211"/>
      <c r="BF1726" s="164"/>
      <c r="BG1726" s="76"/>
      <c r="BH1726" s="44"/>
      <c r="BI1726" s="275"/>
      <c r="BJ1726" s="52"/>
      <c r="BK1726" s="35"/>
      <c r="BL1726" s="79"/>
      <c r="BM1726" s="230"/>
      <c r="BN1726" s="211"/>
      <c r="BO1726" s="164"/>
      <c r="BP1726" s="726"/>
      <c r="BQ1726" s="727"/>
      <c r="BR1726" s="299"/>
      <c r="BS1726" s="35"/>
      <c r="BT1726" s="596"/>
      <c r="BU1726" s="79"/>
      <c r="BV1726" s="212"/>
      <c r="BW1726" s="304"/>
      <c r="BX1726" s="313"/>
      <c r="BY1726" s="138"/>
    </row>
    <row r="1727" spans="1:77" ht="15" customHeight="1" outlineLevel="1" x14ac:dyDescent="0.2">
      <c r="A1727" s="583" t="s">
        <v>24</v>
      </c>
      <c r="B1727" s="583"/>
      <c r="C1727" s="583" t="s">
        <v>1823</v>
      </c>
      <c r="D1727" s="546"/>
      <c r="E1727" s="162" t="s">
        <v>631</v>
      </c>
      <c r="F1727" s="358"/>
      <c r="G1727" s="65"/>
      <c r="H1727" s="73"/>
      <c r="I1727" s="90"/>
      <c r="J1727" s="73"/>
      <c r="K1727" s="815">
        <v>3.9699999999999996E-3</v>
      </c>
      <c r="L1727" s="717"/>
      <c r="M1727" s="73"/>
      <c r="N1727" s="738"/>
      <c r="O1727" s="1041"/>
      <c r="P1727" s="73"/>
      <c r="Q1727" s="738"/>
      <c r="R1727" s="1041"/>
      <c r="S1727" s="73"/>
      <c r="T1727" s="738"/>
      <c r="U1727" s="73"/>
      <c r="V1727" s="66"/>
      <c r="W1727" s="788">
        <f t="shared" ref="W1727" si="1595">AA1727*(1+AB1727)</f>
        <v>2.9377999999999992E-6</v>
      </c>
      <c r="X1727" s="789">
        <f t="shared" ref="X1727" si="1596">AA1727*(1+AC1727)</f>
        <v>2.9377999999999992E-6</v>
      </c>
      <c r="Y1727" s="52">
        <v>2005</v>
      </c>
      <c r="Z1727" s="52"/>
      <c r="AA1727" s="787">
        <f>+K1727/1000</f>
        <v>3.9699999999999993E-6</v>
      </c>
      <c r="AB1727" s="256">
        <v>-0.26</v>
      </c>
      <c r="AC1727" s="688">
        <f t="shared" si="1509"/>
        <v>-0.26</v>
      </c>
      <c r="AD1727" s="164"/>
      <c r="AE1727" s="164"/>
      <c r="AF1727" s="25"/>
      <c r="AG1727" s="26"/>
      <c r="AH1727" s="275"/>
      <c r="AI1727" s="52"/>
      <c r="AJ1727" s="35"/>
      <c r="AK1727" s="289"/>
      <c r="AL1727" s="290"/>
      <c r="AM1727" s="211"/>
      <c r="AN1727" s="164"/>
      <c r="AO1727" s="594"/>
      <c r="AP1727" s="595"/>
      <c r="AQ1727" s="275"/>
      <c r="AR1727" s="52"/>
      <c r="AS1727" s="596"/>
      <c r="AT1727" s="79"/>
      <c r="AU1727" s="212"/>
      <c r="AV1727" s="164"/>
      <c r="AW1727" s="164"/>
      <c r="AX1727" s="76"/>
      <c r="AY1727" s="44"/>
      <c r="AZ1727" s="275"/>
      <c r="BA1727" s="52"/>
      <c r="BB1727" s="35"/>
      <c r="BC1727" s="79"/>
      <c r="BD1727" s="230"/>
      <c r="BE1727" s="211"/>
      <c r="BF1727" s="164"/>
      <c r="BG1727" s="76"/>
      <c r="BH1727" s="44"/>
      <c r="BI1727" s="275"/>
      <c r="BJ1727" s="52"/>
      <c r="BK1727" s="35"/>
      <c r="BL1727" s="79"/>
      <c r="BM1727" s="230"/>
      <c r="BN1727" s="211"/>
      <c r="BO1727" s="164"/>
      <c r="BP1727" s="726"/>
      <c r="BQ1727" s="727"/>
      <c r="BR1727" s="299"/>
      <c r="BS1727" s="35"/>
      <c r="BT1727" s="596"/>
      <c r="BU1727" s="79"/>
      <c r="BV1727" s="212"/>
      <c r="BW1727" s="304"/>
      <c r="BX1727" s="313"/>
      <c r="BY1727" s="138"/>
    </row>
    <row r="1728" spans="1:77" ht="15" customHeight="1" outlineLevel="1" x14ac:dyDescent="0.2">
      <c r="A1728" s="583" t="s">
        <v>24</v>
      </c>
      <c r="B1728" s="583"/>
      <c r="C1728" s="583" t="s">
        <v>1821</v>
      </c>
      <c r="D1728" s="546">
        <v>7.3070000000000004</v>
      </c>
      <c r="E1728" s="162" t="s">
        <v>631</v>
      </c>
      <c r="F1728" s="358"/>
      <c r="G1728" s="65"/>
      <c r="H1728" s="73"/>
      <c r="I1728" s="90"/>
      <c r="J1728" s="73"/>
      <c r="K1728" s="734"/>
      <c r="L1728" s="717">
        <v>2011</v>
      </c>
      <c r="M1728" s="73"/>
      <c r="N1728" s="738">
        <v>1.5318999999999999E-2</v>
      </c>
      <c r="O1728" s="1041"/>
      <c r="P1728" s="73"/>
      <c r="Q1728" s="738"/>
      <c r="R1728" s="1041"/>
      <c r="S1728" s="73"/>
      <c r="T1728" s="738"/>
      <c r="U1728" s="73"/>
      <c r="V1728" s="66"/>
      <c r="W1728" s="788">
        <f t="shared" ref="W1728" si="1597">AA1728*(1+AB1728)</f>
        <v>1.133606E-5</v>
      </c>
      <c r="X1728" s="789">
        <f t="shared" ref="X1728" si="1598">AA1728*(1+AC1728)</f>
        <v>1.133606E-5</v>
      </c>
      <c r="Y1728" s="52">
        <v>2011</v>
      </c>
      <c r="Z1728" s="52"/>
      <c r="AA1728" s="787">
        <f>+N1728/1000</f>
        <v>1.5319E-5</v>
      </c>
      <c r="AB1728" s="256">
        <v>-0.26</v>
      </c>
      <c r="AC1728" s="688">
        <f t="shared" si="1509"/>
        <v>-0.26</v>
      </c>
      <c r="AD1728" s="164"/>
      <c r="AE1728" s="164"/>
      <c r="AF1728" s="25"/>
      <c r="AG1728" s="26"/>
      <c r="AH1728" s="275"/>
      <c r="AI1728" s="52"/>
      <c r="AJ1728" s="35"/>
      <c r="AK1728" s="289"/>
      <c r="AL1728" s="290"/>
      <c r="AM1728" s="211"/>
      <c r="AN1728" s="164"/>
      <c r="AO1728" s="594"/>
      <c r="AP1728" s="595"/>
      <c r="AQ1728" s="275"/>
      <c r="AR1728" s="52"/>
      <c r="AS1728" s="596"/>
      <c r="AT1728" s="79"/>
      <c r="AU1728" s="212"/>
      <c r="AV1728" s="164"/>
      <c r="AW1728" s="164"/>
      <c r="AX1728" s="76"/>
      <c r="AY1728" s="44"/>
      <c r="AZ1728" s="275"/>
      <c r="BA1728" s="52"/>
      <c r="BB1728" s="35"/>
      <c r="BC1728" s="79"/>
      <c r="BD1728" s="230"/>
      <c r="BE1728" s="211"/>
      <c r="BF1728" s="164"/>
      <c r="BG1728" s="76"/>
      <c r="BH1728" s="44"/>
      <c r="BI1728" s="275"/>
      <c r="BJ1728" s="52"/>
      <c r="BK1728" s="35"/>
      <c r="BL1728" s="79"/>
      <c r="BM1728" s="230"/>
      <c r="BN1728" s="211"/>
      <c r="BO1728" s="164"/>
      <c r="BP1728" s="726"/>
      <c r="BQ1728" s="727"/>
      <c r="BR1728" s="299"/>
      <c r="BS1728" s="35"/>
      <c r="BT1728" s="596"/>
      <c r="BU1728" s="79"/>
      <c r="BV1728" s="212"/>
      <c r="BW1728" s="304"/>
      <c r="BX1728" s="313"/>
      <c r="BY1728" s="138"/>
    </row>
    <row r="1729" spans="1:77" ht="15" customHeight="1" outlineLevel="1" x14ac:dyDescent="0.2">
      <c r="A1729" s="583" t="s">
        <v>24</v>
      </c>
      <c r="B1729" s="583"/>
      <c r="C1729" s="583" t="s">
        <v>1698</v>
      </c>
      <c r="D1729" s="546">
        <v>6.65</v>
      </c>
      <c r="E1729" s="162" t="s">
        <v>631</v>
      </c>
      <c r="F1729" s="358"/>
      <c r="G1729" s="65"/>
      <c r="H1729" s="73"/>
      <c r="I1729" s="90"/>
      <c r="J1729" s="73"/>
      <c r="K1729" s="734"/>
      <c r="L1729" s="717">
        <v>2009</v>
      </c>
      <c r="M1729" s="73"/>
      <c r="N1729" s="738">
        <v>1.8331E-2</v>
      </c>
      <c r="O1729" s="1041"/>
      <c r="P1729" s="73"/>
      <c r="Q1729" s="738"/>
      <c r="R1729" s="1041"/>
      <c r="S1729" s="73"/>
      <c r="T1729" s="738"/>
      <c r="U1729" s="73"/>
      <c r="V1729" s="66"/>
      <c r="W1729" s="788">
        <f t="shared" si="1507"/>
        <v>1.3748250000000002E-5</v>
      </c>
      <c r="X1729" s="789">
        <f t="shared" si="1508"/>
        <v>1.3748250000000002E-5</v>
      </c>
      <c r="Y1729" s="52">
        <v>2009</v>
      </c>
      <c r="Z1729" s="52"/>
      <c r="AA1729" s="787">
        <f>+N1729/1000</f>
        <v>1.8331000000000001E-5</v>
      </c>
      <c r="AB1729" s="256">
        <v>-0.25</v>
      </c>
      <c r="AC1729" s="688">
        <f t="shared" si="1509"/>
        <v>-0.25</v>
      </c>
      <c r="AD1729" s="164"/>
      <c r="AE1729" s="164"/>
      <c r="AF1729" s="25"/>
      <c r="AG1729" s="26"/>
      <c r="AH1729" s="275"/>
      <c r="AI1729" s="52"/>
      <c r="AJ1729" s="35"/>
      <c r="AK1729" s="289"/>
      <c r="AL1729" s="290"/>
      <c r="AM1729" s="211"/>
      <c r="AN1729" s="164"/>
      <c r="AO1729" s="594"/>
      <c r="AP1729" s="595"/>
      <c r="AQ1729" s="275"/>
      <c r="AR1729" s="52"/>
      <c r="AS1729" s="596"/>
      <c r="AT1729" s="79"/>
      <c r="AU1729" s="212"/>
      <c r="AV1729" s="164"/>
      <c r="AW1729" s="164"/>
      <c r="AX1729" s="76"/>
      <c r="AY1729" s="44"/>
      <c r="AZ1729" s="275"/>
      <c r="BA1729" s="52"/>
      <c r="BB1729" s="35"/>
      <c r="BC1729" s="79"/>
      <c r="BD1729" s="230"/>
      <c r="BE1729" s="211"/>
      <c r="BF1729" s="164"/>
      <c r="BG1729" s="76"/>
      <c r="BH1729" s="44"/>
      <c r="BI1729" s="275"/>
      <c r="BJ1729" s="52"/>
      <c r="BK1729" s="35"/>
      <c r="BL1729" s="79"/>
      <c r="BM1729" s="230"/>
      <c r="BN1729" s="211"/>
      <c r="BO1729" s="164"/>
      <c r="BP1729" s="726"/>
      <c r="BQ1729" s="727"/>
      <c r="BR1729" s="299"/>
      <c r="BS1729" s="35"/>
      <c r="BT1729" s="596"/>
      <c r="BU1729" s="79"/>
      <c r="BV1729" s="212"/>
      <c r="BW1729" s="304"/>
      <c r="BX1729" s="313"/>
      <c r="BY1729" s="138"/>
    </row>
    <row r="1730" spans="1:77" ht="15" customHeight="1" outlineLevel="1" x14ac:dyDescent="0.2">
      <c r="A1730" s="583" t="s">
        <v>24</v>
      </c>
      <c r="B1730" s="583"/>
      <c r="C1730" s="583" t="s">
        <v>1736</v>
      </c>
      <c r="D1730" s="546">
        <v>14.707000000000001</v>
      </c>
      <c r="E1730" s="162" t="s">
        <v>631</v>
      </c>
      <c r="F1730" s="358"/>
      <c r="G1730" s="65"/>
      <c r="H1730" s="73"/>
      <c r="I1730" s="90"/>
      <c r="J1730" s="73"/>
      <c r="K1730" s="734">
        <v>3.8193999999999999E-2</v>
      </c>
      <c r="L1730" s="717"/>
      <c r="M1730" s="73"/>
      <c r="N1730" s="738"/>
      <c r="O1730" s="1041"/>
      <c r="P1730" s="73"/>
      <c r="Q1730" s="738"/>
      <c r="R1730" s="1041"/>
      <c r="S1730" s="73"/>
      <c r="T1730" s="738"/>
      <c r="U1730" s="73"/>
      <c r="V1730" s="66"/>
      <c r="W1730" s="788">
        <f t="shared" ref="W1730" si="1599">AA1730*(1+AB1730)</f>
        <v>2.8645500000000002E-5</v>
      </c>
      <c r="X1730" s="789">
        <f t="shared" ref="X1730" si="1600">AA1730*(1+AC1730)</f>
        <v>2.8645500000000002E-5</v>
      </c>
      <c r="Y1730" s="52">
        <v>2005</v>
      </c>
      <c r="Z1730" s="52"/>
      <c r="AA1730" s="787">
        <f>+K1730/1000</f>
        <v>3.8194000000000001E-5</v>
      </c>
      <c r="AB1730" s="256">
        <v>-0.25</v>
      </c>
      <c r="AC1730" s="688">
        <f t="shared" si="1509"/>
        <v>-0.25</v>
      </c>
      <c r="AD1730" s="164"/>
      <c r="AE1730" s="164"/>
      <c r="AF1730" s="25"/>
      <c r="AG1730" s="26"/>
      <c r="AH1730" s="275"/>
      <c r="AI1730" s="52"/>
      <c r="AJ1730" s="35"/>
      <c r="AK1730" s="289"/>
      <c r="AL1730" s="290"/>
      <c r="AM1730" s="211"/>
      <c r="AN1730" s="164"/>
      <c r="AO1730" s="594"/>
      <c r="AP1730" s="595"/>
      <c r="AQ1730" s="275"/>
      <c r="AR1730" s="52"/>
      <c r="AS1730" s="596"/>
      <c r="AT1730" s="79"/>
      <c r="AU1730" s="212"/>
      <c r="AV1730" s="164"/>
      <c r="AW1730" s="164"/>
      <c r="AX1730" s="76"/>
      <c r="AY1730" s="44"/>
      <c r="AZ1730" s="275"/>
      <c r="BA1730" s="52"/>
      <c r="BB1730" s="35"/>
      <c r="BC1730" s="79"/>
      <c r="BD1730" s="230"/>
      <c r="BE1730" s="211"/>
      <c r="BF1730" s="164"/>
      <c r="BG1730" s="76"/>
      <c r="BH1730" s="44"/>
      <c r="BI1730" s="275"/>
      <c r="BJ1730" s="52"/>
      <c r="BK1730" s="35"/>
      <c r="BL1730" s="79"/>
      <c r="BM1730" s="230"/>
      <c r="BN1730" s="211"/>
      <c r="BO1730" s="164"/>
      <c r="BP1730" s="726"/>
      <c r="BQ1730" s="727"/>
      <c r="BR1730" s="299"/>
      <c r="BS1730" s="35"/>
      <c r="BT1730" s="596"/>
      <c r="BU1730" s="79"/>
      <c r="BV1730" s="212"/>
      <c r="BW1730" s="304"/>
      <c r="BX1730" s="313"/>
      <c r="BY1730" s="138"/>
    </row>
    <row r="1731" spans="1:77" ht="15" customHeight="1" outlineLevel="1" x14ac:dyDescent="0.2">
      <c r="A1731" s="583" t="s">
        <v>24</v>
      </c>
      <c r="B1731" s="583"/>
      <c r="C1731" s="583" t="s">
        <v>2385</v>
      </c>
      <c r="D1731" s="546">
        <v>8.5289999999999999</v>
      </c>
      <c r="E1731" s="162" t="s">
        <v>631</v>
      </c>
      <c r="F1731" s="358"/>
      <c r="G1731" s="65"/>
      <c r="H1731" s="73"/>
      <c r="I1731" s="90">
        <v>2000</v>
      </c>
      <c r="J1731" s="73"/>
      <c r="K1731" s="734">
        <v>4.7118E-2</v>
      </c>
      <c r="L1731" s="717"/>
      <c r="M1731" s="73"/>
      <c r="N1731" s="738"/>
      <c r="O1731" s="1041"/>
      <c r="P1731" s="73"/>
      <c r="Q1731" s="738"/>
      <c r="R1731" s="1041"/>
      <c r="S1731" s="73"/>
      <c r="T1731" s="738"/>
      <c r="U1731" s="73"/>
      <c r="V1731" s="66"/>
      <c r="W1731" s="788">
        <f t="shared" ref="W1731" si="1601">AA1731*(1+AB1731)</f>
        <v>3.1097879999999998E-5</v>
      </c>
      <c r="X1731" s="789">
        <f t="shared" ref="X1731" si="1602">AA1731*(1+AC1731)</f>
        <v>3.1097879999999998E-5</v>
      </c>
      <c r="Y1731" s="52">
        <v>2000</v>
      </c>
      <c r="Z1731" s="52"/>
      <c r="AA1731" s="787">
        <f>+K1731/1000</f>
        <v>4.7117999999999998E-5</v>
      </c>
      <c r="AB1731" s="256">
        <v>-0.34</v>
      </c>
      <c r="AC1731" s="688">
        <f t="shared" ref="AC1731" si="1603">AB1731</f>
        <v>-0.34</v>
      </c>
      <c r="AD1731" s="164"/>
      <c r="AE1731" s="164"/>
      <c r="AF1731" s="25"/>
      <c r="AG1731" s="26"/>
      <c r="AH1731" s="275"/>
      <c r="AI1731" s="52"/>
      <c r="AJ1731" s="35"/>
      <c r="AK1731" s="289"/>
      <c r="AL1731" s="290"/>
      <c r="AM1731" s="211"/>
      <c r="AN1731" s="164"/>
      <c r="AO1731" s="594"/>
      <c r="AP1731" s="595"/>
      <c r="AQ1731" s="275"/>
      <c r="AR1731" s="52"/>
      <c r="AS1731" s="596"/>
      <c r="AT1731" s="79"/>
      <c r="AU1731" s="212"/>
      <c r="AV1731" s="164"/>
      <c r="AW1731" s="164"/>
      <c r="AX1731" s="76"/>
      <c r="AY1731" s="44"/>
      <c r="AZ1731" s="275"/>
      <c r="BA1731" s="52"/>
      <c r="BB1731" s="35"/>
      <c r="BC1731" s="79"/>
      <c r="BD1731" s="230"/>
      <c r="BE1731" s="211"/>
      <c r="BF1731" s="164"/>
      <c r="BG1731" s="76"/>
      <c r="BH1731" s="44"/>
      <c r="BI1731" s="275"/>
      <c r="BJ1731" s="52"/>
      <c r="BK1731" s="35"/>
      <c r="BL1731" s="79"/>
      <c r="BM1731" s="230"/>
      <c r="BN1731" s="211"/>
      <c r="BO1731" s="164"/>
      <c r="BP1731" s="726"/>
      <c r="BQ1731" s="727"/>
      <c r="BR1731" s="299"/>
      <c r="BS1731" s="35"/>
      <c r="BT1731" s="596"/>
      <c r="BU1731" s="79"/>
      <c r="BV1731" s="212"/>
      <c r="BW1731" s="304"/>
      <c r="BX1731" s="313"/>
      <c r="BY1731" s="138"/>
    </row>
    <row r="1732" spans="1:77" ht="15" customHeight="1" outlineLevel="1" x14ac:dyDescent="0.2">
      <c r="A1732" s="583" t="s">
        <v>24</v>
      </c>
      <c r="B1732" s="583"/>
      <c r="C1732" s="583" t="s">
        <v>2096</v>
      </c>
      <c r="D1732" s="546">
        <v>2.88</v>
      </c>
      <c r="E1732" s="162" t="s">
        <v>631</v>
      </c>
      <c r="F1732" s="358"/>
      <c r="G1732" s="65"/>
      <c r="H1732" s="73"/>
      <c r="I1732" s="90"/>
      <c r="J1732" s="73"/>
      <c r="K1732" s="734"/>
      <c r="L1732" s="717">
        <v>2011</v>
      </c>
      <c r="M1732" s="73"/>
      <c r="N1732" s="738">
        <v>6.7939999999999997E-3</v>
      </c>
      <c r="O1732" s="1041"/>
      <c r="P1732" s="73"/>
      <c r="Q1732" s="738"/>
      <c r="R1732" s="1041"/>
      <c r="S1732" s="73"/>
      <c r="T1732" s="738"/>
      <c r="U1732" s="73"/>
      <c r="V1732" s="66"/>
      <c r="W1732" s="788">
        <f t="shared" ref="W1732" si="1604">AA1732*(1+AB1732)</f>
        <v>5.0954999999999997E-6</v>
      </c>
      <c r="X1732" s="789">
        <f t="shared" ref="X1732" si="1605">AA1732*(1+AC1732)</f>
        <v>5.0954999999999997E-6</v>
      </c>
      <c r="Y1732" s="52">
        <v>2011</v>
      </c>
      <c r="Z1732" s="52"/>
      <c r="AA1732" s="787">
        <f>+N1732/1000</f>
        <v>6.7939999999999997E-6</v>
      </c>
      <c r="AB1732" s="256">
        <v>-0.25</v>
      </c>
      <c r="AC1732" s="688">
        <f t="shared" si="1509"/>
        <v>-0.25</v>
      </c>
      <c r="AD1732" s="164"/>
      <c r="AE1732" s="164"/>
      <c r="AF1732" s="25"/>
      <c r="AG1732" s="26"/>
      <c r="AH1732" s="275"/>
      <c r="AI1732" s="52"/>
      <c r="AJ1732" s="35"/>
      <c r="AK1732" s="289"/>
      <c r="AL1732" s="290"/>
      <c r="AM1732" s="211"/>
      <c r="AN1732" s="164"/>
      <c r="AO1732" s="594"/>
      <c r="AP1732" s="595"/>
      <c r="AQ1732" s="275"/>
      <c r="AR1732" s="52"/>
      <c r="AS1732" s="596"/>
      <c r="AT1732" s="79"/>
      <c r="AU1732" s="212"/>
      <c r="AV1732" s="164"/>
      <c r="AW1732" s="164"/>
      <c r="AX1732" s="76"/>
      <c r="AY1732" s="44"/>
      <c r="AZ1732" s="275"/>
      <c r="BA1732" s="52"/>
      <c r="BB1732" s="35"/>
      <c r="BC1732" s="79"/>
      <c r="BD1732" s="230"/>
      <c r="BE1732" s="211"/>
      <c r="BF1732" s="164"/>
      <c r="BG1732" s="76"/>
      <c r="BH1732" s="44"/>
      <c r="BI1732" s="275"/>
      <c r="BJ1732" s="52"/>
      <c r="BK1732" s="35"/>
      <c r="BL1732" s="79"/>
      <c r="BM1732" s="230"/>
      <c r="BN1732" s="211"/>
      <c r="BO1732" s="164"/>
      <c r="BP1732" s="726"/>
      <c r="BQ1732" s="727"/>
      <c r="BR1732" s="299"/>
      <c r="BS1732" s="35"/>
      <c r="BT1732" s="596"/>
      <c r="BU1732" s="79"/>
      <c r="BV1732" s="212"/>
      <c r="BW1732" s="304"/>
      <c r="BX1732" s="313"/>
      <c r="BY1732" s="138"/>
    </row>
    <row r="1733" spans="1:77" ht="15" customHeight="1" outlineLevel="1" x14ac:dyDescent="0.2">
      <c r="A1733" s="583" t="s">
        <v>24</v>
      </c>
      <c r="B1733" s="583"/>
      <c r="C1733" s="583" t="s">
        <v>1818</v>
      </c>
      <c r="D1733" s="546">
        <v>6.1230000000000002</v>
      </c>
      <c r="E1733" s="162" t="s">
        <v>631</v>
      </c>
      <c r="F1733" s="358"/>
      <c r="G1733" s="65"/>
      <c r="H1733" s="73"/>
      <c r="I1733" s="90">
        <v>2007</v>
      </c>
      <c r="J1733" s="73"/>
      <c r="K1733" s="790">
        <v>1.4029E-2</v>
      </c>
      <c r="L1733" s="717"/>
      <c r="M1733" s="73"/>
      <c r="N1733" s="738"/>
      <c r="O1733" s="1041"/>
      <c r="P1733" s="73"/>
      <c r="Q1733" s="738"/>
      <c r="R1733" s="1041"/>
      <c r="S1733" s="73"/>
      <c r="T1733" s="738"/>
      <c r="U1733" s="73"/>
      <c r="V1733" s="66"/>
      <c r="W1733" s="788">
        <f t="shared" ref="W1733:W1734" si="1606">AA1733*(1+AB1733)</f>
        <v>1.0381459999999999E-5</v>
      </c>
      <c r="X1733" s="789">
        <f t="shared" ref="X1733:X1734" si="1607">AA1733*(1+AC1733)</f>
        <v>1.0381459999999999E-5</v>
      </c>
      <c r="Y1733" s="52">
        <v>2007</v>
      </c>
      <c r="Z1733" s="52"/>
      <c r="AA1733" s="787">
        <f>+K1733/1000</f>
        <v>1.4028999999999999E-5</v>
      </c>
      <c r="AB1733" s="256">
        <v>-0.26</v>
      </c>
      <c r="AC1733" s="688">
        <f t="shared" si="1509"/>
        <v>-0.26</v>
      </c>
      <c r="AD1733" s="164"/>
      <c r="AE1733" s="164"/>
      <c r="AF1733" s="25"/>
      <c r="AG1733" s="26"/>
      <c r="AH1733" s="275"/>
      <c r="AI1733" s="52"/>
      <c r="AJ1733" s="35"/>
      <c r="AK1733" s="289"/>
      <c r="AL1733" s="290"/>
      <c r="AM1733" s="211"/>
      <c r="AN1733" s="164"/>
      <c r="AO1733" s="594"/>
      <c r="AP1733" s="595"/>
      <c r="AQ1733" s="275"/>
      <c r="AR1733" s="52"/>
      <c r="AS1733" s="596"/>
      <c r="AT1733" s="79"/>
      <c r="AU1733" s="212"/>
      <c r="AV1733" s="164"/>
      <c r="AW1733" s="164"/>
      <c r="AX1733" s="76"/>
      <c r="AY1733" s="44"/>
      <c r="AZ1733" s="275"/>
      <c r="BA1733" s="52"/>
      <c r="BB1733" s="35"/>
      <c r="BC1733" s="79"/>
      <c r="BD1733" s="230"/>
      <c r="BE1733" s="211"/>
      <c r="BF1733" s="164"/>
      <c r="BG1733" s="76"/>
      <c r="BH1733" s="44"/>
      <c r="BI1733" s="275"/>
      <c r="BJ1733" s="52"/>
      <c r="BK1733" s="35"/>
      <c r="BL1733" s="79"/>
      <c r="BM1733" s="230"/>
      <c r="BN1733" s="211"/>
      <c r="BO1733" s="164"/>
      <c r="BP1733" s="726"/>
      <c r="BQ1733" s="727"/>
      <c r="BR1733" s="299"/>
      <c r="BS1733" s="35"/>
      <c r="BT1733" s="596"/>
      <c r="BU1733" s="79"/>
      <c r="BV1733" s="212"/>
      <c r="BW1733" s="304"/>
      <c r="BX1733" s="313"/>
      <c r="BY1733" s="138"/>
    </row>
    <row r="1734" spans="1:77" ht="15" customHeight="1" outlineLevel="1" x14ac:dyDescent="0.2">
      <c r="A1734" s="583" t="s">
        <v>24</v>
      </c>
      <c r="B1734" s="583"/>
      <c r="C1734" s="583" t="s">
        <v>2672</v>
      </c>
      <c r="D1734" s="546">
        <v>21.727</v>
      </c>
      <c r="E1734" s="162" t="s">
        <v>631</v>
      </c>
      <c r="F1734" s="358"/>
      <c r="G1734" s="65"/>
      <c r="H1734" s="73"/>
      <c r="I1734" s="90"/>
      <c r="J1734" s="73"/>
      <c r="K1734" s="790"/>
      <c r="L1734" s="717"/>
      <c r="M1734" s="73"/>
      <c r="N1734" s="786">
        <v>5.2311000000000003E-2</v>
      </c>
      <c r="O1734" s="1041"/>
      <c r="P1734" s="73"/>
      <c r="Q1734" s="738"/>
      <c r="R1734" s="1041"/>
      <c r="S1734" s="73"/>
      <c r="T1734" s="738"/>
      <c r="U1734" s="73"/>
      <c r="V1734" s="66"/>
      <c r="W1734" s="740">
        <f t="shared" si="1606"/>
        <v>3.66177E-5</v>
      </c>
      <c r="X1734" s="741">
        <f t="shared" si="1607"/>
        <v>3.66177E-5</v>
      </c>
      <c r="Y1734" s="52">
        <v>2010</v>
      </c>
      <c r="Z1734" s="52"/>
      <c r="AA1734" s="739">
        <f>+N1734/1000</f>
        <v>5.2311000000000001E-5</v>
      </c>
      <c r="AB1734" s="256">
        <v>-0.3</v>
      </c>
      <c r="AC1734" s="688">
        <f t="shared" ref="AC1734" si="1608">AB1734</f>
        <v>-0.3</v>
      </c>
      <c r="AD1734" s="164"/>
      <c r="AE1734" s="164"/>
      <c r="AF1734" s="25"/>
      <c r="AG1734" s="26"/>
      <c r="AH1734" s="275"/>
      <c r="AI1734" s="52"/>
      <c r="AJ1734" s="35"/>
      <c r="AK1734" s="289"/>
      <c r="AL1734" s="290"/>
      <c r="AM1734" s="211"/>
      <c r="AN1734" s="164"/>
      <c r="AO1734" s="594"/>
      <c r="AP1734" s="595"/>
      <c r="AQ1734" s="275"/>
      <c r="AR1734" s="52"/>
      <c r="AS1734" s="596"/>
      <c r="AT1734" s="79"/>
      <c r="AU1734" s="212"/>
      <c r="AV1734" s="164"/>
      <c r="AW1734" s="164"/>
      <c r="AX1734" s="76"/>
      <c r="AY1734" s="44"/>
      <c r="AZ1734" s="275"/>
      <c r="BA1734" s="52"/>
      <c r="BB1734" s="35"/>
      <c r="BC1734" s="79"/>
      <c r="BD1734" s="230"/>
      <c r="BE1734" s="211"/>
      <c r="BF1734" s="164"/>
      <c r="BG1734" s="76"/>
      <c r="BH1734" s="44"/>
      <c r="BI1734" s="275"/>
      <c r="BJ1734" s="52"/>
      <c r="BK1734" s="35"/>
      <c r="BL1734" s="79"/>
      <c r="BM1734" s="230"/>
      <c r="BN1734" s="211"/>
      <c r="BO1734" s="164"/>
      <c r="BP1734" s="726"/>
      <c r="BQ1734" s="727"/>
      <c r="BR1734" s="299"/>
      <c r="BS1734" s="35"/>
      <c r="BT1734" s="596"/>
      <c r="BU1734" s="79"/>
      <c r="BV1734" s="212"/>
      <c r="BW1734" s="304"/>
      <c r="BX1734" s="313"/>
      <c r="BY1734" s="138"/>
    </row>
    <row r="1735" spans="1:77" ht="15" customHeight="1" outlineLevel="1" x14ac:dyDescent="0.2">
      <c r="A1735" s="57" t="s">
        <v>24</v>
      </c>
      <c r="B1735" s="583"/>
      <c r="C1735" s="583" t="s">
        <v>1295</v>
      </c>
      <c r="D1735" s="546">
        <v>10.52</v>
      </c>
      <c r="E1735" s="162" t="s">
        <v>631</v>
      </c>
      <c r="F1735" s="358"/>
      <c r="G1735" s="65"/>
      <c r="H1735" s="73"/>
      <c r="I1735" s="90">
        <v>2000</v>
      </c>
      <c r="J1735" s="73"/>
      <c r="K1735" s="734">
        <v>5.7159999999999997E-3</v>
      </c>
      <c r="L1735" s="717"/>
      <c r="M1735" s="73"/>
      <c r="N1735" s="359"/>
      <c r="O1735" s="1041"/>
      <c r="P1735" s="73"/>
      <c r="Q1735" s="359"/>
      <c r="R1735" s="1041"/>
      <c r="S1735" s="73"/>
      <c r="T1735" s="359"/>
      <c r="U1735" s="73"/>
      <c r="V1735" s="66"/>
      <c r="W1735" s="788">
        <f t="shared" si="1507"/>
        <v>3.48676E-6</v>
      </c>
      <c r="X1735" s="789">
        <f t="shared" si="1508"/>
        <v>3.48676E-6</v>
      </c>
      <c r="Y1735" s="52">
        <v>2000</v>
      </c>
      <c r="Z1735" s="52"/>
      <c r="AA1735" s="739">
        <f>+K1735/1000</f>
        <v>5.716E-6</v>
      </c>
      <c r="AB1735" s="256">
        <v>-0.39</v>
      </c>
      <c r="AC1735" s="688">
        <f t="shared" si="1509"/>
        <v>-0.39</v>
      </c>
      <c r="AD1735" s="164"/>
      <c r="AE1735" s="164"/>
      <c r="AF1735" s="25"/>
      <c r="AG1735" s="26"/>
      <c r="AH1735" s="275"/>
      <c r="AI1735" s="52"/>
      <c r="AJ1735" s="35"/>
      <c r="AK1735" s="289"/>
      <c r="AL1735" s="290"/>
      <c r="AM1735" s="211"/>
      <c r="AN1735" s="164"/>
      <c r="AO1735" s="594"/>
      <c r="AP1735" s="595"/>
      <c r="AQ1735" s="275"/>
      <c r="AR1735" s="52"/>
      <c r="AS1735" s="596"/>
      <c r="AT1735" s="79"/>
      <c r="AU1735" s="212"/>
      <c r="AV1735" s="164"/>
      <c r="AW1735" s="164"/>
      <c r="AX1735" s="76"/>
      <c r="AY1735" s="44"/>
      <c r="AZ1735" s="275"/>
      <c r="BA1735" s="52"/>
      <c r="BB1735" s="35"/>
      <c r="BC1735" s="79"/>
      <c r="BD1735" s="230"/>
      <c r="BE1735" s="211"/>
      <c r="BF1735" s="164"/>
      <c r="BG1735" s="76"/>
      <c r="BH1735" s="44"/>
      <c r="BI1735" s="275"/>
      <c r="BJ1735" s="52"/>
      <c r="BK1735" s="35"/>
      <c r="BL1735" s="79"/>
      <c r="BM1735" s="230"/>
      <c r="BN1735" s="211"/>
      <c r="BO1735" s="164"/>
      <c r="BP1735" s="726"/>
      <c r="BQ1735" s="727"/>
      <c r="BR1735" s="299"/>
      <c r="BS1735" s="35"/>
      <c r="BT1735" s="596"/>
      <c r="BU1735" s="79"/>
      <c r="BV1735" s="212"/>
      <c r="BW1735" s="304"/>
      <c r="BX1735" s="313"/>
      <c r="BY1735" s="138"/>
    </row>
    <row r="1736" spans="1:77" ht="15" customHeight="1" outlineLevel="1" x14ac:dyDescent="0.2">
      <c r="A1736" s="57" t="s">
        <v>24</v>
      </c>
      <c r="B1736" s="583"/>
      <c r="C1736" s="583" t="s">
        <v>1556</v>
      </c>
      <c r="D1736" s="546">
        <v>13.707000000000001</v>
      </c>
      <c r="E1736" s="162" t="s">
        <v>631</v>
      </c>
      <c r="F1736" s="358"/>
      <c r="G1736" s="65"/>
      <c r="H1736" s="73"/>
      <c r="I1736" s="90"/>
      <c r="J1736" s="73"/>
      <c r="K1736" s="734"/>
      <c r="L1736" s="717"/>
      <c r="M1736" s="73"/>
      <c r="N1736" s="738">
        <v>3.9036000000000001E-2</v>
      </c>
      <c r="O1736" s="1041"/>
      <c r="P1736" s="73"/>
      <c r="Q1736" s="738"/>
      <c r="R1736" s="1041"/>
      <c r="S1736" s="73"/>
      <c r="T1736" s="738"/>
      <c r="U1736" s="73"/>
      <c r="V1736" s="66"/>
      <c r="W1736" s="740">
        <f t="shared" si="1507"/>
        <v>2.6934840000000001E-5</v>
      </c>
      <c r="X1736" s="741">
        <f t="shared" si="1508"/>
        <v>2.6934840000000001E-5</v>
      </c>
      <c r="Y1736" s="52">
        <v>2010</v>
      </c>
      <c r="Z1736" s="52"/>
      <c r="AA1736" s="739">
        <f>+N1736/1000</f>
        <v>3.9036000000000004E-5</v>
      </c>
      <c r="AB1736" s="256">
        <v>-0.31</v>
      </c>
      <c r="AC1736" s="688">
        <f t="shared" si="1509"/>
        <v>-0.31</v>
      </c>
      <c r="AD1736" s="164"/>
      <c r="AE1736" s="164"/>
      <c r="AF1736" s="25"/>
      <c r="AG1736" s="26"/>
      <c r="AH1736" s="275"/>
      <c r="AI1736" s="52"/>
      <c r="AJ1736" s="35"/>
      <c r="AK1736" s="289"/>
      <c r="AL1736" s="290"/>
      <c r="AM1736" s="211"/>
      <c r="AN1736" s="164"/>
      <c r="AO1736" s="594"/>
      <c r="AP1736" s="595"/>
      <c r="AQ1736" s="275"/>
      <c r="AR1736" s="52"/>
      <c r="AS1736" s="596"/>
      <c r="AT1736" s="79"/>
      <c r="AU1736" s="212"/>
      <c r="AV1736" s="164"/>
      <c r="AW1736" s="164"/>
      <c r="AX1736" s="76"/>
      <c r="AY1736" s="44"/>
      <c r="AZ1736" s="275"/>
      <c r="BA1736" s="52"/>
      <c r="BB1736" s="35"/>
      <c r="BC1736" s="79"/>
      <c r="BD1736" s="230"/>
      <c r="BE1736" s="211"/>
      <c r="BF1736" s="164"/>
      <c r="BG1736" s="76"/>
      <c r="BH1736" s="44"/>
      <c r="BI1736" s="275"/>
      <c r="BJ1736" s="52"/>
      <c r="BK1736" s="35"/>
      <c r="BL1736" s="79"/>
      <c r="BM1736" s="230"/>
      <c r="BN1736" s="211"/>
      <c r="BO1736" s="164"/>
      <c r="BP1736" s="726"/>
      <c r="BQ1736" s="727"/>
      <c r="BR1736" s="299"/>
      <c r="BS1736" s="35"/>
      <c r="BT1736" s="596"/>
      <c r="BU1736" s="79"/>
      <c r="BV1736" s="212"/>
      <c r="BW1736" s="304"/>
      <c r="BX1736" s="313"/>
      <c r="BY1736" s="138"/>
    </row>
    <row r="1737" spans="1:77" ht="15" customHeight="1" outlineLevel="1" x14ac:dyDescent="0.2">
      <c r="A1737" s="57" t="s">
        <v>24</v>
      </c>
      <c r="B1737" s="583"/>
      <c r="C1737" s="583" t="s">
        <v>1279</v>
      </c>
      <c r="D1737" s="546">
        <v>3.17</v>
      </c>
      <c r="E1737" s="162" t="s">
        <v>631</v>
      </c>
      <c r="F1737" s="358"/>
      <c r="G1737" s="65"/>
      <c r="H1737" s="73"/>
      <c r="I1737" s="90">
        <v>2007</v>
      </c>
      <c r="J1737" s="73"/>
      <c r="K1737" s="734">
        <v>1.2326999999999999E-2</v>
      </c>
      <c r="L1737" s="717"/>
      <c r="M1737" s="73"/>
      <c r="N1737" s="359"/>
      <c r="O1737" s="1041"/>
      <c r="P1737" s="73"/>
      <c r="Q1737" s="359"/>
      <c r="R1737" s="1041"/>
      <c r="S1737" s="73"/>
      <c r="T1737" s="359"/>
      <c r="U1737" s="73"/>
      <c r="V1737" s="66"/>
      <c r="W1737" s="740">
        <f t="shared" si="1507"/>
        <v>8.0125500000000001E-6</v>
      </c>
      <c r="X1737" s="741">
        <f t="shared" si="1508"/>
        <v>8.0125500000000001E-6</v>
      </c>
      <c r="Y1737" s="52">
        <v>2007</v>
      </c>
      <c r="Z1737" s="52"/>
      <c r="AA1737" s="739">
        <f t="shared" ref="AA1737:AA1759" si="1609">+K1737/1000</f>
        <v>1.2326999999999999E-5</v>
      </c>
      <c r="AB1737" s="256">
        <v>-0.35</v>
      </c>
      <c r="AC1737" s="688">
        <f t="shared" si="1509"/>
        <v>-0.35</v>
      </c>
      <c r="AD1737" s="164"/>
      <c r="AE1737" s="164"/>
      <c r="AF1737" s="25"/>
      <c r="AG1737" s="26"/>
      <c r="AH1737" s="275"/>
      <c r="AI1737" s="52"/>
      <c r="AJ1737" s="35"/>
      <c r="AK1737" s="289"/>
      <c r="AL1737" s="290"/>
      <c r="AM1737" s="211"/>
      <c r="AN1737" s="164"/>
      <c r="AO1737" s="594"/>
      <c r="AP1737" s="595"/>
      <c r="AQ1737" s="275"/>
      <c r="AR1737" s="52"/>
      <c r="AS1737" s="596"/>
      <c r="AT1737" s="79"/>
      <c r="AU1737" s="212"/>
      <c r="AV1737" s="164"/>
      <c r="AW1737" s="164"/>
      <c r="AX1737" s="76"/>
      <c r="AY1737" s="44"/>
      <c r="AZ1737" s="275"/>
      <c r="BA1737" s="52"/>
      <c r="BB1737" s="35"/>
      <c r="BC1737" s="79"/>
      <c r="BD1737" s="230"/>
      <c r="BE1737" s="211"/>
      <c r="BF1737" s="164"/>
      <c r="BG1737" s="76"/>
      <c r="BH1737" s="44"/>
      <c r="BI1737" s="275"/>
      <c r="BJ1737" s="52"/>
      <c r="BK1737" s="35"/>
      <c r="BL1737" s="79"/>
      <c r="BM1737" s="230"/>
      <c r="BN1737" s="211"/>
      <c r="BO1737" s="164"/>
      <c r="BP1737" s="726"/>
      <c r="BQ1737" s="727"/>
      <c r="BR1737" s="299"/>
      <c r="BS1737" s="35"/>
      <c r="BT1737" s="596"/>
      <c r="BU1737" s="79"/>
      <c r="BV1737" s="212"/>
      <c r="BW1737" s="304"/>
      <c r="BX1737" s="313"/>
      <c r="BY1737" s="138"/>
    </row>
    <row r="1738" spans="1:77" ht="15" customHeight="1" outlineLevel="1" x14ac:dyDescent="0.2">
      <c r="A1738" s="57" t="s">
        <v>24</v>
      </c>
      <c r="B1738" s="583"/>
      <c r="C1738" s="583" t="s">
        <v>1414</v>
      </c>
      <c r="D1738" s="546">
        <v>61.106000000000002</v>
      </c>
      <c r="E1738" s="162" t="s">
        <v>631</v>
      </c>
      <c r="F1738" s="358"/>
      <c r="G1738" s="65"/>
      <c r="H1738" s="73"/>
      <c r="I1738" s="90">
        <v>2004</v>
      </c>
      <c r="J1738" s="73"/>
      <c r="K1738" s="723">
        <v>0.57574199999999998</v>
      </c>
      <c r="L1738" s="717"/>
      <c r="M1738" s="73"/>
      <c r="N1738" s="359"/>
      <c r="O1738" s="1041"/>
      <c r="P1738" s="73"/>
      <c r="Q1738" s="359"/>
      <c r="R1738" s="1041"/>
      <c r="S1738" s="73"/>
      <c r="T1738" s="359"/>
      <c r="U1738" s="73"/>
      <c r="V1738" s="66"/>
      <c r="W1738" s="594">
        <f t="shared" ref="W1738:W1743" si="1610">AA1738*(1+AB1738)</f>
        <v>3.2241552000000003E-4</v>
      </c>
      <c r="X1738" s="595">
        <f t="shared" ref="X1738:X1743" si="1611">AA1738*(1+AC1738)</f>
        <v>3.2241552000000003E-4</v>
      </c>
      <c r="Y1738" s="52">
        <v>2004</v>
      </c>
      <c r="Z1738" s="52"/>
      <c r="AA1738" s="596">
        <f>+K1738/1000</f>
        <v>5.7574199999999996E-4</v>
      </c>
      <c r="AB1738" s="256">
        <v>-0.44</v>
      </c>
      <c r="AC1738" s="688">
        <f t="shared" si="1509"/>
        <v>-0.44</v>
      </c>
      <c r="AD1738" s="164"/>
      <c r="AE1738" s="164"/>
      <c r="AF1738" s="25"/>
      <c r="AG1738" s="26"/>
      <c r="AH1738" s="275"/>
      <c r="AI1738" s="52"/>
      <c r="AJ1738" s="35"/>
      <c r="AK1738" s="289"/>
      <c r="AL1738" s="290"/>
      <c r="AM1738" s="211"/>
      <c r="AN1738" s="164"/>
      <c r="AO1738" s="594"/>
      <c r="AP1738" s="595"/>
      <c r="AQ1738" s="275"/>
      <c r="AR1738" s="52"/>
      <c r="AS1738" s="596"/>
      <c r="AT1738" s="79"/>
      <c r="AU1738" s="212"/>
      <c r="AV1738" s="164"/>
      <c r="AW1738" s="164"/>
      <c r="AX1738" s="76"/>
      <c r="AY1738" s="44"/>
      <c r="AZ1738" s="275"/>
      <c r="BA1738" s="52"/>
      <c r="BB1738" s="35"/>
      <c r="BC1738" s="79"/>
      <c r="BD1738" s="230"/>
      <c r="BE1738" s="211"/>
      <c r="BF1738" s="164"/>
      <c r="BG1738" s="76"/>
      <c r="BH1738" s="44"/>
      <c r="BI1738" s="275"/>
      <c r="BJ1738" s="52"/>
      <c r="BK1738" s="35"/>
      <c r="BL1738" s="79"/>
      <c r="BM1738" s="230"/>
      <c r="BN1738" s="211"/>
      <c r="BO1738" s="164"/>
      <c r="BP1738" s="726"/>
      <c r="BQ1738" s="727"/>
      <c r="BR1738" s="299"/>
      <c r="BS1738" s="35"/>
      <c r="BT1738" s="596"/>
      <c r="BU1738" s="79"/>
      <c r="BV1738" s="212"/>
      <c r="BW1738" s="304"/>
      <c r="BX1738" s="313"/>
      <c r="BY1738" s="138"/>
    </row>
    <row r="1739" spans="1:77" ht="15" customHeight="1" outlineLevel="1" x14ac:dyDescent="0.2">
      <c r="A1739" s="583" t="s">
        <v>24</v>
      </c>
      <c r="B1739" s="583"/>
      <c r="C1739" s="583" t="s">
        <v>1916</v>
      </c>
      <c r="D1739" s="546">
        <v>25.670999999999999</v>
      </c>
      <c r="E1739" s="162" t="s">
        <v>631</v>
      </c>
      <c r="F1739" s="358"/>
      <c r="G1739" s="65"/>
      <c r="H1739" s="73"/>
      <c r="I1739" s="90"/>
      <c r="J1739" s="73"/>
      <c r="K1739" s="723"/>
      <c r="L1739" s="717"/>
      <c r="M1739" s="73"/>
      <c r="N1739" s="359">
        <v>6.9134000000000001E-2</v>
      </c>
      <c r="O1739" s="1041"/>
      <c r="P1739" s="73"/>
      <c r="Q1739" s="359"/>
      <c r="R1739" s="1041"/>
      <c r="S1739" s="73"/>
      <c r="T1739" s="359"/>
      <c r="U1739" s="73"/>
      <c r="V1739" s="66"/>
      <c r="W1739" s="594">
        <f t="shared" si="1610"/>
        <v>5.0467820000000006E-5</v>
      </c>
      <c r="X1739" s="595">
        <f t="shared" si="1611"/>
        <v>5.0467820000000006E-5</v>
      </c>
      <c r="Y1739" s="52">
        <v>2010</v>
      </c>
      <c r="Z1739" s="52"/>
      <c r="AA1739" s="596">
        <f>+N1739/1000</f>
        <v>6.9134000000000006E-5</v>
      </c>
      <c r="AB1739" s="256">
        <v>-0.27</v>
      </c>
      <c r="AC1739" s="688">
        <f t="shared" si="1509"/>
        <v>-0.27</v>
      </c>
      <c r="AD1739" s="164"/>
      <c r="AE1739" s="164"/>
      <c r="AF1739" s="25"/>
      <c r="AG1739" s="26"/>
      <c r="AH1739" s="275"/>
      <c r="AI1739" s="52"/>
      <c r="AJ1739" s="35"/>
      <c r="AK1739" s="289"/>
      <c r="AL1739" s="290"/>
      <c r="AM1739" s="211"/>
      <c r="AN1739" s="164"/>
      <c r="AO1739" s="594"/>
      <c r="AP1739" s="595"/>
      <c r="AQ1739" s="275"/>
      <c r="AR1739" s="52"/>
      <c r="AS1739" s="596"/>
      <c r="AT1739" s="79"/>
      <c r="AU1739" s="212"/>
      <c r="AV1739" s="164"/>
      <c r="AW1739" s="164"/>
      <c r="AX1739" s="76"/>
      <c r="AY1739" s="44"/>
      <c r="AZ1739" s="275"/>
      <c r="BA1739" s="52"/>
      <c r="BB1739" s="35"/>
      <c r="BC1739" s="79"/>
      <c r="BD1739" s="230"/>
      <c r="BE1739" s="211"/>
      <c r="BF1739" s="164"/>
      <c r="BG1739" s="76"/>
      <c r="BH1739" s="44"/>
      <c r="BI1739" s="275"/>
      <c r="BJ1739" s="52"/>
      <c r="BK1739" s="35"/>
      <c r="BL1739" s="79"/>
      <c r="BM1739" s="230"/>
      <c r="BN1739" s="211"/>
      <c r="BO1739" s="164"/>
      <c r="BP1739" s="726"/>
      <c r="BQ1739" s="727"/>
      <c r="BR1739" s="299"/>
      <c r="BS1739" s="35"/>
      <c r="BT1739" s="596"/>
      <c r="BU1739" s="79"/>
      <c r="BV1739" s="212"/>
      <c r="BW1739" s="304"/>
      <c r="BX1739" s="313"/>
      <c r="BY1739" s="138"/>
    </row>
    <row r="1740" spans="1:77" ht="15" customHeight="1" outlineLevel="1" x14ac:dyDescent="0.2">
      <c r="A1740" s="583" t="s">
        <v>24</v>
      </c>
      <c r="B1740" s="583"/>
      <c r="C1740" s="583" t="s">
        <v>2382</v>
      </c>
      <c r="D1740" s="546">
        <v>3.9049999999999998</v>
      </c>
      <c r="E1740" s="162" t="s">
        <v>631</v>
      </c>
      <c r="F1740" s="358"/>
      <c r="G1740" s="65"/>
      <c r="H1740" s="73"/>
      <c r="I1740" s="90"/>
      <c r="J1740" s="73"/>
      <c r="K1740" s="723"/>
      <c r="L1740" s="717">
        <v>2008</v>
      </c>
      <c r="M1740" s="73"/>
      <c r="N1740" s="738">
        <v>2.3806999999999998E-2</v>
      </c>
      <c r="O1740" s="1041"/>
      <c r="P1740" s="73"/>
      <c r="Q1740" s="359"/>
      <c r="R1740" s="1041"/>
      <c r="S1740" s="73"/>
      <c r="T1740" s="359"/>
      <c r="U1740" s="73"/>
      <c r="V1740" s="66"/>
      <c r="W1740" s="788">
        <f t="shared" ref="W1740" si="1612">AA1740*(1+AB1740)</f>
        <v>1.5474549999999999E-5</v>
      </c>
      <c r="X1740" s="789">
        <f t="shared" ref="X1740" si="1613">AA1740*(1+AC1740)</f>
        <v>1.5474549999999999E-5</v>
      </c>
      <c r="Y1740" s="52">
        <v>2008</v>
      </c>
      <c r="Z1740" s="52"/>
      <c r="AA1740" s="787">
        <f>+N1740/1000</f>
        <v>2.3806999999999998E-5</v>
      </c>
      <c r="AB1740" s="256">
        <v>-0.35</v>
      </c>
      <c r="AC1740" s="688">
        <f t="shared" ref="AC1740" si="1614">AB1740</f>
        <v>-0.35</v>
      </c>
      <c r="AD1740" s="164"/>
      <c r="AE1740" s="164"/>
      <c r="AF1740" s="25"/>
      <c r="AG1740" s="26"/>
      <c r="AH1740" s="275"/>
      <c r="AI1740" s="52"/>
      <c r="AJ1740" s="35"/>
      <c r="AK1740" s="289"/>
      <c r="AL1740" s="290"/>
      <c r="AM1740" s="211"/>
      <c r="AN1740" s="164"/>
      <c r="AO1740" s="594"/>
      <c r="AP1740" s="595"/>
      <c r="AQ1740" s="275"/>
      <c r="AR1740" s="52"/>
      <c r="AS1740" s="596"/>
      <c r="AT1740" s="79"/>
      <c r="AU1740" s="212"/>
      <c r="AV1740" s="164"/>
      <c r="AW1740" s="164"/>
      <c r="AX1740" s="76"/>
      <c r="AY1740" s="44"/>
      <c r="AZ1740" s="275"/>
      <c r="BA1740" s="52"/>
      <c r="BB1740" s="35"/>
      <c r="BC1740" s="79"/>
      <c r="BD1740" s="230"/>
      <c r="BE1740" s="211"/>
      <c r="BF1740" s="164"/>
      <c r="BG1740" s="76"/>
      <c r="BH1740" s="44"/>
      <c r="BI1740" s="275"/>
      <c r="BJ1740" s="52"/>
      <c r="BK1740" s="35"/>
      <c r="BL1740" s="79"/>
      <c r="BM1740" s="230"/>
      <c r="BN1740" s="211"/>
      <c r="BO1740" s="164"/>
      <c r="BP1740" s="726"/>
      <c r="BQ1740" s="727"/>
      <c r="BR1740" s="299"/>
      <c r="BS1740" s="35"/>
      <c r="BT1740" s="596"/>
      <c r="BU1740" s="79"/>
      <c r="BV1740" s="212"/>
      <c r="BW1740" s="304"/>
      <c r="BX1740" s="313"/>
      <c r="BY1740" s="138"/>
    </row>
    <row r="1741" spans="1:77" ht="15" customHeight="1" outlineLevel="1" x14ac:dyDescent="0.2">
      <c r="A1741" s="57" t="s">
        <v>24</v>
      </c>
      <c r="B1741" s="583"/>
      <c r="C1741" s="583" t="s">
        <v>1651</v>
      </c>
      <c r="D1741" s="546">
        <v>5.5609999999999999</v>
      </c>
      <c r="E1741" s="162" t="s">
        <v>631</v>
      </c>
      <c r="F1741" s="358"/>
      <c r="G1741" s="65"/>
      <c r="H1741" s="73"/>
      <c r="I1741" s="90"/>
      <c r="J1741" s="73"/>
      <c r="K1741" s="813">
        <v>1.6863E-2</v>
      </c>
      <c r="L1741" s="717"/>
      <c r="M1741" s="73"/>
      <c r="N1741" s="359"/>
      <c r="O1741" s="1041"/>
      <c r="P1741" s="73"/>
      <c r="Q1741" s="359"/>
      <c r="R1741" s="1041"/>
      <c r="S1741" s="73"/>
      <c r="T1741" s="359"/>
      <c r="U1741" s="73"/>
      <c r="V1741" s="66"/>
      <c r="W1741" s="740">
        <f t="shared" si="1610"/>
        <v>1.264725E-5</v>
      </c>
      <c r="X1741" s="741">
        <f t="shared" si="1611"/>
        <v>1.264725E-5</v>
      </c>
      <c r="Y1741" s="52">
        <v>2005</v>
      </c>
      <c r="Z1741" s="52"/>
      <c r="AA1741" s="739">
        <f>+K1741/1000</f>
        <v>1.6863000000000001E-5</v>
      </c>
      <c r="AB1741" s="256">
        <v>-0.25</v>
      </c>
      <c r="AC1741" s="688">
        <f t="shared" si="1509"/>
        <v>-0.25</v>
      </c>
      <c r="AD1741" s="164"/>
      <c r="AE1741" s="164"/>
      <c r="AF1741" s="25"/>
      <c r="AG1741" s="26"/>
      <c r="AH1741" s="275"/>
      <c r="AI1741" s="52"/>
      <c r="AJ1741" s="35"/>
      <c r="AK1741" s="289"/>
      <c r="AL1741" s="290"/>
      <c r="AM1741" s="211"/>
      <c r="AN1741" s="164"/>
      <c r="AO1741" s="594"/>
      <c r="AP1741" s="595"/>
      <c r="AQ1741" s="275"/>
      <c r="AR1741" s="52"/>
      <c r="AS1741" s="596"/>
      <c r="AT1741" s="79"/>
      <c r="AU1741" s="212"/>
      <c r="AV1741" s="164"/>
      <c r="AW1741" s="164"/>
      <c r="AX1741" s="76"/>
      <c r="AY1741" s="44"/>
      <c r="AZ1741" s="275"/>
      <c r="BA1741" s="52"/>
      <c r="BB1741" s="35"/>
      <c r="BC1741" s="79"/>
      <c r="BD1741" s="230"/>
      <c r="BE1741" s="211"/>
      <c r="BF1741" s="164"/>
      <c r="BG1741" s="76"/>
      <c r="BH1741" s="44"/>
      <c r="BI1741" s="275"/>
      <c r="BJ1741" s="52"/>
      <c r="BK1741" s="35"/>
      <c r="BL1741" s="79"/>
      <c r="BM1741" s="230"/>
      <c r="BN1741" s="211"/>
      <c r="BO1741" s="164"/>
      <c r="BP1741" s="726"/>
      <c r="BQ1741" s="727"/>
      <c r="BR1741" s="299"/>
      <c r="BS1741" s="35"/>
      <c r="BT1741" s="596"/>
      <c r="BU1741" s="79"/>
      <c r="BV1741" s="212"/>
      <c r="BW1741" s="304"/>
      <c r="BX1741" s="313"/>
      <c r="BY1741" s="138"/>
    </row>
    <row r="1742" spans="1:77" ht="15" customHeight="1" outlineLevel="1" x14ac:dyDescent="0.2">
      <c r="A1742" s="57" t="s">
        <v>24</v>
      </c>
      <c r="B1742" s="583"/>
      <c r="C1742" s="583" t="s">
        <v>2395</v>
      </c>
      <c r="D1742" s="546">
        <v>4.5410000000000004</v>
      </c>
      <c r="E1742" s="162" t="s">
        <v>631</v>
      </c>
      <c r="F1742" s="358"/>
      <c r="G1742" s="65"/>
      <c r="H1742" s="73"/>
      <c r="I1742" s="90">
        <v>2003</v>
      </c>
      <c r="J1742" s="73"/>
      <c r="K1742" s="813">
        <v>2.8379000000000001E-2</v>
      </c>
      <c r="L1742" s="717"/>
      <c r="M1742" s="73"/>
      <c r="N1742" s="359"/>
      <c r="O1742" s="1041"/>
      <c r="P1742" s="73"/>
      <c r="Q1742" s="359"/>
      <c r="R1742" s="1041"/>
      <c r="S1742" s="73"/>
      <c r="T1742" s="359"/>
      <c r="U1742" s="73"/>
      <c r="V1742" s="66"/>
      <c r="W1742" s="740">
        <f t="shared" ref="W1742" si="1615">AA1742*(1+AB1742)</f>
        <v>2.0432880000000001E-5</v>
      </c>
      <c r="X1742" s="741">
        <f t="shared" ref="X1742" si="1616">AA1742*(1+AC1742)</f>
        <v>2.0432880000000001E-5</v>
      </c>
      <c r="Y1742" s="52">
        <v>2005</v>
      </c>
      <c r="Z1742" s="52"/>
      <c r="AA1742" s="739">
        <f>+K1742/1000</f>
        <v>2.8379000000000001E-5</v>
      </c>
      <c r="AB1742" s="256">
        <v>-0.28000000000000003</v>
      </c>
      <c r="AC1742" s="688">
        <f t="shared" ref="AC1742" si="1617">AB1742</f>
        <v>-0.28000000000000003</v>
      </c>
      <c r="AD1742" s="164"/>
      <c r="AE1742" s="164"/>
      <c r="AF1742" s="25"/>
      <c r="AG1742" s="26"/>
      <c r="AH1742" s="275"/>
      <c r="AI1742" s="52"/>
      <c r="AJ1742" s="35"/>
      <c r="AK1742" s="289"/>
      <c r="AL1742" s="290"/>
      <c r="AM1742" s="211"/>
      <c r="AN1742" s="164"/>
      <c r="AO1742" s="594"/>
      <c r="AP1742" s="595"/>
      <c r="AQ1742" s="275"/>
      <c r="AR1742" s="52"/>
      <c r="AS1742" s="596"/>
      <c r="AT1742" s="79"/>
      <c r="AU1742" s="212"/>
      <c r="AV1742" s="164"/>
      <c r="AW1742" s="164"/>
      <c r="AX1742" s="76"/>
      <c r="AY1742" s="44"/>
      <c r="AZ1742" s="275"/>
      <c r="BA1742" s="52"/>
      <c r="BB1742" s="35"/>
      <c r="BC1742" s="79"/>
      <c r="BD1742" s="230"/>
      <c r="BE1742" s="211"/>
      <c r="BF1742" s="164"/>
      <c r="BG1742" s="76"/>
      <c r="BH1742" s="44"/>
      <c r="BI1742" s="275"/>
      <c r="BJ1742" s="52"/>
      <c r="BK1742" s="35"/>
      <c r="BL1742" s="79"/>
      <c r="BM1742" s="230"/>
      <c r="BN1742" s="211"/>
      <c r="BO1742" s="164"/>
      <c r="BP1742" s="726"/>
      <c r="BQ1742" s="727"/>
      <c r="BR1742" s="299"/>
      <c r="BS1742" s="35"/>
      <c r="BT1742" s="596"/>
      <c r="BU1742" s="79"/>
      <c r="BV1742" s="212"/>
      <c r="BW1742" s="304"/>
      <c r="BX1742" s="313"/>
      <c r="BY1742" s="138"/>
    </row>
    <row r="1743" spans="1:77" ht="15" customHeight="1" outlineLevel="1" x14ac:dyDescent="0.2">
      <c r="A1743" s="583" t="s">
        <v>24</v>
      </c>
      <c r="B1743" s="583"/>
      <c r="C1743" s="583" t="s">
        <v>1917</v>
      </c>
      <c r="D1743" s="546">
        <v>10.596</v>
      </c>
      <c r="E1743" s="162" t="s">
        <v>631</v>
      </c>
      <c r="F1743" s="358"/>
      <c r="G1743" s="65"/>
      <c r="H1743" s="73"/>
      <c r="I1743" s="90"/>
      <c r="J1743" s="73"/>
      <c r="K1743" s="813"/>
      <c r="L1743" s="717"/>
      <c r="M1743" s="73"/>
      <c r="N1743" s="786">
        <v>1.7221E-2</v>
      </c>
      <c r="O1743" s="1041"/>
      <c r="P1743" s="73"/>
      <c r="Q1743" s="359"/>
      <c r="R1743" s="1041"/>
      <c r="S1743" s="73"/>
      <c r="T1743" s="359"/>
      <c r="U1743" s="73"/>
      <c r="V1743" s="66"/>
      <c r="W1743" s="740">
        <f t="shared" si="1610"/>
        <v>1.257133E-5</v>
      </c>
      <c r="X1743" s="741">
        <f t="shared" si="1611"/>
        <v>1.257133E-5</v>
      </c>
      <c r="Y1743" s="52">
        <v>2010</v>
      </c>
      <c r="Z1743" s="52"/>
      <c r="AA1743" s="739">
        <f>+N1743/1000</f>
        <v>1.7221E-5</v>
      </c>
      <c r="AB1743" s="256">
        <v>-0.27</v>
      </c>
      <c r="AC1743" s="688">
        <f t="shared" si="1509"/>
        <v>-0.27</v>
      </c>
      <c r="AD1743" s="164"/>
      <c r="AE1743" s="164"/>
      <c r="AF1743" s="25"/>
      <c r="AG1743" s="26"/>
      <c r="AH1743" s="275"/>
      <c r="AI1743" s="52"/>
      <c r="AJ1743" s="35"/>
      <c r="AK1743" s="289"/>
      <c r="AL1743" s="290"/>
      <c r="AM1743" s="211"/>
      <c r="AN1743" s="164"/>
      <c r="AO1743" s="594"/>
      <c r="AP1743" s="595"/>
      <c r="AQ1743" s="275"/>
      <c r="AR1743" s="52"/>
      <c r="AS1743" s="596"/>
      <c r="AT1743" s="79"/>
      <c r="AU1743" s="212"/>
      <c r="AV1743" s="164"/>
      <c r="AW1743" s="164"/>
      <c r="AX1743" s="76"/>
      <c r="AY1743" s="44"/>
      <c r="AZ1743" s="275"/>
      <c r="BA1743" s="52"/>
      <c r="BB1743" s="35"/>
      <c r="BC1743" s="79"/>
      <c r="BD1743" s="230"/>
      <c r="BE1743" s="211"/>
      <c r="BF1743" s="164"/>
      <c r="BG1743" s="76"/>
      <c r="BH1743" s="44"/>
      <c r="BI1743" s="275"/>
      <c r="BJ1743" s="52"/>
      <c r="BK1743" s="35"/>
      <c r="BL1743" s="79"/>
      <c r="BM1743" s="230"/>
      <c r="BN1743" s="211"/>
      <c r="BO1743" s="164"/>
      <c r="BP1743" s="726"/>
      <c r="BQ1743" s="727"/>
      <c r="BR1743" s="299"/>
      <c r="BS1743" s="35"/>
      <c r="BT1743" s="596"/>
      <c r="BU1743" s="79"/>
      <c r="BV1743" s="212"/>
      <c r="BW1743" s="304"/>
      <c r="BX1743" s="313"/>
      <c r="BY1743" s="138"/>
    </row>
    <row r="1744" spans="1:77" ht="15" customHeight="1" outlineLevel="1" x14ac:dyDescent="0.2">
      <c r="A1744" s="57" t="s">
        <v>24</v>
      </c>
      <c r="B1744" s="583"/>
      <c r="C1744" s="583" t="s">
        <v>1356</v>
      </c>
      <c r="D1744" s="546">
        <v>17.332999999999998</v>
      </c>
      <c r="E1744" s="162" t="s">
        <v>631</v>
      </c>
      <c r="F1744" s="358"/>
      <c r="G1744" s="65"/>
      <c r="H1744" s="73"/>
      <c r="I1744" s="90"/>
      <c r="J1744" s="73"/>
      <c r="K1744" s="734">
        <v>1.7502E-2</v>
      </c>
      <c r="L1744" s="717"/>
      <c r="M1744" s="73"/>
      <c r="N1744" s="359"/>
      <c r="O1744" s="1041"/>
      <c r="P1744" s="73"/>
      <c r="Q1744" s="359"/>
      <c r="R1744" s="1041"/>
      <c r="S1744" s="73"/>
      <c r="T1744" s="359"/>
      <c r="U1744" s="73"/>
      <c r="V1744" s="66"/>
      <c r="W1744" s="740">
        <f t="shared" ref="W1744:W1828" si="1618">AA1744*(1+AB1744)</f>
        <v>1.102626E-5</v>
      </c>
      <c r="X1744" s="741">
        <f t="shared" ref="X1744:X1828" si="1619">AA1744*(1+AC1744)</f>
        <v>1.102626E-5</v>
      </c>
      <c r="Y1744" s="52">
        <v>2005</v>
      </c>
      <c r="Z1744" s="52"/>
      <c r="AA1744" s="739">
        <f t="shared" si="1609"/>
        <v>1.7501999999999999E-5</v>
      </c>
      <c r="AB1744" s="256">
        <v>-0.37</v>
      </c>
      <c r="AC1744" s="688">
        <f t="shared" ref="AC1744:AC1828" si="1620">AB1744</f>
        <v>-0.37</v>
      </c>
      <c r="AD1744" s="164"/>
      <c r="AE1744" s="164"/>
      <c r="AF1744" s="25"/>
      <c r="AG1744" s="26"/>
      <c r="AH1744" s="275"/>
      <c r="AI1744" s="52"/>
      <c r="AJ1744" s="35"/>
      <c r="AK1744" s="289"/>
      <c r="AL1744" s="290"/>
      <c r="AM1744" s="211"/>
      <c r="AN1744" s="164"/>
      <c r="AO1744" s="594"/>
      <c r="AP1744" s="595"/>
      <c r="AQ1744" s="275"/>
      <c r="AR1744" s="52"/>
      <c r="AS1744" s="596"/>
      <c r="AT1744" s="79"/>
      <c r="AU1744" s="212"/>
      <c r="AV1744" s="164"/>
      <c r="AW1744" s="164"/>
      <c r="AX1744" s="76"/>
      <c r="AY1744" s="44"/>
      <c r="AZ1744" s="275"/>
      <c r="BA1744" s="52"/>
      <c r="BB1744" s="35"/>
      <c r="BC1744" s="79"/>
      <c r="BD1744" s="230"/>
      <c r="BE1744" s="211"/>
      <c r="BF1744" s="164"/>
      <c r="BG1744" s="76"/>
      <c r="BH1744" s="44"/>
      <c r="BI1744" s="275"/>
      <c r="BJ1744" s="52"/>
      <c r="BK1744" s="35"/>
      <c r="BL1744" s="79"/>
      <c r="BM1744" s="230"/>
      <c r="BN1744" s="211"/>
      <c r="BO1744" s="164"/>
      <c r="BP1744" s="726"/>
      <c r="BQ1744" s="727"/>
      <c r="BR1744" s="299"/>
      <c r="BS1744" s="35"/>
      <c r="BT1744" s="596"/>
      <c r="BU1744" s="79"/>
      <c r="BV1744" s="212"/>
      <c r="BW1744" s="304"/>
      <c r="BX1744" s="313"/>
      <c r="BY1744" s="138"/>
    </row>
    <row r="1745" spans="1:77" ht="15" customHeight="1" outlineLevel="1" x14ac:dyDescent="0.2">
      <c r="A1745" s="57" t="s">
        <v>24</v>
      </c>
      <c r="B1745" s="583"/>
      <c r="C1745" s="583" t="s">
        <v>2475</v>
      </c>
      <c r="D1745" s="546">
        <v>0.95299999999999996</v>
      </c>
      <c r="E1745" s="162" t="s">
        <v>631</v>
      </c>
      <c r="F1745" s="358"/>
      <c r="G1745" s="65"/>
      <c r="H1745" s="73"/>
      <c r="I1745" s="90"/>
      <c r="J1745" s="73"/>
      <c r="K1745" s="734"/>
      <c r="L1745" s="717"/>
      <c r="M1745" s="73"/>
      <c r="N1745" s="786">
        <v>3.3670000000000002E-3</v>
      </c>
      <c r="O1745" s="1041"/>
      <c r="P1745" s="73"/>
      <c r="Q1745" s="359"/>
      <c r="R1745" s="1041"/>
      <c r="S1745" s="73"/>
      <c r="T1745" s="359"/>
      <c r="U1745" s="73"/>
      <c r="V1745" s="66"/>
      <c r="W1745" s="740"/>
      <c r="X1745" s="741"/>
      <c r="Y1745" s="52"/>
      <c r="Z1745" s="52"/>
      <c r="AA1745" s="739"/>
      <c r="AB1745" s="256"/>
      <c r="AC1745" s="688"/>
      <c r="AD1745" s="164"/>
      <c r="AE1745" s="164"/>
      <c r="AF1745" s="25"/>
      <c r="AG1745" s="26"/>
      <c r="AH1745" s="275"/>
      <c r="AI1745" s="52"/>
      <c r="AJ1745" s="35"/>
      <c r="AK1745" s="289"/>
      <c r="AL1745" s="290"/>
      <c r="AM1745" s="211"/>
      <c r="AN1745" s="164"/>
      <c r="AO1745" s="788">
        <f>AS1745*(1+AT1745)</f>
        <v>1.2794600000000002E-6</v>
      </c>
      <c r="AP1745" s="789">
        <f>AS1745*(1+AU1745)</f>
        <v>1.2794600000000002E-6</v>
      </c>
      <c r="AQ1745" s="275">
        <v>2010</v>
      </c>
      <c r="AR1745" s="52"/>
      <c r="AS1745" s="787">
        <f>+N1745/1000</f>
        <v>3.3670000000000001E-6</v>
      </c>
      <c r="AT1745" s="79">
        <v>-0.62</v>
      </c>
      <c r="AU1745" s="212">
        <f>AT1745</f>
        <v>-0.62</v>
      </c>
      <c r="AV1745" s="164"/>
      <c r="AW1745" s="164"/>
      <c r="AX1745" s="76"/>
      <c r="AY1745" s="44"/>
      <c r="AZ1745" s="275"/>
      <c r="BA1745" s="52"/>
      <c r="BB1745" s="35"/>
      <c r="BC1745" s="79"/>
      <c r="BD1745" s="230"/>
      <c r="BE1745" s="211"/>
      <c r="BF1745" s="164"/>
      <c r="BG1745" s="76"/>
      <c r="BH1745" s="44"/>
      <c r="BI1745" s="275"/>
      <c r="BJ1745" s="52"/>
      <c r="BK1745" s="35"/>
      <c r="BL1745" s="79"/>
      <c r="BM1745" s="230"/>
      <c r="BN1745" s="211"/>
      <c r="BO1745" s="164"/>
      <c r="BP1745" s="726"/>
      <c r="BQ1745" s="727"/>
      <c r="BR1745" s="299"/>
      <c r="BS1745" s="35"/>
      <c r="BT1745" s="596"/>
      <c r="BU1745" s="79"/>
      <c r="BV1745" s="212"/>
      <c r="BW1745" s="304"/>
      <c r="BX1745" s="313"/>
      <c r="BY1745" s="138"/>
    </row>
    <row r="1746" spans="1:77" ht="15" customHeight="1" outlineLevel="1" x14ac:dyDescent="0.2">
      <c r="A1746" s="583" t="s">
        <v>24</v>
      </c>
      <c r="B1746" s="583"/>
      <c r="C1746" s="583" t="s">
        <v>1887</v>
      </c>
      <c r="D1746" s="546">
        <v>5.7629999999999999</v>
      </c>
      <c r="E1746" s="162" t="s">
        <v>631</v>
      </c>
      <c r="F1746" s="358"/>
      <c r="G1746" s="65"/>
      <c r="H1746" s="73"/>
      <c r="I1746" s="90"/>
      <c r="J1746" s="73"/>
      <c r="K1746" s="734">
        <v>3.2814000000000003E-2</v>
      </c>
      <c r="L1746" s="717"/>
      <c r="M1746" s="73"/>
      <c r="N1746" s="359"/>
      <c r="O1746" s="1041"/>
      <c r="P1746" s="73"/>
      <c r="Q1746" s="359"/>
      <c r="R1746" s="1041"/>
      <c r="S1746" s="73"/>
      <c r="T1746" s="359"/>
      <c r="U1746" s="73"/>
      <c r="V1746" s="66"/>
      <c r="W1746" s="740">
        <f t="shared" si="1618"/>
        <v>2.428236E-5</v>
      </c>
      <c r="X1746" s="741">
        <f t="shared" si="1619"/>
        <v>2.428236E-5</v>
      </c>
      <c r="Y1746" s="52">
        <v>2005</v>
      </c>
      <c r="Z1746" s="52"/>
      <c r="AA1746" s="739">
        <f t="shared" si="1609"/>
        <v>3.2814000000000001E-5</v>
      </c>
      <c r="AB1746" s="256">
        <v>-0.26</v>
      </c>
      <c r="AC1746" s="688">
        <f t="shared" si="1620"/>
        <v>-0.26</v>
      </c>
      <c r="AD1746" s="164"/>
      <c r="AE1746" s="164"/>
      <c r="AF1746" s="25"/>
      <c r="AG1746" s="26"/>
      <c r="AH1746" s="275"/>
      <c r="AI1746" s="52"/>
      <c r="AJ1746" s="35"/>
      <c r="AK1746" s="289"/>
      <c r="AL1746" s="290"/>
      <c r="AM1746" s="211"/>
      <c r="AN1746" s="164"/>
      <c r="AO1746" s="594"/>
      <c r="AP1746" s="595"/>
      <c r="AQ1746" s="275"/>
      <c r="AR1746" s="52"/>
      <c r="AS1746" s="596"/>
      <c r="AT1746" s="79"/>
      <c r="AU1746" s="212"/>
      <c r="AV1746" s="164"/>
      <c r="AW1746" s="164"/>
      <c r="AX1746" s="76"/>
      <c r="AY1746" s="44"/>
      <c r="AZ1746" s="275"/>
      <c r="BA1746" s="52"/>
      <c r="BB1746" s="35"/>
      <c r="BC1746" s="79"/>
      <c r="BD1746" s="230"/>
      <c r="BE1746" s="211"/>
      <c r="BF1746" s="164"/>
      <c r="BG1746" s="76"/>
      <c r="BH1746" s="44"/>
      <c r="BI1746" s="275"/>
      <c r="BJ1746" s="52"/>
      <c r="BK1746" s="35"/>
      <c r="BL1746" s="79"/>
      <c r="BM1746" s="230"/>
      <c r="BN1746" s="211"/>
      <c r="BO1746" s="164"/>
      <c r="BP1746" s="726"/>
      <c r="BQ1746" s="727"/>
      <c r="BR1746" s="299"/>
      <c r="BS1746" s="35"/>
      <c r="BT1746" s="596"/>
      <c r="BU1746" s="79"/>
      <c r="BV1746" s="212"/>
      <c r="BW1746" s="304"/>
      <c r="BX1746" s="313"/>
      <c r="BY1746" s="138"/>
    </row>
    <row r="1747" spans="1:77" ht="15" customHeight="1" outlineLevel="1" x14ac:dyDescent="0.2">
      <c r="A1747" s="57" t="s">
        <v>24</v>
      </c>
      <c r="B1747" s="583"/>
      <c r="C1747" s="583" t="s">
        <v>1473</v>
      </c>
      <c r="D1747" s="546">
        <v>5.3079999999999998</v>
      </c>
      <c r="E1747" s="162" t="s">
        <v>631</v>
      </c>
      <c r="F1747" s="358"/>
      <c r="G1747" s="65"/>
      <c r="H1747" s="73"/>
      <c r="I1747" s="90">
        <v>1999</v>
      </c>
      <c r="J1747" s="73"/>
      <c r="K1747" s="813">
        <v>2.8413000000000001E-2</v>
      </c>
      <c r="L1747" s="717"/>
      <c r="M1747" s="73"/>
      <c r="N1747" s="359"/>
      <c r="O1747" s="1041"/>
      <c r="P1747" s="73"/>
      <c r="Q1747" s="359"/>
      <c r="R1747" s="1041"/>
      <c r="S1747" s="73"/>
      <c r="T1747" s="359"/>
      <c r="U1747" s="73"/>
      <c r="V1747" s="66"/>
      <c r="W1747" s="740">
        <f t="shared" si="1618"/>
        <v>1.761606E-5</v>
      </c>
      <c r="X1747" s="741">
        <f t="shared" si="1619"/>
        <v>1.761606E-5</v>
      </c>
      <c r="Y1747" s="52">
        <v>1999</v>
      </c>
      <c r="Z1747" s="52"/>
      <c r="AA1747" s="739">
        <f t="shared" si="1609"/>
        <v>2.8413000000000001E-5</v>
      </c>
      <c r="AB1747" s="256">
        <v>-0.38</v>
      </c>
      <c r="AC1747" s="688">
        <f t="shared" si="1620"/>
        <v>-0.38</v>
      </c>
      <c r="AD1747" s="164"/>
      <c r="AE1747" s="164"/>
      <c r="AF1747" s="25"/>
      <c r="AG1747" s="26"/>
      <c r="AH1747" s="275"/>
      <c r="AI1747" s="52"/>
      <c r="AJ1747" s="35"/>
      <c r="AK1747" s="289"/>
      <c r="AL1747" s="290"/>
      <c r="AM1747" s="211"/>
      <c r="AN1747" s="164"/>
      <c r="AO1747" s="594"/>
      <c r="AP1747" s="595"/>
      <c r="AQ1747" s="275"/>
      <c r="AR1747" s="52"/>
      <c r="AS1747" s="596"/>
      <c r="AT1747" s="79"/>
      <c r="AU1747" s="212"/>
      <c r="AV1747" s="164"/>
      <c r="AW1747" s="164"/>
      <c r="AX1747" s="76"/>
      <c r="AY1747" s="44"/>
      <c r="AZ1747" s="275"/>
      <c r="BA1747" s="52"/>
      <c r="BB1747" s="35"/>
      <c r="BC1747" s="79"/>
      <c r="BD1747" s="230"/>
      <c r="BE1747" s="211"/>
      <c r="BF1747" s="164"/>
      <c r="BG1747" s="76"/>
      <c r="BH1747" s="44"/>
      <c r="BI1747" s="275"/>
      <c r="BJ1747" s="52"/>
      <c r="BK1747" s="35"/>
      <c r="BL1747" s="79"/>
      <c r="BM1747" s="230"/>
      <c r="BN1747" s="211"/>
      <c r="BO1747" s="164"/>
      <c r="BP1747" s="726"/>
      <c r="BQ1747" s="727"/>
      <c r="BR1747" s="299"/>
      <c r="BS1747" s="35"/>
      <c r="BT1747" s="596"/>
      <c r="BU1747" s="79"/>
      <c r="BV1747" s="212"/>
      <c r="BW1747" s="304"/>
      <c r="BX1747" s="313"/>
      <c r="BY1747" s="138"/>
    </row>
    <row r="1748" spans="1:77" ht="15" customHeight="1" outlineLevel="1" x14ac:dyDescent="0.2">
      <c r="A1748" s="57" t="s">
        <v>24</v>
      </c>
      <c r="B1748" s="583"/>
      <c r="C1748" s="583" t="s">
        <v>1373</v>
      </c>
      <c r="D1748" s="546">
        <v>0.55300000000000005</v>
      </c>
      <c r="E1748" s="162" t="s">
        <v>631</v>
      </c>
      <c r="F1748" s="358"/>
      <c r="G1748" s="65"/>
      <c r="H1748" s="73"/>
      <c r="I1748" s="90"/>
      <c r="J1748" s="73"/>
      <c r="K1748" s="790">
        <v>1.0989999999999999E-3</v>
      </c>
      <c r="L1748" s="717"/>
      <c r="M1748" s="73"/>
      <c r="N1748" s="359"/>
      <c r="O1748" s="1041"/>
      <c r="P1748" s="73"/>
      <c r="Q1748" s="359"/>
      <c r="R1748" s="1041"/>
      <c r="S1748" s="73"/>
      <c r="T1748" s="359"/>
      <c r="U1748" s="73"/>
      <c r="V1748" s="66"/>
      <c r="W1748" s="808">
        <f t="shared" si="1618"/>
        <v>4.5059000000000001E-7</v>
      </c>
      <c r="X1748" s="809">
        <f t="shared" si="1619"/>
        <v>4.5059000000000001E-7</v>
      </c>
      <c r="Y1748" s="52">
        <v>2005</v>
      </c>
      <c r="Z1748" s="52"/>
      <c r="AA1748" s="787">
        <f t="shared" si="1609"/>
        <v>1.099E-6</v>
      </c>
      <c r="AB1748" s="256">
        <v>-0.59</v>
      </c>
      <c r="AC1748" s="688">
        <f t="shared" si="1620"/>
        <v>-0.59</v>
      </c>
      <c r="AD1748" s="164"/>
      <c r="AE1748" s="164"/>
      <c r="AF1748" s="25"/>
      <c r="AG1748" s="26"/>
      <c r="AH1748" s="275"/>
      <c r="AI1748" s="52"/>
      <c r="AJ1748" s="35"/>
      <c r="AK1748" s="289"/>
      <c r="AL1748" s="290"/>
      <c r="AM1748" s="211"/>
      <c r="AN1748" s="164"/>
      <c r="AO1748" s="594"/>
      <c r="AP1748" s="595"/>
      <c r="AQ1748" s="275"/>
      <c r="AR1748" s="52"/>
      <c r="AS1748" s="596"/>
      <c r="AT1748" s="79"/>
      <c r="AU1748" s="212"/>
      <c r="AV1748" s="164"/>
      <c r="AW1748" s="164"/>
      <c r="AX1748" s="76"/>
      <c r="AY1748" s="44"/>
      <c r="AZ1748" s="275"/>
      <c r="BA1748" s="52"/>
      <c r="BB1748" s="35"/>
      <c r="BC1748" s="79"/>
      <c r="BD1748" s="230"/>
      <c r="BE1748" s="211"/>
      <c r="BF1748" s="164"/>
      <c r="BG1748" s="76"/>
      <c r="BH1748" s="44"/>
      <c r="BI1748" s="275"/>
      <c r="BJ1748" s="52"/>
      <c r="BK1748" s="35"/>
      <c r="BL1748" s="79"/>
      <c r="BM1748" s="230"/>
      <c r="BN1748" s="211"/>
      <c r="BO1748" s="164"/>
      <c r="BP1748" s="726"/>
      <c r="BQ1748" s="727"/>
      <c r="BR1748" s="299"/>
      <c r="BS1748" s="35"/>
      <c r="BT1748" s="596"/>
      <c r="BU1748" s="79"/>
      <c r="BV1748" s="212"/>
      <c r="BW1748" s="304"/>
      <c r="BX1748" s="313"/>
      <c r="BY1748" s="138"/>
    </row>
    <row r="1749" spans="1:77" ht="15" customHeight="1" outlineLevel="1" x14ac:dyDescent="0.2">
      <c r="A1749" s="583" t="s">
        <v>24</v>
      </c>
      <c r="B1749" s="583"/>
      <c r="C1749" s="583" t="s">
        <v>1758</v>
      </c>
      <c r="D1749" s="546">
        <v>5.5229999999999997</v>
      </c>
      <c r="E1749" s="162" t="s">
        <v>631</v>
      </c>
      <c r="F1749" s="358"/>
      <c r="G1749" s="65"/>
      <c r="H1749" s="73"/>
      <c r="I1749" s="90"/>
      <c r="J1749" s="73"/>
      <c r="K1749" s="790"/>
      <c r="L1749" s="717">
        <v>2009</v>
      </c>
      <c r="M1749" s="73"/>
      <c r="N1749" s="786">
        <v>7.7790000000000003E-3</v>
      </c>
      <c r="O1749" s="1041"/>
      <c r="P1749" s="73"/>
      <c r="Q1749" s="786"/>
      <c r="R1749" s="1041"/>
      <c r="S1749" s="73"/>
      <c r="T1749" s="786"/>
      <c r="U1749" s="73"/>
      <c r="V1749" s="66"/>
      <c r="W1749" s="788">
        <f t="shared" ref="W1749" si="1621">AA1749*(1+AB1749)</f>
        <v>5.8342499999999992E-6</v>
      </c>
      <c r="X1749" s="789">
        <f t="shared" ref="X1749" si="1622">AA1749*(1+AC1749)</f>
        <v>5.8342499999999992E-6</v>
      </c>
      <c r="Y1749" s="52">
        <v>2009</v>
      </c>
      <c r="Z1749" s="52"/>
      <c r="AA1749" s="787">
        <f>+N1749/1000</f>
        <v>7.7789999999999996E-6</v>
      </c>
      <c r="AB1749" s="256">
        <v>-0.25</v>
      </c>
      <c r="AC1749" s="688">
        <f t="shared" si="1620"/>
        <v>-0.25</v>
      </c>
      <c r="AD1749" s="164"/>
      <c r="AE1749" s="164"/>
      <c r="AF1749" s="25"/>
      <c r="AG1749" s="26"/>
      <c r="AH1749" s="275"/>
      <c r="AI1749" s="52"/>
      <c r="AJ1749" s="35"/>
      <c r="AK1749" s="289"/>
      <c r="AL1749" s="290"/>
      <c r="AM1749" s="211"/>
      <c r="AN1749" s="164"/>
      <c r="AO1749" s="594"/>
      <c r="AP1749" s="595"/>
      <c r="AQ1749" s="275"/>
      <c r="AR1749" s="52"/>
      <c r="AS1749" s="596"/>
      <c r="AT1749" s="79"/>
      <c r="AU1749" s="212"/>
      <c r="AV1749" s="164"/>
      <c r="AW1749" s="164"/>
      <c r="AX1749" s="76"/>
      <c r="AY1749" s="44"/>
      <c r="AZ1749" s="275"/>
      <c r="BA1749" s="52"/>
      <c r="BB1749" s="35"/>
      <c r="BC1749" s="79"/>
      <c r="BD1749" s="230"/>
      <c r="BE1749" s="211"/>
      <c r="BF1749" s="164"/>
      <c r="BG1749" s="76"/>
      <c r="BH1749" s="44"/>
      <c r="BI1749" s="275"/>
      <c r="BJ1749" s="52"/>
      <c r="BK1749" s="35"/>
      <c r="BL1749" s="79"/>
      <c r="BM1749" s="230"/>
      <c r="BN1749" s="211"/>
      <c r="BO1749" s="164"/>
      <c r="BP1749" s="726"/>
      <c r="BQ1749" s="727"/>
      <c r="BR1749" s="299"/>
      <c r="BS1749" s="35"/>
      <c r="BT1749" s="596"/>
      <c r="BU1749" s="79"/>
      <c r="BV1749" s="212"/>
      <c r="BW1749" s="304"/>
      <c r="BX1749" s="313"/>
      <c r="BY1749" s="138"/>
    </row>
    <row r="1750" spans="1:77" ht="15" customHeight="1" outlineLevel="1" x14ac:dyDescent="0.2">
      <c r="A1750" s="583" t="s">
        <v>24</v>
      </c>
      <c r="B1750" s="583"/>
      <c r="C1750" s="583" t="s">
        <v>1766</v>
      </c>
      <c r="D1750" s="546">
        <v>4.2450000000000001</v>
      </c>
      <c r="E1750" s="162" t="s">
        <v>631</v>
      </c>
      <c r="F1750" s="358"/>
      <c r="G1750" s="65"/>
      <c r="H1750" s="73"/>
      <c r="I1750" s="90"/>
      <c r="J1750" s="73"/>
      <c r="K1750" s="790">
        <v>1.1964000000000001E-2</v>
      </c>
      <c r="L1750" s="717"/>
      <c r="M1750" s="73"/>
      <c r="N1750" s="786"/>
      <c r="O1750" s="1041"/>
      <c r="P1750" s="73"/>
      <c r="Q1750" s="786"/>
      <c r="R1750" s="1041"/>
      <c r="S1750" s="73"/>
      <c r="T1750" s="786"/>
      <c r="U1750" s="73"/>
      <c r="V1750" s="66"/>
      <c r="W1750" s="788">
        <f t="shared" ref="W1750:W1753" si="1623">AA1750*(1+AB1750)</f>
        <v>8.9730000000000003E-6</v>
      </c>
      <c r="X1750" s="789">
        <f t="shared" ref="X1750:X1753" si="1624">AA1750*(1+AC1750)</f>
        <v>8.9730000000000003E-6</v>
      </c>
      <c r="Y1750" s="52">
        <v>2005</v>
      </c>
      <c r="Z1750" s="52"/>
      <c r="AA1750" s="787">
        <f>+K1750/1000</f>
        <v>1.1964000000000001E-5</v>
      </c>
      <c r="AB1750" s="256">
        <v>-0.25</v>
      </c>
      <c r="AC1750" s="688">
        <f t="shared" si="1620"/>
        <v>-0.25</v>
      </c>
      <c r="AD1750" s="164"/>
      <c r="AE1750" s="164"/>
      <c r="AF1750" s="25"/>
      <c r="AG1750" s="26"/>
      <c r="AH1750" s="275"/>
      <c r="AI1750" s="52"/>
      <c r="AJ1750" s="35"/>
      <c r="AK1750" s="289"/>
      <c r="AL1750" s="290"/>
      <c r="AM1750" s="211"/>
      <c r="AN1750" s="164"/>
      <c r="AO1750" s="594"/>
      <c r="AP1750" s="595"/>
      <c r="AQ1750" s="275"/>
      <c r="AR1750" s="52"/>
      <c r="AS1750" s="596"/>
      <c r="AT1750" s="79"/>
      <c r="AU1750" s="212"/>
      <c r="AV1750" s="164"/>
      <c r="AW1750" s="164"/>
      <c r="AX1750" s="76"/>
      <c r="AY1750" s="44"/>
      <c r="AZ1750" s="275"/>
      <c r="BA1750" s="52"/>
      <c r="BB1750" s="35"/>
      <c r="BC1750" s="79"/>
      <c r="BD1750" s="230"/>
      <c r="BE1750" s="211"/>
      <c r="BF1750" s="164"/>
      <c r="BG1750" s="76"/>
      <c r="BH1750" s="44"/>
      <c r="BI1750" s="275"/>
      <c r="BJ1750" s="52"/>
      <c r="BK1750" s="35"/>
      <c r="BL1750" s="79"/>
      <c r="BM1750" s="230"/>
      <c r="BN1750" s="211"/>
      <c r="BO1750" s="164"/>
      <c r="BP1750" s="726"/>
      <c r="BQ1750" s="727"/>
      <c r="BR1750" s="299"/>
      <c r="BS1750" s="35"/>
      <c r="BT1750" s="596"/>
      <c r="BU1750" s="79"/>
      <c r="BV1750" s="212"/>
      <c r="BW1750" s="304"/>
      <c r="BX1750" s="313"/>
      <c r="BY1750" s="138"/>
    </row>
    <row r="1751" spans="1:77" ht="15" customHeight="1" outlineLevel="1" x14ac:dyDescent="0.2">
      <c r="A1751" s="583" t="s">
        <v>24</v>
      </c>
      <c r="B1751" s="583"/>
      <c r="C1751" s="583" t="s">
        <v>2388</v>
      </c>
      <c r="D1751" s="546">
        <v>4.3789999999999996</v>
      </c>
      <c r="E1751" s="162" t="s">
        <v>631</v>
      </c>
      <c r="F1751" s="358"/>
      <c r="G1751" s="65"/>
      <c r="H1751" s="73"/>
      <c r="I1751" s="90">
        <v>2000</v>
      </c>
      <c r="J1751" s="73"/>
      <c r="K1751" s="790">
        <v>2.4927999999999999E-2</v>
      </c>
      <c r="L1751" s="717"/>
      <c r="M1751" s="73"/>
      <c r="N1751" s="786"/>
      <c r="O1751" s="1041"/>
      <c r="P1751" s="73"/>
      <c r="Q1751" s="786"/>
      <c r="R1751" s="1041"/>
      <c r="S1751" s="73"/>
      <c r="T1751" s="786"/>
      <c r="U1751" s="73"/>
      <c r="V1751" s="66"/>
      <c r="W1751" s="788">
        <f t="shared" ref="W1751" si="1625">AA1751*(1+AB1751)</f>
        <v>1.5206079999999999E-5</v>
      </c>
      <c r="X1751" s="789">
        <f t="shared" ref="X1751" si="1626">AA1751*(1+AC1751)</f>
        <v>1.5206079999999999E-5</v>
      </c>
      <c r="Y1751" s="52">
        <v>2000</v>
      </c>
      <c r="Z1751" s="52"/>
      <c r="AA1751" s="787">
        <f>+K1751/1000</f>
        <v>2.4927999999999999E-5</v>
      </c>
      <c r="AB1751" s="256">
        <v>-0.39</v>
      </c>
      <c r="AC1751" s="688">
        <f t="shared" ref="AC1751" si="1627">AB1751</f>
        <v>-0.39</v>
      </c>
      <c r="AD1751" s="164"/>
      <c r="AE1751" s="164"/>
      <c r="AF1751" s="25"/>
      <c r="AG1751" s="26"/>
      <c r="AH1751" s="275"/>
      <c r="AI1751" s="52"/>
      <c r="AJ1751" s="35"/>
      <c r="AK1751" s="289"/>
      <c r="AL1751" s="290"/>
      <c r="AM1751" s="211"/>
      <c r="AN1751" s="164"/>
      <c r="AO1751" s="594"/>
      <c r="AP1751" s="595"/>
      <c r="AQ1751" s="275"/>
      <c r="AR1751" s="52"/>
      <c r="AS1751" s="596"/>
      <c r="AT1751" s="79"/>
      <c r="AU1751" s="212"/>
      <c r="AV1751" s="164"/>
      <c r="AW1751" s="164"/>
      <c r="AX1751" s="76"/>
      <c r="AY1751" s="44"/>
      <c r="AZ1751" s="275"/>
      <c r="BA1751" s="52"/>
      <c r="BB1751" s="35"/>
      <c r="BC1751" s="79"/>
      <c r="BD1751" s="230"/>
      <c r="BE1751" s="211"/>
      <c r="BF1751" s="164"/>
      <c r="BG1751" s="76"/>
      <c r="BH1751" s="44"/>
      <c r="BI1751" s="275"/>
      <c r="BJ1751" s="52"/>
      <c r="BK1751" s="35"/>
      <c r="BL1751" s="79"/>
      <c r="BM1751" s="230"/>
      <c r="BN1751" s="211"/>
      <c r="BO1751" s="164"/>
      <c r="BP1751" s="726"/>
      <c r="BQ1751" s="727"/>
      <c r="BR1751" s="299"/>
      <c r="BS1751" s="35"/>
      <c r="BT1751" s="596"/>
      <c r="BU1751" s="79"/>
      <c r="BV1751" s="212"/>
      <c r="BW1751" s="304"/>
      <c r="BX1751" s="313"/>
      <c r="BY1751" s="138"/>
    </row>
    <row r="1752" spans="1:77" ht="15" customHeight="1" outlineLevel="1" x14ac:dyDescent="0.2">
      <c r="A1752" s="583" t="s">
        <v>24</v>
      </c>
      <c r="B1752" s="583"/>
      <c r="C1752" s="583" t="s">
        <v>1905</v>
      </c>
      <c r="D1752" s="546">
        <v>19.422000000000001</v>
      </c>
      <c r="E1752" s="162" t="s">
        <v>631</v>
      </c>
      <c r="F1752" s="358"/>
      <c r="G1752" s="65"/>
      <c r="H1752" s="73"/>
      <c r="I1752" s="90">
        <v>2000</v>
      </c>
      <c r="J1752" s="73"/>
      <c r="K1752" s="790">
        <v>8.9058999999999999E-2</v>
      </c>
      <c r="L1752" s="717"/>
      <c r="M1752" s="73"/>
      <c r="N1752" s="786"/>
      <c r="O1752" s="1041"/>
      <c r="P1752" s="73"/>
      <c r="Q1752" s="786"/>
      <c r="R1752" s="1041"/>
      <c r="S1752" s="73"/>
      <c r="T1752" s="786"/>
      <c r="U1752" s="73"/>
      <c r="V1752" s="66"/>
      <c r="W1752" s="808">
        <f t="shared" si="1623"/>
        <v>6.5903660000000001E-5</v>
      </c>
      <c r="X1752" s="809">
        <f t="shared" si="1624"/>
        <v>6.5903660000000001E-5</v>
      </c>
      <c r="Y1752" s="52">
        <v>2000</v>
      </c>
      <c r="Z1752" s="52"/>
      <c r="AA1752" s="787">
        <f>+K1752/1000</f>
        <v>8.9059000000000002E-5</v>
      </c>
      <c r="AB1752" s="256">
        <v>-0.26</v>
      </c>
      <c r="AC1752" s="688">
        <f t="shared" si="1620"/>
        <v>-0.26</v>
      </c>
      <c r="AD1752" s="164"/>
      <c r="AE1752" s="164"/>
      <c r="AF1752" s="25"/>
      <c r="AG1752" s="26"/>
      <c r="AH1752" s="275"/>
      <c r="AI1752" s="52"/>
      <c r="AJ1752" s="35"/>
      <c r="AK1752" s="289"/>
      <c r="AL1752" s="290"/>
      <c r="AM1752" s="211"/>
      <c r="AN1752" s="164"/>
      <c r="AO1752" s="594"/>
      <c r="AP1752" s="595"/>
      <c r="AQ1752" s="275"/>
      <c r="AR1752" s="52"/>
      <c r="AS1752" s="596"/>
      <c r="AT1752" s="79"/>
      <c r="AU1752" s="212"/>
      <c r="AV1752" s="164"/>
      <c r="AW1752" s="164"/>
      <c r="AX1752" s="76"/>
      <c r="AY1752" s="44"/>
      <c r="AZ1752" s="275"/>
      <c r="BA1752" s="52"/>
      <c r="BB1752" s="35"/>
      <c r="BC1752" s="79"/>
      <c r="BD1752" s="230"/>
      <c r="BE1752" s="211"/>
      <c r="BF1752" s="164"/>
      <c r="BG1752" s="76"/>
      <c r="BH1752" s="44"/>
      <c r="BI1752" s="275"/>
      <c r="BJ1752" s="52"/>
      <c r="BK1752" s="35"/>
      <c r="BL1752" s="79"/>
      <c r="BM1752" s="230"/>
      <c r="BN1752" s="211"/>
      <c r="BO1752" s="164"/>
      <c r="BP1752" s="726"/>
      <c r="BQ1752" s="727"/>
      <c r="BR1752" s="299"/>
      <c r="BS1752" s="35"/>
      <c r="BT1752" s="596"/>
      <c r="BU1752" s="79"/>
      <c r="BV1752" s="212"/>
      <c r="BW1752" s="304"/>
      <c r="BX1752" s="313"/>
      <c r="BY1752" s="138"/>
    </row>
    <row r="1753" spans="1:77" ht="15" customHeight="1" outlineLevel="1" x14ac:dyDescent="0.2">
      <c r="A1753" s="583" t="s">
        <v>24</v>
      </c>
      <c r="B1753" s="583"/>
      <c r="C1753" s="583" t="s">
        <v>1865</v>
      </c>
      <c r="D1753" s="546">
        <v>49.853999999999999</v>
      </c>
      <c r="E1753" s="162" t="s">
        <v>631</v>
      </c>
      <c r="F1753" s="358"/>
      <c r="G1753" s="65"/>
      <c r="H1753" s="73"/>
      <c r="I1753" s="90">
        <v>2000</v>
      </c>
      <c r="J1753" s="73"/>
      <c r="K1753" s="790">
        <v>0.26630100000000001</v>
      </c>
      <c r="L1753" s="717"/>
      <c r="M1753" s="73"/>
      <c r="N1753" s="786"/>
      <c r="O1753" s="1041"/>
      <c r="P1753" s="73"/>
      <c r="Q1753" s="786"/>
      <c r="R1753" s="1041"/>
      <c r="S1753" s="73"/>
      <c r="T1753" s="786"/>
      <c r="U1753" s="73"/>
      <c r="V1753" s="66"/>
      <c r="W1753" s="788">
        <f t="shared" si="1623"/>
        <v>1.9706273999999999E-4</v>
      </c>
      <c r="X1753" s="789">
        <f t="shared" si="1624"/>
        <v>1.9706273999999999E-4</v>
      </c>
      <c r="Y1753" s="52">
        <v>2000</v>
      </c>
      <c r="Z1753" s="52"/>
      <c r="AA1753" s="787">
        <f>+K1753/1000</f>
        <v>2.6630099999999998E-4</v>
      </c>
      <c r="AB1753" s="256">
        <v>-0.26</v>
      </c>
      <c r="AC1753" s="688">
        <f t="shared" si="1620"/>
        <v>-0.26</v>
      </c>
      <c r="AD1753" s="164"/>
      <c r="AE1753" s="164"/>
      <c r="AF1753" s="25"/>
      <c r="AG1753" s="26"/>
      <c r="AH1753" s="275"/>
      <c r="AI1753" s="52"/>
      <c r="AJ1753" s="35"/>
      <c r="AK1753" s="289"/>
      <c r="AL1753" s="290"/>
      <c r="AM1753" s="211"/>
      <c r="AN1753" s="164"/>
      <c r="AO1753" s="594"/>
      <c r="AP1753" s="595"/>
      <c r="AQ1753" s="275"/>
      <c r="AR1753" s="52"/>
      <c r="AS1753" s="596"/>
      <c r="AT1753" s="79"/>
      <c r="AU1753" s="212"/>
      <c r="AV1753" s="164"/>
      <c r="AW1753" s="164"/>
      <c r="AX1753" s="76"/>
      <c r="AY1753" s="44"/>
      <c r="AZ1753" s="275"/>
      <c r="BA1753" s="52"/>
      <c r="BB1753" s="35"/>
      <c r="BC1753" s="79"/>
      <c r="BD1753" s="230"/>
      <c r="BE1753" s="211"/>
      <c r="BF1753" s="164"/>
      <c r="BG1753" s="76"/>
      <c r="BH1753" s="44"/>
      <c r="BI1753" s="275"/>
      <c r="BJ1753" s="52"/>
      <c r="BK1753" s="35"/>
      <c r="BL1753" s="79"/>
      <c r="BM1753" s="230"/>
      <c r="BN1753" s="211"/>
      <c r="BO1753" s="164"/>
      <c r="BP1753" s="726"/>
      <c r="BQ1753" s="727"/>
      <c r="BR1753" s="299"/>
      <c r="BS1753" s="35"/>
      <c r="BT1753" s="596"/>
      <c r="BU1753" s="79"/>
      <c r="BV1753" s="212"/>
      <c r="BW1753" s="304"/>
      <c r="BX1753" s="313"/>
      <c r="BY1753" s="138"/>
    </row>
    <row r="1754" spans="1:77" ht="15" customHeight="1" outlineLevel="1" x14ac:dyDescent="0.2">
      <c r="A1754" s="583" t="s">
        <v>24</v>
      </c>
      <c r="B1754" s="583"/>
      <c r="C1754" s="583" t="s">
        <v>2079</v>
      </c>
      <c r="D1754" s="546">
        <v>3.508</v>
      </c>
      <c r="E1754" s="162" t="s">
        <v>631</v>
      </c>
      <c r="F1754" s="358"/>
      <c r="G1754" s="65"/>
      <c r="H1754" s="73"/>
      <c r="I1754" s="90"/>
      <c r="J1754" s="73"/>
      <c r="K1754" s="734"/>
      <c r="L1754" s="717"/>
      <c r="M1754" s="73"/>
      <c r="N1754" s="359"/>
      <c r="O1754" s="1041"/>
      <c r="P1754" s="73"/>
      <c r="Q1754" s="359"/>
      <c r="R1754" s="1041"/>
      <c r="S1754" s="73"/>
      <c r="T1754" s="359"/>
      <c r="U1754" s="73"/>
      <c r="V1754" s="66"/>
      <c r="W1754" s="740"/>
      <c r="X1754" s="741"/>
      <c r="Y1754" s="52"/>
      <c r="Z1754" s="52"/>
      <c r="AA1754" s="739"/>
      <c r="AB1754" s="256"/>
      <c r="AC1754" s="688"/>
      <c r="AD1754" s="164"/>
      <c r="AE1754" s="164"/>
      <c r="AF1754" s="25"/>
      <c r="AG1754" s="26"/>
      <c r="AH1754" s="275"/>
      <c r="AI1754" s="52"/>
      <c r="AJ1754" s="35"/>
      <c r="AK1754" s="289"/>
      <c r="AL1754" s="290"/>
      <c r="AM1754" s="211"/>
      <c r="AN1754" s="164"/>
      <c r="AO1754" s="594"/>
      <c r="AP1754" s="595"/>
      <c r="AQ1754" s="275"/>
      <c r="AR1754" s="52"/>
      <c r="AS1754" s="596"/>
      <c r="AT1754" s="79"/>
      <c r="AU1754" s="212"/>
      <c r="AV1754" s="164"/>
      <c r="AW1754" s="164"/>
      <c r="AX1754" s="76"/>
      <c r="AY1754" s="44"/>
      <c r="AZ1754" s="275"/>
      <c r="BA1754" s="52"/>
      <c r="BB1754" s="35"/>
      <c r="BC1754" s="79"/>
      <c r="BD1754" s="230"/>
      <c r="BE1754" s="211"/>
      <c r="BF1754" s="164"/>
      <c r="BG1754" s="76"/>
      <c r="BH1754" s="44"/>
      <c r="BI1754" s="275"/>
      <c r="BJ1754" s="52"/>
      <c r="BK1754" s="35"/>
      <c r="BL1754" s="79"/>
      <c r="BM1754" s="230"/>
      <c r="BN1754" s="211"/>
      <c r="BO1754" s="164"/>
      <c r="BP1754" s="726"/>
      <c r="BQ1754" s="727"/>
      <c r="BR1754" s="299"/>
      <c r="BS1754" s="35"/>
      <c r="BT1754" s="596"/>
      <c r="BU1754" s="79"/>
      <c r="BV1754" s="212"/>
      <c r="BW1754" s="304"/>
      <c r="BX1754" s="313"/>
      <c r="BY1754" s="138"/>
    </row>
    <row r="1755" spans="1:77" ht="15" customHeight="1" outlineLevel="1" x14ac:dyDescent="0.2">
      <c r="A1755" s="57" t="s">
        <v>24</v>
      </c>
      <c r="B1755" s="583"/>
      <c r="C1755" s="583" t="s">
        <v>1406</v>
      </c>
      <c r="D1755" s="546">
        <v>0.59</v>
      </c>
      <c r="E1755" s="162" t="s">
        <v>631</v>
      </c>
      <c r="F1755" s="358"/>
      <c r="G1755" s="65"/>
      <c r="H1755" s="73"/>
      <c r="I1755" s="90"/>
      <c r="J1755" s="73"/>
      <c r="K1755" s="814">
        <v>3.2460000000000002E-3</v>
      </c>
      <c r="L1755" s="717"/>
      <c r="M1755" s="73"/>
      <c r="N1755" s="359"/>
      <c r="O1755" s="1041"/>
      <c r="P1755" s="73"/>
      <c r="Q1755" s="359"/>
      <c r="R1755" s="1041"/>
      <c r="S1755" s="73"/>
      <c r="T1755" s="359"/>
      <c r="U1755" s="73"/>
      <c r="V1755" s="66"/>
      <c r="W1755" s="788">
        <f t="shared" si="1618"/>
        <v>2.2397400000000002E-6</v>
      </c>
      <c r="X1755" s="789">
        <f t="shared" si="1619"/>
        <v>2.2397400000000002E-6</v>
      </c>
      <c r="Y1755" s="52">
        <v>2005</v>
      </c>
      <c r="Z1755" s="52"/>
      <c r="AA1755" s="787">
        <f t="shared" si="1609"/>
        <v>3.2460000000000003E-6</v>
      </c>
      <c r="AB1755" s="256">
        <v>-0.31</v>
      </c>
      <c r="AC1755" s="688">
        <f t="shared" si="1620"/>
        <v>-0.31</v>
      </c>
      <c r="AD1755" s="164"/>
      <c r="AE1755" s="164"/>
      <c r="AF1755" s="25"/>
      <c r="AG1755" s="26"/>
      <c r="AH1755" s="275"/>
      <c r="AI1755" s="52"/>
      <c r="AJ1755" s="35"/>
      <c r="AK1755" s="289"/>
      <c r="AL1755" s="290"/>
      <c r="AM1755" s="211"/>
      <c r="AN1755" s="164"/>
      <c r="AO1755" s="594"/>
      <c r="AP1755" s="595"/>
      <c r="AQ1755" s="275"/>
      <c r="AR1755" s="52"/>
      <c r="AS1755" s="596"/>
      <c r="AT1755" s="79"/>
      <c r="AU1755" s="212"/>
      <c r="AV1755" s="164"/>
      <c r="AW1755" s="164"/>
      <c r="AX1755" s="76"/>
      <c r="AY1755" s="44"/>
      <c r="AZ1755" s="275"/>
      <c r="BA1755" s="52"/>
      <c r="BB1755" s="35"/>
      <c r="BC1755" s="79"/>
      <c r="BD1755" s="230"/>
      <c r="BE1755" s="211"/>
      <c r="BF1755" s="164"/>
      <c r="BG1755" s="76"/>
      <c r="BH1755" s="44"/>
      <c r="BI1755" s="275"/>
      <c r="BJ1755" s="52"/>
      <c r="BK1755" s="35"/>
      <c r="BL1755" s="79"/>
      <c r="BM1755" s="230"/>
      <c r="BN1755" s="211"/>
      <c r="BO1755" s="164"/>
      <c r="BP1755" s="726"/>
      <c r="BQ1755" s="727"/>
      <c r="BR1755" s="299"/>
      <c r="BS1755" s="35"/>
      <c r="BT1755" s="596"/>
      <c r="BU1755" s="79"/>
      <c r="BV1755" s="212"/>
      <c r="BW1755" s="304"/>
      <c r="BX1755" s="313"/>
      <c r="BY1755" s="138"/>
    </row>
    <row r="1756" spans="1:77" ht="15" customHeight="1" outlineLevel="1" x14ac:dyDescent="0.2">
      <c r="A1756" s="583" t="s">
        <v>24</v>
      </c>
      <c r="B1756" s="583"/>
      <c r="C1756" s="583" t="s">
        <v>1991</v>
      </c>
      <c r="D1756" s="546">
        <v>0.26100000000000001</v>
      </c>
      <c r="E1756" s="162" t="s">
        <v>631</v>
      </c>
      <c r="F1756" s="358"/>
      <c r="G1756" s="65"/>
      <c r="H1756" s="73"/>
      <c r="I1756" s="90"/>
      <c r="J1756" s="73"/>
      <c r="K1756" s="814"/>
      <c r="L1756" s="717">
        <v>2011</v>
      </c>
      <c r="M1756" s="73"/>
      <c r="N1756" s="811">
        <v>3.0181899999999999E-4</v>
      </c>
      <c r="O1756" s="1041"/>
      <c r="P1756" s="73"/>
      <c r="Q1756" s="359"/>
      <c r="R1756" s="1041"/>
      <c r="S1756" s="73"/>
      <c r="T1756" s="359"/>
      <c r="U1756" s="73"/>
      <c r="V1756" s="66"/>
      <c r="W1756" s="788">
        <f t="shared" ref="W1756" si="1628">AA1756*(1+AB1756)</f>
        <v>2.1730968000000001E-7</v>
      </c>
      <c r="X1756" s="789">
        <f t="shared" ref="X1756" si="1629">AA1756*(1+AC1756)</f>
        <v>2.1730968000000001E-7</v>
      </c>
      <c r="Y1756" s="52">
        <v>2011</v>
      </c>
      <c r="Z1756" s="52"/>
      <c r="AA1756" s="787">
        <f>+N1756/1000</f>
        <v>3.0181900000000001E-7</v>
      </c>
      <c r="AB1756" s="256">
        <v>-0.28000000000000003</v>
      </c>
      <c r="AC1756" s="688">
        <f t="shared" si="1620"/>
        <v>-0.28000000000000003</v>
      </c>
      <c r="AD1756" s="164"/>
      <c r="AE1756" s="164"/>
      <c r="AF1756" s="25"/>
      <c r="AG1756" s="26"/>
      <c r="AH1756" s="275"/>
      <c r="AI1756" s="52"/>
      <c r="AJ1756" s="35"/>
      <c r="AK1756" s="289"/>
      <c r="AL1756" s="290"/>
      <c r="AM1756" s="211"/>
      <c r="AN1756" s="164"/>
      <c r="AO1756" s="594"/>
      <c r="AP1756" s="595"/>
      <c r="AQ1756" s="275"/>
      <c r="AR1756" s="52"/>
      <c r="AS1756" s="596"/>
      <c r="AT1756" s="79"/>
      <c r="AU1756" s="212"/>
      <c r="AV1756" s="164"/>
      <c r="AW1756" s="164"/>
      <c r="AX1756" s="76"/>
      <c r="AY1756" s="44"/>
      <c r="AZ1756" s="275"/>
      <c r="BA1756" s="52"/>
      <c r="BB1756" s="35"/>
      <c r="BC1756" s="79"/>
      <c r="BD1756" s="230"/>
      <c r="BE1756" s="211"/>
      <c r="BF1756" s="164"/>
      <c r="BG1756" s="76"/>
      <c r="BH1756" s="44"/>
      <c r="BI1756" s="275"/>
      <c r="BJ1756" s="52"/>
      <c r="BK1756" s="35"/>
      <c r="BL1756" s="79"/>
      <c r="BM1756" s="230"/>
      <c r="BN1756" s="211"/>
      <c r="BO1756" s="164"/>
      <c r="BP1756" s="726"/>
      <c r="BQ1756" s="727"/>
      <c r="BR1756" s="299"/>
      <c r="BS1756" s="35"/>
      <c r="BT1756" s="596"/>
      <c r="BU1756" s="79"/>
      <c r="BV1756" s="212"/>
      <c r="BW1756" s="304"/>
      <c r="BX1756" s="313"/>
      <c r="BY1756" s="138"/>
    </row>
    <row r="1757" spans="1:77" ht="15" customHeight="1" outlineLevel="1" x14ac:dyDescent="0.2">
      <c r="A1757" s="583" t="s">
        <v>24</v>
      </c>
      <c r="B1757" s="583"/>
      <c r="C1757" s="583" t="s">
        <v>2028</v>
      </c>
      <c r="D1757" s="546">
        <v>1.65</v>
      </c>
      <c r="E1757" s="162" t="s">
        <v>631</v>
      </c>
      <c r="F1757" s="358"/>
      <c r="G1757" s="65"/>
      <c r="H1757" s="73"/>
      <c r="I1757" s="90"/>
      <c r="J1757" s="73"/>
      <c r="K1757" s="814"/>
      <c r="L1757" s="717">
        <v>2011</v>
      </c>
      <c r="M1757" s="73"/>
      <c r="N1757" s="811">
        <v>3.32E-3</v>
      </c>
      <c r="O1757" s="1041"/>
      <c r="P1757" s="73"/>
      <c r="Q1757" s="359"/>
      <c r="R1757" s="1041"/>
      <c r="S1757" s="73"/>
      <c r="T1757" s="359"/>
      <c r="U1757" s="73"/>
      <c r="V1757" s="66"/>
      <c r="W1757" s="788">
        <f t="shared" ref="W1757" si="1630">AA1757*(1+AB1757)</f>
        <v>2.3904E-6</v>
      </c>
      <c r="X1757" s="789">
        <f t="shared" ref="X1757" si="1631">AA1757*(1+AC1757)</f>
        <v>2.3904E-6</v>
      </c>
      <c r="Y1757" s="52">
        <v>2011</v>
      </c>
      <c r="Z1757" s="52"/>
      <c r="AA1757" s="787">
        <f>+N1757/1000</f>
        <v>3.32E-6</v>
      </c>
      <c r="AB1757" s="256">
        <v>-0.28000000000000003</v>
      </c>
      <c r="AC1757" s="688">
        <f t="shared" si="1620"/>
        <v>-0.28000000000000003</v>
      </c>
      <c r="AD1757" s="164"/>
      <c r="AE1757" s="164"/>
      <c r="AF1757" s="25"/>
      <c r="AG1757" s="26"/>
      <c r="AH1757" s="275"/>
      <c r="AI1757" s="52"/>
      <c r="AJ1757" s="35"/>
      <c r="AK1757" s="289"/>
      <c r="AL1757" s="290"/>
      <c r="AM1757" s="211"/>
      <c r="AN1757" s="164"/>
      <c r="AO1757" s="594"/>
      <c r="AP1757" s="595"/>
      <c r="AQ1757" s="275"/>
      <c r="AR1757" s="52"/>
      <c r="AS1757" s="596"/>
      <c r="AT1757" s="79"/>
      <c r="AU1757" s="212"/>
      <c r="AV1757" s="164"/>
      <c r="AW1757" s="164"/>
      <c r="AX1757" s="76"/>
      <c r="AY1757" s="44"/>
      <c r="AZ1757" s="275"/>
      <c r="BA1757" s="52"/>
      <c r="BB1757" s="35"/>
      <c r="BC1757" s="79"/>
      <c r="BD1757" s="230"/>
      <c r="BE1757" s="211"/>
      <c r="BF1757" s="164"/>
      <c r="BG1757" s="76"/>
      <c r="BH1757" s="44"/>
      <c r="BI1757" s="275"/>
      <c r="BJ1757" s="52"/>
      <c r="BK1757" s="35"/>
      <c r="BL1757" s="79"/>
      <c r="BM1757" s="230"/>
      <c r="BN1757" s="211"/>
      <c r="BO1757" s="164"/>
      <c r="BP1757" s="726"/>
      <c r="BQ1757" s="727"/>
      <c r="BR1757" s="299"/>
      <c r="BS1757" s="35"/>
      <c r="BT1757" s="596"/>
      <c r="BU1757" s="79"/>
      <c r="BV1757" s="212"/>
      <c r="BW1757" s="304"/>
      <c r="BX1757" s="313"/>
      <c r="BY1757" s="138"/>
    </row>
    <row r="1758" spans="1:77" ht="15" customHeight="1" outlineLevel="1" x14ac:dyDescent="0.2">
      <c r="A1758" s="583" t="s">
        <v>24</v>
      </c>
      <c r="B1758" s="583"/>
      <c r="C1758" s="583" t="s">
        <v>1767</v>
      </c>
      <c r="D1758" s="546">
        <v>1.3859999999999999</v>
      </c>
      <c r="E1758" s="162" t="s">
        <v>631</v>
      </c>
      <c r="F1758" s="358"/>
      <c r="G1758" s="65"/>
      <c r="H1758" s="73"/>
      <c r="I1758" s="90"/>
      <c r="J1758" s="73"/>
      <c r="K1758" s="814">
        <v>3.4949999999999998E-3</v>
      </c>
      <c r="L1758" s="717"/>
      <c r="M1758" s="73"/>
      <c r="N1758" s="359"/>
      <c r="O1758" s="1041"/>
      <c r="P1758" s="73"/>
      <c r="Q1758" s="359"/>
      <c r="R1758" s="1041"/>
      <c r="S1758" s="73"/>
      <c r="T1758" s="359"/>
      <c r="U1758" s="73"/>
      <c r="V1758" s="66"/>
      <c r="W1758" s="788">
        <f t="shared" si="1618"/>
        <v>2.6212500000000001E-6</v>
      </c>
      <c r="X1758" s="789">
        <f t="shared" si="1619"/>
        <v>2.6212500000000001E-6</v>
      </c>
      <c r="Y1758" s="52">
        <v>2005</v>
      </c>
      <c r="Z1758" s="52"/>
      <c r="AA1758" s="787">
        <f t="shared" si="1609"/>
        <v>3.495E-6</v>
      </c>
      <c r="AB1758" s="256">
        <v>-0.25</v>
      </c>
      <c r="AC1758" s="688">
        <f t="shared" si="1620"/>
        <v>-0.25</v>
      </c>
      <c r="AD1758" s="164"/>
      <c r="AE1758" s="164"/>
      <c r="AF1758" s="25"/>
      <c r="AG1758" s="26"/>
      <c r="AH1758" s="275"/>
      <c r="AI1758" s="52"/>
      <c r="AJ1758" s="35"/>
      <c r="AK1758" s="289"/>
      <c r="AL1758" s="290"/>
      <c r="AM1758" s="211"/>
      <c r="AN1758" s="164"/>
      <c r="AO1758" s="594"/>
      <c r="AP1758" s="595"/>
      <c r="AQ1758" s="275"/>
      <c r="AR1758" s="52"/>
      <c r="AS1758" s="596"/>
      <c r="AT1758" s="79"/>
      <c r="AU1758" s="212"/>
      <c r="AV1758" s="164"/>
      <c r="AW1758" s="164"/>
      <c r="AX1758" s="76"/>
      <c r="AY1758" s="44"/>
      <c r="AZ1758" s="275"/>
      <c r="BA1758" s="52"/>
      <c r="BB1758" s="35"/>
      <c r="BC1758" s="79"/>
      <c r="BD1758" s="230"/>
      <c r="BE1758" s="211"/>
      <c r="BF1758" s="164"/>
      <c r="BG1758" s="76"/>
      <c r="BH1758" s="44"/>
      <c r="BI1758" s="275"/>
      <c r="BJ1758" s="52"/>
      <c r="BK1758" s="35"/>
      <c r="BL1758" s="79"/>
      <c r="BM1758" s="230"/>
      <c r="BN1758" s="211"/>
      <c r="BO1758" s="164"/>
      <c r="BP1758" s="726"/>
      <c r="BQ1758" s="727"/>
      <c r="BR1758" s="299"/>
      <c r="BS1758" s="35"/>
      <c r="BT1758" s="596"/>
      <c r="BU1758" s="79"/>
      <c r="BV1758" s="212"/>
      <c r="BW1758" s="304"/>
      <c r="BX1758" s="313"/>
      <c r="BY1758" s="138"/>
    </row>
    <row r="1759" spans="1:77" ht="15" customHeight="1" outlineLevel="1" x14ac:dyDescent="0.2">
      <c r="A1759" s="583" t="s">
        <v>24</v>
      </c>
      <c r="B1759" s="583"/>
      <c r="C1759" s="583" t="s">
        <v>1958</v>
      </c>
      <c r="D1759" s="546">
        <v>1.607</v>
      </c>
      <c r="E1759" s="162" t="s">
        <v>631</v>
      </c>
      <c r="F1759" s="358"/>
      <c r="G1759" s="65"/>
      <c r="H1759" s="73"/>
      <c r="I1759" s="90"/>
      <c r="J1759" s="73"/>
      <c r="K1759" s="814">
        <v>4.2900000000000004E-3</v>
      </c>
      <c r="L1759" s="717"/>
      <c r="M1759" s="73"/>
      <c r="N1759" s="359"/>
      <c r="O1759" s="1041"/>
      <c r="P1759" s="73"/>
      <c r="Q1759" s="359"/>
      <c r="R1759" s="1041"/>
      <c r="S1759" s="73"/>
      <c r="T1759" s="359"/>
      <c r="U1759" s="73"/>
      <c r="V1759" s="66"/>
      <c r="W1759" s="788">
        <f t="shared" si="1618"/>
        <v>3.1317000000000004E-6</v>
      </c>
      <c r="X1759" s="789">
        <f t="shared" si="1619"/>
        <v>3.1317000000000004E-6</v>
      </c>
      <c r="Y1759" s="52">
        <v>2005</v>
      </c>
      <c r="Z1759" s="52"/>
      <c r="AA1759" s="787">
        <f t="shared" si="1609"/>
        <v>4.2900000000000004E-6</v>
      </c>
      <c r="AB1759" s="256">
        <v>-0.27</v>
      </c>
      <c r="AC1759" s="688">
        <f t="shared" si="1620"/>
        <v>-0.27</v>
      </c>
      <c r="AD1759" s="164"/>
      <c r="AE1759" s="164"/>
      <c r="AF1759" s="25"/>
      <c r="AG1759" s="26"/>
      <c r="AH1759" s="275"/>
      <c r="AI1759" s="52"/>
      <c r="AJ1759" s="35"/>
      <c r="AK1759" s="289"/>
      <c r="AL1759" s="290"/>
      <c r="AM1759" s="211"/>
      <c r="AN1759" s="164"/>
      <c r="AO1759" s="594"/>
      <c r="AP1759" s="595"/>
      <c r="AQ1759" s="275"/>
      <c r="AR1759" s="52"/>
      <c r="AS1759" s="596"/>
      <c r="AT1759" s="79"/>
      <c r="AU1759" s="212"/>
      <c r="AV1759" s="164"/>
      <c r="AW1759" s="164"/>
      <c r="AX1759" s="76"/>
      <c r="AY1759" s="44"/>
      <c r="AZ1759" s="275"/>
      <c r="BA1759" s="52"/>
      <c r="BB1759" s="35"/>
      <c r="BC1759" s="79"/>
      <c r="BD1759" s="230"/>
      <c r="BE1759" s="211"/>
      <c r="BF1759" s="164"/>
      <c r="BG1759" s="76"/>
      <c r="BH1759" s="44"/>
      <c r="BI1759" s="275"/>
      <c r="BJ1759" s="52"/>
      <c r="BK1759" s="35"/>
      <c r="BL1759" s="79"/>
      <c r="BM1759" s="230"/>
      <c r="BN1759" s="211"/>
      <c r="BO1759" s="164"/>
      <c r="BP1759" s="726"/>
      <c r="BQ1759" s="727"/>
      <c r="BR1759" s="299"/>
      <c r="BS1759" s="35"/>
      <c r="BT1759" s="596"/>
      <c r="BU1759" s="79"/>
      <c r="BV1759" s="212"/>
      <c r="BW1759" s="304"/>
      <c r="BX1759" s="313"/>
      <c r="BY1759" s="138"/>
    </row>
    <row r="1760" spans="1:77" ht="15" customHeight="1" outlineLevel="1" x14ac:dyDescent="0.2">
      <c r="A1760" s="583" t="s">
        <v>24</v>
      </c>
      <c r="B1760" s="583"/>
      <c r="C1760" s="583" t="s">
        <v>2020</v>
      </c>
      <c r="D1760" s="546">
        <v>0.84799999999999998</v>
      </c>
      <c r="E1760" s="162" t="s">
        <v>631</v>
      </c>
      <c r="F1760" s="358"/>
      <c r="G1760" s="65"/>
      <c r="H1760" s="73"/>
      <c r="I1760" s="90"/>
      <c r="J1760" s="73"/>
      <c r="K1760" s="814"/>
      <c r="L1760" s="717">
        <v>2008</v>
      </c>
      <c r="M1760" s="73"/>
      <c r="N1760" s="786">
        <v>1.9729999999999999E-3</v>
      </c>
      <c r="O1760" s="1041"/>
      <c r="P1760" s="73"/>
      <c r="Q1760" s="359"/>
      <c r="R1760" s="1041"/>
      <c r="S1760" s="73"/>
      <c r="T1760" s="359"/>
      <c r="U1760" s="73"/>
      <c r="V1760" s="66"/>
      <c r="W1760" s="788">
        <f t="shared" ref="W1760" si="1632">AA1760*(1+AB1760)</f>
        <v>1.42056E-6</v>
      </c>
      <c r="X1760" s="789">
        <f t="shared" ref="X1760" si="1633">AA1760*(1+AC1760)</f>
        <v>1.42056E-6</v>
      </c>
      <c r="Y1760" s="52">
        <v>2008</v>
      </c>
      <c r="Z1760" s="52"/>
      <c r="AA1760" s="787">
        <f>+N1760/1000</f>
        <v>1.973E-6</v>
      </c>
      <c r="AB1760" s="256">
        <v>-0.28000000000000003</v>
      </c>
      <c r="AC1760" s="688">
        <f t="shared" si="1620"/>
        <v>-0.28000000000000003</v>
      </c>
      <c r="AD1760" s="164"/>
      <c r="AE1760" s="164"/>
      <c r="AF1760" s="25"/>
      <c r="AG1760" s="26"/>
      <c r="AH1760" s="275"/>
      <c r="AI1760" s="52"/>
      <c r="AJ1760" s="35"/>
      <c r="AK1760" s="289"/>
      <c r="AL1760" s="290"/>
      <c r="AM1760" s="211"/>
      <c r="AN1760" s="164"/>
      <c r="AO1760" s="594"/>
      <c r="AP1760" s="595"/>
      <c r="AQ1760" s="275"/>
      <c r="AR1760" s="52"/>
      <c r="AS1760" s="596"/>
      <c r="AT1760" s="79"/>
      <c r="AU1760" s="212"/>
      <c r="AV1760" s="164"/>
      <c r="AW1760" s="164"/>
      <c r="AX1760" s="76"/>
      <c r="AY1760" s="44"/>
      <c r="AZ1760" s="275"/>
      <c r="BA1760" s="52"/>
      <c r="BB1760" s="35"/>
      <c r="BC1760" s="79"/>
      <c r="BD1760" s="230"/>
      <c r="BE1760" s="211"/>
      <c r="BF1760" s="164"/>
      <c r="BG1760" s="76"/>
      <c r="BH1760" s="44"/>
      <c r="BI1760" s="275"/>
      <c r="BJ1760" s="52"/>
      <c r="BK1760" s="35"/>
      <c r="BL1760" s="79"/>
      <c r="BM1760" s="230"/>
      <c r="BN1760" s="211"/>
      <c r="BO1760" s="164"/>
      <c r="BP1760" s="726"/>
      <c r="BQ1760" s="727"/>
      <c r="BR1760" s="299"/>
      <c r="BS1760" s="35"/>
      <c r="BT1760" s="596"/>
      <c r="BU1760" s="79"/>
      <c r="BV1760" s="212"/>
      <c r="BW1760" s="304"/>
      <c r="BX1760" s="313"/>
      <c r="BY1760" s="138"/>
    </row>
    <row r="1761" spans="1:77" ht="15" customHeight="1" outlineLevel="1" x14ac:dyDescent="0.2">
      <c r="A1761" s="57" t="s">
        <v>24</v>
      </c>
      <c r="B1761" s="583"/>
      <c r="C1761" s="583" t="s">
        <v>1412</v>
      </c>
      <c r="D1761" s="546">
        <v>1.71</v>
      </c>
      <c r="E1761" s="162" t="s">
        <v>631</v>
      </c>
      <c r="F1761" s="358"/>
      <c r="G1761" s="65"/>
      <c r="H1761" s="792">
        <v>6.1320000000000003E-3</v>
      </c>
      <c r="I1761" s="90"/>
      <c r="J1761" s="73"/>
      <c r="K1761" s="734"/>
      <c r="L1761" s="717"/>
      <c r="M1761" s="73"/>
      <c r="N1761" s="359"/>
      <c r="O1761" s="1041"/>
      <c r="P1761" s="73"/>
      <c r="Q1761" s="359"/>
      <c r="R1761" s="1041"/>
      <c r="S1761" s="73"/>
      <c r="T1761" s="359"/>
      <c r="U1761" s="73"/>
      <c r="V1761" s="66"/>
      <c r="W1761" s="788">
        <f t="shared" si="1618"/>
        <v>4.2310799999999995E-6</v>
      </c>
      <c r="X1761" s="789">
        <f t="shared" si="1619"/>
        <v>4.2310799999999995E-6</v>
      </c>
      <c r="Y1761" s="52">
        <v>1990</v>
      </c>
      <c r="Z1761" s="52"/>
      <c r="AA1761" s="787">
        <f>+H1761/1000</f>
        <v>6.1319999999999999E-6</v>
      </c>
      <c r="AB1761" s="256">
        <v>-0.31</v>
      </c>
      <c r="AC1761" s="688">
        <f t="shared" si="1620"/>
        <v>-0.31</v>
      </c>
      <c r="AD1761" s="164"/>
      <c r="AE1761" s="164"/>
      <c r="AF1761" s="25"/>
      <c r="AG1761" s="26"/>
      <c r="AH1761" s="275"/>
      <c r="AI1761" s="52"/>
      <c r="AJ1761" s="35"/>
      <c r="AK1761" s="289"/>
      <c r="AL1761" s="290"/>
      <c r="AM1761" s="211"/>
      <c r="AN1761" s="164"/>
      <c r="AO1761" s="594"/>
      <c r="AP1761" s="595"/>
      <c r="AQ1761" s="275"/>
      <c r="AR1761" s="52"/>
      <c r="AS1761" s="596"/>
      <c r="AT1761" s="79"/>
      <c r="AU1761" s="212"/>
      <c r="AV1761" s="164"/>
      <c r="AW1761" s="164"/>
      <c r="AX1761" s="76"/>
      <c r="AY1761" s="44"/>
      <c r="AZ1761" s="275"/>
      <c r="BA1761" s="52"/>
      <c r="BB1761" s="35"/>
      <c r="BC1761" s="79"/>
      <c r="BD1761" s="230"/>
      <c r="BE1761" s="211"/>
      <c r="BF1761" s="164"/>
      <c r="BG1761" s="76"/>
      <c r="BH1761" s="44"/>
      <c r="BI1761" s="275"/>
      <c r="BJ1761" s="52"/>
      <c r="BK1761" s="35"/>
      <c r="BL1761" s="79"/>
      <c r="BM1761" s="230"/>
      <c r="BN1761" s="211"/>
      <c r="BO1761" s="164"/>
      <c r="BP1761" s="726"/>
      <c r="BQ1761" s="727"/>
      <c r="BR1761" s="299"/>
      <c r="BS1761" s="35"/>
      <c r="BT1761" s="596"/>
      <c r="BU1761" s="79"/>
      <c r="BV1761" s="212"/>
      <c r="BW1761" s="304"/>
      <c r="BX1761" s="313"/>
      <c r="BY1761" s="138"/>
    </row>
    <row r="1762" spans="1:77" ht="15" customHeight="1" outlineLevel="1" x14ac:dyDescent="0.2">
      <c r="A1762" s="583" t="s">
        <v>24</v>
      </c>
      <c r="B1762" s="583"/>
      <c r="C1762" s="583" t="s">
        <v>1874</v>
      </c>
      <c r="D1762" s="546">
        <v>0.11600000000000001</v>
      </c>
      <c r="E1762" s="162" t="s">
        <v>631</v>
      </c>
      <c r="F1762" s="358"/>
      <c r="G1762" s="65"/>
      <c r="H1762" s="792"/>
      <c r="I1762" s="90"/>
      <c r="J1762" s="73"/>
      <c r="K1762" s="815">
        <v>7.4399999999999998E-4</v>
      </c>
      <c r="L1762" s="717"/>
      <c r="M1762" s="73"/>
      <c r="N1762" s="359"/>
      <c r="O1762" s="1041"/>
      <c r="P1762" s="73"/>
      <c r="Q1762" s="359"/>
      <c r="R1762" s="1041"/>
      <c r="S1762" s="73"/>
      <c r="T1762" s="359"/>
      <c r="U1762" s="73"/>
      <c r="V1762" s="66"/>
      <c r="W1762" s="788">
        <f t="shared" ref="W1762" si="1634">AA1762*(1+AB1762)</f>
        <v>5.5056000000000003E-7</v>
      </c>
      <c r="X1762" s="789">
        <f t="shared" ref="X1762" si="1635">AA1762*(1+AC1762)</f>
        <v>5.5056000000000003E-7</v>
      </c>
      <c r="Y1762" s="52">
        <v>2005</v>
      </c>
      <c r="Z1762" s="52"/>
      <c r="AA1762" s="787">
        <f>+K1762/1000</f>
        <v>7.4399999999999999E-7</v>
      </c>
      <c r="AB1762" s="256">
        <v>-0.26</v>
      </c>
      <c r="AC1762" s="688">
        <f t="shared" si="1620"/>
        <v>-0.26</v>
      </c>
      <c r="AD1762" s="164"/>
      <c r="AE1762" s="164"/>
      <c r="AF1762" s="25"/>
      <c r="AG1762" s="26"/>
      <c r="AH1762" s="275"/>
      <c r="AI1762" s="52"/>
      <c r="AJ1762" s="35"/>
      <c r="AK1762" s="289"/>
      <c r="AL1762" s="290"/>
      <c r="AM1762" s="211"/>
      <c r="AN1762" s="164"/>
      <c r="AO1762" s="594"/>
      <c r="AP1762" s="595"/>
      <c r="AQ1762" s="275"/>
      <c r="AR1762" s="52"/>
      <c r="AS1762" s="596"/>
      <c r="AT1762" s="79"/>
      <c r="AU1762" s="212"/>
      <c r="AV1762" s="164"/>
      <c r="AW1762" s="164"/>
      <c r="AX1762" s="76"/>
      <c r="AY1762" s="44"/>
      <c r="AZ1762" s="275"/>
      <c r="BA1762" s="52"/>
      <c r="BB1762" s="35"/>
      <c r="BC1762" s="79"/>
      <c r="BD1762" s="230"/>
      <c r="BE1762" s="211"/>
      <c r="BF1762" s="164"/>
      <c r="BG1762" s="76"/>
      <c r="BH1762" s="44"/>
      <c r="BI1762" s="275"/>
      <c r="BJ1762" s="52"/>
      <c r="BK1762" s="35"/>
      <c r="BL1762" s="79"/>
      <c r="BM1762" s="230"/>
      <c r="BN1762" s="211"/>
      <c r="BO1762" s="164"/>
      <c r="BP1762" s="726"/>
      <c r="BQ1762" s="727"/>
      <c r="BR1762" s="299"/>
      <c r="BS1762" s="35"/>
      <c r="BT1762" s="596"/>
      <c r="BU1762" s="79"/>
      <c r="BV1762" s="212"/>
      <c r="BW1762" s="304"/>
      <c r="BX1762" s="313"/>
      <c r="BY1762" s="138"/>
    </row>
    <row r="1763" spans="1:77" ht="15" customHeight="1" outlineLevel="1" x14ac:dyDescent="0.2">
      <c r="A1763" s="583" t="s">
        <v>24</v>
      </c>
      <c r="B1763" s="583"/>
      <c r="C1763" s="583" t="s">
        <v>2262</v>
      </c>
      <c r="D1763" s="546">
        <v>4321</v>
      </c>
      <c r="E1763" s="162" t="s">
        <v>387</v>
      </c>
      <c r="F1763" s="358"/>
      <c r="G1763" s="65"/>
      <c r="H1763" s="792"/>
      <c r="I1763" s="90">
        <v>2003</v>
      </c>
      <c r="J1763" s="73"/>
      <c r="K1763" s="66">
        <f>4.174937+3.593877+3.230703</f>
        <v>10.999517000000001</v>
      </c>
      <c r="L1763" s="717"/>
      <c r="M1763" s="73"/>
      <c r="N1763" s="359"/>
      <c r="O1763" s="1041">
        <v>2016</v>
      </c>
      <c r="P1763" s="73"/>
      <c r="Q1763" s="359">
        <v>10.008879</v>
      </c>
      <c r="R1763" s="1041">
        <v>2016</v>
      </c>
      <c r="S1763" s="73"/>
      <c r="T1763" s="359">
        <v>10.008879</v>
      </c>
      <c r="U1763" s="73"/>
      <c r="V1763" s="66"/>
      <c r="W1763" s="804">
        <f>X1763</f>
        <v>1.0081726480000001E-2</v>
      </c>
      <c r="X1763" s="790">
        <f>(4.174937*(1-0.23)+3.593877*(1-0.15)+3.230703*(1+0.18))/1000</f>
        <v>1.0081726480000001E-2</v>
      </c>
      <c r="Y1763" s="52">
        <v>2003</v>
      </c>
      <c r="Z1763" s="52"/>
      <c r="AA1763" s="787"/>
      <c r="AB1763" s="256"/>
      <c r="AC1763" s="688"/>
      <c r="AD1763" s="164"/>
      <c r="AE1763" s="164"/>
      <c r="AF1763" s="25"/>
      <c r="AG1763" s="26"/>
      <c r="AH1763" s="275"/>
      <c r="AI1763" s="52"/>
      <c r="AJ1763" s="35"/>
      <c r="AK1763" s="289"/>
      <c r="AL1763" s="290"/>
      <c r="AM1763" s="211"/>
      <c r="AN1763" s="164"/>
      <c r="AO1763" s="594"/>
      <c r="AP1763" s="595"/>
      <c r="AQ1763" s="275"/>
      <c r="AR1763" s="52"/>
      <c r="AS1763" s="596"/>
      <c r="AT1763" s="79"/>
      <c r="AU1763" s="212"/>
      <c r="AV1763" s="164"/>
      <c r="AW1763" s="164"/>
      <c r="AX1763" s="76"/>
      <c r="AY1763" s="44"/>
      <c r="AZ1763" s="275"/>
      <c r="BA1763" s="52"/>
      <c r="BB1763" s="35"/>
      <c r="BC1763" s="79"/>
      <c r="BD1763" s="230"/>
      <c r="BE1763" s="211"/>
      <c r="BF1763" s="164"/>
      <c r="BG1763" s="76"/>
      <c r="BH1763" s="44"/>
      <c r="BI1763" s="275"/>
      <c r="BJ1763" s="52"/>
      <c r="BK1763" s="35"/>
      <c r="BL1763" s="79"/>
      <c r="BM1763" s="230"/>
      <c r="BN1763" s="211"/>
      <c r="BO1763" s="164"/>
      <c r="BP1763" s="726"/>
      <c r="BQ1763" s="727"/>
      <c r="BR1763" s="299"/>
      <c r="BS1763" s="35"/>
      <c r="BT1763" s="596"/>
      <c r="BU1763" s="79"/>
      <c r="BV1763" s="212"/>
      <c r="BW1763" s="304"/>
      <c r="BX1763" s="313"/>
      <c r="BY1763" s="138"/>
    </row>
    <row r="1764" spans="1:77" ht="15" customHeight="1" outlineLevel="1" x14ac:dyDescent="0.2">
      <c r="A1764" s="57" t="s">
        <v>24</v>
      </c>
      <c r="B1764" s="583"/>
      <c r="C1764" s="583" t="s">
        <v>1462</v>
      </c>
      <c r="D1764" s="546">
        <v>2.84</v>
      </c>
      <c r="E1764" s="162" t="s">
        <v>631</v>
      </c>
      <c r="F1764" s="358"/>
      <c r="G1764" s="65"/>
      <c r="H1764" s="73"/>
      <c r="I1764" s="90">
        <v>2007</v>
      </c>
      <c r="J1764" s="73"/>
      <c r="K1764" s="734">
        <v>1.4862999999999999E-2</v>
      </c>
      <c r="L1764" s="717"/>
      <c r="M1764" s="73"/>
      <c r="N1764" s="359"/>
      <c r="O1764" s="1041"/>
      <c r="P1764" s="73"/>
      <c r="Q1764" s="359"/>
      <c r="R1764" s="1041"/>
      <c r="S1764" s="73"/>
      <c r="T1764" s="359"/>
      <c r="U1764" s="73"/>
      <c r="V1764" s="66"/>
      <c r="W1764" s="788">
        <f t="shared" si="1618"/>
        <v>1.025547E-5</v>
      </c>
      <c r="X1764" s="789">
        <f t="shared" si="1619"/>
        <v>1.025547E-5</v>
      </c>
      <c r="Y1764" s="52">
        <v>2007</v>
      </c>
      <c r="Z1764" s="52"/>
      <c r="AA1764" s="787">
        <f>+K1764/1000</f>
        <v>1.4863E-5</v>
      </c>
      <c r="AB1764" s="256">
        <v>-0.31</v>
      </c>
      <c r="AC1764" s="688">
        <f t="shared" si="1620"/>
        <v>-0.31</v>
      </c>
      <c r="AD1764" s="164"/>
      <c r="AE1764" s="164"/>
      <c r="AF1764" s="25"/>
      <c r="AG1764" s="26"/>
      <c r="AH1764" s="275"/>
      <c r="AI1764" s="52"/>
      <c r="AJ1764" s="35"/>
      <c r="AK1764" s="289"/>
      <c r="AL1764" s="290"/>
      <c r="AM1764" s="211"/>
      <c r="AN1764" s="164"/>
      <c r="AO1764" s="594"/>
      <c r="AP1764" s="595"/>
      <c r="AQ1764" s="275"/>
      <c r="AR1764" s="52"/>
      <c r="AS1764" s="596"/>
      <c r="AT1764" s="79"/>
      <c r="AU1764" s="212"/>
      <c r="AV1764" s="164"/>
      <c r="AW1764" s="164"/>
      <c r="AX1764" s="76"/>
      <c r="AY1764" s="44"/>
      <c r="AZ1764" s="275"/>
      <c r="BA1764" s="52"/>
      <c r="BB1764" s="35"/>
      <c r="BC1764" s="79"/>
      <c r="BD1764" s="230"/>
      <c r="BE1764" s="211"/>
      <c r="BF1764" s="164"/>
      <c r="BG1764" s="76"/>
      <c r="BH1764" s="44"/>
      <c r="BI1764" s="275"/>
      <c r="BJ1764" s="52"/>
      <c r="BK1764" s="35"/>
      <c r="BL1764" s="79"/>
      <c r="BM1764" s="230"/>
      <c r="BN1764" s="211"/>
      <c r="BO1764" s="164"/>
      <c r="BP1764" s="726"/>
      <c r="BQ1764" s="727"/>
      <c r="BR1764" s="299"/>
      <c r="BS1764" s="35"/>
      <c r="BT1764" s="596"/>
      <c r="BU1764" s="79"/>
      <c r="BV1764" s="212"/>
      <c r="BW1764" s="304"/>
      <c r="BX1764" s="313"/>
      <c r="BY1764" s="138"/>
    </row>
    <row r="1765" spans="1:77" ht="15" customHeight="1" outlineLevel="1" x14ac:dyDescent="0.2">
      <c r="A1765" s="583" t="s">
        <v>24</v>
      </c>
      <c r="B1765" s="583"/>
      <c r="C1765" s="583" t="s">
        <v>1864</v>
      </c>
      <c r="D1765" s="818">
        <v>0.27600000000000002</v>
      </c>
      <c r="E1765" s="162" t="s">
        <v>631</v>
      </c>
      <c r="F1765" s="358"/>
      <c r="G1765" s="65"/>
      <c r="H1765" s="73"/>
      <c r="I1765" s="90"/>
      <c r="J1765" s="73"/>
      <c r="K1765" s="790">
        <v>1.4790000000000001E-3</v>
      </c>
      <c r="L1765" s="717"/>
      <c r="M1765" s="73"/>
      <c r="N1765" s="738"/>
      <c r="O1765" s="1041"/>
      <c r="P1765" s="73"/>
      <c r="Q1765" s="738"/>
      <c r="R1765" s="1041"/>
      <c r="S1765" s="73"/>
      <c r="T1765" s="738"/>
      <c r="U1765" s="73"/>
      <c r="V1765" s="66"/>
      <c r="W1765" s="788">
        <f t="shared" ref="W1765" si="1636">AA1765*(1+AB1765)</f>
        <v>1.09446E-6</v>
      </c>
      <c r="X1765" s="789">
        <f t="shared" ref="X1765" si="1637">AA1765*(1+AC1765)</f>
        <v>1.09446E-6</v>
      </c>
      <c r="Y1765" s="52">
        <v>2005</v>
      </c>
      <c r="Z1765" s="52"/>
      <c r="AA1765" s="787">
        <f t="shared" ref="AA1765:AA1772" si="1638">+K1765/1000</f>
        <v>1.4790000000000002E-6</v>
      </c>
      <c r="AB1765" s="256">
        <v>-0.26</v>
      </c>
      <c r="AC1765" s="688">
        <f t="shared" si="1620"/>
        <v>-0.26</v>
      </c>
      <c r="AD1765" s="164"/>
      <c r="AE1765" s="164"/>
      <c r="AF1765" s="25"/>
      <c r="AG1765" s="26"/>
      <c r="AH1765" s="275"/>
      <c r="AI1765" s="52"/>
      <c r="AJ1765" s="35"/>
      <c r="AK1765" s="289"/>
      <c r="AL1765" s="290"/>
      <c r="AM1765" s="211"/>
      <c r="AN1765" s="164"/>
      <c r="AO1765" s="594"/>
      <c r="AP1765" s="595"/>
      <c r="AQ1765" s="275"/>
      <c r="AR1765" s="52"/>
      <c r="AS1765" s="596"/>
      <c r="AT1765" s="79"/>
      <c r="AU1765" s="212"/>
      <c r="AV1765" s="164"/>
      <c r="AW1765" s="164"/>
      <c r="AX1765" s="76"/>
      <c r="AY1765" s="44"/>
      <c r="AZ1765" s="275"/>
      <c r="BA1765" s="52"/>
      <c r="BB1765" s="35"/>
      <c r="BC1765" s="79"/>
      <c r="BD1765" s="230"/>
      <c r="BE1765" s="211"/>
      <c r="BF1765" s="164"/>
      <c r="BG1765" s="76"/>
      <c r="BH1765" s="44"/>
      <c r="BI1765" s="275"/>
      <c r="BJ1765" s="52"/>
      <c r="BK1765" s="35"/>
      <c r="BL1765" s="79"/>
      <c r="BM1765" s="230"/>
      <c r="BN1765" s="211"/>
      <c r="BO1765" s="164"/>
      <c r="BP1765" s="726"/>
      <c r="BQ1765" s="727"/>
      <c r="BR1765" s="299"/>
      <c r="BS1765" s="35"/>
      <c r="BT1765" s="596"/>
      <c r="BU1765" s="79"/>
      <c r="BV1765" s="212"/>
      <c r="BW1765" s="304"/>
      <c r="BX1765" s="313"/>
      <c r="BY1765" s="138"/>
    </row>
    <row r="1766" spans="1:77" ht="15" customHeight="1" outlineLevel="1" x14ac:dyDescent="0.2">
      <c r="A1766" s="583" t="s">
        <v>24</v>
      </c>
      <c r="B1766" s="583"/>
      <c r="C1766" s="583" t="s">
        <v>2062</v>
      </c>
      <c r="D1766" s="546">
        <v>24.23</v>
      </c>
      <c r="E1766" s="162" t="s">
        <v>631</v>
      </c>
      <c r="F1766" s="358"/>
      <c r="G1766" s="65"/>
      <c r="H1766" s="73"/>
      <c r="I1766" s="90"/>
      <c r="J1766" s="73"/>
      <c r="K1766" s="790">
        <v>7.2829000000000005E-2</v>
      </c>
      <c r="L1766" s="717"/>
      <c r="M1766" s="73"/>
      <c r="N1766" s="738"/>
      <c r="O1766" s="1041"/>
      <c r="P1766" s="73"/>
      <c r="Q1766" s="738"/>
      <c r="R1766" s="1041"/>
      <c r="S1766" s="73"/>
      <c r="T1766" s="738"/>
      <c r="U1766" s="73"/>
      <c r="V1766" s="66"/>
      <c r="W1766" s="788">
        <f t="shared" ref="W1766" si="1639">AA1766*(1+AB1766)</f>
        <v>5.1708590000000001E-5</v>
      </c>
      <c r="X1766" s="789">
        <f t="shared" ref="X1766" si="1640">AA1766*(1+AC1766)</f>
        <v>5.1708590000000001E-5</v>
      </c>
      <c r="Y1766" s="52">
        <v>2005</v>
      </c>
      <c r="Z1766" s="52"/>
      <c r="AA1766" s="787">
        <f t="shared" si="1638"/>
        <v>7.2829000000000004E-5</v>
      </c>
      <c r="AB1766" s="256">
        <v>-0.28999999999999998</v>
      </c>
      <c r="AC1766" s="688">
        <f t="shared" si="1620"/>
        <v>-0.28999999999999998</v>
      </c>
      <c r="AD1766" s="164"/>
      <c r="AE1766" s="164"/>
      <c r="AF1766" s="25"/>
      <c r="AG1766" s="26"/>
      <c r="AH1766" s="275"/>
      <c r="AI1766" s="52"/>
      <c r="AJ1766" s="35"/>
      <c r="AK1766" s="289"/>
      <c r="AL1766" s="290"/>
      <c r="AM1766" s="211"/>
      <c r="AN1766" s="164"/>
      <c r="AO1766" s="594"/>
      <c r="AP1766" s="595"/>
      <c r="AQ1766" s="275"/>
      <c r="AR1766" s="52"/>
      <c r="AS1766" s="596"/>
      <c r="AT1766" s="79"/>
      <c r="AU1766" s="212"/>
      <c r="AV1766" s="164"/>
      <c r="AW1766" s="164"/>
      <c r="AX1766" s="76"/>
      <c r="AY1766" s="44"/>
      <c r="AZ1766" s="275"/>
      <c r="BA1766" s="52"/>
      <c r="BB1766" s="35"/>
      <c r="BC1766" s="79"/>
      <c r="BD1766" s="230"/>
      <c r="BE1766" s="211"/>
      <c r="BF1766" s="164"/>
      <c r="BG1766" s="76"/>
      <c r="BH1766" s="44"/>
      <c r="BI1766" s="275"/>
      <c r="BJ1766" s="52"/>
      <c r="BK1766" s="35"/>
      <c r="BL1766" s="79"/>
      <c r="BM1766" s="230"/>
      <c r="BN1766" s="211"/>
      <c r="BO1766" s="164"/>
      <c r="BP1766" s="726"/>
      <c r="BQ1766" s="727"/>
      <c r="BR1766" s="299"/>
      <c r="BS1766" s="35"/>
      <c r="BT1766" s="596"/>
      <c r="BU1766" s="79"/>
      <c r="BV1766" s="212"/>
      <c r="BW1766" s="304"/>
      <c r="BX1766" s="313"/>
      <c r="BY1766" s="138"/>
    </row>
    <row r="1767" spans="1:77" ht="15" customHeight="1" outlineLevel="1" x14ac:dyDescent="0.2">
      <c r="A1767" s="57" t="s">
        <v>24</v>
      </c>
      <c r="B1767" s="583"/>
      <c r="C1767" s="583" t="s">
        <v>1301</v>
      </c>
      <c r="D1767" s="546">
        <v>31.574999999999999</v>
      </c>
      <c r="E1767" s="162" t="s">
        <v>631</v>
      </c>
      <c r="F1767" s="358"/>
      <c r="G1767" s="65"/>
      <c r="H1767" s="73"/>
      <c r="I1767" s="90">
        <v>2004</v>
      </c>
      <c r="J1767" s="73"/>
      <c r="K1767" s="66">
        <v>0.407806</v>
      </c>
      <c r="L1767" s="717"/>
      <c r="M1767" s="73"/>
      <c r="N1767" s="359"/>
      <c r="O1767" s="1041"/>
      <c r="P1767" s="73"/>
      <c r="Q1767" s="359"/>
      <c r="R1767" s="1041"/>
      <c r="S1767" s="73"/>
      <c r="T1767" s="359"/>
      <c r="U1767" s="73"/>
      <c r="V1767" s="66"/>
      <c r="W1767" s="594">
        <f t="shared" si="1618"/>
        <v>2.6507389999999998E-4</v>
      </c>
      <c r="X1767" s="595">
        <f t="shared" si="1619"/>
        <v>2.6507389999999998E-4</v>
      </c>
      <c r="Y1767" s="52">
        <v>2004</v>
      </c>
      <c r="Z1767" s="52"/>
      <c r="AA1767" s="596">
        <f t="shared" si="1638"/>
        <v>4.0780599999999998E-4</v>
      </c>
      <c r="AB1767" s="256">
        <v>-0.35</v>
      </c>
      <c r="AC1767" s="688">
        <f t="shared" si="1620"/>
        <v>-0.35</v>
      </c>
      <c r="AD1767" s="164"/>
      <c r="AE1767" s="164"/>
      <c r="AF1767" s="25"/>
      <c r="AG1767" s="26"/>
      <c r="AH1767" s="275"/>
      <c r="AI1767" s="52"/>
      <c r="AJ1767" s="35"/>
      <c r="AK1767" s="289"/>
      <c r="AL1767" s="290"/>
      <c r="AM1767" s="211"/>
      <c r="AN1767" s="164"/>
      <c r="AO1767" s="594"/>
      <c r="AP1767" s="595"/>
      <c r="AQ1767" s="275"/>
      <c r="AR1767" s="52"/>
      <c r="AS1767" s="596"/>
      <c r="AT1767" s="79"/>
      <c r="AU1767" s="212"/>
      <c r="AV1767" s="164"/>
      <c r="AW1767" s="164"/>
      <c r="AX1767" s="76"/>
      <c r="AY1767" s="44"/>
      <c r="AZ1767" s="275"/>
      <c r="BA1767" s="52"/>
      <c r="BB1767" s="35"/>
      <c r="BC1767" s="79"/>
      <c r="BD1767" s="230"/>
      <c r="BE1767" s="211"/>
      <c r="BF1767" s="164"/>
      <c r="BG1767" s="76"/>
      <c r="BH1767" s="44"/>
      <c r="BI1767" s="275"/>
      <c r="BJ1767" s="52"/>
      <c r="BK1767" s="35"/>
      <c r="BL1767" s="79"/>
      <c r="BM1767" s="230"/>
      <c r="BN1767" s="211"/>
      <c r="BO1767" s="164"/>
      <c r="BP1767" s="726"/>
      <c r="BQ1767" s="727"/>
      <c r="BR1767" s="299"/>
      <c r="BS1767" s="35"/>
      <c r="BT1767" s="596"/>
      <c r="BU1767" s="79"/>
      <c r="BV1767" s="212"/>
      <c r="BW1767" s="304"/>
      <c r="BX1767" s="313"/>
      <c r="BY1767" s="138"/>
    </row>
    <row r="1768" spans="1:77" ht="15" customHeight="1" outlineLevel="1" x14ac:dyDescent="0.2">
      <c r="A1768" s="57" t="s">
        <v>24</v>
      </c>
      <c r="B1768" s="583"/>
      <c r="C1768" s="583" t="s">
        <v>1587</v>
      </c>
      <c r="D1768" s="546">
        <v>4.6840000000000002</v>
      </c>
      <c r="E1768" s="162" t="s">
        <v>631</v>
      </c>
      <c r="F1768" s="358"/>
      <c r="G1768" s="65"/>
      <c r="H1768" s="73"/>
      <c r="I1768" s="90">
        <v>2000</v>
      </c>
      <c r="J1768" s="73"/>
      <c r="K1768" s="734">
        <v>2.0191000000000001E-2</v>
      </c>
      <c r="L1768" s="717"/>
      <c r="M1768" s="73"/>
      <c r="N1768" s="359"/>
      <c r="O1768" s="1041"/>
      <c r="P1768" s="73"/>
      <c r="Q1768" s="359"/>
      <c r="R1768" s="1041"/>
      <c r="S1768" s="73"/>
      <c r="T1768" s="359"/>
      <c r="U1768" s="73"/>
      <c r="V1768" s="66"/>
      <c r="W1768" s="740">
        <f t="shared" si="1618"/>
        <v>1.3931789999999999E-5</v>
      </c>
      <c r="X1768" s="741">
        <f t="shared" si="1619"/>
        <v>1.3931789999999999E-5</v>
      </c>
      <c r="Y1768" s="52">
        <v>2000</v>
      </c>
      <c r="Z1768" s="52"/>
      <c r="AA1768" s="739">
        <f t="shared" si="1638"/>
        <v>2.0191E-5</v>
      </c>
      <c r="AB1768" s="256">
        <v>-0.31</v>
      </c>
      <c r="AC1768" s="688">
        <f t="shared" si="1620"/>
        <v>-0.31</v>
      </c>
      <c r="AD1768" s="164"/>
      <c r="AE1768" s="164"/>
      <c r="AF1768" s="25"/>
      <c r="AG1768" s="26"/>
      <c r="AH1768" s="275"/>
      <c r="AI1768" s="52"/>
      <c r="AJ1768" s="35"/>
      <c r="AK1768" s="289"/>
      <c r="AL1768" s="290"/>
      <c r="AM1768" s="211"/>
      <c r="AN1768" s="164"/>
      <c r="AO1768" s="594"/>
      <c r="AP1768" s="595"/>
      <c r="AQ1768" s="275"/>
      <c r="AR1768" s="52"/>
      <c r="AS1768" s="596"/>
      <c r="AT1768" s="79"/>
      <c r="AU1768" s="212"/>
      <c r="AV1768" s="164"/>
      <c r="AW1768" s="164"/>
      <c r="AX1768" s="76"/>
      <c r="AY1768" s="44"/>
      <c r="AZ1768" s="275"/>
      <c r="BA1768" s="52"/>
      <c r="BB1768" s="35"/>
      <c r="BC1768" s="79"/>
      <c r="BD1768" s="230"/>
      <c r="BE1768" s="211"/>
      <c r="BF1768" s="164"/>
      <c r="BG1768" s="76"/>
      <c r="BH1768" s="44"/>
      <c r="BI1768" s="275"/>
      <c r="BJ1768" s="52"/>
      <c r="BK1768" s="35"/>
      <c r="BL1768" s="79"/>
      <c r="BM1768" s="230"/>
      <c r="BN1768" s="211"/>
      <c r="BO1768" s="164"/>
      <c r="BP1768" s="726"/>
      <c r="BQ1768" s="727"/>
      <c r="BR1768" s="299"/>
      <c r="BS1768" s="35"/>
      <c r="BT1768" s="596"/>
      <c r="BU1768" s="79"/>
      <c r="BV1768" s="212"/>
      <c r="BW1768" s="304"/>
      <c r="BX1768" s="313"/>
      <c r="BY1768" s="138"/>
    </row>
    <row r="1769" spans="1:77" ht="15" customHeight="1" outlineLevel="1" x14ac:dyDescent="0.2">
      <c r="A1769" s="57" t="s">
        <v>24</v>
      </c>
      <c r="B1769" s="583"/>
      <c r="C1769" s="583" t="s">
        <v>2397</v>
      </c>
      <c r="D1769" s="546"/>
      <c r="E1769" s="162" t="s">
        <v>631</v>
      </c>
      <c r="F1769" s="358"/>
      <c r="G1769" s="65"/>
      <c r="H1769" s="73"/>
      <c r="I1769" s="90"/>
      <c r="J1769" s="73"/>
      <c r="K1769" s="734"/>
      <c r="L1769" s="717">
        <v>2008</v>
      </c>
      <c r="M1769" s="73"/>
      <c r="N1769" s="738">
        <v>1.1011E-2</v>
      </c>
      <c r="O1769" s="1041"/>
      <c r="P1769" s="73"/>
      <c r="Q1769" s="359"/>
      <c r="R1769" s="1041"/>
      <c r="S1769" s="73"/>
      <c r="T1769" s="359"/>
      <c r="U1769" s="73"/>
      <c r="V1769" s="66"/>
      <c r="W1769" s="788">
        <f t="shared" ref="W1769" si="1641">AA1769*(1+AB1769)</f>
        <v>7.8178099999999989E-6</v>
      </c>
      <c r="X1769" s="789">
        <f t="shared" ref="X1769" si="1642">AA1769*(1+AC1769)</f>
        <v>7.8178099999999989E-6</v>
      </c>
      <c r="Y1769" s="52">
        <v>2000</v>
      </c>
      <c r="Z1769" s="52"/>
      <c r="AA1769" s="787">
        <f>+N1769/1000</f>
        <v>1.1011E-5</v>
      </c>
      <c r="AB1769" s="256">
        <v>-0.28999999999999998</v>
      </c>
      <c r="AC1769" s="688">
        <f t="shared" ref="AC1769" si="1643">AB1769</f>
        <v>-0.28999999999999998</v>
      </c>
      <c r="AD1769" s="164"/>
      <c r="AE1769" s="164"/>
      <c r="AF1769" s="25"/>
      <c r="AG1769" s="26"/>
      <c r="AH1769" s="275"/>
      <c r="AI1769" s="52"/>
      <c r="AJ1769" s="35"/>
      <c r="AK1769" s="289"/>
      <c r="AL1769" s="290"/>
      <c r="AM1769" s="211"/>
      <c r="AN1769" s="164"/>
      <c r="AO1769" s="594"/>
      <c r="AP1769" s="595"/>
      <c r="AQ1769" s="275"/>
      <c r="AR1769" s="52"/>
      <c r="AS1769" s="596"/>
      <c r="AT1769" s="79"/>
      <c r="AU1769" s="212"/>
      <c r="AV1769" s="164"/>
      <c r="AW1769" s="164"/>
      <c r="AX1769" s="76"/>
      <c r="AY1769" s="44"/>
      <c r="AZ1769" s="275"/>
      <c r="BA1769" s="52"/>
      <c r="BB1769" s="35"/>
      <c r="BC1769" s="79"/>
      <c r="BD1769" s="230"/>
      <c r="BE1769" s="211"/>
      <c r="BF1769" s="164"/>
      <c r="BG1769" s="76"/>
      <c r="BH1769" s="44"/>
      <c r="BI1769" s="275"/>
      <c r="BJ1769" s="52"/>
      <c r="BK1769" s="35"/>
      <c r="BL1769" s="79"/>
      <c r="BM1769" s="230"/>
      <c r="BN1769" s="211"/>
      <c r="BO1769" s="164"/>
      <c r="BP1769" s="726"/>
      <c r="BQ1769" s="727"/>
      <c r="BR1769" s="299"/>
      <c r="BS1769" s="35"/>
      <c r="BT1769" s="596"/>
      <c r="BU1769" s="79"/>
      <c r="BV1769" s="212"/>
      <c r="BW1769" s="304"/>
      <c r="BX1769" s="313"/>
      <c r="BY1769" s="138"/>
    </row>
    <row r="1770" spans="1:77" ht="15" customHeight="1" outlineLevel="1" x14ac:dyDescent="0.2">
      <c r="A1770" s="583" t="s">
        <v>24</v>
      </c>
      <c r="B1770" s="583"/>
      <c r="C1770" s="583" t="s">
        <v>1780</v>
      </c>
      <c r="D1770" s="546">
        <v>2.4220000000000002</v>
      </c>
      <c r="E1770" s="162" t="s">
        <v>631</v>
      </c>
      <c r="F1770" s="358"/>
      <c r="G1770" s="65"/>
      <c r="H1770" s="73"/>
      <c r="I1770" s="90">
        <v>2000</v>
      </c>
      <c r="J1770" s="73"/>
      <c r="K1770" s="734">
        <v>8.2839999999999997E-3</v>
      </c>
      <c r="L1770" s="717"/>
      <c r="M1770" s="73"/>
      <c r="N1770" s="359"/>
      <c r="O1770" s="1041"/>
      <c r="P1770" s="73"/>
      <c r="Q1770" s="359"/>
      <c r="R1770" s="1041"/>
      <c r="S1770" s="73"/>
      <c r="T1770" s="359"/>
      <c r="U1770" s="73"/>
      <c r="V1770" s="66"/>
      <c r="W1770" s="788">
        <f t="shared" ref="W1770" si="1644">AA1770*(1+AB1770)</f>
        <v>6.2129999999999996E-6</v>
      </c>
      <c r="X1770" s="789">
        <f t="shared" ref="X1770" si="1645">AA1770*(1+AC1770)</f>
        <v>6.2129999999999996E-6</v>
      </c>
      <c r="Y1770" s="52">
        <v>2000</v>
      </c>
      <c r="Z1770" s="52"/>
      <c r="AA1770" s="787">
        <f t="shared" si="1638"/>
        <v>8.283999999999999E-6</v>
      </c>
      <c r="AB1770" s="256">
        <v>-0.25</v>
      </c>
      <c r="AC1770" s="688">
        <f t="shared" si="1620"/>
        <v>-0.25</v>
      </c>
      <c r="AD1770" s="164"/>
      <c r="AE1770" s="164"/>
      <c r="AF1770" s="25"/>
      <c r="AG1770" s="26"/>
      <c r="AH1770" s="275"/>
      <c r="AI1770" s="52"/>
      <c r="AJ1770" s="35"/>
      <c r="AK1770" s="289"/>
      <c r="AL1770" s="290"/>
      <c r="AM1770" s="211"/>
      <c r="AN1770" s="164"/>
      <c r="AO1770" s="594"/>
      <c r="AP1770" s="595"/>
      <c r="AQ1770" s="275"/>
      <c r="AR1770" s="52"/>
      <c r="AS1770" s="596"/>
      <c r="AT1770" s="79"/>
      <c r="AU1770" s="212"/>
      <c r="AV1770" s="164"/>
      <c r="AW1770" s="164"/>
      <c r="AX1770" s="76"/>
      <c r="AY1770" s="44"/>
      <c r="AZ1770" s="275"/>
      <c r="BA1770" s="52"/>
      <c r="BB1770" s="35"/>
      <c r="BC1770" s="79"/>
      <c r="BD1770" s="230"/>
      <c r="BE1770" s="211"/>
      <c r="BF1770" s="164"/>
      <c r="BG1770" s="76"/>
      <c r="BH1770" s="44"/>
      <c r="BI1770" s="275"/>
      <c r="BJ1770" s="52"/>
      <c r="BK1770" s="35"/>
      <c r="BL1770" s="79"/>
      <c r="BM1770" s="230"/>
      <c r="BN1770" s="211"/>
      <c r="BO1770" s="164"/>
      <c r="BP1770" s="726"/>
      <c r="BQ1770" s="727"/>
      <c r="BR1770" s="299"/>
      <c r="BS1770" s="35"/>
      <c r="BT1770" s="596"/>
      <c r="BU1770" s="79"/>
      <c r="BV1770" s="212"/>
      <c r="BW1770" s="304"/>
      <c r="BX1770" s="313"/>
      <c r="BY1770" s="138"/>
    </row>
    <row r="1771" spans="1:77" ht="15" customHeight="1" outlineLevel="1" x14ac:dyDescent="0.2">
      <c r="A1771" s="57" t="s">
        <v>24</v>
      </c>
      <c r="B1771" s="583"/>
      <c r="C1771" s="583" t="s">
        <v>1393</v>
      </c>
      <c r="D1771" s="546">
        <v>9.7240000000000002</v>
      </c>
      <c r="E1771" s="162" t="s">
        <v>631</v>
      </c>
      <c r="F1771" s="358"/>
      <c r="G1771" s="65"/>
      <c r="H1771" s="73"/>
      <c r="I1771" s="90">
        <v>2007</v>
      </c>
      <c r="J1771" s="73"/>
      <c r="K1771" s="734">
        <v>1.8658999999999999E-2</v>
      </c>
      <c r="L1771" s="717"/>
      <c r="M1771" s="73"/>
      <c r="N1771" s="359"/>
      <c r="O1771" s="1041"/>
      <c r="P1771" s="73"/>
      <c r="Q1771" s="359"/>
      <c r="R1771" s="1041"/>
      <c r="S1771" s="73"/>
      <c r="T1771" s="359"/>
      <c r="U1771" s="73"/>
      <c r="V1771" s="66"/>
      <c r="W1771" s="740">
        <f t="shared" si="1618"/>
        <v>1.138199E-5</v>
      </c>
      <c r="X1771" s="741">
        <f t="shared" si="1619"/>
        <v>1.138199E-5</v>
      </c>
      <c r="Y1771" s="52">
        <v>2007</v>
      </c>
      <c r="Z1771" s="52"/>
      <c r="AA1771" s="739">
        <f t="shared" si="1638"/>
        <v>1.8658999999999999E-5</v>
      </c>
      <c r="AB1771" s="256">
        <v>-0.39</v>
      </c>
      <c r="AC1771" s="688">
        <f t="shared" si="1620"/>
        <v>-0.39</v>
      </c>
      <c r="AD1771" s="164"/>
      <c r="AE1771" s="164"/>
      <c r="AF1771" s="25"/>
      <c r="AG1771" s="26"/>
      <c r="AH1771" s="275"/>
      <c r="AI1771" s="52"/>
      <c r="AJ1771" s="35"/>
      <c r="AK1771" s="289"/>
      <c r="AL1771" s="290"/>
      <c r="AM1771" s="211"/>
      <c r="AN1771" s="164"/>
      <c r="AO1771" s="594"/>
      <c r="AP1771" s="595"/>
      <c r="AQ1771" s="275"/>
      <c r="AR1771" s="52"/>
      <c r="AS1771" s="596"/>
      <c r="AT1771" s="79"/>
      <c r="AU1771" s="212"/>
      <c r="AV1771" s="164"/>
      <c r="AW1771" s="164"/>
      <c r="AX1771" s="76"/>
      <c r="AY1771" s="44"/>
      <c r="AZ1771" s="275"/>
      <c r="BA1771" s="52"/>
      <c r="BB1771" s="35"/>
      <c r="BC1771" s="79"/>
      <c r="BD1771" s="230"/>
      <c r="BE1771" s="211"/>
      <c r="BF1771" s="164"/>
      <c r="BG1771" s="76"/>
      <c r="BH1771" s="44"/>
      <c r="BI1771" s="275"/>
      <c r="BJ1771" s="52"/>
      <c r="BK1771" s="35"/>
      <c r="BL1771" s="79"/>
      <c r="BM1771" s="230"/>
      <c r="BN1771" s="211"/>
      <c r="BO1771" s="164"/>
      <c r="BP1771" s="726"/>
      <c r="BQ1771" s="727"/>
      <c r="BR1771" s="299"/>
      <c r="BS1771" s="35"/>
      <c r="BT1771" s="596"/>
      <c r="BU1771" s="79"/>
      <c r="BV1771" s="212"/>
      <c r="BW1771" s="304"/>
      <c r="BX1771" s="313"/>
      <c r="BY1771" s="138"/>
    </row>
    <row r="1772" spans="1:77" ht="15" customHeight="1" outlineLevel="1" x14ac:dyDescent="0.2">
      <c r="A1772" s="57" t="s">
        <v>24</v>
      </c>
      <c r="B1772" s="583"/>
      <c r="C1772" s="864" t="s">
        <v>1460</v>
      </c>
      <c r="D1772" s="546">
        <v>0.83399999999999996</v>
      </c>
      <c r="E1772" s="162" t="s">
        <v>631</v>
      </c>
      <c r="F1772" s="358"/>
      <c r="G1772" s="65"/>
      <c r="H1772" s="73"/>
      <c r="I1772" s="90">
        <v>2007</v>
      </c>
      <c r="J1772" s="73"/>
      <c r="K1772" s="790">
        <v>4.6639999999999997E-3</v>
      </c>
      <c r="L1772" s="717"/>
      <c r="M1772" s="73"/>
      <c r="N1772" s="359"/>
      <c r="O1772" s="1041"/>
      <c r="P1772" s="73"/>
      <c r="Q1772" s="359"/>
      <c r="R1772" s="1041"/>
      <c r="S1772" s="73"/>
      <c r="T1772" s="359"/>
      <c r="U1772" s="73"/>
      <c r="V1772" s="66"/>
      <c r="W1772" s="788">
        <f t="shared" si="1618"/>
        <v>3.1248799999999994E-6</v>
      </c>
      <c r="X1772" s="789">
        <f t="shared" si="1619"/>
        <v>3.1248799999999994E-6</v>
      </c>
      <c r="Y1772" s="52">
        <v>2007</v>
      </c>
      <c r="Z1772" s="52"/>
      <c r="AA1772" s="787">
        <f t="shared" si="1638"/>
        <v>4.6639999999999997E-6</v>
      </c>
      <c r="AB1772" s="256">
        <v>-0.33</v>
      </c>
      <c r="AC1772" s="688">
        <f t="shared" si="1620"/>
        <v>-0.33</v>
      </c>
      <c r="AD1772" s="164"/>
      <c r="AE1772" s="164"/>
      <c r="AF1772" s="25"/>
      <c r="AG1772" s="26"/>
      <c r="AH1772" s="275"/>
      <c r="AI1772" s="52"/>
      <c r="AJ1772" s="35"/>
      <c r="AK1772" s="289"/>
      <c r="AL1772" s="290"/>
      <c r="AM1772" s="211"/>
      <c r="AN1772" s="164"/>
      <c r="AO1772" s="594"/>
      <c r="AP1772" s="595"/>
      <c r="AQ1772" s="275"/>
      <c r="AR1772" s="52"/>
      <c r="AS1772" s="596"/>
      <c r="AT1772" s="79"/>
      <c r="AU1772" s="212"/>
      <c r="AV1772" s="164"/>
      <c r="AW1772" s="164"/>
      <c r="AX1772" s="76"/>
      <c r="AY1772" s="44"/>
      <c r="AZ1772" s="275"/>
      <c r="BA1772" s="52"/>
      <c r="BB1772" s="35"/>
      <c r="BC1772" s="79"/>
      <c r="BD1772" s="230"/>
      <c r="BE1772" s="211"/>
      <c r="BF1772" s="164"/>
      <c r="BG1772" s="76"/>
      <c r="BH1772" s="44"/>
      <c r="BI1772" s="275"/>
      <c r="BJ1772" s="52"/>
      <c r="BK1772" s="35"/>
      <c r="BL1772" s="79"/>
      <c r="BM1772" s="230"/>
      <c r="BN1772" s="211"/>
      <c r="BO1772" s="164"/>
      <c r="BP1772" s="726"/>
      <c r="BQ1772" s="727"/>
      <c r="BR1772" s="299"/>
      <c r="BS1772" s="35"/>
      <c r="BT1772" s="596"/>
      <c r="BU1772" s="79"/>
      <c r="BV1772" s="212"/>
      <c r="BW1772" s="304"/>
      <c r="BX1772" s="313"/>
      <c r="BY1772" s="138"/>
    </row>
    <row r="1773" spans="1:77" ht="15" customHeight="1" outlineLevel="1" x14ac:dyDescent="0.2">
      <c r="A1773" s="583" t="s">
        <v>24</v>
      </c>
      <c r="B1773" s="583"/>
      <c r="C1773" s="864" t="s">
        <v>1904</v>
      </c>
      <c r="D1773" s="546">
        <v>1.8069999999999999</v>
      </c>
      <c r="E1773" s="162" t="s">
        <v>631</v>
      </c>
      <c r="F1773" s="358"/>
      <c r="G1773" s="65"/>
      <c r="H1773" s="73"/>
      <c r="I1773" s="90"/>
      <c r="J1773" s="73"/>
      <c r="K1773" s="790"/>
      <c r="L1773" s="717">
        <v>2012</v>
      </c>
      <c r="M1773" s="73"/>
      <c r="N1773" s="786">
        <v>4.9329999999999999E-3</v>
      </c>
      <c r="O1773" s="1041"/>
      <c r="P1773" s="73"/>
      <c r="Q1773" s="786"/>
      <c r="R1773" s="1041"/>
      <c r="S1773" s="73"/>
      <c r="T1773" s="786"/>
      <c r="U1773" s="73"/>
      <c r="V1773" s="66"/>
      <c r="W1773" s="788">
        <f t="shared" ref="W1773" si="1646">AA1773*(1+AB1773)</f>
        <v>3.6504199999999999E-6</v>
      </c>
      <c r="X1773" s="789">
        <f t="shared" ref="X1773" si="1647">AA1773*(1+AC1773)</f>
        <v>3.6504199999999999E-6</v>
      </c>
      <c r="Y1773" s="52">
        <v>2012</v>
      </c>
      <c r="Z1773" s="52"/>
      <c r="AA1773" s="787">
        <f t="shared" ref="AA1773:AA1780" si="1648">+N1773/1000</f>
        <v>4.933E-6</v>
      </c>
      <c r="AB1773" s="256">
        <v>-0.26</v>
      </c>
      <c r="AC1773" s="688">
        <f t="shared" si="1620"/>
        <v>-0.26</v>
      </c>
      <c r="AD1773" s="164"/>
      <c r="AE1773" s="164"/>
      <c r="AF1773" s="25"/>
      <c r="AG1773" s="26"/>
      <c r="AH1773" s="275"/>
      <c r="AI1773" s="52"/>
      <c r="AJ1773" s="35"/>
      <c r="AK1773" s="289"/>
      <c r="AL1773" s="290"/>
      <c r="AM1773" s="211"/>
      <c r="AN1773" s="164"/>
      <c r="AO1773" s="594"/>
      <c r="AP1773" s="595"/>
      <c r="AQ1773" s="275"/>
      <c r="AR1773" s="52"/>
      <c r="AS1773" s="596"/>
      <c r="AT1773" s="79"/>
      <c r="AU1773" s="212"/>
      <c r="AV1773" s="164"/>
      <c r="AW1773" s="164"/>
      <c r="AX1773" s="76"/>
      <c r="AY1773" s="44"/>
      <c r="AZ1773" s="275"/>
      <c r="BA1773" s="52"/>
      <c r="BB1773" s="35"/>
      <c r="BC1773" s="79"/>
      <c r="BD1773" s="230"/>
      <c r="BE1773" s="211"/>
      <c r="BF1773" s="164"/>
      <c r="BG1773" s="76"/>
      <c r="BH1773" s="44"/>
      <c r="BI1773" s="275"/>
      <c r="BJ1773" s="52"/>
      <c r="BK1773" s="35"/>
      <c r="BL1773" s="79"/>
      <c r="BM1773" s="230"/>
      <c r="BN1773" s="211"/>
      <c r="BO1773" s="164"/>
      <c r="BP1773" s="726"/>
      <c r="BQ1773" s="727"/>
      <c r="BR1773" s="299"/>
      <c r="BS1773" s="35"/>
      <c r="BT1773" s="596"/>
      <c r="BU1773" s="79"/>
      <c r="BV1773" s="212"/>
      <c r="BW1773" s="304"/>
      <c r="BX1773" s="313"/>
      <c r="BY1773" s="138"/>
    </row>
    <row r="1774" spans="1:77" ht="15" customHeight="1" outlineLevel="1" x14ac:dyDescent="0.2">
      <c r="A1774" s="57" t="s">
        <v>24</v>
      </c>
      <c r="B1774" s="583"/>
      <c r="C1774" s="864" t="s">
        <v>1574</v>
      </c>
      <c r="D1774" s="818">
        <v>0.38500000000000001</v>
      </c>
      <c r="E1774" s="162" t="s">
        <v>631</v>
      </c>
      <c r="F1774" s="358"/>
      <c r="G1774" s="65"/>
      <c r="H1774" s="73"/>
      <c r="I1774" s="90"/>
      <c r="J1774" s="73"/>
      <c r="K1774" s="734"/>
      <c r="L1774" s="717">
        <v>2011</v>
      </c>
      <c r="M1774" s="73"/>
      <c r="N1774" s="786">
        <v>1.7260000000000001E-3</v>
      </c>
      <c r="O1774" s="1041"/>
      <c r="P1774" s="73"/>
      <c r="Q1774" s="786"/>
      <c r="R1774" s="1041"/>
      <c r="S1774" s="73"/>
      <c r="T1774" s="786"/>
      <c r="U1774" s="73"/>
      <c r="V1774" s="66"/>
      <c r="W1774" s="788">
        <f t="shared" si="1618"/>
        <v>1.13916E-6</v>
      </c>
      <c r="X1774" s="789">
        <f t="shared" si="1619"/>
        <v>1.13916E-6</v>
      </c>
      <c r="Y1774" s="52">
        <v>2011</v>
      </c>
      <c r="Z1774" s="52"/>
      <c r="AA1774" s="787">
        <f t="shared" si="1648"/>
        <v>1.7260000000000001E-6</v>
      </c>
      <c r="AB1774" s="256">
        <v>-0.34</v>
      </c>
      <c r="AC1774" s="688">
        <f t="shared" si="1620"/>
        <v>-0.34</v>
      </c>
      <c r="AD1774" s="164"/>
      <c r="AE1774" s="164"/>
      <c r="AF1774" s="25"/>
      <c r="AG1774" s="26"/>
      <c r="AH1774" s="275"/>
      <c r="AI1774" s="52"/>
      <c r="AJ1774" s="35"/>
      <c r="AK1774" s="289"/>
      <c r="AL1774" s="290"/>
      <c r="AM1774" s="211"/>
      <c r="AN1774" s="164"/>
      <c r="AO1774" s="594"/>
      <c r="AP1774" s="595"/>
      <c r="AQ1774" s="275"/>
      <c r="AR1774" s="52"/>
      <c r="AS1774" s="596"/>
      <c r="AT1774" s="79"/>
      <c r="AU1774" s="212"/>
      <c r="AV1774" s="164"/>
      <c r="AW1774" s="164"/>
      <c r="AX1774" s="76"/>
      <c r="AY1774" s="44"/>
      <c r="AZ1774" s="275"/>
      <c r="BA1774" s="52"/>
      <c r="BB1774" s="35"/>
      <c r="BC1774" s="79"/>
      <c r="BD1774" s="230"/>
      <c r="BE1774" s="211"/>
      <c r="BF1774" s="164"/>
      <c r="BG1774" s="76"/>
      <c r="BH1774" s="44"/>
      <c r="BI1774" s="275"/>
      <c r="BJ1774" s="52"/>
      <c r="BK1774" s="35"/>
      <c r="BL1774" s="79"/>
      <c r="BM1774" s="230"/>
      <c r="BN1774" s="211"/>
      <c r="BO1774" s="164"/>
      <c r="BP1774" s="726"/>
      <c r="BQ1774" s="727"/>
      <c r="BR1774" s="299"/>
      <c r="BS1774" s="35"/>
      <c r="BT1774" s="596"/>
      <c r="BU1774" s="79"/>
      <c r="BV1774" s="212"/>
      <c r="BW1774" s="304"/>
      <c r="BX1774" s="313"/>
      <c r="BY1774" s="138"/>
    </row>
    <row r="1775" spans="1:77" ht="15" customHeight="1" outlineLevel="1" x14ac:dyDescent="0.2">
      <c r="A1775" s="583" t="s">
        <v>24</v>
      </c>
      <c r="B1775" s="583"/>
      <c r="C1775" s="864" t="s">
        <v>2038</v>
      </c>
      <c r="D1775" s="818">
        <v>12.654</v>
      </c>
      <c r="E1775" s="162" t="s">
        <v>631</v>
      </c>
      <c r="F1775" s="358"/>
      <c r="G1775" s="65"/>
      <c r="H1775" s="73"/>
      <c r="I1775" s="90"/>
      <c r="J1775" s="73"/>
      <c r="K1775" s="734"/>
      <c r="L1775" s="717">
        <v>2011</v>
      </c>
      <c r="M1775" s="73"/>
      <c r="N1775" s="786">
        <v>3.9365999999999998E-2</v>
      </c>
      <c r="O1775" s="1041"/>
      <c r="P1775" s="73"/>
      <c r="Q1775" s="786"/>
      <c r="R1775" s="1041"/>
      <c r="S1775" s="73"/>
      <c r="T1775" s="786"/>
      <c r="U1775" s="73"/>
      <c r="V1775" s="66"/>
      <c r="W1775" s="788">
        <f t="shared" ref="W1775" si="1649">AA1775*(1+AB1775)</f>
        <v>2.8343519999999995E-5</v>
      </c>
      <c r="X1775" s="789">
        <f t="shared" ref="X1775" si="1650">AA1775*(1+AC1775)</f>
        <v>2.8343519999999995E-5</v>
      </c>
      <c r="Y1775" s="52">
        <v>2011</v>
      </c>
      <c r="Z1775" s="52"/>
      <c r="AA1775" s="787">
        <f t="shared" si="1648"/>
        <v>3.9365999999999995E-5</v>
      </c>
      <c r="AB1775" s="256">
        <v>-0.28000000000000003</v>
      </c>
      <c r="AC1775" s="688">
        <f t="shared" si="1620"/>
        <v>-0.28000000000000003</v>
      </c>
      <c r="AD1775" s="164"/>
      <c r="AE1775" s="164"/>
      <c r="AF1775" s="25"/>
      <c r="AG1775" s="26"/>
      <c r="AH1775" s="275"/>
      <c r="AI1775" s="52"/>
      <c r="AJ1775" s="35"/>
      <c r="AK1775" s="289"/>
      <c r="AL1775" s="290"/>
      <c r="AM1775" s="211"/>
      <c r="AN1775" s="164"/>
      <c r="AO1775" s="594"/>
      <c r="AP1775" s="595"/>
      <c r="AQ1775" s="275"/>
      <c r="AR1775" s="52"/>
      <c r="AS1775" s="596"/>
      <c r="AT1775" s="79"/>
      <c r="AU1775" s="212"/>
      <c r="AV1775" s="164"/>
      <c r="AW1775" s="164"/>
      <c r="AX1775" s="76"/>
      <c r="AY1775" s="44"/>
      <c r="AZ1775" s="275"/>
      <c r="BA1775" s="52"/>
      <c r="BB1775" s="35"/>
      <c r="BC1775" s="79"/>
      <c r="BD1775" s="230"/>
      <c r="BE1775" s="211"/>
      <c r="BF1775" s="164"/>
      <c r="BG1775" s="76"/>
      <c r="BH1775" s="44"/>
      <c r="BI1775" s="275"/>
      <c r="BJ1775" s="52"/>
      <c r="BK1775" s="35"/>
      <c r="BL1775" s="79"/>
      <c r="BM1775" s="230"/>
      <c r="BN1775" s="211"/>
      <c r="BO1775" s="164"/>
      <c r="BP1775" s="726"/>
      <c r="BQ1775" s="727"/>
      <c r="BR1775" s="299"/>
      <c r="BS1775" s="35"/>
      <c r="BT1775" s="596"/>
      <c r="BU1775" s="79"/>
      <c r="BV1775" s="212"/>
      <c r="BW1775" s="304"/>
      <c r="BX1775" s="313"/>
      <c r="BY1775" s="138"/>
    </row>
    <row r="1776" spans="1:77" ht="15" customHeight="1" outlineLevel="1" x14ac:dyDescent="0.2">
      <c r="A1776" s="583" t="s">
        <v>24</v>
      </c>
      <c r="B1776" s="583"/>
      <c r="C1776" s="864" t="s">
        <v>1688</v>
      </c>
      <c r="D1776" s="818">
        <v>3.75</v>
      </c>
      <c r="E1776" s="162" t="s">
        <v>631</v>
      </c>
      <c r="F1776" s="358"/>
      <c r="G1776" s="65"/>
      <c r="H1776" s="73"/>
      <c r="I1776" s="90"/>
      <c r="J1776" s="73"/>
      <c r="K1776" s="734"/>
      <c r="L1776" s="717">
        <v>2011</v>
      </c>
      <c r="M1776" s="73"/>
      <c r="N1776" s="786">
        <v>2.0813000000000002E-2</v>
      </c>
      <c r="O1776" s="1041"/>
      <c r="P1776" s="73"/>
      <c r="Q1776" s="786"/>
      <c r="R1776" s="1041"/>
      <c r="S1776" s="73"/>
      <c r="T1776" s="786"/>
      <c r="U1776" s="73"/>
      <c r="V1776" s="66"/>
      <c r="W1776" s="788">
        <f t="shared" ref="W1776" si="1651">AA1776*(1+AB1776)</f>
        <v>1.5609750000000001E-5</v>
      </c>
      <c r="X1776" s="789">
        <f t="shared" ref="X1776" si="1652">AA1776*(1+AC1776)</f>
        <v>1.5609750000000001E-5</v>
      </c>
      <c r="Y1776" s="52">
        <v>2011</v>
      </c>
      <c r="Z1776" s="52"/>
      <c r="AA1776" s="787">
        <f t="shared" si="1648"/>
        <v>2.0813000000000002E-5</v>
      </c>
      <c r="AB1776" s="256">
        <v>-0.25</v>
      </c>
      <c r="AC1776" s="688">
        <f t="shared" si="1620"/>
        <v>-0.25</v>
      </c>
      <c r="AD1776" s="164"/>
      <c r="AE1776" s="164"/>
      <c r="AF1776" s="25"/>
      <c r="AG1776" s="26"/>
      <c r="AH1776" s="275"/>
      <c r="AI1776" s="52"/>
      <c r="AJ1776" s="35"/>
      <c r="AK1776" s="289"/>
      <c r="AL1776" s="290"/>
      <c r="AM1776" s="211"/>
      <c r="AN1776" s="164"/>
      <c r="AO1776" s="594"/>
      <c r="AP1776" s="595"/>
      <c r="AQ1776" s="275"/>
      <c r="AR1776" s="52"/>
      <c r="AS1776" s="596"/>
      <c r="AT1776" s="79"/>
      <c r="AU1776" s="212"/>
      <c r="AV1776" s="164"/>
      <c r="AW1776" s="164"/>
      <c r="AX1776" s="76"/>
      <c r="AY1776" s="44"/>
      <c r="AZ1776" s="275"/>
      <c r="BA1776" s="52"/>
      <c r="BB1776" s="35"/>
      <c r="BC1776" s="79"/>
      <c r="BD1776" s="230"/>
      <c r="BE1776" s="211"/>
      <c r="BF1776" s="164"/>
      <c r="BG1776" s="76"/>
      <c r="BH1776" s="44"/>
      <c r="BI1776" s="275"/>
      <c r="BJ1776" s="52"/>
      <c r="BK1776" s="35"/>
      <c r="BL1776" s="79"/>
      <c r="BM1776" s="230"/>
      <c r="BN1776" s="211"/>
      <c r="BO1776" s="164"/>
      <c r="BP1776" s="726"/>
      <c r="BQ1776" s="727"/>
      <c r="BR1776" s="299"/>
      <c r="BS1776" s="35"/>
      <c r="BT1776" s="596"/>
      <c r="BU1776" s="79"/>
      <c r="BV1776" s="212"/>
      <c r="BW1776" s="304"/>
      <c r="BX1776" s="313"/>
      <c r="BY1776" s="138"/>
    </row>
    <row r="1777" spans="1:77" ht="15" customHeight="1" outlineLevel="1" x14ac:dyDescent="0.2">
      <c r="A1777" s="583" t="s">
        <v>24</v>
      </c>
      <c r="B1777" s="583"/>
      <c r="C1777" s="864" t="s">
        <v>1927</v>
      </c>
      <c r="D1777" s="818">
        <v>17.183</v>
      </c>
      <c r="E1777" s="162" t="s">
        <v>631</v>
      </c>
      <c r="F1777" s="358"/>
      <c r="G1777" s="65"/>
      <c r="H1777" s="73"/>
      <c r="I1777" s="90"/>
      <c r="J1777" s="73"/>
      <c r="K1777" s="734"/>
      <c r="L1777" s="717">
        <v>2009</v>
      </c>
      <c r="M1777" s="73"/>
      <c r="N1777" s="786">
        <v>8.0368999999999996E-2</v>
      </c>
      <c r="O1777" s="1041"/>
      <c r="P1777" s="73"/>
      <c r="Q1777" s="786"/>
      <c r="R1777" s="1041"/>
      <c r="S1777" s="73"/>
      <c r="T1777" s="786"/>
      <c r="U1777" s="73"/>
      <c r="V1777" s="66"/>
      <c r="W1777" s="788">
        <f t="shared" ref="W1777:W1778" si="1653">AA1777*(1+AB1777)</f>
        <v>5.8669370000000002E-5</v>
      </c>
      <c r="X1777" s="789">
        <f t="shared" ref="X1777:X1778" si="1654">AA1777*(1+AC1777)</f>
        <v>5.8669370000000002E-5</v>
      </c>
      <c r="Y1777" s="52">
        <v>2009</v>
      </c>
      <c r="Z1777" s="52"/>
      <c r="AA1777" s="787">
        <f t="shared" si="1648"/>
        <v>8.0369000000000003E-5</v>
      </c>
      <c r="AB1777" s="256">
        <v>-0.27</v>
      </c>
      <c r="AC1777" s="688">
        <f t="shared" si="1620"/>
        <v>-0.27</v>
      </c>
      <c r="AD1777" s="164"/>
      <c r="AE1777" s="164"/>
      <c r="AF1777" s="25"/>
      <c r="AG1777" s="26"/>
      <c r="AH1777" s="275"/>
      <c r="AI1777" s="52"/>
      <c r="AJ1777" s="35"/>
      <c r="AK1777" s="289"/>
      <c r="AL1777" s="290"/>
      <c r="AM1777" s="211"/>
      <c r="AN1777" s="164"/>
      <c r="AO1777" s="594"/>
      <c r="AP1777" s="595"/>
      <c r="AQ1777" s="275"/>
      <c r="AR1777" s="52"/>
      <c r="AS1777" s="596"/>
      <c r="AT1777" s="79"/>
      <c r="AU1777" s="212"/>
      <c r="AV1777" s="164"/>
      <c r="AW1777" s="164"/>
      <c r="AX1777" s="76"/>
      <c r="AY1777" s="44"/>
      <c r="AZ1777" s="275"/>
      <c r="BA1777" s="52"/>
      <c r="BB1777" s="35"/>
      <c r="BC1777" s="79"/>
      <c r="BD1777" s="230"/>
      <c r="BE1777" s="211"/>
      <c r="BF1777" s="164"/>
      <c r="BG1777" s="76"/>
      <c r="BH1777" s="44"/>
      <c r="BI1777" s="275"/>
      <c r="BJ1777" s="52"/>
      <c r="BK1777" s="35"/>
      <c r="BL1777" s="79"/>
      <c r="BM1777" s="230"/>
      <c r="BN1777" s="211"/>
      <c r="BO1777" s="164"/>
      <c r="BP1777" s="726"/>
      <c r="BQ1777" s="727"/>
      <c r="BR1777" s="299"/>
      <c r="BS1777" s="35"/>
      <c r="BT1777" s="596"/>
      <c r="BU1777" s="79"/>
      <c r="BV1777" s="212"/>
      <c r="BW1777" s="304"/>
      <c r="BX1777" s="313"/>
      <c r="BY1777" s="138"/>
    </row>
    <row r="1778" spans="1:77" ht="15" customHeight="1" outlineLevel="1" x14ac:dyDescent="0.2">
      <c r="A1778" s="583" t="s">
        <v>24</v>
      </c>
      <c r="B1778" s="583"/>
      <c r="C1778" s="864" t="s">
        <v>2041</v>
      </c>
      <c r="D1778" s="818">
        <v>0.6</v>
      </c>
      <c r="E1778" s="162" t="s">
        <v>631</v>
      </c>
      <c r="F1778" s="358"/>
      <c r="G1778" s="65"/>
      <c r="H1778" s="73"/>
      <c r="I1778" s="90"/>
      <c r="J1778" s="73"/>
      <c r="K1778" s="734"/>
      <c r="L1778" s="717">
        <v>2011</v>
      </c>
      <c r="M1778" s="73"/>
      <c r="N1778" s="786">
        <v>2.1450000000000002E-3</v>
      </c>
      <c r="O1778" s="1041"/>
      <c r="P1778" s="73"/>
      <c r="Q1778" s="786"/>
      <c r="R1778" s="1041"/>
      <c r="S1778" s="73"/>
      <c r="T1778" s="786"/>
      <c r="U1778" s="73"/>
      <c r="V1778" s="66"/>
      <c r="W1778" s="788">
        <f t="shared" si="1653"/>
        <v>1.5444000000000002E-6</v>
      </c>
      <c r="X1778" s="789">
        <f t="shared" si="1654"/>
        <v>1.5444000000000002E-6</v>
      </c>
      <c r="Y1778" s="52">
        <v>2011</v>
      </c>
      <c r="Z1778" s="52"/>
      <c r="AA1778" s="787">
        <f t="shared" si="1648"/>
        <v>2.1450000000000002E-6</v>
      </c>
      <c r="AB1778" s="256">
        <v>-0.28000000000000003</v>
      </c>
      <c r="AC1778" s="688">
        <f t="shared" si="1620"/>
        <v>-0.28000000000000003</v>
      </c>
      <c r="AD1778" s="164"/>
      <c r="AE1778" s="164"/>
      <c r="AF1778" s="25"/>
      <c r="AG1778" s="26"/>
      <c r="AH1778" s="275"/>
      <c r="AI1778" s="52"/>
      <c r="AJ1778" s="35"/>
      <c r="AK1778" s="289"/>
      <c r="AL1778" s="290"/>
      <c r="AM1778" s="211"/>
      <c r="AN1778" s="164"/>
      <c r="AO1778" s="594"/>
      <c r="AP1778" s="595"/>
      <c r="AQ1778" s="275"/>
      <c r="AR1778" s="52"/>
      <c r="AS1778" s="596"/>
      <c r="AT1778" s="79"/>
      <c r="AU1778" s="212"/>
      <c r="AV1778" s="164"/>
      <c r="AW1778" s="164"/>
      <c r="AX1778" s="76"/>
      <c r="AY1778" s="44"/>
      <c r="AZ1778" s="275"/>
      <c r="BA1778" s="52"/>
      <c r="BB1778" s="35"/>
      <c r="BC1778" s="79"/>
      <c r="BD1778" s="230"/>
      <c r="BE1778" s="211"/>
      <c r="BF1778" s="164"/>
      <c r="BG1778" s="76"/>
      <c r="BH1778" s="44"/>
      <c r="BI1778" s="275"/>
      <c r="BJ1778" s="52"/>
      <c r="BK1778" s="35"/>
      <c r="BL1778" s="79"/>
      <c r="BM1778" s="230"/>
      <c r="BN1778" s="211"/>
      <c r="BO1778" s="164"/>
      <c r="BP1778" s="726"/>
      <c r="BQ1778" s="727"/>
      <c r="BR1778" s="299"/>
      <c r="BS1778" s="35"/>
      <c r="BT1778" s="596"/>
      <c r="BU1778" s="79"/>
      <c r="BV1778" s="212"/>
      <c r="BW1778" s="304"/>
      <c r="BX1778" s="313"/>
      <c r="BY1778" s="138"/>
    </row>
    <row r="1779" spans="1:77" ht="15" customHeight="1" outlineLevel="1" x14ac:dyDescent="0.2">
      <c r="A1779" s="57" t="s">
        <v>24</v>
      </c>
      <c r="B1779" s="583"/>
      <c r="C1779" s="864" t="s">
        <v>1317</v>
      </c>
      <c r="D1779" s="546">
        <v>5.9850000000000003</v>
      </c>
      <c r="E1779" s="162" t="s">
        <v>631</v>
      </c>
      <c r="F1779" s="358"/>
      <c r="G1779" s="65"/>
      <c r="H1779" s="73"/>
      <c r="I1779" s="90"/>
      <c r="J1779" s="73"/>
      <c r="K1779" s="734"/>
      <c r="L1779" s="717">
        <v>2011</v>
      </c>
      <c r="M1779" s="73"/>
      <c r="N1779" s="786">
        <v>5.9849999999999999E-3</v>
      </c>
      <c r="O1779" s="1041"/>
      <c r="P1779" s="73"/>
      <c r="Q1779" s="786"/>
      <c r="R1779" s="1041"/>
      <c r="S1779" s="73"/>
      <c r="T1779" s="786"/>
      <c r="U1779" s="73"/>
      <c r="V1779" s="66"/>
      <c r="W1779" s="788">
        <f t="shared" si="1618"/>
        <v>3.8902499999999997E-6</v>
      </c>
      <c r="X1779" s="789">
        <f t="shared" si="1619"/>
        <v>3.8902499999999997E-6</v>
      </c>
      <c r="Y1779" s="52">
        <v>2011</v>
      </c>
      <c r="Z1779" s="52"/>
      <c r="AA1779" s="787">
        <f t="shared" si="1648"/>
        <v>5.9849999999999994E-6</v>
      </c>
      <c r="AB1779" s="256">
        <v>-0.35</v>
      </c>
      <c r="AC1779" s="688">
        <f t="shared" si="1620"/>
        <v>-0.35</v>
      </c>
      <c r="AD1779" s="164"/>
      <c r="AE1779" s="164"/>
      <c r="AF1779" s="25"/>
      <c r="AG1779" s="26"/>
      <c r="AH1779" s="275"/>
      <c r="AI1779" s="52"/>
      <c r="AJ1779" s="35"/>
      <c r="AK1779" s="289"/>
      <c r="AL1779" s="290"/>
      <c r="AM1779" s="211"/>
      <c r="AN1779" s="164"/>
      <c r="AO1779" s="594"/>
      <c r="AP1779" s="595"/>
      <c r="AQ1779" s="275"/>
      <c r="AR1779" s="52"/>
      <c r="AS1779" s="596"/>
      <c r="AT1779" s="79"/>
      <c r="AU1779" s="212"/>
      <c r="AV1779" s="164"/>
      <c r="AW1779" s="164"/>
      <c r="AX1779" s="76"/>
      <c r="AY1779" s="44"/>
      <c r="AZ1779" s="275"/>
      <c r="BA1779" s="52"/>
      <c r="BB1779" s="35"/>
      <c r="BC1779" s="79"/>
      <c r="BD1779" s="230"/>
      <c r="BE1779" s="211"/>
      <c r="BF1779" s="164"/>
      <c r="BG1779" s="76"/>
      <c r="BH1779" s="44"/>
      <c r="BI1779" s="275"/>
      <c r="BJ1779" s="52"/>
      <c r="BK1779" s="35"/>
      <c r="BL1779" s="79"/>
      <c r="BM1779" s="230"/>
      <c r="BN1779" s="211"/>
      <c r="BO1779" s="164"/>
      <c r="BP1779" s="726"/>
      <c r="BQ1779" s="727"/>
      <c r="BR1779" s="299"/>
      <c r="BS1779" s="35"/>
      <c r="BT1779" s="596"/>
      <c r="BU1779" s="79"/>
      <c r="BV1779" s="212"/>
      <c r="BW1779" s="304"/>
      <c r="BX1779" s="313"/>
      <c r="BY1779" s="138"/>
    </row>
    <row r="1780" spans="1:77" ht="15" customHeight="1" outlineLevel="1" x14ac:dyDescent="0.2">
      <c r="A1780" s="583" t="s">
        <v>24</v>
      </c>
      <c r="B1780" s="583"/>
      <c r="C1780" s="864" t="s">
        <v>2078</v>
      </c>
      <c r="D1780" s="546">
        <v>0.53200000000000003</v>
      </c>
      <c r="E1780" s="162" t="s">
        <v>631</v>
      </c>
      <c r="F1780" s="358"/>
      <c r="G1780" s="65"/>
      <c r="H1780" s="73"/>
      <c r="I1780" s="90"/>
      <c r="J1780" s="73"/>
      <c r="K1780" s="734"/>
      <c r="L1780" s="717">
        <v>2008</v>
      </c>
      <c r="M1780" s="73"/>
      <c r="N1780" s="786">
        <v>1.4339999999999999E-3</v>
      </c>
      <c r="O1780" s="1041"/>
      <c r="P1780" s="73"/>
      <c r="Q1780" s="786"/>
      <c r="R1780" s="1041"/>
      <c r="S1780" s="73"/>
      <c r="T1780" s="786"/>
      <c r="U1780" s="73"/>
      <c r="V1780" s="66"/>
      <c r="W1780" s="788">
        <f t="shared" si="1618"/>
        <v>1.0181399999999999E-6</v>
      </c>
      <c r="X1780" s="789">
        <f t="shared" si="1619"/>
        <v>1.0181399999999999E-6</v>
      </c>
      <c r="Y1780" s="52">
        <v>2008</v>
      </c>
      <c r="Z1780" s="52"/>
      <c r="AA1780" s="787">
        <f t="shared" si="1648"/>
        <v>1.4339999999999999E-6</v>
      </c>
      <c r="AB1780" s="256">
        <v>-0.28999999999999998</v>
      </c>
      <c r="AC1780" s="688">
        <f t="shared" si="1620"/>
        <v>-0.28999999999999998</v>
      </c>
      <c r="AD1780" s="164"/>
      <c r="AE1780" s="164"/>
      <c r="AF1780" s="25"/>
      <c r="AG1780" s="26"/>
      <c r="AH1780" s="275"/>
      <c r="AI1780" s="52"/>
      <c r="AJ1780" s="35"/>
      <c r="AK1780" s="289"/>
      <c r="AL1780" s="290"/>
      <c r="AM1780" s="211"/>
      <c r="AN1780" s="164"/>
      <c r="AO1780" s="594"/>
      <c r="AP1780" s="595"/>
      <c r="AQ1780" s="275"/>
      <c r="AR1780" s="52"/>
      <c r="AS1780" s="596"/>
      <c r="AT1780" s="79"/>
      <c r="AU1780" s="212"/>
      <c r="AV1780" s="164"/>
      <c r="AW1780" s="164"/>
      <c r="AX1780" s="76"/>
      <c r="AY1780" s="44"/>
      <c r="AZ1780" s="275"/>
      <c r="BA1780" s="52"/>
      <c r="BB1780" s="35"/>
      <c r="BC1780" s="79"/>
      <c r="BD1780" s="230"/>
      <c r="BE1780" s="211"/>
      <c r="BF1780" s="164"/>
      <c r="BG1780" s="76"/>
      <c r="BH1780" s="44"/>
      <c r="BI1780" s="275"/>
      <c r="BJ1780" s="52"/>
      <c r="BK1780" s="35"/>
      <c r="BL1780" s="79"/>
      <c r="BM1780" s="230"/>
      <c r="BN1780" s="211"/>
      <c r="BO1780" s="164"/>
      <c r="BP1780" s="726"/>
      <c r="BQ1780" s="727"/>
      <c r="BR1780" s="299"/>
      <c r="BS1780" s="35"/>
      <c r="BT1780" s="596"/>
      <c r="BU1780" s="79"/>
      <c r="BV1780" s="212"/>
      <c r="BW1780" s="304"/>
      <c r="BX1780" s="313"/>
      <c r="BY1780" s="138"/>
    </row>
    <row r="1781" spans="1:77" ht="15" customHeight="1" outlineLevel="1" x14ac:dyDescent="0.2">
      <c r="A1781" s="583" t="s">
        <v>24</v>
      </c>
      <c r="B1781" s="583"/>
      <c r="C1781" s="864" t="s">
        <v>1908</v>
      </c>
      <c r="D1781" s="546">
        <v>0.128</v>
      </c>
      <c r="E1781" s="162" t="s">
        <v>631</v>
      </c>
      <c r="F1781" s="358"/>
      <c r="G1781" s="65"/>
      <c r="H1781" s="73"/>
      <c r="I1781" s="90"/>
      <c r="J1781" s="73"/>
      <c r="K1781" s="734">
        <v>5.3499999999999999E-4</v>
      </c>
      <c r="L1781" s="717"/>
      <c r="M1781" s="73"/>
      <c r="N1781" s="738"/>
      <c r="O1781" s="1041"/>
      <c r="P1781" s="73"/>
      <c r="Q1781" s="738"/>
      <c r="R1781" s="1041"/>
      <c r="S1781" s="73"/>
      <c r="T1781" s="738"/>
      <c r="U1781" s="73"/>
      <c r="V1781" s="66"/>
      <c r="W1781" s="740">
        <f t="shared" ref="W1781" si="1655">AA1781*(1+AB1781)</f>
        <v>3.9589999999999999E-7</v>
      </c>
      <c r="X1781" s="741">
        <f t="shared" ref="X1781" si="1656">AA1781*(1+AC1781)</f>
        <v>3.9589999999999999E-7</v>
      </c>
      <c r="Y1781" s="52">
        <v>2005</v>
      </c>
      <c r="Z1781" s="52"/>
      <c r="AA1781" s="739">
        <f>+K1781/1000</f>
        <v>5.3499999999999996E-7</v>
      </c>
      <c r="AB1781" s="256">
        <v>-0.26</v>
      </c>
      <c r="AC1781" s="688">
        <f t="shared" si="1620"/>
        <v>-0.26</v>
      </c>
      <c r="AD1781" s="164"/>
      <c r="AE1781" s="164"/>
      <c r="AF1781" s="25"/>
      <c r="AG1781" s="26"/>
      <c r="AH1781" s="275"/>
      <c r="AI1781" s="52"/>
      <c r="AJ1781" s="35"/>
      <c r="AK1781" s="289"/>
      <c r="AL1781" s="290"/>
      <c r="AM1781" s="211"/>
      <c r="AN1781" s="164"/>
      <c r="AO1781" s="594"/>
      <c r="AP1781" s="595"/>
      <c r="AQ1781" s="275"/>
      <c r="AR1781" s="52"/>
      <c r="AS1781" s="596"/>
      <c r="AT1781" s="79"/>
      <c r="AU1781" s="212"/>
      <c r="AV1781" s="164"/>
      <c r="AW1781" s="164"/>
      <c r="AX1781" s="76"/>
      <c r="AY1781" s="44"/>
      <c r="AZ1781" s="275"/>
      <c r="BA1781" s="52"/>
      <c r="BB1781" s="35"/>
      <c r="BC1781" s="79"/>
      <c r="BD1781" s="230"/>
      <c r="BE1781" s="211"/>
      <c r="BF1781" s="164"/>
      <c r="BG1781" s="76"/>
      <c r="BH1781" s="44"/>
      <c r="BI1781" s="275"/>
      <c r="BJ1781" s="52"/>
      <c r="BK1781" s="35"/>
      <c r="BL1781" s="79"/>
      <c r="BM1781" s="230"/>
      <c r="BN1781" s="211"/>
      <c r="BO1781" s="164"/>
      <c r="BP1781" s="726"/>
      <c r="BQ1781" s="727"/>
      <c r="BR1781" s="299"/>
      <c r="BS1781" s="35"/>
      <c r="BT1781" s="596"/>
      <c r="BU1781" s="79"/>
      <c r="BV1781" s="212"/>
      <c r="BW1781" s="304"/>
      <c r="BX1781" s="313"/>
      <c r="BY1781" s="138"/>
    </row>
    <row r="1782" spans="1:77" ht="15" customHeight="1" outlineLevel="1" x14ac:dyDescent="0.2">
      <c r="A1782" s="583" t="s">
        <v>24</v>
      </c>
      <c r="B1782" s="583"/>
      <c r="C1782" s="864" t="s">
        <v>1768</v>
      </c>
      <c r="D1782" s="546">
        <v>1.044</v>
      </c>
      <c r="E1782" s="162" t="s">
        <v>631</v>
      </c>
      <c r="F1782" s="358"/>
      <c r="G1782" s="65"/>
      <c r="H1782" s="73"/>
      <c r="I1782" s="90"/>
      <c r="J1782" s="73"/>
      <c r="K1782" s="790">
        <v>2.8579999999999999E-3</v>
      </c>
      <c r="L1782" s="717"/>
      <c r="M1782" s="73"/>
      <c r="N1782" s="738"/>
      <c r="O1782" s="1041"/>
      <c r="P1782" s="73"/>
      <c r="Q1782" s="738"/>
      <c r="R1782" s="1041"/>
      <c r="S1782" s="73"/>
      <c r="T1782" s="738"/>
      <c r="U1782" s="73"/>
      <c r="V1782" s="66"/>
      <c r="W1782" s="788">
        <f t="shared" ref="W1782" si="1657">AA1782*(1+AB1782)</f>
        <v>2.1434999999999999E-6</v>
      </c>
      <c r="X1782" s="789">
        <f t="shared" ref="X1782" si="1658">AA1782*(1+AC1782)</f>
        <v>2.1434999999999999E-6</v>
      </c>
      <c r="Y1782" s="52">
        <v>2005</v>
      </c>
      <c r="Z1782" s="52"/>
      <c r="AA1782" s="787">
        <f>+K1782/1000</f>
        <v>2.858E-6</v>
      </c>
      <c r="AB1782" s="256">
        <v>-0.25</v>
      </c>
      <c r="AC1782" s="688">
        <f t="shared" si="1620"/>
        <v>-0.25</v>
      </c>
      <c r="AD1782" s="164"/>
      <c r="AE1782" s="164"/>
      <c r="AF1782" s="25"/>
      <c r="AG1782" s="26"/>
      <c r="AH1782" s="275"/>
      <c r="AI1782" s="52"/>
      <c r="AJ1782" s="35"/>
      <c r="AK1782" s="289"/>
      <c r="AL1782" s="290"/>
      <c r="AM1782" s="211"/>
      <c r="AN1782" s="164"/>
      <c r="AO1782" s="594"/>
      <c r="AP1782" s="595"/>
      <c r="AQ1782" s="275"/>
      <c r="AR1782" s="52"/>
      <c r="AS1782" s="596"/>
      <c r="AT1782" s="79"/>
      <c r="AU1782" s="212"/>
      <c r="AV1782" s="164"/>
      <c r="AW1782" s="164"/>
      <c r="AX1782" s="76"/>
      <c r="AY1782" s="44"/>
      <c r="AZ1782" s="275"/>
      <c r="BA1782" s="52"/>
      <c r="BB1782" s="35"/>
      <c r="BC1782" s="79"/>
      <c r="BD1782" s="230"/>
      <c r="BE1782" s="211"/>
      <c r="BF1782" s="164"/>
      <c r="BG1782" s="76"/>
      <c r="BH1782" s="44"/>
      <c r="BI1782" s="275"/>
      <c r="BJ1782" s="52"/>
      <c r="BK1782" s="35"/>
      <c r="BL1782" s="79"/>
      <c r="BM1782" s="230"/>
      <c r="BN1782" s="211"/>
      <c r="BO1782" s="164"/>
      <c r="BP1782" s="726"/>
      <c r="BQ1782" s="727"/>
      <c r="BR1782" s="299"/>
      <c r="BS1782" s="35"/>
      <c r="BT1782" s="596"/>
      <c r="BU1782" s="79"/>
      <c r="BV1782" s="212"/>
      <c r="BW1782" s="304"/>
      <c r="BX1782" s="313"/>
      <c r="BY1782" s="138"/>
    </row>
    <row r="1783" spans="1:77" ht="15" customHeight="1" outlineLevel="1" x14ac:dyDescent="0.2">
      <c r="A1783" s="583" t="s">
        <v>24</v>
      </c>
      <c r="B1783" s="583"/>
      <c r="C1783" s="864" t="s">
        <v>1983</v>
      </c>
      <c r="D1783" s="546">
        <v>8.1539999999999999</v>
      </c>
      <c r="E1783" s="162" t="s">
        <v>631</v>
      </c>
      <c r="F1783" s="358"/>
      <c r="G1783" s="65"/>
      <c r="H1783" s="73"/>
      <c r="I1783" s="90"/>
      <c r="J1783" s="73"/>
      <c r="K1783" s="790">
        <v>2.1722999999999999E-2</v>
      </c>
      <c r="L1783" s="717"/>
      <c r="M1783" s="73"/>
      <c r="N1783" s="738"/>
      <c r="O1783" s="1041"/>
      <c r="P1783" s="73"/>
      <c r="Q1783" s="738"/>
      <c r="R1783" s="1041"/>
      <c r="S1783" s="73"/>
      <c r="T1783" s="738"/>
      <c r="U1783" s="73"/>
      <c r="V1783" s="66"/>
      <c r="W1783" s="788">
        <f t="shared" ref="W1783" si="1659">AA1783*(1+AB1783)</f>
        <v>1.5640559999999998E-5</v>
      </c>
      <c r="X1783" s="789">
        <f t="shared" ref="X1783" si="1660">AA1783*(1+AC1783)</f>
        <v>1.5640559999999998E-5</v>
      </c>
      <c r="Y1783" s="52">
        <v>2005</v>
      </c>
      <c r="Z1783" s="52"/>
      <c r="AA1783" s="787">
        <f>+K1783/1000</f>
        <v>2.1722999999999999E-5</v>
      </c>
      <c r="AB1783" s="256">
        <v>-0.28000000000000003</v>
      </c>
      <c r="AC1783" s="688">
        <f t="shared" si="1620"/>
        <v>-0.28000000000000003</v>
      </c>
      <c r="AD1783" s="164"/>
      <c r="AE1783" s="164"/>
      <c r="AF1783" s="25"/>
      <c r="AG1783" s="26"/>
      <c r="AH1783" s="275"/>
      <c r="AI1783" s="52"/>
      <c r="AJ1783" s="35"/>
      <c r="AK1783" s="289"/>
      <c r="AL1783" s="290"/>
      <c r="AM1783" s="211"/>
      <c r="AN1783" s="164"/>
      <c r="AO1783" s="594"/>
      <c r="AP1783" s="595"/>
      <c r="AQ1783" s="275"/>
      <c r="AR1783" s="52"/>
      <c r="AS1783" s="596"/>
      <c r="AT1783" s="79"/>
      <c r="AU1783" s="212"/>
      <c r="AV1783" s="164"/>
      <c r="AW1783" s="164"/>
      <c r="AX1783" s="76"/>
      <c r="AY1783" s="44"/>
      <c r="AZ1783" s="275"/>
      <c r="BA1783" s="52"/>
      <c r="BB1783" s="35"/>
      <c r="BC1783" s="79"/>
      <c r="BD1783" s="230"/>
      <c r="BE1783" s="211"/>
      <c r="BF1783" s="164"/>
      <c r="BG1783" s="76"/>
      <c r="BH1783" s="44"/>
      <c r="BI1783" s="275"/>
      <c r="BJ1783" s="52"/>
      <c r="BK1783" s="35"/>
      <c r="BL1783" s="79"/>
      <c r="BM1783" s="230"/>
      <c r="BN1783" s="211"/>
      <c r="BO1783" s="164"/>
      <c r="BP1783" s="726"/>
      <c r="BQ1783" s="727"/>
      <c r="BR1783" s="299"/>
      <c r="BS1783" s="35"/>
      <c r="BT1783" s="596"/>
      <c r="BU1783" s="79"/>
      <c r="BV1783" s="212"/>
      <c r="BW1783" s="304"/>
      <c r="BX1783" s="313"/>
      <c r="BY1783" s="138"/>
    </row>
    <row r="1784" spans="1:77" ht="15" customHeight="1" outlineLevel="1" x14ac:dyDescent="0.2">
      <c r="A1784" s="57" t="s">
        <v>24</v>
      </c>
      <c r="B1784" s="583"/>
      <c r="C1784" s="864" t="s">
        <v>1447</v>
      </c>
      <c r="D1784" s="546">
        <v>5.8710000000000004</v>
      </c>
      <c r="E1784" s="162" t="s">
        <v>631</v>
      </c>
      <c r="F1784" s="358"/>
      <c r="G1784" s="65"/>
      <c r="H1784" s="73"/>
      <c r="I1784" s="90">
        <v>2007</v>
      </c>
      <c r="J1784" s="73"/>
      <c r="K1784" s="734">
        <v>1.1246000000000001E-2</v>
      </c>
      <c r="L1784" s="717"/>
      <c r="M1784" s="73"/>
      <c r="N1784" s="359"/>
      <c r="O1784" s="1041"/>
      <c r="P1784" s="73"/>
      <c r="Q1784" s="359"/>
      <c r="R1784" s="1041"/>
      <c r="S1784" s="73"/>
      <c r="T1784" s="359"/>
      <c r="U1784" s="73"/>
      <c r="V1784" s="66"/>
      <c r="W1784" s="788">
        <f t="shared" si="1618"/>
        <v>6.2977600000000007E-6</v>
      </c>
      <c r="X1784" s="789">
        <f t="shared" si="1619"/>
        <v>6.2977600000000007E-6</v>
      </c>
      <c r="Y1784" s="52">
        <v>2005</v>
      </c>
      <c r="Z1784" s="52"/>
      <c r="AA1784" s="787">
        <f>+K1784/1000</f>
        <v>1.1246E-5</v>
      </c>
      <c r="AB1784" s="256">
        <v>-0.44</v>
      </c>
      <c r="AC1784" s="688">
        <f t="shared" si="1620"/>
        <v>-0.44</v>
      </c>
      <c r="AD1784" s="164"/>
      <c r="AE1784" s="164"/>
      <c r="AF1784" s="25"/>
      <c r="AG1784" s="26"/>
      <c r="AH1784" s="275"/>
      <c r="AI1784" s="52"/>
      <c r="AJ1784" s="35"/>
      <c r="AK1784" s="289"/>
      <c r="AL1784" s="290"/>
      <c r="AM1784" s="211"/>
      <c r="AN1784" s="164"/>
      <c r="AO1784" s="594"/>
      <c r="AP1784" s="595"/>
      <c r="AQ1784" s="275"/>
      <c r="AR1784" s="52"/>
      <c r="AS1784" s="596"/>
      <c r="AT1784" s="79"/>
      <c r="AU1784" s="212"/>
      <c r="AV1784" s="164"/>
      <c r="AW1784" s="164"/>
      <c r="AX1784" s="76"/>
      <c r="AY1784" s="44"/>
      <c r="AZ1784" s="275"/>
      <c r="BA1784" s="52"/>
      <c r="BB1784" s="35"/>
      <c r="BC1784" s="79"/>
      <c r="BD1784" s="230"/>
      <c r="BE1784" s="211"/>
      <c r="BF1784" s="164"/>
      <c r="BG1784" s="76"/>
      <c r="BH1784" s="44"/>
      <c r="BI1784" s="275"/>
      <c r="BJ1784" s="52"/>
      <c r="BK1784" s="35"/>
      <c r="BL1784" s="79"/>
      <c r="BM1784" s="230"/>
      <c r="BN1784" s="211"/>
      <c r="BO1784" s="164"/>
      <c r="BP1784" s="726"/>
      <c r="BQ1784" s="727"/>
      <c r="BR1784" s="299"/>
      <c r="BS1784" s="35"/>
      <c r="BT1784" s="596"/>
      <c r="BU1784" s="79"/>
      <c r="BV1784" s="212"/>
      <c r="BW1784" s="304"/>
      <c r="BX1784" s="313"/>
      <c r="BY1784" s="138"/>
    </row>
    <row r="1785" spans="1:77" ht="15" customHeight="1" outlineLevel="1" x14ac:dyDescent="0.2">
      <c r="A1785" s="583" t="s">
        <v>24</v>
      </c>
      <c r="B1785" s="583"/>
      <c r="C1785" s="864" t="s">
        <v>1943</v>
      </c>
      <c r="D1785" s="546">
        <v>14.664999999999999</v>
      </c>
      <c r="E1785" s="162" t="s">
        <v>631</v>
      </c>
      <c r="F1785" s="358"/>
      <c r="G1785" s="65"/>
      <c r="H1785" s="73"/>
      <c r="I1785" s="90"/>
      <c r="J1785" s="73"/>
      <c r="K1785" s="734"/>
      <c r="L1785" s="717"/>
      <c r="M1785" s="73"/>
      <c r="N1785" s="738">
        <v>5.2568999999999998E-2</v>
      </c>
      <c r="O1785" s="1041"/>
      <c r="P1785" s="73"/>
      <c r="Q1785" s="359"/>
      <c r="R1785" s="1041"/>
      <c r="S1785" s="73"/>
      <c r="T1785" s="359"/>
      <c r="U1785" s="73"/>
      <c r="V1785" s="66"/>
      <c r="W1785" s="788">
        <f t="shared" ref="W1785" si="1661">AA1785*(1+AB1785)</f>
        <v>3.8375369999999996E-5</v>
      </c>
      <c r="X1785" s="789">
        <f t="shared" ref="X1785" si="1662">AA1785*(1+AC1785)</f>
        <v>3.8375369999999996E-5</v>
      </c>
      <c r="Y1785" s="52">
        <v>2010</v>
      </c>
      <c r="Z1785" s="52"/>
      <c r="AA1785" s="787">
        <f>+N1785/1000</f>
        <v>5.2568999999999998E-5</v>
      </c>
      <c r="AB1785" s="256">
        <v>-0.27</v>
      </c>
      <c r="AC1785" s="688">
        <f t="shared" si="1620"/>
        <v>-0.27</v>
      </c>
      <c r="AD1785" s="164"/>
      <c r="AE1785" s="164"/>
      <c r="AF1785" s="25"/>
      <c r="AG1785" s="26"/>
      <c r="AH1785" s="275"/>
      <c r="AI1785" s="52"/>
      <c r="AJ1785" s="35"/>
      <c r="AK1785" s="289"/>
      <c r="AL1785" s="290"/>
      <c r="AM1785" s="211"/>
      <c r="AN1785" s="164"/>
      <c r="AO1785" s="594"/>
      <c r="AP1785" s="595"/>
      <c r="AQ1785" s="275"/>
      <c r="AR1785" s="52"/>
      <c r="AS1785" s="596"/>
      <c r="AT1785" s="79"/>
      <c r="AU1785" s="212"/>
      <c r="AV1785" s="164"/>
      <c r="AW1785" s="164"/>
      <c r="AX1785" s="76"/>
      <c r="AY1785" s="44"/>
      <c r="AZ1785" s="275"/>
      <c r="BA1785" s="52"/>
      <c r="BB1785" s="35"/>
      <c r="BC1785" s="79"/>
      <c r="BD1785" s="230"/>
      <c r="BE1785" s="211"/>
      <c r="BF1785" s="164"/>
      <c r="BG1785" s="76"/>
      <c r="BH1785" s="44"/>
      <c r="BI1785" s="275"/>
      <c r="BJ1785" s="52"/>
      <c r="BK1785" s="35"/>
      <c r="BL1785" s="79"/>
      <c r="BM1785" s="230"/>
      <c r="BN1785" s="211"/>
      <c r="BO1785" s="164"/>
      <c r="BP1785" s="726"/>
      <c r="BQ1785" s="727"/>
      <c r="BR1785" s="299"/>
      <c r="BS1785" s="35"/>
      <c r="BT1785" s="596"/>
      <c r="BU1785" s="79"/>
      <c r="BV1785" s="212"/>
      <c r="BW1785" s="304"/>
      <c r="BX1785" s="313"/>
      <c r="BY1785" s="138"/>
    </row>
    <row r="1786" spans="1:77" ht="15" customHeight="1" outlineLevel="1" x14ac:dyDescent="0.2">
      <c r="A1786" s="583" t="s">
        <v>24</v>
      </c>
      <c r="B1786" s="583"/>
      <c r="C1786" s="864" t="s">
        <v>2414</v>
      </c>
      <c r="D1786" s="546">
        <v>17.632999999999999</v>
      </c>
      <c r="E1786" s="162" t="s">
        <v>631</v>
      </c>
      <c r="F1786" s="358"/>
      <c r="G1786" s="65"/>
      <c r="H1786" s="73"/>
      <c r="I1786" s="90"/>
      <c r="J1786" s="73"/>
      <c r="K1786" s="734"/>
      <c r="L1786" s="717"/>
      <c r="M1786" s="73"/>
      <c r="N1786" s="738">
        <v>5.1824000000000002E-2</v>
      </c>
      <c r="O1786" s="1041"/>
      <c r="P1786" s="73"/>
      <c r="Q1786" s="359"/>
      <c r="R1786" s="1041"/>
      <c r="S1786" s="73"/>
      <c r="T1786" s="359"/>
      <c r="U1786" s="73"/>
      <c r="V1786" s="66"/>
      <c r="W1786" s="788">
        <f t="shared" ref="W1786" si="1663">AA1786*(1+AB1786)</f>
        <v>3.5758559999999997E-5</v>
      </c>
      <c r="X1786" s="789">
        <f t="shared" ref="X1786" si="1664">AA1786*(1+AC1786)</f>
        <v>3.5758559999999997E-5</v>
      </c>
      <c r="Y1786" s="52">
        <v>2010</v>
      </c>
      <c r="Z1786" s="52"/>
      <c r="AA1786" s="787">
        <f>+N1786/1000</f>
        <v>5.1824000000000004E-5</v>
      </c>
      <c r="AB1786" s="256">
        <v>-0.31</v>
      </c>
      <c r="AC1786" s="688">
        <f t="shared" ref="AC1786" si="1665">AB1786</f>
        <v>-0.31</v>
      </c>
      <c r="AD1786" s="164"/>
      <c r="AE1786" s="164"/>
      <c r="AF1786" s="25"/>
      <c r="AG1786" s="26"/>
      <c r="AH1786" s="275"/>
      <c r="AI1786" s="52"/>
      <c r="AJ1786" s="35"/>
      <c r="AK1786" s="289"/>
      <c r="AL1786" s="290"/>
      <c r="AM1786" s="211"/>
      <c r="AN1786" s="164"/>
      <c r="AO1786" s="594"/>
      <c r="AP1786" s="595"/>
      <c r="AQ1786" s="275"/>
      <c r="AR1786" s="52"/>
      <c r="AS1786" s="596"/>
      <c r="AT1786" s="79"/>
      <c r="AU1786" s="212"/>
      <c r="AV1786" s="164"/>
      <c r="AW1786" s="164"/>
      <c r="AX1786" s="76"/>
      <c r="AY1786" s="44"/>
      <c r="AZ1786" s="275"/>
      <c r="BA1786" s="52"/>
      <c r="BB1786" s="35"/>
      <c r="BC1786" s="79"/>
      <c r="BD1786" s="230"/>
      <c r="BE1786" s="211"/>
      <c r="BF1786" s="164"/>
      <c r="BG1786" s="76"/>
      <c r="BH1786" s="44"/>
      <c r="BI1786" s="275"/>
      <c r="BJ1786" s="52"/>
      <c r="BK1786" s="35"/>
      <c r="BL1786" s="79"/>
      <c r="BM1786" s="230"/>
      <c r="BN1786" s="211"/>
      <c r="BO1786" s="164"/>
      <c r="BP1786" s="726"/>
      <c r="BQ1786" s="727"/>
      <c r="BR1786" s="299"/>
      <c r="BS1786" s="35"/>
      <c r="BT1786" s="596"/>
      <c r="BU1786" s="79"/>
      <c r="BV1786" s="212"/>
      <c r="BW1786" s="304"/>
      <c r="BX1786" s="313"/>
      <c r="BY1786" s="138"/>
    </row>
    <row r="1787" spans="1:77" ht="15" customHeight="1" outlineLevel="1" x14ac:dyDescent="0.2">
      <c r="A1787" s="583" t="s">
        <v>24</v>
      </c>
      <c r="B1787" s="583"/>
      <c r="C1787" s="864" t="s">
        <v>1988</v>
      </c>
      <c r="D1787" s="546">
        <v>7.1379999999999999</v>
      </c>
      <c r="E1787" s="162" t="s">
        <v>631</v>
      </c>
      <c r="F1787" s="358"/>
      <c r="G1787" s="65"/>
      <c r="H1787" s="73"/>
      <c r="I1787" s="90"/>
      <c r="J1787" s="73"/>
      <c r="K1787" s="734"/>
      <c r="L1787" s="717">
        <v>2011</v>
      </c>
      <c r="M1787" s="73"/>
      <c r="N1787" s="738">
        <v>2.2726E-2</v>
      </c>
      <c r="O1787" s="1041"/>
      <c r="P1787" s="73"/>
      <c r="Q1787" s="359"/>
      <c r="R1787" s="1041"/>
      <c r="S1787" s="73"/>
      <c r="T1787" s="359"/>
      <c r="U1787" s="73"/>
      <c r="V1787" s="66"/>
      <c r="W1787" s="788">
        <f t="shared" ref="W1787" si="1666">AA1787*(1+AB1787)</f>
        <v>1.636272E-5</v>
      </c>
      <c r="X1787" s="789">
        <f t="shared" ref="X1787" si="1667">AA1787*(1+AC1787)</f>
        <v>1.636272E-5</v>
      </c>
      <c r="Y1787" s="52">
        <v>2011</v>
      </c>
      <c r="Z1787" s="52"/>
      <c r="AA1787" s="787">
        <f>+N1787/1000</f>
        <v>2.2725999999999999E-5</v>
      </c>
      <c r="AB1787" s="256">
        <v>-0.28000000000000003</v>
      </c>
      <c r="AC1787" s="688">
        <f t="shared" si="1620"/>
        <v>-0.28000000000000003</v>
      </c>
      <c r="AD1787" s="164"/>
      <c r="AE1787" s="164"/>
      <c r="AF1787" s="25"/>
      <c r="AG1787" s="26"/>
      <c r="AH1787" s="275"/>
      <c r="AI1787" s="52"/>
      <c r="AJ1787" s="35"/>
      <c r="AK1787" s="289"/>
      <c r="AL1787" s="290"/>
      <c r="AM1787" s="211"/>
      <c r="AN1787" s="164"/>
      <c r="AO1787" s="594"/>
      <c r="AP1787" s="595"/>
      <c r="AQ1787" s="275"/>
      <c r="AR1787" s="52"/>
      <c r="AS1787" s="596"/>
      <c r="AT1787" s="79"/>
      <c r="AU1787" s="212"/>
      <c r="AV1787" s="164"/>
      <c r="AW1787" s="164"/>
      <c r="AX1787" s="76"/>
      <c r="AY1787" s="44"/>
      <c r="AZ1787" s="275"/>
      <c r="BA1787" s="52"/>
      <c r="BB1787" s="35"/>
      <c r="BC1787" s="79"/>
      <c r="BD1787" s="230"/>
      <c r="BE1787" s="211"/>
      <c r="BF1787" s="164"/>
      <c r="BG1787" s="76"/>
      <c r="BH1787" s="44"/>
      <c r="BI1787" s="275"/>
      <c r="BJ1787" s="52"/>
      <c r="BK1787" s="35"/>
      <c r="BL1787" s="79"/>
      <c r="BM1787" s="230"/>
      <c r="BN1787" s="211"/>
      <c r="BO1787" s="164"/>
      <c r="BP1787" s="726"/>
      <c r="BQ1787" s="727"/>
      <c r="BR1787" s="299"/>
      <c r="BS1787" s="35"/>
      <c r="BT1787" s="596"/>
      <c r="BU1787" s="79"/>
      <c r="BV1787" s="212"/>
      <c r="BW1787" s="304"/>
      <c r="BX1787" s="313"/>
      <c r="BY1787" s="138"/>
    </row>
    <row r="1788" spans="1:77" ht="15" customHeight="1" outlineLevel="1" x14ac:dyDescent="0.2">
      <c r="A1788" s="583" t="s">
        <v>24</v>
      </c>
      <c r="B1788" s="583"/>
      <c r="C1788" s="864" t="s">
        <v>2877</v>
      </c>
      <c r="D1788" s="546">
        <v>2.6429999999999998</v>
      </c>
      <c r="E1788" s="162" t="s">
        <v>631</v>
      </c>
      <c r="F1788" s="358"/>
      <c r="G1788" s="65"/>
      <c r="H1788" s="73"/>
      <c r="I1788" s="90">
        <v>2008</v>
      </c>
      <c r="J1788" s="73"/>
      <c r="K1788" s="734">
        <v>1.2760000000000001E-2</v>
      </c>
      <c r="L1788" s="717"/>
      <c r="M1788" s="73"/>
      <c r="N1788" s="738"/>
      <c r="O1788" s="1041"/>
      <c r="P1788" s="73"/>
      <c r="Q1788" s="359"/>
      <c r="R1788" s="1041"/>
      <c r="S1788" s="73"/>
      <c r="T1788" s="359"/>
      <c r="U1788" s="73"/>
      <c r="V1788" s="66"/>
      <c r="W1788" s="788"/>
      <c r="X1788" s="789"/>
      <c r="Y1788" s="52"/>
      <c r="Z1788" s="52"/>
      <c r="AA1788" s="787"/>
      <c r="AB1788" s="256"/>
      <c r="AC1788" s="688"/>
      <c r="AD1788" s="164"/>
      <c r="AE1788" s="164"/>
      <c r="AF1788" s="25"/>
      <c r="AG1788" s="26"/>
      <c r="AH1788" s="275"/>
      <c r="AI1788" s="52"/>
      <c r="AJ1788" s="35"/>
      <c r="AK1788" s="289"/>
      <c r="AL1788" s="290"/>
      <c r="AM1788" s="211"/>
      <c r="AN1788" s="164"/>
      <c r="AO1788" s="788">
        <f>AS1788*(1+AT1788)</f>
        <v>5.9971999999999999E-6</v>
      </c>
      <c r="AP1788" s="789">
        <f>AS1788*(1+AU1788)</f>
        <v>5.9971999999999999E-6</v>
      </c>
      <c r="AQ1788" s="275">
        <v>2005</v>
      </c>
      <c r="AR1788" s="52"/>
      <c r="AS1788" s="787">
        <f>+K1788/1000</f>
        <v>1.276E-5</v>
      </c>
      <c r="AT1788" s="79">
        <v>-0.53</v>
      </c>
      <c r="AU1788" s="212">
        <f>AT1788</f>
        <v>-0.53</v>
      </c>
      <c r="AV1788" s="164"/>
      <c r="AW1788" s="164"/>
      <c r="AX1788" s="76"/>
      <c r="AY1788" s="44"/>
      <c r="AZ1788" s="275"/>
      <c r="BA1788" s="52"/>
      <c r="BB1788" s="35"/>
      <c r="BC1788" s="79"/>
      <c r="BD1788" s="230"/>
      <c r="BE1788" s="211"/>
      <c r="BF1788" s="164"/>
      <c r="BG1788" s="76"/>
      <c r="BH1788" s="44"/>
      <c r="BI1788" s="275"/>
      <c r="BJ1788" s="52"/>
      <c r="BK1788" s="35"/>
      <c r="BL1788" s="79"/>
      <c r="BM1788" s="230"/>
      <c r="BN1788" s="211"/>
      <c r="BO1788" s="164"/>
      <c r="BP1788" s="726"/>
      <c r="BQ1788" s="727"/>
      <c r="BR1788" s="299"/>
      <c r="BS1788" s="35"/>
      <c r="BT1788" s="596"/>
      <c r="BU1788" s="79"/>
      <c r="BV1788" s="212"/>
      <c r="BW1788" s="304"/>
      <c r="BX1788" s="313"/>
      <c r="BY1788" s="138"/>
    </row>
    <row r="1789" spans="1:77" ht="15" customHeight="1" outlineLevel="1" x14ac:dyDescent="0.2">
      <c r="A1789" s="583" t="s">
        <v>24</v>
      </c>
      <c r="B1789" s="583"/>
      <c r="C1789" s="864" t="s">
        <v>2029</v>
      </c>
      <c r="D1789" s="546">
        <v>3.8679999999999999</v>
      </c>
      <c r="E1789" s="162" t="s">
        <v>631</v>
      </c>
      <c r="F1789" s="358"/>
      <c r="G1789" s="65"/>
      <c r="H1789" s="73"/>
      <c r="I1789" s="90"/>
      <c r="J1789" s="73"/>
      <c r="K1789" s="734"/>
      <c r="L1789" s="717">
        <v>2011</v>
      </c>
      <c r="M1789" s="73"/>
      <c r="N1789" s="786">
        <v>6.0460000000000002E-3</v>
      </c>
      <c r="O1789" s="1041"/>
      <c r="P1789" s="73"/>
      <c r="Q1789" s="359"/>
      <c r="R1789" s="1041"/>
      <c r="S1789" s="73"/>
      <c r="T1789" s="359"/>
      <c r="U1789" s="73"/>
      <c r="V1789" s="66"/>
      <c r="W1789" s="788">
        <f t="shared" ref="W1789" si="1668">AA1789*(1+AB1789)</f>
        <v>4.3531199999999996E-6</v>
      </c>
      <c r="X1789" s="789">
        <f t="shared" ref="X1789" si="1669">AA1789*(1+AC1789)</f>
        <v>4.3531199999999996E-6</v>
      </c>
      <c r="Y1789" s="52">
        <v>2011</v>
      </c>
      <c r="Z1789" s="52"/>
      <c r="AA1789" s="787">
        <f>+N1789/1000</f>
        <v>6.0460000000000002E-6</v>
      </c>
      <c r="AB1789" s="256">
        <v>-0.28000000000000003</v>
      </c>
      <c r="AC1789" s="688">
        <f t="shared" si="1620"/>
        <v>-0.28000000000000003</v>
      </c>
      <c r="AD1789" s="164"/>
      <c r="AE1789" s="164"/>
      <c r="AF1789" s="25"/>
      <c r="AG1789" s="26"/>
      <c r="AH1789" s="275"/>
      <c r="AI1789" s="52"/>
      <c r="AJ1789" s="35"/>
      <c r="AK1789" s="289"/>
      <c r="AL1789" s="290"/>
      <c r="AM1789" s="211"/>
      <c r="AN1789" s="164"/>
      <c r="AO1789" s="594"/>
      <c r="AP1789" s="595"/>
      <c r="AQ1789" s="275"/>
      <c r="AR1789" s="52"/>
      <c r="AS1789" s="596"/>
      <c r="AT1789" s="79"/>
      <c r="AU1789" s="212"/>
      <c r="AV1789" s="164"/>
      <c r="AW1789" s="164"/>
      <c r="AX1789" s="76"/>
      <c r="AY1789" s="44"/>
      <c r="AZ1789" s="275"/>
      <c r="BA1789" s="52"/>
      <c r="BB1789" s="35"/>
      <c r="BC1789" s="79"/>
      <c r="BD1789" s="230"/>
      <c r="BE1789" s="211"/>
      <c r="BF1789" s="164"/>
      <c r="BG1789" s="76"/>
      <c r="BH1789" s="44"/>
      <c r="BI1789" s="275"/>
      <c r="BJ1789" s="52"/>
      <c r="BK1789" s="35"/>
      <c r="BL1789" s="79"/>
      <c r="BM1789" s="230"/>
      <c r="BN1789" s="211"/>
      <c r="BO1789" s="164"/>
      <c r="BP1789" s="726"/>
      <c r="BQ1789" s="727"/>
      <c r="BR1789" s="299"/>
      <c r="BS1789" s="35"/>
      <c r="BT1789" s="596"/>
      <c r="BU1789" s="79"/>
      <c r="BV1789" s="212"/>
      <c r="BW1789" s="304"/>
      <c r="BX1789" s="313"/>
      <c r="BY1789" s="138"/>
    </row>
    <row r="1790" spans="1:77" ht="15" customHeight="1" outlineLevel="1" x14ac:dyDescent="0.2">
      <c r="A1790" s="583" t="s">
        <v>24</v>
      </c>
      <c r="B1790" s="583"/>
      <c r="C1790" s="864" t="s">
        <v>1866</v>
      </c>
      <c r="D1790" s="546">
        <v>0.23100000000000001</v>
      </c>
      <c r="E1790" s="162" t="s">
        <v>631</v>
      </c>
      <c r="F1790" s="358"/>
      <c r="G1790" s="65"/>
      <c r="H1790" s="73"/>
      <c r="I1790" s="90"/>
      <c r="J1790" s="73"/>
      <c r="K1790" s="734">
        <v>8.8599999999999996E-4</v>
      </c>
      <c r="L1790" s="717"/>
      <c r="M1790" s="73"/>
      <c r="N1790" s="359"/>
      <c r="O1790" s="1041"/>
      <c r="P1790" s="73"/>
      <c r="Q1790" s="359"/>
      <c r="R1790" s="1041"/>
      <c r="S1790" s="73"/>
      <c r="T1790" s="359"/>
      <c r="U1790" s="73"/>
      <c r="V1790" s="66"/>
      <c r="W1790" s="788">
        <f t="shared" ref="W1790" si="1670">AA1790*(1+AB1790)</f>
        <v>6.5563999999999996E-7</v>
      </c>
      <c r="X1790" s="789">
        <f t="shared" ref="X1790" si="1671">AA1790*(1+AC1790)</f>
        <v>6.5563999999999996E-7</v>
      </c>
      <c r="Y1790" s="52">
        <v>2005</v>
      </c>
      <c r="Z1790" s="52"/>
      <c r="AA1790" s="787">
        <f>+K1790/1000</f>
        <v>8.8599999999999997E-7</v>
      </c>
      <c r="AB1790" s="256">
        <v>-0.26</v>
      </c>
      <c r="AC1790" s="688">
        <f t="shared" si="1620"/>
        <v>-0.26</v>
      </c>
      <c r="AD1790" s="164"/>
      <c r="AE1790" s="164"/>
      <c r="AF1790" s="25"/>
      <c r="AG1790" s="26"/>
      <c r="AH1790" s="275"/>
      <c r="AI1790" s="52"/>
      <c r="AJ1790" s="35"/>
      <c r="AK1790" s="289"/>
      <c r="AL1790" s="290"/>
      <c r="AM1790" s="211"/>
      <c r="AN1790" s="164"/>
      <c r="AO1790" s="594"/>
      <c r="AP1790" s="595"/>
      <c r="AQ1790" s="275"/>
      <c r="AR1790" s="52"/>
      <c r="AS1790" s="596"/>
      <c r="AT1790" s="79"/>
      <c r="AU1790" s="212"/>
      <c r="AV1790" s="164"/>
      <c r="AW1790" s="164"/>
      <c r="AX1790" s="76"/>
      <c r="AY1790" s="44"/>
      <c r="AZ1790" s="275"/>
      <c r="BA1790" s="52"/>
      <c r="BB1790" s="35"/>
      <c r="BC1790" s="79"/>
      <c r="BD1790" s="230"/>
      <c r="BE1790" s="211"/>
      <c r="BF1790" s="164"/>
      <c r="BG1790" s="76"/>
      <c r="BH1790" s="44"/>
      <c r="BI1790" s="275"/>
      <c r="BJ1790" s="52"/>
      <c r="BK1790" s="35"/>
      <c r="BL1790" s="79"/>
      <c r="BM1790" s="230"/>
      <c r="BN1790" s="211"/>
      <c r="BO1790" s="164"/>
      <c r="BP1790" s="726"/>
      <c r="BQ1790" s="727"/>
      <c r="BR1790" s="299"/>
      <c r="BS1790" s="35"/>
      <c r="BT1790" s="596"/>
      <c r="BU1790" s="79"/>
      <c r="BV1790" s="212"/>
      <c r="BW1790" s="304"/>
      <c r="BX1790" s="313"/>
      <c r="BY1790" s="138"/>
    </row>
    <row r="1791" spans="1:77" ht="15" customHeight="1" outlineLevel="1" x14ac:dyDescent="0.2">
      <c r="A1791" s="57" t="s">
        <v>24</v>
      </c>
      <c r="B1791" s="583"/>
      <c r="C1791" s="864" t="s">
        <v>1591</v>
      </c>
      <c r="D1791" s="546">
        <v>1.5580000000000001</v>
      </c>
      <c r="E1791" s="162" t="s">
        <v>631</v>
      </c>
      <c r="F1791" s="358"/>
      <c r="G1791" s="65"/>
      <c r="H1791" s="73"/>
      <c r="I1791" s="90">
        <v>2007</v>
      </c>
      <c r="J1791" s="73"/>
      <c r="K1791" s="734">
        <v>5.6600000000000001E-3</v>
      </c>
      <c r="L1791" s="717"/>
      <c r="M1791" s="73"/>
      <c r="N1791" s="359"/>
      <c r="O1791" s="1041"/>
      <c r="P1791" s="73"/>
      <c r="Q1791" s="359"/>
      <c r="R1791" s="1041"/>
      <c r="S1791" s="73"/>
      <c r="T1791" s="359"/>
      <c r="U1791" s="73"/>
      <c r="V1791" s="66"/>
      <c r="W1791" s="788">
        <f t="shared" si="1618"/>
        <v>3.7355999999999994E-6</v>
      </c>
      <c r="X1791" s="789">
        <f t="shared" si="1619"/>
        <v>3.7355999999999994E-6</v>
      </c>
      <c r="Y1791" s="52">
        <v>2007</v>
      </c>
      <c r="Z1791" s="52"/>
      <c r="AA1791" s="739">
        <f>+K1791/1000</f>
        <v>5.66E-6</v>
      </c>
      <c r="AB1791" s="256">
        <v>-0.34</v>
      </c>
      <c r="AC1791" s="688">
        <f t="shared" si="1620"/>
        <v>-0.34</v>
      </c>
      <c r="AD1791" s="164"/>
      <c r="AE1791" s="164"/>
      <c r="AF1791" s="25"/>
      <c r="AG1791" s="26"/>
      <c r="AH1791" s="275"/>
      <c r="AI1791" s="52"/>
      <c r="AJ1791" s="35"/>
      <c r="AK1791" s="289"/>
      <c r="AL1791" s="290"/>
      <c r="AM1791" s="211"/>
      <c r="AN1791" s="164"/>
      <c r="AO1791" s="594"/>
      <c r="AP1791" s="595"/>
      <c r="AQ1791" s="275"/>
      <c r="AR1791" s="52"/>
      <c r="AS1791" s="596"/>
      <c r="AT1791" s="79"/>
      <c r="AU1791" s="212"/>
      <c r="AV1791" s="164"/>
      <c r="AW1791" s="164"/>
      <c r="AX1791" s="76"/>
      <c r="AY1791" s="44"/>
      <c r="AZ1791" s="275"/>
      <c r="BA1791" s="52"/>
      <c r="BB1791" s="35"/>
      <c r="BC1791" s="79"/>
      <c r="BD1791" s="230"/>
      <c r="BE1791" s="211"/>
      <c r="BF1791" s="164"/>
      <c r="BG1791" s="76"/>
      <c r="BH1791" s="44"/>
      <c r="BI1791" s="275"/>
      <c r="BJ1791" s="52"/>
      <c r="BK1791" s="35"/>
      <c r="BL1791" s="79"/>
      <c r="BM1791" s="230"/>
      <c r="BN1791" s="211"/>
      <c r="BO1791" s="164"/>
      <c r="BP1791" s="726"/>
      <c r="BQ1791" s="727"/>
      <c r="BR1791" s="299"/>
      <c r="BS1791" s="35"/>
      <c r="BT1791" s="596"/>
      <c r="BU1791" s="79"/>
      <c r="BV1791" s="212"/>
      <c r="BW1791" s="304"/>
      <c r="BX1791" s="313"/>
      <c r="BY1791" s="138"/>
    </row>
    <row r="1792" spans="1:77" ht="15" customHeight="1" outlineLevel="1" x14ac:dyDescent="0.2">
      <c r="A1792" s="57" t="s">
        <v>24</v>
      </c>
      <c r="B1792" s="583"/>
      <c r="C1792" s="864" t="s">
        <v>1580</v>
      </c>
      <c r="D1792" s="546">
        <v>12.888999999999999</v>
      </c>
      <c r="E1792" s="162" t="s">
        <v>631</v>
      </c>
      <c r="F1792" s="358"/>
      <c r="G1792" s="65"/>
      <c r="H1792" s="73"/>
      <c r="I1792" s="90"/>
      <c r="J1792" s="73"/>
      <c r="K1792" s="734"/>
      <c r="L1792" s="717">
        <v>2011</v>
      </c>
      <c r="M1792" s="73"/>
      <c r="N1792" s="738">
        <v>4.0600999999999998E-2</v>
      </c>
      <c r="O1792" s="1041"/>
      <c r="P1792" s="73"/>
      <c r="Q1792" s="738"/>
      <c r="R1792" s="1041"/>
      <c r="S1792" s="73"/>
      <c r="T1792" s="738"/>
      <c r="U1792" s="73"/>
      <c r="V1792" s="66"/>
      <c r="W1792" s="740">
        <f t="shared" si="1618"/>
        <v>2.8014689999999997E-5</v>
      </c>
      <c r="X1792" s="741">
        <f t="shared" si="1619"/>
        <v>2.8014689999999997E-5</v>
      </c>
      <c r="Y1792" s="52">
        <v>2011</v>
      </c>
      <c r="Z1792" s="52"/>
      <c r="AA1792" s="739">
        <f>+N1792/1000</f>
        <v>4.0601E-5</v>
      </c>
      <c r="AB1792" s="256">
        <v>-0.31</v>
      </c>
      <c r="AC1792" s="688">
        <f t="shared" si="1620"/>
        <v>-0.31</v>
      </c>
      <c r="AD1792" s="164"/>
      <c r="AE1792" s="164"/>
      <c r="AF1792" s="25"/>
      <c r="AG1792" s="26"/>
      <c r="AH1792" s="275"/>
      <c r="AI1792" s="52"/>
      <c r="AJ1792" s="35"/>
      <c r="AK1792" s="289"/>
      <c r="AL1792" s="290"/>
      <c r="AM1792" s="211"/>
      <c r="AN1792" s="164"/>
      <c r="AO1792" s="594"/>
      <c r="AP1792" s="595"/>
      <c r="AQ1792" s="275"/>
      <c r="AR1792" s="52"/>
      <c r="AS1792" s="596"/>
      <c r="AT1792" s="79"/>
      <c r="AU1792" s="212"/>
      <c r="AV1792" s="164"/>
      <c r="AW1792" s="164"/>
      <c r="AX1792" s="76"/>
      <c r="AY1792" s="44"/>
      <c r="AZ1792" s="275"/>
      <c r="BA1792" s="52"/>
      <c r="BB1792" s="35"/>
      <c r="BC1792" s="79"/>
      <c r="BD1792" s="230"/>
      <c r="BE1792" s="211"/>
      <c r="BF1792" s="164"/>
      <c r="BG1792" s="76"/>
      <c r="BH1792" s="44"/>
      <c r="BI1792" s="275"/>
      <c r="BJ1792" s="52"/>
      <c r="BK1792" s="35"/>
      <c r="BL1792" s="79"/>
      <c r="BM1792" s="230"/>
      <c r="BN1792" s="211"/>
      <c r="BO1792" s="164"/>
      <c r="BP1792" s="726"/>
      <c r="BQ1792" s="727"/>
      <c r="BR1792" s="299"/>
      <c r="BS1792" s="35"/>
      <c r="BT1792" s="596"/>
      <c r="BU1792" s="79"/>
      <c r="BV1792" s="212"/>
      <c r="BW1792" s="304"/>
      <c r="BX1792" s="313"/>
      <c r="BY1792" s="138"/>
    </row>
    <row r="1793" spans="1:77" ht="15" customHeight="1" outlineLevel="1" x14ac:dyDescent="0.2">
      <c r="A1793" s="583" t="s">
        <v>24</v>
      </c>
      <c r="B1793" s="583"/>
      <c r="C1793" s="864" t="s">
        <v>1872</v>
      </c>
      <c r="D1793" s="546">
        <v>1.0309999999999999</v>
      </c>
      <c r="E1793" s="162" t="s">
        <v>631</v>
      </c>
      <c r="F1793" s="358"/>
      <c r="G1793" s="65"/>
      <c r="H1793" s="73"/>
      <c r="I1793" s="90"/>
      <c r="J1793" s="73"/>
      <c r="K1793" s="734">
        <v>2.8010000000000001E-3</v>
      </c>
      <c r="L1793" s="717"/>
      <c r="M1793" s="73"/>
      <c r="N1793" s="738"/>
      <c r="O1793" s="1041"/>
      <c r="P1793" s="73"/>
      <c r="Q1793" s="738"/>
      <c r="R1793" s="1041"/>
      <c r="S1793" s="73"/>
      <c r="T1793" s="738"/>
      <c r="U1793" s="73"/>
      <c r="V1793" s="66"/>
      <c r="W1793" s="740">
        <f t="shared" ref="W1793" si="1672">AA1793*(1+AB1793)</f>
        <v>2.0727399999999999E-6</v>
      </c>
      <c r="X1793" s="741">
        <f t="shared" ref="X1793" si="1673">AA1793*(1+AC1793)</f>
        <v>2.0727399999999999E-6</v>
      </c>
      <c r="Y1793" s="52">
        <v>2005</v>
      </c>
      <c r="Z1793" s="52"/>
      <c r="AA1793" s="787">
        <f>+K1793/1000</f>
        <v>2.8009999999999999E-6</v>
      </c>
      <c r="AB1793" s="256">
        <v>-0.26</v>
      </c>
      <c r="AC1793" s="688">
        <f t="shared" si="1620"/>
        <v>-0.26</v>
      </c>
      <c r="AD1793" s="164"/>
      <c r="AE1793" s="164"/>
      <c r="AF1793" s="25"/>
      <c r="AG1793" s="26"/>
      <c r="AH1793" s="275"/>
      <c r="AI1793" s="52"/>
      <c r="AJ1793" s="35"/>
      <c r="AK1793" s="289"/>
      <c r="AL1793" s="290"/>
      <c r="AM1793" s="211"/>
      <c r="AN1793" s="164"/>
      <c r="AO1793" s="594"/>
      <c r="AP1793" s="595"/>
      <c r="AQ1793" s="275"/>
      <c r="AR1793" s="52"/>
      <c r="AS1793" s="596"/>
      <c r="AT1793" s="79"/>
      <c r="AU1793" s="212"/>
      <c r="AV1793" s="164"/>
      <c r="AW1793" s="164"/>
      <c r="AX1793" s="76"/>
      <c r="AY1793" s="44"/>
      <c r="AZ1793" s="275"/>
      <c r="BA1793" s="52"/>
      <c r="BB1793" s="35"/>
      <c r="BC1793" s="79"/>
      <c r="BD1793" s="230"/>
      <c r="BE1793" s="211"/>
      <c r="BF1793" s="164"/>
      <c r="BG1793" s="76"/>
      <c r="BH1793" s="44"/>
      <c r="BI1793" s="275"/>
      <c r="BJ1793" s="52"/>
      <c r="BK1793" s="35"/>
      <c r="BL1793" s="79"/>
      <c r="BM1793" s="230"/>
      <c r="BN1793" s="211"/>
      <c r="BO1793" s="164"/>
      <c r="BP1793" s="726"/>
      <c r="BQ1793" s="727"/>
      <c r="BR1793" s="299"/>
      <c r="BS1793" s="35"/>
      <c r="BT1793" s="596"/>
      <c r="BU1793" s="79"/>
      <c r="BV1793" s="212"/>
      <c r="BW1793" s="304"/>
      <c r="BX1793" s="313"/>
      <c r="BY1793" s="138"/>
    </row>
    <row r="1794" spans="1:77" ht="15" customHeight="1" outlineLevel="1" x14ac:dyDescent="0.2">
      <c r="A1794" s="57" t="s">
        <v>24</v>
      </c>
      <c r="B1794" s="583"/>
      <c r="C1794" s="864" t="s">
        <v>1589</v>
      </c>
      <c r="D1794" s="546">
        <v>9.7629999999999999</v>
      </c>
      <c r="E1794" s="162" t="s">
        <v>631</v>
      </c>
      <c r="F1794" s="358"/>
      <c r="G1794" s="65"/>
      <c r="H1794" s="73"/>
      <c r="I1794" s="90">
        <v>2000</v>
      </c>
      <c r="J1794" s="73"/>
      <c r="K1794" s="813">
        <v>3.6035999999999999E-2</v>
      </c>
      <c r="L1794" s="717"/>
      <c r="M1794" s="73"/>
      <c r="N1794" s="359"/>
      <c r="O1794" s="1041"/>
      <c r="P1794" s="73"/>
      <c r="Q1794" s="359"/>
      <c r="R1794" s="1041"/>
      <c r="S1794" s="73"/>
      <c r="T1794" s="359"/>
      <c r="U1794" s="73"/>
      <c r="V1794" s="66"/>
      <c r="W1794" s="740">
        <f t="shared" si="1618"/>
        <v>2.3783759999999995E-5</v>
      </c>
      <c r="X1794" s="741">
        <f t="shared" si="1619"/>
        <v>2.3783759999999995E-5</v>
      </c>
      <c r="Y1794" s="52">
        <v>2000</v>
      </c>
      <c r="Z1794" s="52"/>
      <c r="AA1794" s="739">
        <f>+K1794/1000</f>
        <v>3.6035999999999999E-5</v>
      </c>
      <c r="AB1794" s="256">
        <v>-0.34</v>
      </c>
      <c r="AC1794" s="688">
        <f t="shared" si="1620"/>
        <v>-0.34</v>
      </c>
      <c r="AD1794" s="164"/>
      <c r="AE1794" s="164"/>
      <c r="AF1794" s="25"/>
      <c r="AG1794" s="26"/>
      <c r="AH1794" s="275"/>
      <c r="AI1794" s="52"/>
      <c r="AJ1794" s="35"/>
      <c r="AK1794" s="289"/>
      <c r="AL1794" s="290"/>
      <c r="AM1794" s="211"/>
      <c r="AN1794" s="164"/>
      <c r="AO1794" s="594"/>
      <c r="AP1794" s="595"/>
      <c r="AQ1794" s="275"/>
      <c r="AR1794" s="52"/>
      <c r="AS1794" s="596"/>
      <c r="AT1794" s="79"/>
      <c r="AU1794" s="212"/>
      <c r="AV1794" s="164"/>
      <c r="AW1794" s="164"/>
      <c r="AX1794" s="76"/>
      <c r="AY1794" s="44"/>
      <c r="AZ1794" s="275"/>
      <c r="BA1794" s="52"/>
      <c r="BB1794" s="35"/>
      <c r="BC1794" s="79"/>
      <c r="BD1794" s="230"/>
      <c r="BE1794" s="211"/>
      <c r="BF1794" s="164"/>
      <c r="BG1794" s="76"/>
      <c r="BH1794" s="44"/>
      <c r="BI1794" s="275"/>
      <c r="BJ1794" s="52"/>
      <c r="BK1794" s="35"/>
      <c r="BL1794" s="79"/>
      <c r="BM1794" s="230"/>
      <c r="BN1794" s="211"/>
      <c r="BO1794" s="164"/>
      <c r="BP1794" s="726"/>
      <c r="BQ1794" s="727"/>
      <c r="BR1794" s="299"/>
      <c r="BS1794" s="35"/>
      <c r="BT1794" s="596"/>
      <c r="BU1794" s="79"/>
      <c r="BV1794" s="212"/>
      <c r="BW1794" s="304"/>
      <c r="BX1794" s="313"/>
      <c r="BY1794" s="138"/>
    </row>
    <row r="1795" spans="1:77" ht="15" customHeight="1" outlineLevel="1" x14ac:dyDescent="0.2">
      <c r="A1795" s="583" t="s">
        <v>24</v>
      </c>
      <c r="B1795" s="583"/>
      <c r="C1795" s="864" t="s">
        <v>1830</v>
      </c>
      <c r="D1795" s="546">
        <v>1.7809999999999999</v>
      </c>
      <c r="E1795" s="162" t="s">
        <v>631</v>
      </c>
      <c r="F1795" s="358"/>
      <c r="G1795" s="65"/>
      <c r="H1795" s="73"/>
      <c r="I1795" s="90"/>
      <c r="J1795" s="73"/>
      <c r="K1795" s="813"/>
      <c r="L1795" s="717">
        <v>2011</v>
      </c>
      <c r="M1795" s="73"/>
      <c r="N1795" s="786">
        <v>3.6319999999999998E-3</v>
      </c>
      <c r="O1795" s="1041"/>
      <c r="P1795" s="73"/>
      <c r="Q1795" s="786"/>
      <c r="R1795" s="1041"/>
      <c r="S1795" s="73"/>
      <c r="T1795" s="786"/>
      <c r="U1795" s="73"/>
      <c r="V1795" s="66"/>
      <c r="W1795" s="808">
        <f t="shared" ref="W1795" si="1674">AA1795*(1+AB1795)</f>
        <v>2.6876799999999996E-6</v>
      </c>
      <c r="X1795" s="809">
        <f t="shared" ref="X1795" si="1675">AA1795*(1+AC1795)</f>
        <v>2.6876799999999996E-6</v>
      </c>
      <c r="Y1795" s="52">
        <v>2011</v>
      </c>
      <c r="Z1795" s="52"/>
      <c r="AA1795" s="807">
        <f>+N1795/1000</f>
        <v>3.6319999999999997E-6</v>
      </c>
      <c r="AB1795" s="256">
        <v>-0.26</v>
      </c>
      <c r="AC1795" s="688">
        <f t="shared" si="1620"/>
        <v>-0.26</v>
      </c>
      <c r="AD1795" s="164"/>
      <c r="AE1795" s="164"/>
      <c r="AF1795" s="25"/>
      <c r="AG1795" s="26"/>
      <c r="AH1795" s="275"/>
      <c r="AI1795" s="52"/>
      <c r="AJ1795" s="35"/>
      <c r="AK1795" s="289"/>
      <c r="AL1795" s="290"/>
      <c r="AM1795" s="211"/>
      <c r="AN1795" s="164"/>
      <c r="AO1795" s="594"/>
      <c r="AP1795" s="595"/>
      <c r="AQ1795" s="275"/>
      <c r="AR1795" s="52"/>
      <c r="AS1795" s="596"/>
      <c r="AT1795" s="79"/>
      <c r="AU1795" s="212"/>
      <c r="AV1795" s="164"/>
      <c r="AW1795" s="164"/>
      <c r="AX1795" s="76"/>
      <c r="AY1795" s="44"/>
      <c r="AZ1795" s="275"/>
      <c r="BA1795" s="52"/>
      <c r="BB1795" s="35"/>
      <c r="BC1795" s="79"/>
      <c r="BD1795" s="230"/>
      <c r="BE1795" s="211"/>
      <c r="BF1795" s="164"/>
      <c r="BG1795" s="76"/>
      <c r="BH1795" s="44"/>
      <c r="BI1795" s="275"/>
      <c r="BJ1795" s="52"/>
      <c r="BK1795" s="35"/>
      <c r="BL1795" s="79"/>
      <c r="BM1795" s="230"/>
      <c r="BN1795" s="211"/>
      <c r="BO1795" s="164"/>
      <c r="BP1795" s="726"/>
      <c r="BQ1795" s="727"/>
      <c r="BR1795" s="299"/>
      <c r="BS1795" s="35"/>
      <c r="BT1795" s="596"/>
      <c r="BU1795" s="79"/>
      <c r="BV1795" s="212"/>
      <c r="BW1795" s="304"/>
      <c r="BX1795" s="313"/>
      <c r="BY1795" s="138"/>
    </row>
    <row r="1796" spans="1:77" ht="15" customHeight="1" outlineLevel="1" x14ac:dyDescent="0.2">
      <c r="A1796" s="583" t="s">
        <v>24</v>
      </c>
      <c r="B1796" s="583"/>
      <c r="C1796" s="864" t="s">
        <v>2097</v>
      </c>
      <c r="D1796" s="546">
        <v>0.64800000000000002</v>
      </c>
      <c r="E1796" s="162" t="s">
        <v>631</v>
      </c>
      <c r="F1796" s="358"/>
      <c r="G1796" s="65"/>
      <c r="H1796" s="73"/>
      <c r="I1796" s="90"/>
      <c r="J1796" s="73"/>
      <c r="K1796" s="813"/>
      <c r="L1796" s="717">
        <v>2011</v>
      </c>
      <c r="M1796" s="73"/>
      <c r="N1796" s="786">
        <v>1.4790000000000001E-3</v>
      </c>
      <c r="O1796" s="1041"/>
      <c r="P1796" s="73"/>
      <c r="Q1796" s="786"/>
      <c r="R1796" s="1041"/>
      <c r="S1796" s="73"/>
      <c r="T1796" s="786"/>
      <c r="U1796" s="73"/>
      <c r="V1796" s="66"/>
      <c r="W1796" s="808">
        <f t="shared" ref="W1796" si="1676">AA1796*(1+AB1796)</f>
        <v>1.10925E-6</v>
      </c>
      <c r="X1796" s="809">
        <f t="shared" ref="X1796" si="1677">AA1796*(1+AC1796)</f>
        <v>1.10925E-6</v>
      </c>
      <c r="Y1796" s="52">
        <v>2011</v>
      </c>
      <c r="Z1796" s="52"/>
      <c r="AA1796" s="807">
        <f>+N1796/1000</f>
        <v>1.4790000000000002E-6</v>
      </c>
      <c r="AB1796" s="256">
        <v>-0.25</v>
      </c>
      <c r="AC1796" s="688">
        <f t="shared" si="1620"/>
        <v>-0.25</v>
      </c>
      <c r="AD1796" s="164"/>
      <c r="AE1796" s="164"/>
      <c r="AF1796" s="25"/>
      <c r="AG1796" s="26"/>
      <c r="AH1796" s="275"/>
      <c r="AI1796" s="52"/>
      <c r="AJ1796" s="35"/>
      <c r="AK1796" s="289"/>
      <c r="AL1796" s="290"/>
      <c r="AM1796" s="211"/>
      <c r="AN1796" s="164"/>
      <c r="AO1796" s="594"/>
      <c r="AP1796" s="595"/>
      <c r="AQ1796" s="275"/>
      <c r="AR1796" s="52"/>
      <c r="AS1796" s="596"/>
      <c r="AT1796" s="79"/>
      <c r="AU1796" s="212"/>
      <c r="AV1796" s="164"/>
      <c r="AW1796" s="164"/>
      <c r="AX1796" s="76"/>
      <c r="AY1796" s="44"/>
      <c r="AZ1796" s="275"/>
      <c r="BA1796" s="52"/>
      <c r="BB1796" s="35"/>
      <c r="BC1796" s="79"/>
      <c r="BD1796" s="230"/>
      <c r="BE1796" s="211"/>
      <c r="BF1796" s="164"/>
      <c r="BG1796" s="76"/>
      <c r="BH1796" s="44"/>
      <c r="BI1796" s="275"/>
      <c r="BJ1796" s="52"/>
      <c r="BK1796" s="35"/>
      <c r="BL1796" s="79"/>
      <c r="BM1796" s="230"/>
      <c r="BN1796" s="211"/>
      <c r="BO1796" s="164"/>
      <c r="BP1796" s="726"/>
      <c r="BQ1796" s="727"/>
      <c r="BR1796" s="299"/>
      <c r="BS1796" s="35"/>
      <c r="BT1796" s="596"/>
      <c r="BU1796" s="79"/>
      <c r="BV1796" s="212"/>
      <c r="BW1796" s="304"/>
      <c r="BX1796" s="313"/>
      <c r="BY1796" s="138"/>
    </row>
    <row r="1797" spans="1:77" ht="15" customHeight="1" outlineLevel="1" x14ac:dyDescent="0.2">
      <c r="A1797" s="583" t="s">
        <v>24</v>
      </c>
      <c r="B1797" s="583"/>
      <c r="C1797" s="864" t="s">
        <v>2098</v>
      </c>
      <c r="D1797" s="546">
        <v>2.976</v>
      </c>
      <c r="E1797" s="162" t="s">
        <v>631</v>
      </c>
      <c r="F1797" s="358"/>
      <c r="G1797" s="65"/>
      <c r="H1797" s="73"/>
      <c r="I1797" s="90"/>
      <c r="J1797" s="73"/>
      <c r="K1797" s="813"/>
      <c r="L1797" s="717">
        <v>2011</v>
      </c>
      <c r="M1797" s="73"/>
      <c r="N1797" s="786">
        <v>6.8729999999999998E-3</v>
      </c>
      <c r="O1797" s="1041"/>
      <c r="P1797" s="73"/>
      <c r="Q1797" s="786"/>
      <c r="R1797" s="1041"/>
      <c r="S1797" s="73"/>
      <c r="T1797" s="786"/>
      <c r="U1797" s="73"/>
      <c r="V1797" s="66"/>
      <c r="W1797" s="808">
        <f t="shared" ref="W1797" si="1678">AA1797*(1+AB1797)</f>
        <v>5.1547500000000001E-6</v>
      </c>
      <c r="X1797" s="809">
        <f t="shared" ref="X1797" si="1679">AA1797*(1+AC1797)</f>
        <v>5.1547500000000001E-6</v>
      </c>
      <c r="Y1797" s="52">
        <v>2011</v>
      </c>
      <c r="Z1797" s="52"/>
      <c r="AA1797" s="807">
        <f>+N1797/1000</f>
        <v>6.8730000000000001E-6</v>
      </c>
      <c r="AB1797" s="256">
        <v>-0.25</v>
      </c>
      <c r="AC1797" s="688">
        <f t="shared" si="1620"/>
        <v>-0.25</v>
      </c>
      <c r="AD1797" s="164"/>
      <c r="AE1797" s="164"/>
      <c r="AF1797" s="25"/>
      <c r="AG1797" s="26"/>
      <c r="AH1797" s="275"/>
      <c r="AI1797" s="52"/>
      <c r="AJ1797" s="35"/>
      <c r="AK1797" s="289"/>
      <c r="AL1797" s="290"/>
      <c r="AM1797" s="211"/>
      <c r="AN1797" s="164"/>
      <c r="AO1797" s="594"/>
      <c r="AP1797" s="595"/>
      <c r="AQ1797" s="275"/>
      <c r="AR1797" s="52"/>
      <c r="AS1797" s="596"/>
      <c r="AT1797" s="79"/>
      <c r="AU1797" s="212"/>
      <c r="AV1797" s="164"/>
      <c r="AW1797" s="164"/>
      <c r="AX1797" s="76"/>
      <c r="AY1797" s="44"/>
      <c r="AZ1797" s="275"/>
      <c r="BA1797" s="52"/>
      <c r="BB1797" s="35"/>
      <c r="BC1797" s="79"/>
      <c r="BD1797" s="230"/>
      <c r="BE1797" s="211"/>
      <c r="BF1797" s="164"/>
      <c r="BG1797" s="76"/>
      <c r="BH1797" s="44"/>
      <c r="BI1797" s="275"/>
      <c r="BJ1797" s="52"/>
      <c r="BK1797" s="35"/>
      <c r="BL1797" s="79"/>
      <c r="BM1797" s="230"/>
      <c r="BN1797" s="211"/>
      <c r="BO1797" s="164"/>
      <c r="BP1797" s="726"/>
      <c r="BQ1797" s="727"/>
      <c r="BR1797" s="299"/>
      <c r="BS1797" s="35"/>
      <c r="BT1797" s="596"/>
      <c r="BU1797" s="79"/>
      <c r="BV1797" s="212"/>
      <c r="BW1797" s="304"/>
      <c r="BX1797" s="313"/>
      <c r="BY1797" s="138"/>
    </row>
    <row r="1798" spans="1:77" ht="15" customHeight="1" outlineLevel="1" x14ac:dyDescent="0.2">
      <c r="A1798" s="583" t="s">
        <v>24</v>
      </c>
      <c r="B1798" s="583"/>
      <c r="C1798" s="864" t="s">
        <v>2039</v>
      </c>
      <c r="D1798" s="546">
        <v>1.7330000000000001</v>
      </c>
      <c r="E1798" s="162" t="s">
        <v>631</v>
      </c>
      <c r="F1798" s="358"/>
      <c r="G1798" s="65"/>
      <c r="H1798" s="73"/>
      <c r="I1798" s="90"/>
      <c r="J1798" s="73"/>
      <c r="K1798" s="813"/>
      <c r="L1798" s="717">
        <v>2011</v>
      </c>
      <c r="M1798" s="73"/>
      <c r="N1798" s="786">
        <v>5.5389999999999997E-3</v>
      </c>
      <c r="O1798" s="1041"/>
      <c r="P1798" s="73"/>
      <c r="Q1798" s="786"/>
      <c r="R1798" s="1041"/>
      <c r="S1798" s="73"/>
      <c r="T1798" s="786"/>
      <c r="U1798" s="73"/>
      <c r="V1798" s="66"/>
      <c r="W1798" s="808">
        <f t="shared" ref="W1798" si="1680">AA1798*(1+AB1798)</f>
        <v>3.9880799999999994E-6</v>
      </c>
      <c r="X1798" s="809">
        <f t="shared" ref="X1798" si="1681">AA1798*(1+AC1798)</f>
        <v>3.9880799999999994E-6</v>
      </c>
      <c r="Y1798" s="52">
        <v>2011</v>
      </c>
      <c r="Z1798" s="52"/>
      <c r="AA1798" s="807">
        <f>+N1798/1000</f>
        <v>5.5389999999999998E-6</v>
      </c>
      <c r="AB1798" s="256">
        <v>-0.28000000000000003</v>
      </c>
      <c r="AC1798" s="688">
        <f t="shared" si="1620"/>
        <v>-0.28000000000000003</v>
      </c>
      <c r="AD1798" s="164"/>
      <c r="AE1798" s="164"/>
      <c r="AF1798" s="25"/>
      <c r="AG1798" s="26"/>
      <c r="AH1798" s="275"/>
      <c r="AI1798" s="52"/>
      <c r="AJ1798" s="35"/>
      <c r="AK1798" s="289"/>
      <c r="AL1798" s="290"/>
      <c r="AM1798" s="211"/>
      <c r="AN1798" s="164"/>
      <c r="AO1798" s="594"/>
      <c r="AP1798" s="595"/>
      <c r="AQ1798" s="275"/>
      <c r="AR1798" s="52"/>
      <c r="AS1798" s="596"/>
      <c r="AT1798" s="79"/>
      <c r="AU1798" s="212"/>
      <c r="AV1798" s="164"/>
      <c r="AW1798" s="164"/>
      <c r="AX1798" s="76"/>
      <c r="AY1798" s="44"/>
      <c r="AZ1798" s="275"/>
      <c r="BA1798" s="52"/>
      <c r="BB1798" s="35"/>
      <c r="BC1798" s="79"/>
      <c r="BD1798" s="230"/>
      <c r="BE1798" s="211"/>
      <c r="BF1798" s="164"/>
      <c r="BG1798" s="76"/>
      <c r="BH1798" s="44"/>
      <c r="BI1798" s="275"/>
      <c r="BJ1798" s="52"/>
      <c r="BK1798" s="35"/>
      <c r="BL1798" s="79"/>
      <c r="BM1798" s="230"/>
      <c r="BN1798" s="211"/>
      <c r="BO1798" s="164"/>
      <c r="BP1798" s="726"/>
      <c r="BQ1798" s="727"/>
      <c r="BR1798" s="299"/>
      <c r="BS1798" s="35"/>
      <c r="BT1798" s="596"/>
      <c r="BU1798" s="79"/>
      <c r="BV1798" s="212"/>
      <c r="BW1798" s="304"/>
      <c r="BX1798" s="313"/>
      <c r="BY1798" s="138"/>
    </row>
    <row r="1799" spans="1:77" ht="15" customHeight="1" outlineLevel="1" x14ac:dyDescent="0.2">
      <c r="A1799" s="57" t="s">
        <v>24</v>
      </c>
      <c r="B1799" s="583"/>
      <c r="C1799" s="864" t="s">
        <v>1493</v>
      </c>
      <c r="D1799" s="546">
        <v>0.51900000000000002</v>
      </c>
      <c r="E1799" s="162" t="s">
        <v>631</v>
      </c>
      <c r="F1799" s="358"/>
      <c r="G1799" s="65"/>
      <c r="H1799" s="73"/>
      <c r="I1799" s="90">
        <v>2001</v>
      </c>
      <c r="J1799" s="73"/>
      <c r="K1799" s="814">
        <v>2.5119999999999999E-3</v>
      </c>
      <c r="L1799" s="717"/>
      <c r="M1799" s="73"/>
      <c r="N1799" s="359"/>
      <c r="O1799" s="1041"/>
      <c r="P1799" s="73"/>
      <c r="Q1799" s="359"/>
      <c r="R1799" s="1041"/>
      <c r="S1799" s="73"/>
      <c r="T1799" s="359"/>
      <c r="U1799" s="73"/>
      <c r="V1799" s="66"/>
      <c r="W1799" s="788">
        <f t="shared" si="1618"/>
        <v>1.7332799999999996E-6</v>
      </c>
      <c r="X1799" s="789">
        <f t="shared" si="1619"/>
        <v>1.7332799999999996E-6</v>
      </c>
      <c r="Y1799" s="52">
        <v>2001</v>
      </c>
      <c r="Z1799" s="52"/>
      <c r="AA1799" s="787">
        <f>+K1799/1000</f>
        <v>2.5119999999999998E-6</v>
      </c>
      <c r="AB1799" s="256">
        <v>-0.31</v>
      </c>
      <c r="AC1799" s="688">
        <f t="shared" si="1620"/>
        <v>-0.31</v>
      </c>
      <c r="AD1799" s="164"/>
      <c r="AE1799" s="164"/>
      <c r="AF1799" s="25"/>
      <c r="AG1799" s="26"/>
      <c r="AH1799" s="275"/>
      <c r="AI1799" s="52"/>
      <c r="AJ1799" s="35"/>
      <c r="AK1799" s="289"/>
      <c r="AL1799" s="290"/>
      <c r="AM1799" s="211"/>
      <c r="AN1799" s="164"/>
      <c r="AO1799" s="594"/>
      <c r="AP1799" s="595"/>
      <c r="AQ1799" s="275"/>
      <c r="AR1799" s="52"/>
      <c r="AS1799" s="596"/>
      <c r="AT1799" s="79"/>
      <c r="AU1799" s="212"/>
      <c r="AV1799" s="164"/>
      <c r="AW1799" s="164"/>
      <c r="AX1799" s="76"/>
      <c r="AY1799" s="44"/>
      <c r="AZ1799" s="275"/>
      <c r="BA1799" s="52"/>
      <c r="BB1799" s="35"/>
      <c r="BC1799" s="79"/>
      <c r="BD1799" s="230"/>
      <c r="BE1799" s="211"/>
      <c r="BF1799" s="164"/>
      <c r="BG1799" s="76"/>
      <c r="BH1799" s="44"/>
      <c r="BI1799" s="275"/>
      <c r="BJ1799" s="52"/>
      <c r="BK1799" s="35"/>
      <c r="BL1799" s="79"/>
      <c r="BM1799" s="230"/>
      <c r="BN1799" s="211"/>
      <c r="BO1799" s="164"/>
      <c r="BP1799" s="726"/>
      <c r="BQ1799" s="727"/>
      <c r="BR1799" s="299"/>
      <c r="BS1799" s="35"/>
      <c r="BT1799" s="596"/>
      <c r="BU1799" s="79"/>
      <c r="BV1799" s="212"/>
      <c r="BW1799" s="304"/>
      <c r="BX1799" s="313"/>
      <c r="BY1799" s="138"/>
    </row>
    <row r="1800" spans="1:77" ht="15" customHeight="1" outlineLevel="1" x14ac:dyDescent="0.2">
      <c r="A1800" s="57" t="s">
        <v>24</v>
      </c>
      <c r="B1800" s="583"/>
      <c r="C1800" s="864" t="s">
        <v>1298</v>
      </c>
      <c r="D1800" s="546">
        <v>3.6280000000000001</v>
      </c>
      <c r="E1800" s="162" t="s">
        <v>631</v>
      </c>
      <c r="F1800" s="358"/>
      <c r="G1800" s="65"/>
      <c r="H1800" s="73"/>
      <c r="I1800" s="90"/>
      <c r="J1800" s="73"/>
      <c r="K1800" s="734">
        <v>7.979E-3</v>
      </c>
      <c r="L1800" s="717"/>
      <c r="M1800" s="73"/>
      <c r="N1800" s="359"/>
      <c r="O1800" s="1041"/>
      <c r="P1800" s="73"/>
      <c r="Q1800" s="359"/>
      <c r="R1800" s="1041"/>
      <c r="S1800" s="73"/>
      <c r="T1800" s="359"/>
      <c r="U1800" s="73"/>
      <c r="V1800" s="66"/>
      <c r="W1800" s="740">
        <f t="shared" si="1618"/>
        <v>5.5055099999999991E-6</v>
      </c>
      <c r="X1800" s="741">
        <f t="shared" si="1619"/>
        <v>5.5055099999999991E-6</v>
      </c>
      <c r="Y1800" s="52">
        <v>2005</v>
      </c>
      <c r="Z1800" s="52"/>
      <c r="AA1800" s="739">
        <f>+K1800/1000</f>
        <v>7.9789999999999993E-6</v>
      </c>
      <c r="AB1800" s="256">
        <v>-0.31</v>
      </c>
      <c r="AC1800" s="688">
        <f t="shared" si="1620"/>
        <v>-0.31</v>
      </c>
      <c r="AD1800" s="164"/>
      <c r="AE1800" s="164"/>
      <c r="AF1800" s="25"/>
      <c r="AG1800" s="26"/>
      <c r="AH1800" s="275"/>
      <c r="AI1800" s="52"/>
      <c r="AJ1800" s="35"/>
      <c r="AK1800" s="289"/>
      <c r="AL1800" s="290"/>
      <c r="AM1800" s="211"/>
      <c r="AN1800" s="164"/>
      <c r="AO1800" s="594"/>
      <c r="AP1800" s="595"/>
      <c r="AQ1800" s="275"/>
      <c r="AR1800" s="52"/>
      <c r="AS1800" s="596"/>
      <c r="AT1800" s="79"/>
      <c r="AU1800" s="212"/>
      <c r="AV1800" s="164"/>
      <c r="AW1800" s="164"/>
      <c r="AX1800" s="76"/>
      <c r="AY1800" s="44"/>
      <c r="AZ1800" s="275"/>
      <c r="BA1800" s="52"/>
      <c r="BB1800" s="35"/>
      <c r="BC1800" s="79"/>
      <c r="BD1800" s="230"/>
      <c r="BE1800" s="211"/>
      <c r="BF1800" s="164"/>
      <c r="BG1800" s="76"/>
      <c r="BH1800" s="44"/>
      <c r="BI1800" s="275"/>
      <c r="BJ1800" s="52"/>
      <c r="BK1800" s="35"/>
      <c r="BL1800" s="79"/>
      <c r="BM1800" s="230"/>
      <c r="BN1800" s="211"/>
      <c r="BO1800" s="164"/>
      <c r="BP1800" s="726"/>
      <c r="BQ1800" s="727"/>
      <c r="BR1800" s="299"/>
      <c r="BS1800" s="35"/>
      <c r="BT1800" s="596"/>
      <c r="BU1800" s="79"/>
      <c r="BV1800" s="212"/>
      <c r="BW1800" s="304"/>
      <c r="BX1800" s="313"/>
      <c r="BY1800" s="138"/>
    </row>
    <row r="1801" spans="1:77" ht="15" customHeight="1" outlineLevel="1" x14ac:dyDescent="0.2">
      <c r="A1801" s="583" t="s">
        <v>24</v>
      </c>
      <c r="B1801" s="583"/>
      <c r="C1801" s="864" t="s">
        <v>2040</v>
      </c>
      <c r="D1801" s="546">
        <v>1.76</v>
      </c>
      <c r="E1801" s="162" t="s">
        <v>631</v>
      </c>
      <c r="F1801" s="358"/>
      <c r="G1801" s="65"/>
      <c r="H1801" s="73"/>
      <c r="I1801" s="90"/>
      <c r="J1801" s="73"/>
      <c r="K1801" s="734"/>
      <c r="L1801" s="717">
        <v>2011</v>
      </c>
      <c r="M1801" s="73"/>
      <c r="N1801" s="786">
        <v>4.1279999999999997E-3</v>
      </c>
      <c r="O1801" s="1041"/>
      <c r="P1801" s="73"/>
      <c r="Q1801" s="359"/>
      <c r="R1801" s="1041"/>
      <c r="S1801" s="73"/>
      <c r="T1801" s="359"/>
      <c r="U1801" s="73"/>
      <c r="V1801" s="66"/>
      <c r="W1801" s="808">
        <f t="shared" ref="W1801" si="1682">AA1801*(1+AB1801)</f>
        <v>2.9721599999999998E-6</v>
      </c>
      <c r="X1801" s="809">
        <f t="shared" ref="X1801" si="1683">AA1801*(1+AC1801)</f>
        <v>2.9721599999999998E-6</v>
      </c>
      <c r="Y1801" s="52">
        <v>2011</v>
      </c>
      <c r="Z1801" s="52"/>
      <c r="AA1801" s="807">
        <f>+N1801/1000</f>
        <v>4.1280000000000001E-6</v>
      </c>
      <c r="AB1801" s="256">
        <v>-0.28000000000000003</v>
      </c>
      <c r="AC1801" s="688">
        <f t="shared" si="1620"/>
        <v>-0.28000000000000003</v>
      </c>
      <c r="AD1801" s="164"/>
      <c r="AE1801" s="164"/>
      <c r="AF1801" s="25"/>
      <c r="AG1801" s="26"/>
      <c r="AH1801" s="275"/>
      <c r="AI1801" s="52"/>
      <c r="AJ1801" s="35"/>
      <c r="AK1801" s="289"/>
      <c r="AL1801" s="290"/>
      <c r="AM1801" s="211"/>
      <c r="AN1801" s="164"/>
      <c r="AO1801" s="594"/>
      <c r="AP1801" s="595"/>
      <c r="AQ1801" s="275"/>
      <c r="AR1801" s="52"/>
      <c r="AS1801" s="596"/>
      <c r="AT1801" s="79"/>
      <c r="AU1801" s="212"/>
      <c r="AV1801" s="164"/>
      <c r="AW1801" s="164"/>
      <c r="AX1801" s="76"/>
      <c r="AY1801" s="44"/>
      <c r="AZ1801" s="275"/>
      <c r="BA1801" s="52"/>
      <c r="BB1801" s="35"/>
      <c r="BC1801" s="79"/>
      <c r="BD1801" s="230"/>
      <c r="BE1801" s="211"/>
      <c r="BF1801" s="164"/>
      <c r="BG1801" s="76"/>
      <c r="BH1801" s="44"/>
      <c r="BI1801" s="275"/>
      <c r="BJ1801" s="52"/>
      <c r="BK1801" s="35"/>
      <c r="BL1801" s="79"/>
      <c r="BM1801" s="230"/>
      <c r="BN1801" s="211"/>
      <c r="BO1801" s="164"/>
      <c r="BP1801" s="726"/>
      <c r="BQ1801" s="727"/>
      <c r="BR1801" s="299"/>
      <c r="BS1801" s="35"/>
      <c r="BT1801" s="596"/>
      <c r="BU1801" s="79"/>
      <c r="BV1801" s="212"/>
      <c r="BW1801" s="304"/>
      <c r="BX1801" s="313"/>
      <c r="BY1801" s="138"/>
    </row>
    <row r="1802" spans="1:77" ht="15" customHeight="1" outlineLevel="1" x14ac:dyDescent="0.2">
      <c r="A1802" s="583" t="s">
        <v>24</v>
      </c>
      <c r="B1802" s="583"/>
      <c r="C1802" s="864" t="s">
        <v>1807</v>
      </c>
      <c r="D1802" s="546">
        <v>1.839</v>
      </c>
      <c r="E1802" s="162" t="s">
        <v>631</v>
      </c>
      <c r="F1802" s="358"/>
      <c r="G1802" s="65"/>
      <c r="H1802" s="73"/>
      <c r="I1802" s="90"/>
      <c r="J1802" s="73"/>
      <c r="K1802" s="734">
        <v>5.4980000000000003E-3</v>
      </c>
      <c r="L1802" s="717"/>
      <c r="M1802" s="73"/>
      <c r="N1802" s="359"/>
      <c r="O1802" s="1041"/>
      <c r="P1802" s="73"/>
      <c r="Q1802" s="359"/>
      <c r="R1802" s="1041"/>
      <c r="S1802" s="73"/>
      <c r="T1802" s="359"/>
      <c r="U1802" s="73"/>
      <c r="V1802" s="66"/>
      <c r="W1802" s="808">
        <f t="shared" si="1618"/>
        <v>4.1235000000000004E-6</v>
      </c>
      <c r="X1802" s="809">
        <f t="shared" si="1619"/>
        <v>4.1235000000000004E-6</v>
      </c>
      <c r="Y1802" s="52">
        <v>2005</v>
      </c>
      <c r="Z1802" s="52"/>
      <c r="AA1802" s="787">
        <f>+K1802/1000</f>
        <v>5.4980000000000006E-6</v>
      </c>
      <c r="AB1802" s="256">
        <v>-0.25</v>
      </c>
      <c r="AC1802" s="688">
        <f t="shared" si="1620"/>
        <v>-0.25</v>
      </c>
      <c r="AD1802" s="164"/>
      <c r="AE1802" s="164"/>
      <c r="AF1802" s="25"/>
      <c r="AG1802" s="26"/>
      <c r="AH1802" s="275"/>
      <c r="AI1802" s="52"/>
      <c r="AJ1802" s="35"/>
      <c r="AK1802" s="289"/>
      <c r="AL1802" s="290"/>
      <c r="AM1802" s="211"/>
      <c r="AN1802" s="164"/>
      <c r="AO1802" s="594"/>
      <c r="AP1802" s="595"/>
      <c r="AQ1802" s="275"/>
      <c r="AR1802" s="52"/>
      <c r="AS1802" s="596"/>
      <c r="AT1802" s="79"/>
      <c r="AU1802" s="212"/>
      <c r="AV1802" s="164"/>
      <c r="AW1802" s="164"/>
      <c r="AX1802" s="76"/>
      <c r="AY1802" s="44"/>
      <c r="AZ1802" s="275"/>
      <c r="BA1802" s="52"/>
      <c r="BB1802" s="35"/>
      <c r="BC1802" s="79"/>
      <c r="BD1802" s="230"/>
      <c r="BE1802" s="211"/>
      <c r="BF1802" s="164"/>
      <c r="BG1802" s="76"/>
      <c r="BH1802" s="44"/>
      <c r="BI1802" s="275"/>
      <c r="BJ1802" s="52"/>
      <c r="BK1802" s="35"/>
      <c r="BL1802" s="79"/>
      <c r="BM1802" s="230"/>
      <c r="BN1802" s="211"/>
      <c r="BO1802" s="164"/>
      <c r="BP1802" s="726"/>
      <c r="BQ1802" s="727"/>
      <c r="BR1802" s="299"/>
      <c r="BS1802" s="35"/>
      <c r="BT1802" s="596"/>
      <c r="BU1802" s="79"/>
      <c r="BV1802" s="212"/>
      <c r="BW1802" s="304"/>
      <c r="BX1802" s="313"/>
      <c r="BY1802" s="138"/>
    </row>
    <row r="1803" spans="1:77" s="135" customFormat="1" ht="13.5" customHeight="1" outlineLevel="1" x14ac:dyDescent="0.2">
      <c r="A1803" s="984" t="s">
        <v>24</v>
      </c>
      <c r="B1803" s="984"/>
      <c r="C1803" s="1211" t="s">
        <v>1911</v>
      </c>
      <c r="D1803" s="985">
        <v>1.956</v>
      </c>
      <c r="E1803" s="971" t="s">
        <v>631</v>
      </c>
      <c r="F1803" s="986"/>
      <c r="G1803" s="987"/>
      <c r="H1803" s="988"/>
      <c r="I1803" s="989"/>
      <c r="J1803" s="988"/>
      <c r="K1803" s="990"/>
      <c r="L1803" s="991"/>
      <c r="M1803" s="988"/>
      <c r="N1803" s="1136">
        <v>8.0269999999999994E-3</v>
      </c>
      <c r="O1803" s="1046"/>
      <c r="P1803" s="988"/>
      <c r="Q1803" s="1136"/>
      <c r="R1803" s="1046"/>
      <c r="S1803" s="988"/>
      <c r="T1803" s="1136"/>
      <c r="U1803" s="988"/>
      <c r="V1803" s="993"/>
      <c r="W1803" s="1212">
        <f t="shared" ref="W1803" si="1684">AA1803*(1+AB1803)</f>
        <v>5.8597099999999998E-6</v>
      </c>
      <c r="X1803" s="1213">
        <f t="shared" ref="X1803" si="1685">AA1803*(1+AC1803)</f>
        <v>5.8597099999999998E-6</v>
      </c>
      <c r="Y1803" s="996">
        <v>2010</v>
      </c>
      <c r="Z1803" s="996"/>
      <c r="AA1803" s="1214">
        <f>+N1803/1000</f>
        <v>8.0269999999999995E-6</v>
      </c>
      <c r="AB1803" s="998">
        <v>-0.27</v>
      </c>
      <c r="AC1803" s="999">
        <f t="shared" si="1620"/>
        <v>-0.27</v>
      </c>
      <c r="AD1803" s="1000"/>
      <c r="AE1803" s="1000"/>
      <c r="AF1803" s="1001"/>
      <c r="AG1803" s="1002"/>
      <c r="AH1803" s="1003"/>
      <c r="AI1803" s="996"/>
      <c r="AJ1803" s="1004"/>
      <c r="AK1803" s="1005"/>
      <c r="AL1803" s="1006"/>
      <c r="AM1803" s="1007"/>
      <c r="AN1803" s="1000"/>
      <c r="AO1803" s="1021"/>
      <c r="AP1803" s="1022"/>
      <c r="AQ1803" s="1003"/>
      <c r="AR1803" s="996"/>
      <c r="AS1803" s="1008"/>
      <c r="AT1803" s="1009"/>
      <c r="AU1803" s="1010"/>
      <c r="AV1803" s="1000"/>
      <c r="AW1803" s="1000"/>
      <c r="AX1803" s="1011"/>
      <c r="AY1803" s="1012"/>
      <c r="AZ1803" s="1003"/>
      <c r="BA1803" s="996"/>
      <c r="BB1803" s="1004"/>
      <c r="BC1803" s="1009"/>
      <c r="BD1803" s="1013"/>
      <c r="BE1803" s="1007"/>
      <c r="BF1803" s="1000"/>
      <c r="BG1803" s="1011"/>
      <c r="BH1803" s="1012"/>
      <c r="BI1803" s="1003"/>
      <c r="BJ1803" s="996"/>
      <c r="BK1803" s="1004"/>
      <c r="BL1803" s="1009"/>
      <c r="BM1803" s="1013"/>
      <c r="BN1803" s="1007"/>
      <c r="BO1803" s="1000"/>
      <c r="BP1803" s="1014"/>
      <c r="BQ1803" s="1015"/>
      <c r="BR1803" s="1016"/>
      <c r="BS1803" s="1004"/>
      <c r="BT1803" s="1008"/>
      <c r="BU1803" s="1009"/>
      <c r="BV1803" s="1010"/>
      <c r="BW1803" s="304"/>
      <c r="BX1803" s="313"/>
      <c r="BY1803" s="1017"/>
    </row>
    <row r="1804" spans="1:77" ht="15" customHeight="1" outlineLevel="1" x14ac:dyDescent="0.2">
      <c r="A1804" s="583" t="s">
        <v>24</v>
      </c>
      <c r="B1804" s="583"/>
      <c r="C1804" s="583" t="s">
        <v>1684</v>
      </c>
      <c r="D1804" s="546">
        <v>4.2050000000000001</v>
      </c>
      <c r="E1804" s="162" t="s">
        <v>631</v>
      </c>
      <c r="F1804" s="358"/>
      <c r="G1804" s="65"/>
      <c r="H1804" s="73"/>
      <c r="I1804" s="90"/>
      <c r="J1804" s="73"/>
      <c r="K1804" s="734"/>
      <c r="L1804" s="717">
        <v>2011</v>
      </c>
      <c r="M1804" s="73"/>
      <c r="N1804" s="811">
        <v>1.4622999999999999E-3</v>
      </c>
      <c r="O1804" s="1041"/>
      <c r="P1804" s="73"/>
      <c r="Q1804" s="811"/>
      <c r="R1804" s="1041"/>
      <c r="S1804" s="73"/>
      <c r="T1804" s="811"/>
      <c r="U1804" s="73"/>
      <c r="V1804" s="66"/>
      <c r="W1804" s="808">
        <f t="shared" ref="W1804" si="1686">AA1804*(1+AB1804)</f>
        <v>1.0967250000000001E-6</v>
      </c>
      <c r="X1804" s="809">
        <f t="shared" ref="X1804" si="1687">AA1804*(1+AC1804)</f>
        <v>1.0967250000000001E-6</v>
      </c>
      <c r="Y1804" s="52">
        <v>2011</v>
      </c>
      <c r="Z1804" s="52"/>
      <c r="AA1804" s="807">
        <f t="shared" ref="AA1804:AA1817" si="1688">+N1804/1000</f>
        <v>1.4623E-6</v>
      </c>
      <c r="AB1804" s="256">
        <v>-0.25</v>
      </c>
      <c r="AC1804" s="688">
        <f t="shared" si="1620"/>
        <v>-0.25</v>
      </c>
      <c r="AD1804" s="164"/>
      <c r="AE1804" s="164"/>
      <c r="AF1804" s="25"/>
      <c r="AG1804" s="26"/>
      <c r="AH1804" s="275"/>
      <c r="AI1804" s="52"/>
      <c r="AJ1804" s="35"/>
      <c r="AK1804" s="289"/>
      <c r="AL1804" s="290"/>
      <c r="AM1804" s="211"/>
      <c r="AN1804" s="164"/>
      <c r="AO1804" s="594"/>
      <c r="AP1804" s="595"/>
      <c r="AQ1804" s="275"/>
      <c r="AR1804" s="52"/>
      <c r="AS1804" s="596"/>
      <c r="AT1804" s="79"/>
      <c r="AU1804" s="212"/>
      <c r="AV1804" s="164"/>
      <c r="AW1804" s="164"/>
      <c r="AX1804" s="76"/>
      <c r="AY1804" s="44"/>
      <c r="AZ1804" s="275"/>
      <c r="BA1804" s="52"/>
      <c r="BB1804" s="35"/>
      <c r="BC1804" s="79"/>
      <c r="BD1804" s="230"/>
      <c r="BE1804" s="211"/>
      <c r="BF1804" s="164"/>
      <c r="BG1804" s="76"/>
      <c r="BH1804" s="44"/>
      <c r="BI1804" s="275"/>
      <c r="BJ1804" s="52"/>
      <c r="BK1804" s="35"/>
      <c r="BL1804" s="79"/>
      <c r="BM1804" s="230"/>
      <c r="BN1804" s="211"/>
      <c r="BO1804" s="164"/>
      <c r="BP1804" s="726"/>
      <c r="BQ1804" s="727"/>
      <c r="BR1804" s="299"/>
      <c r="BS1804" s="35"/>
      <c r="BT1804" s="596"/>
      <c r="BU1804" s="79"/>
      <c r="BV1804" s="212"/>
      <c r="BW1804" s="304"/>
      <c r="BX1804" s="313"/>
      <c r="BY1804" s="138"/>
    </row>
    <row r="1805" spans="1:77" ht="15" customHeight="1" outlineLevel="1" x14ac:dyDescent="0.2">
      <c r="A1805" s="583" t="s">
        <v>24</v>
      </c>
      <c r="B1805" s="583"/>
      <c r="C1805" s="583" t="s">
        <v>1909</v>
      </c>
      <c r="D1805" s="546">
        <v>0.41299999999999998</v>
      </c>
      <c r="E1805" s="162" t="s">
        <v>631</v>
      </c>
      <c r="F1805" s="358"/>
      <c r="G1805" s="65"/>
      <c r="H1805" s="73"/>
      <c r="I1805" s="90"/>
      <c r="J1805" s="73"/>
      <c r="K1805" s="790">
        <v>1.485E-3</v>
      </c>
      <c r="L1805" s="717"/>
      <c r="M1805" s="73"/>
      <c r="N1805" s="811"/>
      <c r="O1805" s="1041"/>
      <c r="P1805" s="73"/>
      <c r="Q1805" s="811"/>
      <c r="R1805" s="1041"/>
      <c r="S1805" s="73"/>
      <c r="T1805" s="811"/>
      <c r="U1805" s="73"/>
      <c r="V1805" s="66"/>
      <c r="W1805" s="808">
        <f t="shared" ref="W1805" si="1689">AA1805*(1+AB1805)</f>
        <v>1.0989E-6</v>
      </c>
      <c r="X1805" s="809">
        <f t="shared" ref="X1805" si="1690">AA1805*(1+AC1805)</f>
        <v>1.0989E-6</v>
      </c>
      <c r="Y1805" s="52">
        <v>2005</v>
      </c>
      <c r="Z1805" s="52"/>
      <c r="AA1805" s="807">
        <f>+K1805/1000</f>
        <v>1.485E-6</v>
      </c>
      <c r="AB1805" s="256">
        <v>-0.26</v>
      </c>
      <c r="AC1805" s="688">
        <f t="shared" si="1620"/>
        <v>-0.26</v>
      </c>
      <c r="AD1805" s="164"/>
      <c r="AE1805" s="164"/>
      <c r="AF1805" s="25"/>
      <c r="AG1805" s="26"/>
      <c r="AH1805" s="275"/>
      <c r="AI1805" s="52"/>
      <c r="AJ1805" s="35"/>
      <c r="AK1805" s="289"/>
      <c r="AL1805" s="290"/>
      <c r="AM1805" s="211"/>
      <c r="AN1805" s="164"/>
      <c r="AO1805" s="594"/>
      <c r="AP1805" s="595"/>
      <c r="AQ1805" s="275"/>
      <c r="AR1805" s="52"/>
      <c r="AS1805" s="596"/>
      <c r="AT1805" s="79"/>
      <c r="AU1805" s="212"/>
      <c r="AV1805" s="164"/>
      <c r="AW1805" s="164"/>
      <c r="AX1805" s="76"/>
      <c r="AY1805" s="44"/>
      <c r="AZ1805" s="275"/>
      <c r="BA1805" s="52"/>
      <c r="BB1805" s="35"/>
      <c r="BC1805" s="79"/>
      <c r="BD1805" s="230"/>
      <c r="BE1805" s="211"/>
      <c r="BF1805" s="164"/>
      <c r="BG1805" s="76"/>
      <c r="BH1805" s="44"/>
      <c r="BI1805" s="275"/>
      <c r="BJ1805" s="52"/>
      <c r="BK1805" s="35"/>
      <c r="BL1805" s="79"/>
      <c r="BM1805" s="230"/>
      <c r="BN1805" s="211"/>
      <c r="BO1805" s="164"/>
      <c r="BP1805" s="726"/>
      <c r="BQ1805" s="727"/>
      <c r="BR1805" s="299"/>
      <c r="BS1805" s="35"/>
      <c r="BT1805" s="596"/>
      <c r="BU1805" s="79"/>
      <c r="BV1805" s="212"/>
      <c r="BW1805" s="304"/>
      <c r="BX1805" s="313"/>
      <c r="BY1805" s="138"/>
    </row>
    <row r="1806" spans="1:77" ht="15" customHeight="1" outlineLevel="1" x14ac:dyDescent="0.2">
      <c r="A1806" s="583" t="s">
        <v>24</v>
      </c>
      <c r="B1806" s="583"/>
      <c r="C1806" s="583" t="s">
        <v>1677</v>
      </c>
      <c r="D1806" s="546">
        <v>9.9450000000000003</v>
      </c>
      <c r="E1806" s="162" t="s">
        <v>631</v>
      </c>
      <c r="F1806" s="358"/>
      <c r="G1806" s="65"/>
      <c r="H1806" s="73"/>
      <c r="I1806" s="90"/>
      <c r="J1806" s="73"/>
      <c r="K1806" s="734"/>
      <c r="L1806" s="717">
        <v>2011</v>
      </c>
      <c r="M1806" s="73"/>
      <c r="N1806" s="786">
        <v>1.6039000000000001E-2</v>
      </c>
      <c r="O1806" s="1041"/>
      <c r="P1806" s="73"/>
      <c r="Q1806" s="786"/>
      <c r="R1806" s="1041"/>
      <c r="S1806" s="73"/>
      <c r="T1806" s="786"/>
      <c r="U1806" s="73"/>
      <c r="V1806" s="66"/>
      <c r="W1806" s="788">
        <f t="shared" ref="W1806" si="1691">AA1806*(1+AB1806)</f>
        <v>1.202925E-5</v>
      </c>
      <c r="X1806" s="789">
        <f t="shared" ref="X1806" si="1692">AA1806*(1+AC1806)</f>
        <v>1.202925E-5</v>
      </c>
      <c r="Y1806" s="52">
        <v>2011</v>
      </c>
      <c r="Z1806" s="52"/>
      <c r="AA1806" s="787">
        <f t="shared" si="1688"/>
        <v>1.6039E-5</v>
      </c>
      <c r="AB1806" s="256">
        <v>-0.25</v>
      </c>
      <c r="AC1806" s="688">
        <f t="shared" si="1620"/>
        <v>-0.25</v>
      </c>
      <c r="AD1806" s="164"/>
      <c r="AE1806" s="164"/>
      <c r="AF1806" s="25"/>
      <c r="AG1806" s="26"/>
      <c r="AH1806" s="275"/>
      <c r="AI1806" s="52"/>
      <c r="AJ1806" s="35"/>
      <c r="AK1806" s="289"/>
      <c r="AL1806" s="290"/>
      <c r="AM1806" s="211"/>
      <c r="AN1806" s="164"/>
      <c r="AO1806" s="594"/>
      <c r="AP1806" s="595"/>
      <c r="AQ1806" s="275"/>
      <c r="AR1806" s="52"/>
      <c r="AS1806" s="596"/>
      <c r="AT1806" s="79"/>
      <c r="AU1806" s="212"/>
      <c r="AV1806" s="164"/>
      <c r="AW1806" s="164"/>
      <c r="AX1806" s="76"/>
      <c r="AY1806" s="44"/>
      <c r="AZ1806" s="275"/>
      <c r="BA1806" s="52"/>
      <c r="BB1806" s="35"/>
      <c r="BC1806" s="79"/>
      <c r="BD1806" s="230"/>
      <c r="BE1806" s="211"/>
      <c r="BF1806" s="164"/>
      <c r="BG1806" s="76"/>
      <c r="BH1806" s="44"/>
      <c r="BI1806" s="275"/>
      <c r="BJ1806" s="52"/>
      <c r="BK1806" s="35"/>
      <c r="BL1806" s="79"/>
      <c r="BM1806" s="230"/>
      <c r="BN1806" s="211"/>
      <c r="BO1806" s="164"/>
      <c r="BP1806" s="726"/>
      <c r="BQ1806" s="727"/>
      <c r="BR1806" s="299"/>
      <c r="BS1806" s="35"/>
      <c r="BT1806" s="596"/>
      <c r="BU1806" s="79"/>
      <c r="BV1806" s="212"/>
      <c r="BW1806" s="304"/>
      <c r="BX1806" s="313"/>
      <c r="BY1806" s="138"/>
    </row>
    <row r="1807" spans="1:77" ht="15" customHeight="1" outlineLevel="1" x14ac:dyDescent="0.2">
      <c r="A1807" s="583" t="s">
        <v>24</v>
      </c>
      <c r="B1807" s="583"/>
      <c r="C1807" s="583" t="s">
        <v>2778</v>
      </c>
      <c r="D1807" s="546">
        <v>1.079</v>
      </c>
      <c r="E1807" s="162" t="s">
        <v>631</v>
      </c>
      <c r="F1807" s="358"/>
      <c r="G1807" s="65"/>
      <c r="H1807" s="73"/>
      <c r="I1807" s="90"/>
      <c r="J1807" s="73"/>
      <c r="K1807" s="734"/>
      <c r="L1807" s="717">
        <v>2011</v>
      </c>
      <c r="M1807" s="73"/>
      <c r="N1807" s="811">
        <v>3.34491E-3</v>
      </c>
      <c r="O1807" s="1041"/>
      <c r="P1807" s="73"/>
      <c r="Q1807" s="786"/>
      <c r="R1807" s="1041"/>
      <c r="S1807" s="73"/>
      <c r="T1807" s="786"/>
      <c r="U1807" s="73"/>
      <c r="V1807" s="66"/>
      <c r="W1807" s="788"/>
      <c r="X1807" s="789"/>
      <c r="Y1807" s="52"/>
      <c r="Z1807" s="52"/>
      <c r="AA1807" s="787"/>
      <c r="AB1807" s="256"/>
      <c r="AC1807" s="688"/>
      <c r="AD1807" s="164"/>
      <c r="AE1807" s="164"/>
      <c r="AF1807" s="25"/>
      <c r="AG1807" s="26"/>
      <c r="AH1807" s="275"/>
      <c r="AI1807" s="52"/>
      <c r="AJ1807" s="35"/>
      <c r="AK1807" s="289"/>
      <c r="AL1807" s="290"/>
      <c r="AM1807" s="211"/>
      <c r="AN1807" s="164"/>
      <c r="AO1807" s="788">
        <f>AS1807*(1+AT1807)</f>
        <v>1.9734969E-6</v>
      </c>
      <c r="AP1807" s="789">
        <f>AS1807*(1+AU1807)</f>
        <v>1.9734969E-6</v>
      </c>
      <c r="AQ1807" s="275">
        <v>2011</v>
      </c>
      <c r="AR1807" s="52"/>
      <c r="AS1807" s="787">
        <f>+N1807/1000</f>
        <v>3.3449099999999998E-6</v>
      </c>
      <c r="AT1807" s="79">
        <v>-0.41</v>
      </c>
      <c r="AU1807" s="212">
        <f>AT1807</f>
        <v>-0.41</v>
      </c>
      <c r="AV1807" s="164"/>
      <c r="AW1807" s="164"/>
      <c r="AX1807" s="76"/>
      <c r="AY1807" s="44"/>
      <c r="AZ1807" s="275"/>
      <c r="BA1807" s="52"/>
      <c r="BB1807" s="35"/>
      <c r="BC1807" s="79"/>
      <c r="BD1807" s="230"/>
      <c r="BE1807" s="211"/>
      <c r="BF1807" s="164"/>
      <c r="BG1807" s="76"/>
      <c r="BH1807" s="44"/>
      <c r="BI1807" s="275"/>
      <c r="BJ1807" s="52"/>
      <c r="BK1807" s="35"/>
      <c r="BL1807" s="79"/>
      <c r="BM1807" s="230"/>
      <c r="BN1807" s="211"/>
      <c r="BO1807" s="164"/>
      <c r="BP1807" s="726"/>
      <c r="BQ1807" s="727"/>
      <c r="BR1807" s="299"/>
      <c r="BS1807" s="35"/>
      <c r="BT1807" s="596"/>
      <c r="BU1807" s="79"/>
      <c r="BV1807" s="212"/>
      <c r="BW1807" s="304"/>
      <c r="BX1807" s="313"/>
      <c r="BY1807" s="138"/>
    </row>
    <row r="1808" spans="1:77" ht="15" customHeight="1" outlineLevel="1" x14ac:dyDescent="0.2">
      <c r="A1808" s="583" t="s">
        <v>24</v>
      </c>
      <c r="B1808" s="583"/>
      <c r="C1808" s="583" t="s">
        <v>1819</v>
      </c>
      <c r="D1808" s="546">
        <v>4.7590000000000003</v>
      </c>
      <c r="E1808" s="162" t="s">
        <v>631</v>
      </c>
      <c r="F1808" s="358"/>
      <c r="G1808" s="65"/>
      <c r="H1808" s="73"/>
      <c r="I1808" s="90"/>
      <c r="J1808" s="73"/>
      <c r="K1808" s="734"/>
      <c r="L1808" s="717">
        <v>2011</v>
      </c>
      <c r="M1808" s="73"/>
      <c r="N1808" s="786">
        <v>1.4555999999999999E-2</v>
      </c>
      <c r="O1808" s="1041"/>
      <c r="P1808" s="73"/>
      <c r="Q1808" s="786"/>
      <c r="R1808" s="1041"/>
      <c r="S1808" s="73"/>
      <c r="T1808" s="786"/>
      <c r="U1808" s="73"/>
      <c r="V1808" s="66"/>
      <c r="W1808" s="788">
        <f t="shared" ref="W1808" si="1693">AA1808*(1+AB1808)</f>
        <v>1.0771439999999999E-5</v>
      </c>
      <c r="X1808" s="789">
        <f t="shared" ref="X1808" si="1694">AA1808*(1+AC1808)</f>
        <v>1.0771439999999999E-5</v>
      </c>
      <c r="Y1808" s="52">
        <v>2011</v>
      </c>
      <c r="Z1808" s="52"/>
      <c r="AA1808" s="787">
        <f t="shared" si="1688"/>
        <v>1.4555999999999999E-5</v>
      </c>
      <c r="AB1808" s="256">
        <v>-0.26</v>
      </c>
      <c r="AC1808" s="688">
        <f t="shared" si="1620"/>
        <v>-0.26</v>
      </c>
      <c r="AD1808" s="164"/>
      <c r="AE1808" s="164"/>
      <c r="AF1808" s="25"/>
      <c r="AG1808" s="26"/>
      <c r="AH1808" s="275"/>
      <c r="AI1808" s="52"/>
      <c r="AJ1808" s="35"/>
      <c r="AK1808" s="289"/>
      <c r="AL1808" s="290"/>
      <c r="AM1808" s="211"/>
      <c r="AN1808" s="164"/>
      <c r="AO1808" s="594"/>
      <c r="AP1808" s="595"/>
      <c r="AQ1808" s="275"/>
      <c r="AR1808" s="52"/>
      <c r="AS1808" s="596"/>
      <c r="AT1808" s="79"/>
      <c r="AU1808" s="212"/>
      <c r="AV1808" s="164"/>
      <c r="AW1808" s="164"/>
      <c r="AX1808" s="76"/>
      <c r="AY1808" s="44"/>
      <c r="AZ1808" s="275"/>
      <c r="BA1808" s="52"/>
      <c r="BB1808" s="35"/>
      <c r="BC1808" s="79"/>
      <c r="BD1808" s="230"/>
      <c r="BE1808" s="211"/>
      <c r="BF1808" s="164"/>
      <c r="BG1808" s="76"/>
      <c r="BH1808" s="44"/>
      <c r="BI1808" s="275"/>
      <c r="BJ1808" s="52"/>
      <c r="BK1808" s="35"/>
      <c r="BL1808" s="79"/>
      <c r="BM1808" s="230"/>
      <c r="BN1808" s="211"/>
      <c r="BO1808" s="164"/>
      <c r="BP1808" s="726"/>
      <c r="BQ1808" s="727"/>
      <c r="BR1808" s="299"/>
      <c r="BS1808" s="35"/>
      <c r="BT1808" s="596"/>
      <c r="BU1808" s="79"/>
      <c r="BV1808" s="212"/>
      <c r="BW1808" s="304"/>
      <c r="BX1808" s="313"/>
      <c r="BY1808" s="138"/>
    </row>
    <row r="1809" spans="1:77" ht="15" customHeight="1" outlineLevel="1" x14ac:dyDescent="0.2">
      <c r="A1809" s="57" t="s">
        <v>24</v>
      </c>
      <c r="B1809" s="583"/>
      <c r="C1809" s="583" t="s">
        <v>1313</v>
      </c>
      <c r="D1809" s="546">
        <v>6.5330000000000004</v>
      </c>
      <c r="E1809" s="162" t="s">
        <v>631</v>
      </c>
      <c r="F1809" s="358"/>
      <c r="G1809" s="65"/>
      <c r="H1809" s="73"/>
      <c r="I1809" s="90"/>
      <c r="J1809" s="73"/>
      <c r="K1809" s="734"/>
      <c r="L1809" s="717">
        <v>2011</v>
      </c>
      <c r="M1809" s="73"/>
      <c r="N1809" s="786">
        <v>8.0999999999999996E-3</v>
      </c>
      <c r="O1809" s="1041"/>
      <c r="P1809" s="73"/>
      <c r="Q1809" s="786"/>
      <c r="R1809" s="1041"/>
      <c r="S1809" s="73"/>
      <c r="T1809" s="786"/>
      <c r="U1809" s="73"/>
      <c r="V1809" s="66"/>
      <c r="W1809" s="788">
        <f t="shared" si="1618"/>
        <v>5.0220000000000004E-6</v>
      </c>
      <c r="X1809" s="789">
        <f t="shared" si="1619"/>
        <v>5.0220000000000004E-6</v>
      </c>
      <c r="Y1809" s="52">
        <v>2011</v>
      </c>
      <c r="Z1809" s="52"/>
      <c r="AA1809" s="787">
        <f t="shared" si="1688"/>
        <v>8.1000000000000004E-6</v>
      </c>
      <c r="AB1809" s="256">
        <v>-0.38</v>
      </c>
      <c r="AC1809" s="688">
        <f t="shared" si="1620"/>
        <v>-0.38</v>
      </c>
      <c r="AD1809" s="164"/>
      <c r="AE1809" s="164"/>
      <c r="AF1809" s="25"/>
      <c r="AG1809" s="26"/>
      <c r="AH1809" s="275"/>
      <c r="AI1809" s="52"/>
      <c r="AJ1809" s="35"/>
      <c r="AK1809" s="289"/>
      <c r="AL1809" s="290"/>
      <c r="AM1809" s="211"/>
      <c r="AN1809" s="164"/>
      <c r="AO1809" s="594"/>
      <c r="AP1809" s="595"/>
      <c r="AQ1809" s="275"/>
      <c r="AR1809" s="52"/>
      <c r="AS1809" s="596"/>
      <c r="AT1809" s="79"/>
      <c r="AU1809" s="212"/>
      <c r="AV1809" s="164"/>
      <c r="AW1809" s="164"/>
      <c r="AX1809" s="76"/>
      <c r="AY1809" s="44"/>
      <c r="AZ1809" s="275"/>
      <c r="BA1809" s="52"/>
      <c r="BB1809" s="35"/>
      <c r="BC1809" s="79"/>
      <c r="BD1809" s="230"/>
      <c r="BE1809" s="211"/>
      <c r="BF1809" s="164"/>
      <c r="BG1809" s="76"/>
      <c r="BH1809" s="44"/>
      <c r="BI1809" s="275"/>
      <c r="BJ1809" s="52"/>
      <c r="BK1809" s="35"/>
      <c r="BL1809" s="79"/>
      <c r="BM1809" s="230"/>
      <c r="BN1809" s="211"/>
      <c r="BO1809" s="164"/>
      <c r="BP1809" s="726"/>
      <c r="BQ1809" s="727"/>
      <c r="BR1809" s="299"/>
      <c r="BS1809" s="35"/>
      <c r="BT1809" s="596"/>
      <c r="BU1809" s="79"/>
      <c r="BV1809" s="212"/>
      <c r="BW1809" s="304"/>
      <c r="BX1809" s="313"/>
      <c r="BY1809" s="138"/>
    </row>
    <row r="1810" spans="1:77" ht="15" customHeight="1" outlineLevel="1" x14ac:dyDescent="0.2">
      <c r="A1810" s="57" t="s">
        <v>24</v>
      </c>
      <c r="B1810" s="583"/>
      <c r="C1810" s="583" t="s">
        <v>1567</v>
      </c>
      <c r="D1810" s="546">
        <v>32.814999999999998</v>
      </c>
      <c r="E1810" s="162" t="s">
        <v>631</v>
      </c>
      <c r="F1810" s="358"/>
      <c r="G1810" s="65"/>
      <c r="H1810" s="73"/>
      <c r="I1810" s="90"/>
      <c r="J1810" s="73"/>
      <c r="K1810" s="734"/>
      <c r="L1810" s="717">
        <v>2011</v>
      </c>
      <c r="M1810" s="73"/>
      <c r="N1810" s="359">
        <v>0.105558</v>
      </c>
      <c r="O1810" s="1041"/>
      <c r="P1810" s="73"/>
      <c r="Q1810" s="359"/>
      <c r="R1810" s="1041"/>
      <c r="S1810" s="73"/>
      <c r="T1810" s="359"/>
      <c r="U1810" s="73"/>
      <c r="V1810" s="66"/>
      <c r="W1810" s="740">
        <f t="shared" si="1618"/>
        <v>7.3890599999999987E-5</v>
      </c>
      <c r="X1810" s="741">
        <f t="shared" si="1619"/>
        <v>7.3890599999999987E-5</v>
      </c>
      <c r="Y1810" s="52">
        <v>2010</v>
      </c>
      <c r="Z1810" s="52"/>
      <c r="AA1810" s="739">
        <f t="shared" si="1688"/>
        <v>1.0555799999999999E-4</v>
      </c>
      <c r="AB1810" s="256">
        <v>-0.3</v>
      </c>
      <c r="AC1810" s="688">
        <f t="shared" si="1620"/>
        <v>-0.3</v>
      </c>
      <c r="AD1810" s="164"/>
      <c r="AE1810" s="164"/>
      <c r="AF1810" s="25"/>
      <c r="AG1810" s="26"/>
      <c r="AH1810" s="275"/>
      <c r="AI1810" s="52"/>
      <c r="AJ1810" s="35"/>
      <c r="AK1810" s="289"/>
      <c r="AL1810" s="290"/>
      <c r="AM1810" s="211"/>
      <c r="AN1810" s="164"/>
      <c r="AO1810" s="594"/>
      <c r="AP1810" s="595"/>
      <c r="AQ1810" s="275"/>
      <c r="AR1810" s="52"/>
      <c r="AS1810" s="596"/>
      <c r="AT1810" s="79"/>
      <c r="AU1810" s="212"/>
      <c r="AV1810" s="164"/>
      <c r="AW1810" s="164"/>
      <c r="AX1810" s="76"/>
      <c r="AY1810" s="44"/>
      <c r="AZ1810" s="275"/>
      <c r="BA1810" s="52"/>
      <c r="BB1810" s="35"/>
      <c r="BC1810" s="79"/>
      <c r="BD1810" s="230"/>
      <c r="BE1810" s="211"/>
      <c r="BF1810" s="164"/>
      <c r="BG1810" s="76"/>
      <c r="BH1810" s="44"/>
      <c r="BI1810" s="275"/>
      <c r="BJ1810" s="52"/>
      <c r="BK1810" s="35"/>
      <c r="BL1810" s="79"/>
      <c r="BM1810" s="230"/>
      <c r="BN1810" s="211"/>
      <c r="BO1810" s="164"/>
      <c r="BP1810" s="726"/>
      <c r="BQ1810" s="727"/>
      <c r="BR1810" s="299"/>
      <c r="BS1810" s="35"/>
      <c r="BT1810" s="596"/>
      <c r="BU1810" s="79"/>
      <c r="BV1810" s="212"/>
      <c r="BW1810" s="304"/>
      <c r="BX1810" s="313"/>
      <c r="BY1810" s="138"/>
    </row>
    <row r="1811" spans="1:77" ht="15" customHeight="1" outlineLevel="1" x14ac:dyDescent="0.2">
      <c r="A1811" s="57" t="s">
        <v>24</v>
      </c>
      <c r="B1811" s="583"/>
      <c r="C1811" s="583" t="s">
        <v>1323</v>
      </c>
      <c r="D1811" s="546">
        <v>7.3209999999999997</v>
      </c>
      <c r="E1811" s="162" t="s">
        <v>631</v>
      </c>
      <c r="F1811" s="358"/>
      <c r="G1811" s="65"/>
      <c r="H1811" s="73"/>
      <c r="I1811" s="90"/>
      <c r="J1811" s="73"/>
      <c r="K1811" s="734"/>
      <c r="L1811" s="717">
        <v>2011</v>
      </c>
      <c r="M1811" s="73"/>
      <c r="N1811" s="738">
        <v>2.8483999999999999E-2</v>
      </c>
      <c r="O1811" s="1041"/>
      <c r="P1811" s="73"/>
      <c r="Q1811" s="738"/>
      <c r="R1811" s="1041"/>
      <c r="S1811" s="73"/>
      <c r="T1811" s="738"/>
      <c r="U1811" s="73"/>
      <c r="V1811" s="66"/>
      <c r="W1811" s="740">
        <f t="shared" si="1618"/>
        <v>1.99388E-5</v>
      </c>
      <c r="X1811" s="741">
        <f t="shared" si="1619"/>
        <v>1.99388E-5</v>
      </c>
      <c r="Y1811" s="52">
        <v>2011</v>
      </c>
      <c r="Z1811" s="52"/>
      <c r="AA1811" s="739">
        <f t="shared" si="1688"/>
        <v>2.8484E-5</v>
      </c>
      <c r="AB1811" s="256">
        <v>-0.3</v>
      </c>
      <c r="AC1811" s="688">
        <f t="shared" si="1620"/>
        <v>-0.3</v>
      </c>
      <c r="AD1811" s="164"/>
      <c r="AE1811" s="164"/>
      <c r="AF1811" s="25"/>
      <c r="AG1811" s="26"/>
      <c r="AH1811" s="275"/>
      <c r="AI1811" s="52"/>
      <c r="AJ1811" s="35"/>
      <c r="AK1811" s="289"/>
      <c r="AL1811" s="290"/>
      <c r="AM1811" s="211"/>
      <c r="AN1811" s="164"/>
      <c r="AO1811" s="594"/>
      <c r="AP1811" s="595"/>
      <c r="AQ1811" s="275"/>
      <c r="AR1811" s="52"/>
      <c r="AS1811" s="596"/>
      <c r="AT1811" s="79"/>
      <c r="AU1811" s="212"/>
      <c r="AV1811" s="164"/>
      <c r="AW1811" s="164"/>
      <c r="AX1811" s="76"/>
      <c r="AY1811" s="44"/>
      <c r="AZ1811" s="275"/>
      <c r="BA1811" s="52"/>
      <c r="BB1811" s="35"/>
      <c r="BC1811" s="79"/>
      <c r="BD1811" s="230"/>
      <c r="BE1811" s="211"/>
      <c r="BF1811" s="164"/>
      <c r="BG1811" s="76"/>
      <c r="BH1811" s="44"/>
      <c r="BI1811" s="275"/>
      <c r="BJ1811" s="52"/>
      <c r="BK1811" s="35"/>
      <c r="BL1811" s="79"/>
      <c r="BM1811" s="230"/>
      <c r="BN1811" s="211"/>
      <c r="BO1811" s="164"/>
      <c r="BP1811" s="726"/>
      <c r="BQ1811" s="727"/>
      <c r="BR1811" s="299"/>
      <c r="BS1811" s="35"/>
      <c r="BT1811" s="596"/>
      <c r="BU1811" s="79"/>
      <c r="BV1811" s="212"/>
      <c r="BW1811" s="304"/>
      <c r="BX1811" s="313"/>
      <c r="BY1811" s="138"/>
    </row>
    <row r="1812" spans="1:77" ht="15" customHeight="1" outlineLevel="1" x14ac:dyDescent="0.2">
      <c r="A1812" s="583" t="s">
        <v>24</v>
      </c>
      <c r="B1812" s="583"/>
      <c r="C1812" s="583" t="s">
        <v>1870</v>
      </c>
      <c r="D1812" s="546">
        <v>1.871</v>
      </c>
      <c r="E1812" s="162" t="s">
        <v>631</v>
      </c>
      <c r="F1812" s="358"/>
      <c r="G1812" s="65"/>
      <c r="H1812" s="73"/>
      <c r="I1812" s="90"/>
      <c r="J1812" s="73"/>
      <c r="K1812" s="734">
        <v>6.6899999999999998E-3</v>
      </c>
      <c r="L1812" s="717"/>
      <c r="M1812" s="73"/>
      <c r="N1812" s="738"/>
      <c r="O1812" s="1041"/>
      <c r="P1812" s="73"/>
      <c r="Q1812" s="738"/>
      <c r="R1812" s="1041"/>
      <c r="S1812" s="73"/>
      <c r="T1812" s="738"/>
      <c r="U1812" s="73"/>
      <c r="V1812" s="66"/>
      <c r="W1812" s="740">
        <f t="shared" ref="W1812" si="1695">AA1812*(1+AB1812)</f>
        <v>4.9505999999999997E-6</v>
      </c>
      <c r="X1812" s="741">
        <f t="shared" ref="X1812" si="1696">AA1812*(1+AC1812)</f>
        <v>4.9505999999999997E-6</v>
      </c>
      <c r="Y1812" s="52">
        <v>2005</v>
      </c>
      <c r="Z1812" s="52"/>
      <c r="AA1812" s="739">
        <f>+K1812/1000</f>
        <v>6.6899999999999995E-6</v>
      </c>
      <c r="AB1812" s="256">
        <v>-0.26</v>
      </c>
      <c r="AC1812" s="688">
        <f t="shared" si="1620"/>
        <v>-0.26</v>
      </c>
      <c r="AD1812" s="164"/>
      <c r="AE1812" s="164"/>
      <c r="AF1812" s="25"/>
      <c r="AG1812" s="26"/>
      <c r="AH1812" s="275"/>
      <c r="AI1812" s="52"/>
      <c r="AJ1812" s="35"/>
      <c r="AK1812" s="289"/>
      <c r="AL1812" s="290"/>
      <c r="AM1812" s="211"/>
      <c r="AN1812" s="164"/>
      <c r="AO1812" s="594"/>
      <c r="AP1812" s="595"/>
      <c r="AQ1812" s="275"/>
      <c r="AR1812" s="52"/>
      <c r="AS1812" s="596"/>
      <c r="AT1812" s="79"/>
      <c r="AU1812" s="212"/>
      <c r="AV1812" s="164"/>
      <c r="AW1812" s="164"/>
      <c r="AX1812" s="76"/>
      <c r="AY1812" s="44"/>
      <c r="AZ1812" s="275"/>
      <c r="BA1812" s="52"/>
      <c r="BB1812" s="35"/>
      <c r="BC1812" s="79"/>
      <c r="BD1812" s="230"/>
      <c r="BE1812" s="211"/>
      <c r="BF1812" s="164"/>
      <c r="BG1812" s="76"/>
      <c r="BH1812" s="44"/>
      <c r="BI1812" s="275"/>
      <c r="BJ1812" s="52"/>
      <c r="BK1812" s="35"/>
      <c r="BL1812" s="79"/>
      <c r="BM1812" s="230"/>
      <c r="BN1812" s="211"/>
      <c r="BO1812" s="164"/>
      <c r="BP1812" s="726"/>
      <c r="BQ1812" s="727"/>
      <c r="BR1812" s="299"/>
      <c r="BS1812" s="35"/>
      <c r="BT1812" s="596"/>
      <c r="BU1812" s="79"/>
      <c r="BV1812" s="212"/>
      <c r="BW1812" s="304"/>
      <c r="BX1812" s="313"/>
      <c r="BY1812" s="138"/>
    </row>
    <row r="1813" spans="1:77" ht="15" customHeight="1" outlineLevel="1" x14ac:dyDescent="0.2">
      <c r="A1813" s="583" t="s">
        <v>24</v>
      </c>
      <c r="B1813" s="583"/>
      <c r="C1813" s="583" t="s">
        <v>1842</v>
      </c>
      <c r="D1813" s="546">
        <v>4.1989999999999998</v>
      </c>
      <c r="E1813" s="162" t="s">
        <v>631</v>
      </c>
      <c r="F1813" s="358"/>
      <c r="G1813" s="65"/>
      <c r="H1813" s="73"/>
      <c r="I1813" s="90"/>
      <c r="J1813" s="73"/>
      <c r="K1813" s="734"/>
      <c r="L1813" s="717"/>
      <c r="M1813" s="73"/>
      <c r="N1813" s="738">
        <v>7.8120000000000004E-3</v>
      </c>
      <c r="O1813" s="1041"/>
      <c r="P1813" s="73"/>
      <c r="Q1813" s="738"/>
      <c r="R1813" s="1041"/>
      <c r="S1813" s="73"/>
      <c r="T1813" s="738"/>
      <c r="U1813" s="73"/>
      <c r="V1813" s="66"/>
      <c r="W1813" s="740">
        <f t="shared" si="1618"/>
        <v>5.7808800000000003E-6</v>
      </c>
      <c r="X1813" s="741">
        <f t="shared" si="1619"/>
        <v>5.7808800000000003E-6</v>
      </c>
      <c r="Y1813" s="52">
        <v>2010</v>
      </c>
      <c r="Z1813" s="52"/>
      <c r="AA1813" s="739">
        <f t="shared" si="1688"/>
        <v>7.8120000000000008E-6</v>
      </c>
      <c r="AB1813" s="256">
        <v>-0.26</v>
      </c>
      <c r="AC1813" s="688">
        <f t="shared" si="1620"/>
        <v>-0.26</v>
      </c>
      <c r="AD1813" s="164"/>
      <c r="AE1813" s="164"/>
      <c r="AF1813" s="25"/>
      <c r="AG1813" s="26"/>
      <c r="AH1813" s="275"/>
      <c r="AI1813" s="52"/>
      <c r="AJ1813" s="35"/>
      <c r="AK1813" s="289"/>
      <c r="AL1813" s="290"/>
      <c r="AM1813" s="211"/>
      <c r="AN1813" s="164"/>
      <c r="AO1813" s="594"/>
      <c r="AP1813" s="595"/>
      <c r="AQ1813" s="275"/>
      <c r="AR1813" s="52"/>
      <c r="AS1813" s="596"/>
      <c r="AT1813" s="79"/>
      <c r="AU1813" s="212"/>
      <c r="AV1813" s="164"/>
      <c r="AW1813" s="164"/>
      <c r="AX1813" s="76"/>
      <c r="AY1813" s="44"/>
      <c r="AZ1813" s="275"/>
      <c r="BA1813" s="52"/>
      <c r="BB1813" s="35"/>
      <c r="BC1813" s="79"/>
      <c r="BD1813" s="230"/>
      <c r="BE1813" s="211"/>
      <c r="BF1813" s="164"/>
      <c r="BG1813" s="76"/>
      <c r="BH1813" s="44"/>
      <c r="BI1813" s="275"/>
      <c r="BJ1813" s="52"/>
      <c r="BK1813" s="35"/>
      <c r="BL1813" s="79"/>
      <c r="BM1813" s="230"/>
      <c r="BN1813" s="211"/>
      <c r="BO1813" s="164"/>
      <c r="BP1813" s="726"/>
      <c r="BQ1813" s="727"/>
      <c r="BR1813" s="299"/>
      <c r="BS1813" s="35"/>
      <c r="BT1813" s="596"/>
      <c r="BU1813" s="79"/>
      <c r="BV1813" s="212"/>
      <c r="BW1813" s="304"/>
      <c r="BX1813" s="313"/>
      <c r="BY1813" s="138"/>
    </row>
    <row r="1814" spans="1:77" ht="15" customHeight="1" outlineLevel="1" x14ac:dyDescent="0.2">
      <c r="A1814" s="583" t="s">
        <v>24</v>
      </c>
      <c r="B1814" s="583"/>
      <c r="C1814" s="583" t="s">
        <v>1832</v>
      </c>
      <c r="D1814" s="546">
        <v>8.4049999999999994</v>
      </c>
      <c r="E1814" s="162" t="s">
        <v>631</v>
      </c>
      <c r="F1814" s="358"/>
      <c r="G1814" s="65"/>
      <c r="H1814" s="73"/>
      <c r="I1814" s="90"/>
      <c r="J1814" s="73"/>
      <c r="K1814" s="734"/>
      <c r="L1814" s="717">
        <v>2011</v>
      </c>
      <c r="M1814" s="73"/>
      <c r="N1814" s="738">
        <v>6.6530000000000001E-3</v>
      </c>
      <c r="O1814" s="1041"/>
      <c r="P1814" s="73"/>
      <c r="Q1814" s="738"/>
      <c r="R1814" s="1041"/>
      <c r="S1814" s="73"/>
      <c r="T1814" s="738"/>
      <c r="U1814" s="73"/>
      <c r="V1814" s="66"/>
      <c r="W1814" s="788">
        <f t="shared" si="1618"/>
        <v>4.9232199999999994E-6</v>
      </c>
      <c r="X1814" s="789">
        <f t="shared" si="1619"/>
        <v>4.9232199999999994E-6</v>
      </c>
      <c r="Y1814" s="52">
        <v>2011</v>
      </c>
      <c r="Z1814" s="52"/>
      <c r="AA1814" s="787">
        <f t="shared" si="1688"/>
        <v>6.6529999999999997E-6</v>
      </c>
      <c r="AB1814" s="256">
        <v>-0.26</v>
      </c>
      <c r="AC1814" s="688">
        <f t="shared" si="1620"/>
        <v>-0.26</v>
      </c>
      <c r="AD1814" s="164"/>
      <c r="AE1814" s="164"/>
      <c r="AF1814" s="25"/>
      <c r="AG1814" s="26"/>
      <c r="AH1814" s="275"/>
      <c r="AI1814" s="52"/>
      <c r="AJ1814" s="35"/>
      <c r="AK1814" s="289"/>
      <c r="AL1814" s="290"/>
      <c r="AM1814" s="211"/>
      <c r="AN1814" s="164"/>
      <c r="AO1814" s="594"/>
      <c r="AP1814" s="595"/>
      <c r="AQ1814" s="275"/>
      <c r="AR1814" s="52"/>
      <c r="AS1814" s="596"/>
      <c r="AT1814" s="79"/>
      <c r="AU1814" s="212"/>
      <c r="AV1814" s="164"/>
      <c r="AW1814" s="164"/>
      <c r="AX1814" s="76"/>
      <c r="AY1814" s="44"/>
      <c r="AZ1814" s="275"/>
      <c r="BA1814" s="52"/>
      <c r="BB1814" s="35"/>
      <c r="BC1814" s="79"/>
      <c r="BD1814" s="230"/>
      <c r="BE1814" s="211"/>
      <c r="BF1814" s="164"/>
      <c r="BG1814" s="76"/>
      <c r="BH1814" s="44"/>
      <c r="BI1814" s="275"/>
      <c r="BJ1814" s="52"/>
      <c r="BK1814" s="35"/>
      <c r="BL1814" s="79"/>
      <c r="BM1814" s="230"/>
      <c r="BN1814" s="211"/>
      <c r="BO1814" s="164"/>
      <c r="BP1814" s="726"/>
      <c r="BQ1814" s="727"/>
      <c r="BR1814" s="299"/>
      <c r="BS1814" s="35"/>
      <c r="BT1814" s="596"/>
      <c r="BU1814" s="79"/>
      <c r="BV1814" s="212"/>
      <c r="BW1814" s="304"/>
      <c r="BX1814" s="313"/>
      <c r="BY1814" s="138"/>
    </row>
    <row r="1815" spans="1:77" ht="15" customHeight="1" outlineLevel="1" x14ac:dyDescent="0.2">
      <c r="A1815" s="583" t="s">
        <v>24</v>
      </c>
      <c r="B1815" s="583"/>
      <c r="C1815" s="583" t="s">
        <v>1769</v>
      </c>
      <c r="D1815" s="546">
        <v>1.6479999999999999</v>
      </c>
      <c r="E1815" s="162" t="s">
        <v>631</v>
      </c>
      <c r="F1815" s="358"/>
      <c r="G1815" s="65"/>
      <c r="H1815" s="73"/>
      <c r="I1815" s="90"/>
      <c r="J1815" s="73"/>
      <c r="K1815" s="734"/>
      <c r="L1815" s="717"/>
      <c r="M1815" s="73"/>
      <c r="N1815" s="738">
        <v>5.4209999999999996E-3</v>
      </c>
      <c r="O1815" s="1041"/>
      <c r="P1815" s="73"/>
      <c r="Q1815" s="738"/>
      <c r="R1815" s="1041"/>
      <c r="S1815" s="73"/>
      <c r="T1815" s="738"/>
      <c r="U1815" s="73"/>
      <c r="V1815" s="66"/>
      <c r="W1815" s="808">
        <f t="shared" si="1618"/>
        <v>4.0657499999999991E-6</v>
      </c>
      <c r="X1815" s="809">
        <f t="shared" si="1619"/>
        <v>4.0657499999999991E-6</v>
      </c>
      <c r="Y1815" s="52">
        <v>2010</v>
      </c>
      <c r="Z1815" s="52"/>
      <c r="AA1815" s="807">
        <f>+N1815/1000</f>
        <v>5.4209999999999994E-6</v>
      </c>
      <c r="AB1815" s="256">
        <v>-0.25</v>
      </c>
      <c r="AC1815" s="688">
        <f t="shared" si="1620"/>
        <v>-0.25</v>
      </c>
      <c r="AD1815" s="164"/>
      <c r="AE1815" s="164"/>
      <c r="AF1815" s="25"/>
      <c r="AG1815" s="26"/>
      <c r="AH1815" s="275"/>
      <c r="AI1815" s="52"/>
      <c r="AJ1815" s="35"/>
      <c r="AK1815" s="289"/>
      <c r="AL1815" s="290"/>
      <c r="AM1815" s="211"/>
      <c r="AN1815" s="164"/>
      <c r="AO1815" s="594"/>
      <c r="AP1815" s="595"/>
      <c r="AQ1815" s="275"/>
      <c r="AR1815" s="52"/>
      <c r="AS1815" s="596"/>
      <c r="AT1815" s="79"/>
      <c r="AU1815" s="212"/>
      <c r="AV1815" s="164"/>
      <c r="AW1815" s="164"/>
      <c r="AX1815" s="76"/>
      <c r="AY1815" s="44"/>
      <c r="AZ1815" s="275"/>
      <c r="BA1815" s="52"/>
      <c r="BB1815" s="35"/>
      <c r="BC1815" s="79"/>
      <c r="BD1815" s="230"/>
      <c r="BE1815" s="211"/>
      <c r="BF1815" s="164"/>
      <c r="BG1815" s="76"/>
      <c r="BH1815" s="44"/>
      <c r="BI1815" s="275"/>
      <c r="BJ1815" s="52"/>
      <c r="BK1815" s="35"/>
      <c r="BL1815" s="79"/>
      <c r="BM1815" s="230"/>
      <c r="BN1815" s="211"/>
      <c r="BO1815" s="164"/>
      <c r="BP1815" s="726"/>
      <c r="BQ1815" s="727"/>
      <c r="BR1815" s="299"/>
      <c r="BS1815" s="35"/>
      <c r="BT1815" s="596"/>
      <c r="BU1815" s="79"/>
      <c r="BV1815" s="212"/>
      <c r="BW1815" s="304"/>
      <c r="BX1815" s="313"/>
      <c r="BY1815" s="138"/>
    </row>
    <row r="1816" spans="1:77" ht="15" customHeight="1" outlineLevel="1" x14ac:dyDescent="0.2">
      <c r="A1816" s="583" t="s">
        <v>24</v>
      </c>
      <c r="B1816" s="583"/>
      <c r="C1816" s="583" t="s">
        <v>2410</v>
      </c>
      <c r="D1816" s="546">
        <v>1.5249999999999999</v>
      </c>
      <c r="E1816" s="162" t="s">
        <v>631</v>
      </c>
      <c r="F1816" s="358"/>
      <c r="G1816" s="65"/>
      <c r="H1816" s="73"/>
      <c r="I1816" s="90"/>
      <c r="J1816" s="73"/>
      <c r="K1816" s="734"/>
      <c r="L1816" s="717">
        <v>2011</v>
      </c>
      <c r="M1816" s="73"/>
      <c r="N1816" s="738">
        <v>5.0899999999999999E-3</v>
      </c>
      <c r="O1816" s="1041"/>
      <c r="P1816" s="73"/>
      <c r="Q1816" s="738"/>
      <c r="R1816" s="1041"/>
      <c r="S1816" s="73"/>
      <c r="T1816" s="738"/>
      <c r="U1816" s="73"/>
      <c r="V1816" s="66"/>
      <c r="W1816" s="808">
        <f t="shared" ref="W1816" si="1697">AA1816*(1+AB1816)</f>
        <v>3.6647999999999996E-6</v>
      </c>
      <c r="X1816" s="809">
        <f t="shared" ref="X1816" si="1698">AA1816*(1+AC1816)</f>
        <v>3.6647999999999996E-6</v>
      </c>
      <c r="Y1816" s="52">
        <v>2011</v>
      </c>
      <c r="Z1816" s="52"/>
      <c r="AA1816" s="807">
        <f>+N1816/1000</f>
        <v>5.0899999999999995E-6</v>
      </c>
      <c r="AB1816" s="256">
        <v>-0.28000000000000003</v>
      </c>
      <c r="AC1816" s="688">
        <f t="shared" ref="AC1816" si="1699">AB1816</f>
        <v>-0.28000000000000003</v>
      </c>
      <c r="AD1816" s="164"/>
      <c r="AE1816" s="164"/>
      <c r="AF1816" s="25"/>
      <c r="AG1816" s="26"/>
      <c r="AH1816" s="275"/>
      <c r="AI1816" s="52"/>
      <c r="AJ1816" s="35"/>
      <c r="AK1816" s="289"/>
      <c r="AL1816" s="290"/>
      <c r="AM1816" s="211"/>
      <c r="AN1816" s="164"/>
      <c r="AO1816" s="594"/>
      <c r="AP1816" s="595"/>
      <c r="AQ1816" s="275"/>
      <c r="AR1816" s="52"/>
      <c r="AS1816" s="596"/>
      <c r="AT1816" s="79"/>
      <c r="AU1816" s="212"/>
      <c r="AV1816" s="164"/>
      <c r="AW1816" s="164"/>
      <c r="AX1816" s="76"/>
      <c r="AY1816" s="44"/>
      <c r="AZ1816" s="275"/>
      <c r="BA1816" s="52"/>
      <c r="BB1816" s="35"/>
      <c r="BC1816" s="79"/>
      <c r="BD1816" s="230"/>
      <c r="BE1816" s="211"/>
      <c r="BF1816" s="164"/>
      <c r="BG1816" s="76"/>
      <c r="BH1816" s="44"/>
      <c r="BI1816" s="275"/>
      <c r="BJ1816" s="52"/>
      <c r="BK1816" s="35"/>
      <c r="BL1816" s="79"/>
      <c r="BM1816" s="230"/>
      <c r="BN1816" s="211"/>
      <c r="BO1816" s="164"/>
      <c r="BP1816" s="726"/>
      <c r="BQ1816" s="727"/>
      <c r="BR1816" s="299"/>
      <c r="BS1816" s="35"/>
      <c r="BT1816" s="596"/>
      <c r="BU1816" s="79"/>
      <c r="BV1816" s="212"/>
      <c r="BW1816" s="304"/>
      <c r="BX1816" s="313"/>
      <c r="BY1816" s="138"/>
    </row>
    <row r="1817" spans="1:77" ht="15" customHeight="1" outlineLevel="1" x14ac:dyDescent="0.2">
      <c r="A1817" s="57" t="s">
        <v>24</v>
      </c>
      <c r="B1817" s="583"/>
      <c r="C1817" s="583" t="s">
        <v>1316</v>
      </c>
      <c r="D1817" s="546">
        <v>1.6259999999999999</v>
      </c>
      <c r="E1817" s="162" t="s">
        <v>631</v>
      </c>
      <c r="F1817" s="358"/>
      <c r="G1817" s="65"/>
      <c r="H1817" s="73"/>
      <c r="I1817" s="90"/>
      <c r="J1817" s="73"/>
      <c r="K1817" s="734"/>
      <c r="L1817" s="717">
        <v>2011</v>
      </c>
      <c r="M1817" s="73"/>
      <c r="N1817" s="786">
        <v>3.052E-3</v>
      </c>
      <c r="O1817" s="1041"/>
      <c r="P1817" s="73"/>
      <c r="Q1817" s="786"/>
      <c r="R1817" s="1041"/>
      <c r="S1817" s="73"/>
      <c r="T1817" s="786"/>
      <c r="U1817" s="73"/>
      <c r="V1817" s="66"/>
      <c r="W1817" s="788">
        <f t="shared" si="1618"/>
        <v>2.1364E-6</v>
      </c>
      <c r="X1817" s="789">
        <f t="shared" si="1619"/>
        <v>2.1364E-6</v>
      </c>
      <c r="Y1817" s="52">
        <v>2011</v>
      </c>
      <c r="Z1817" s="52"/>
      <c r="AA1817" s="787">
        <f t="shared" si="1688"/>
        <v>3.0520000000000002E-6</v>
      </c>
      <c r="AB1817" s="256">
        <v>-0.3</v>
      </c>
      <c r="AC1817" s="688">
        <f t="shared" si="1620"/>
        <v>-0.3</v>
      </c>
      <c r="AD1817" s="164"/>
      <c r="AE1817" s="164"/>
      <c r="AF1817" s="25"/>
      <c r="AG1817" s="26"/>
      <c r="AH1817" s="275"/>
      <c r="AI1817" s="52"/>
      <c r="AJ1817" s="35"/>
      <c r="AK1817" s="289"/>
      <c r="AL1817" s="290"/>
      <c r="AM1817" s="211"/>
      <c r="AN1817" s="164"/>
      <c r="AO1817" s="594"/>
      <c r="AP1817" s="595"/>
      <c r="AQ1817" s="275"/>
      <c r="AR1817" s="52"/>
      <c r="AS1817" s="596"/>
      <c r="AT1817" s="79"/>
      <c r="AU1817" s="212"/>
      <c r="AV1817" s="164"/>
      <c r="AW1817" s="164"/>
      <c r="AX1817" s="76"/>
      <c r="AY1817" s="44"/>
      <c r="AZ1817" s="275"/>
      <c r="BA1817" s="52"/>
      <c r="BB1817" s="35"/>
      <c r="BC1817" s="79"/>
      <c r="BD1817" s="230"/>
      <c r="BE1817" s="211"/>
      <c r="BF1817" s="164"/>
      <c r="BG1817" s="76"/>
      <c r="BH1817" s="44"/>
      <c r="BI1817" s="275"/>
      <c r="BJ1817" s="52"/>
      <c r="BK1817" s="35"/>
      <c r="BL1817" s="79"/>
      <c r="BM1817" s="230"/>
      <c r="BN1817" s="211"/>
      <c r="BO1817" s="164"/>
      <c r="BP1817" s="726"/>
      <c r="BQ1817" s="727"/>
      <c r="BR1817" s="299"/>
      <c r="BS1817" s="35"/>
      <c r="BT1817" s="596"/>
      <c r="BU1817" s="79"/>
      <c r="BV1817" s="212"/>
      <c r="BW1817" s="304"/>
      <c r="BX1817" s="313"/>
      <c r="BY1817" s="138"/>
    </row>
    <row r="1818" spans="1:77" ht="15" customHeight="1" outlineLevel="1" x14ac:dyDescent="0.2">
      <c r="A1818" s="57" t="s">
        <v>24</v>
      </c>
      <c r="B1818" s="583"/>
      <c r="C1818" s="583" t="s">
        <v>1374</v>
      </c>
      <c r="D1818" s="546">
        <v>9.6679999999999993</v>
      </c>
      <c r="E1818" s="162" t="s">
        <v>631</v>
      </c>
      <c r="F1818" s="358"/>
      <c r="G1818" s="65"/>
      <c r="H1818" s="73"/>
      <c r="I1818" s="90"/>
      <c r="J1818" s="73"/>
      <c r="K1818" s="734">
        <v>2.7137000000000001E-2</v>
      </c>
      <c r="L1818" s="717"/>
      <c r="M1818" s="73"/>
      <c r="N1818" s="359"/>
      <c r="O1818" s="1041"/>
      <c r="P1818" s="73"/>
      <c r="Q1818" s="359"/>
      <c r="R1818" s="1041"/>
      <c r="S1818" s="73"/>
      <c r="T1818" s="359"/>
      <c r="U1818" s="73"/>
      <c r="V1818" s="66"/>
      <c r="W1818" s="740">
        <f t="shared" si="1618"/>
        <v>1.8995899999999999E-5</v>
      </c>
      <c r="X1818" s="741">
        <f t="shared" si="1619"/>
        <v>1.8995899999999999E-5</v>
      </c>
      <c r="Y1818" s="52">
        <v>2005</v>
      </c>
      <c r="Z1818" s="52"/>
      <c r="AA1818" s="739">
        <f>+K1818/1000</f>
        <v>2.7137000000000001E-5</v>
      </c>
      <c r="AB1818" s="256">
        <v>-0.3</v>
      </c>
      <c r="AC1818" s="688">
        <f t="shared" si="1620"/>
        <v>-0.3</v>
      </c>
      <c r="AD1818" s="164"/>
      <c r="AE1818" s="164"/>
      <c r="AF1818" s="25"/>
      <c r="AG1818" s="26"/>
      <c r="AH1818" s="275"/>
      <c r="AI1818" s="52"/>
      <c r="AJ1818" s="35"/>
      <c r="AK1818" s="289"/>
      <c r="AL1818" s="290"/>
      <c r="AM1818" s="211"/>
      <c r="AN1818" s="164"/>
      <c r="AO1818" s="594"/>
      <c r="AP1818" s="595"/>
      <c r="AQ1818" s="275"/>
      <c r="AR1818" s="52"/>
      <c r="AS1818" s="596"/>
      <c r="AT1818" s="79"/>
      <c r="AU1818" s="212"/>
      <c r="AV1818" s="164"/>
      <c r="AW1818" s="164"/>
      <c r="AX1818" s="76"/>
      <c r="AY1818" s="44"/>
      <c r="AZ1818" s="275"/>
      <c r="BA1818" s="52"/>
      <c r="BB1818" s="35"/>
      <c r="BC1818" s="79"/>
      <c r="BD1818" s="230"/>
      <c r="BE1818" s="211"/>
      <c r="BF1818" s="164"/>
      <c r="BG1818" s="76"/>
      <c r="BH1818" s="44"/>
      <c r="BI1818" s="275"/>
      <c r="BJ1818" s="52"/>
      <c r="BK1818" s="35"/>
      <c r="BL1818" s="79"/>
      <c r="BM1818" s="230"/>
      <c r="BN1818" s="211"/>
      <c r="BO1818" s="164"/>
      <c r="BP1818" s="726"/>
      <c r="BQ1818" s="727"/>
      <c r="BR1818" s="299"/>
      <c r="BS1818" s="35"/>
      <c r="BT1818" s="596"/>
      <c r="BU1818" s="79"/>
      <c r="BV1818" s="212"/>
      <c r="BW1818" s="304"/>
      <c r="BX1818" s="313"/>
      <c r="BY1818" s="138"/>
    </row>
    <row r="1819" spans="1:77" ht="15" customHeight="1" outlineLevel="1" x14ac:dyDescent="0.2">
      <c r="A1819" s="57" t="s">
        <v>24</v>
      </c>
      <c r="B1819" s="583"/>
      <c r="C1819" s="583" t="s">
        <v>1450</v>
      </c>
      <c r="D1819" s="546">
        <v>5.423</v>
      </c>
      <c r="E1819" s="162" t="s">
        <v>631</v>
      </c>
      <c r="F1819" s="358"/>
      <c r="G1819" s="65"/>
      <c r="H1819" s="73"/>
      <c r="I1819" s="90"/>
      <c r="J1819" s="73"/>
      <c r="K1819" s="813">
        <v>1.7513000000000001E-2</v>
      </c>
      <c r="L1819" s="717"/>
      <c r="M1819" s="73"/>
      <c r="N1819" s="359"/>
      <c r="O1819" s="1041"/>
      <c r="P1819" s="73"/>
      <c r="Q1819" s="359"/>
      <c r="R1819" s="1041"/>
      <c r="S1819" s="73"/>
      <c r="T1819" s="359"/>
      <c r="U1819" s="73"/>
      <c r="V1819" s="66"/>
      <c r="W1819" s="740">
        <f t="shared" si="1618"/>
        <v>1.0332670000000001E-5</v>
      </c>
      <c r="X1819" s="741">
        <f t="shared" si="1619"/>
        <v>1.0332670000000001E-5</v>
      </c>
      <c r="Y1819" s="52">
        <v>2005</v>
      </c>
      <c r="Z1819" s="52"/>
      <c r="AA1819" s="739">
        <f>+K1819/1000</f>
        <v>1.7513E-5</v>
      </c>
      <c r="AB1819" s="256">
        <v>-0.41</v>
      </c>
      <c r="AC1819" s="688">
        <f t="shared" si="1620"/>
        <v>-0.41</v>
      </c>
      <c r="AD1819" s="164"/>
      <c r="AE1819" s="164"/>
      <c r="AF1819" s="25"/>
      <c r="AG1819" s="26"/>
      <c r="AH1819" s="275"/>
      <c r="AI1819" s="52"/>
      <c r="AJ1819" s="35"/>
      <c r="AK1819" s="289"/>
      <c r="AL1819" s="290"/>
      <c r="AM1819" s="211"/>
      <c r="AN1819" s="164"/>
      <c r="AO1819" s="594"/>
      <c r="AP1819" s="595"/>
      <c r="AQ1819" s="275"/>
      <c r="AR1819" s="52"/>
      <c r="AS1819" s="596"/>
      <c r="AT1819" s="79"/>
      <c r="AU1819" s="212"/>
      <c r="AV1819" s="164"/>
      <c r="AW1819" s="164"/>
      <c r="AX1819" s="76"/>
      <c r="AY1819" s="44"/>
      <c r="AZ1819" s="275"/>
      <c r="BA1819" s="52"/>
      <c r="BB1819" s="35"/>
      <c r="BC1819" s="79"/>
      <c r="BD1819" s="230"/>
      <c r="BE1819" s="211"/>
      <c r="BF1819" s="164"/>
      <c r="BG1819" s="76"/>
      <c r="BH1819" s="44"/>
      <c r="BI1819" s="275"/>
      <c r="BJ1819" s="52"/>
      <c r="BK1819" s="35"/>
      <c r="BL1819" s="79"/>
      <c r="BM1819" s="230"/>
      <c r="BN1819" s="211"/>
      <c r="BO1819" s="164"/>
      <c r="BP1819" s="726"/>
      <c r="BQ1819" s="727"/>
      <c r="BR1819" s="299"/>
      <c r="BS1819" s="35"/>
      <c r="BT1819" s="596"/>
      <c r="BU1819" s="79"/>
      <c r="BV1819" s="212"/>
      <c r="BW1819" s="304"/>
      <c r="BX1819" s="313"/>
      <c r="BY1819" s="138"/>
    </row>
    <row r="1820" spans="1:77" ht="15" customHeight="1" outlineLevel="1" x14ac:dyDescent="0.2">
      <c r="A1820" s="57" t="s">
        <v>24</v>
      </c>
      <c r="B1820" s="583"/>
      <c r="C1820" s="583" t="s">
        <v>2432</v>
      </c>
      <c r="D1820" s="546">
        <v>10.311</v>
      </c>
      <c r="E1820" s="162" t="s">
        <v>631</v>
      </c>
      <c r="F1820" s="358"/>
      <c r="G1820" s="65"/>
      <c r="H1820" s="73"/>
      <c r="I1820" s="90"/>
      <c r="J1820" s="73"/>
      <c r="K1820" s="813">
        <v>4.8800999999999997E-2</v>
      </c>
      <c r="L1820" s="717"/>
      <c r="M1820" s="73"/>
      <c r="N1820" s="359"/>
      <c r="O1820" s="1041"/>
      <c r="P1820" s="73"/>
      <c r="Q1820" s="359"/>
      <c r="R1820" s="1041"/>
      <c r="S1820" s="73"/>
      <c r="T1820" s="359"/>
      <c r="U1820" s="73"/>
      <c r="V1820" s="66"/>
      <c r="W1820" s="740"/>
      <c r="X1820" s="741"/>
      <c r="Y1820" s="52"/>
      <c r="Z1820" s="52"/>
      <c r="AA1820" s="739"/>
      <c r="AB1820" s="256"/>
      <c r="AC1820" s="688"/>
      <c r="AD1820" s="164"/>
      <c r="AE1820" s="164"/>
      <c r="AF1820" s="25"/>
      <c r="AG1820" s="26"/>
      <c r="AH1820" s="275"/>
      <c r="AI1820" s="52"/>
      <c r="AJ1820" s="35"/>
      <c r="AK1820" s="289"/>
      <c r="AL1820" s="290"/>
      <c r="AM1820" s="211"/>
      <c r="AN1820" s="164"/>
      <c r="AO1820" s="740">
        <f>AS1820*(1+AT1820)</f>
        <v>2.8792590000000002E-5</v>
      </c>
      <c r="AP1820" s="741">
        <f>AS1820*(1+AU1820)</f>
        <v>2.8792590000000002E-5</v>
      </c>
      <c r="AQ1820" s="275">
        <v>2005</v>
      </c>
      <c r="AR1820" s="52"/>
      <c r="AS1820" s="739">
        <f>+K1820/1000</f>
        <v>4.8800999999999996E-5</v>
      </c>
      <c r="AT1820" s="79">
        <v>-0.41</v>
      </c>
      <c r="AU1820" s="212">
        <f>AT1820</f>
        <v>-0.41</v>
      </c>
      <c r="AV1820" s="164"/>
      <c r="AW1820" s="164"/>
      <c r="AX1820" s="76"/>
      <c r="AY1820" s="44"/>
      <c r="AZ1820" s="275"/>
      <c r="BA1820" s="52"/>
      <c r="BB1820" s="35"/>
      <c r="BC1820" s="79"/>
      <c r="BD1820" s="230"/>
      <c r="BE1820" s="211"/>
      <c r="BF1820" s="164"/>
      <c r="BG1820" s="76"/>
      <c r="BH1820" s="44"/>
      <c r="BI1820" s="275"/>
      <c r="BJ1820" s="52"/>
      <c r="BK1820" s="35"/>
      <c r="BL1820" s="79"/>
      <c r="BM1820" s="230"/>
      <c r="BN1820" s="211"/>
      <c r="BO1820" s="164"/>
      <c r="BP1820" s="726"/>
      <c r="BQ1820" s="727"/>
      <c r="BR1820" s="299"/>
      <c r="BS1820" s="35"/>
      <c r="BT1820" s="596"/>
      <c r="BU1820" s="79"/>
      <c r="BV1820" s="212"/>
      <c r="BW1820" s="304"/>
      <c r="BX1820" s="313"/>
      <c r="BY1820" s="138"/>
    </row>
    <row r="1821" spans="1:77" ht="15" customHeight="1" outlineLevel="1" x14ac:dyDescent="0.2">
      <c r="A1821" s="583" t="s">
        <v>24</v>
      </c>
      <c r="B1821" s="583"/>
      <c r="C1821" s="583" t="s">
        <v>2030</v>
      </c>
      <c r="D1821" s="546">
        <v>7.0380000000000003</v>
      </c>
      <c r="E1821" s="162" t="s">
        <v>631</v>
      </c>
      <c r="F1821" s="358"/>
      <c r="G1821" s="65"/>
      <c r="H1821" s="73"/>
      <c r="I1821" s="90"/>
      <c r="J1821" s="73"/>
      <c r="K1821" s="734"/>
      <c r="L1821" s="717">
        <v>2011</v>
      </c>
      <c r="M1821" s="73"/>
      <c r="N1821" s="786">
        <v>1.3264E-2</v>
      </c>
      <c r="O1821" s="1041"/>
      <c r="P1821" s="73"/>
      <c r="Q1821" s="738"/>
      <c r="R1821" s="1041"/>
      <c r="S1821" s="73"/>
      <c r="T1821" s="738"/>
      <c r="U1821" s="73"/>
      <c r="V1821" s="66"/>
      <c r="W1821" s="788">
        <f t="shared" ref="W1821" si="1700">AA1821*(1+AB1821)</f>
        <v>9.5500800000000006E-6</v>
      </c>
      <c r="X1821" s="789">
        <f t="shared" ref="X1821" si="1701">AA1821*(1+AC1821)</f>
        <v>9.5500800000000006E-6</v>
      </c>
      <c r="Y1821" s="52">
        <v>2011</v>
      </c>
      <c r="Z1821" s="52"/>
      <c r="AA1821" s="739">
        <f>+N1821/1000</f>
        <v>1.3264E-5</v>
      </c>
      <c r="AB1821" s="256">
        <v>-0.28000000000000003</v>
      </c>
      <c r="AC1821" s="688">
        <f t="shared" si="1620"/>
        <v>-0.28000000000000003</v>
      </c>
      <c r="AD1821" s="164"/>
      <c r="AE1821" s="164"/>
      <c r="AF1821" s="25"/>
      <c r="AG1821" s="26"/>
      <c r="AH1821" s="275"/>
      <c r="AI1821" s="52"/>
      <c r="AJ1821" s="35"/>
      <c r="AK1821" s="289"/>
      <c r="AL1821" s="290"/>
      <c r="AM1821" s="211"/>
      <c r="AN1821" s="164"/>
      <c r="AO1821" s="594"/>
      <c r="AP1821" s="595"/>
      <c r="AQ1821" s="275"/>
      <c r="AR1821" s="52"/>
      <c r="AS1821" s="596"/>
      <c r="AT1821" s="79"/>
      <c r="AU1821" s="212"/>
      <c r="AV1821" s="164"/>
      <c r="AW1821" s="164"/>
      <c r="AX1821" s="76"/>
      <c r="AY1821" s="44"/>
      <c r="AZ1821" s="275"/>
      <c r="BA1821" s="52"/>
      <c r="BB1821" s="35"/>
      <c r="BC1821" s="79"/>
      <c r="BD1821" s="230"/>
      <c r="BE1821" s="211"/>
      <c r="BF1821" s="164"/>
      <c r="BG1821" s="76"/>
      <c r="BH1821" s="44"/>
      <c r="BI1821" s="275"/>
      <c r="BJ1821" s="52"/>
      <c r="BK1821" s="35"/>
      <c r="BL1821" s="79"/>
      <c r="BM1821" s="230"/>
      <c r="BN1821" s="211"/>
      <c r="BO1821" s="164"/>
      <c r="BP1821" s="726"/>
      <c r="BQ1821" s="727"/>
      <c r="BR1821" s="299"/>
      <c r="BS1821" s="35"/>
      <c r="BT1821" s="596"/>
      <c r="BU1821" s="79"/>
      <c r="BV1821" s="212"/>
      <c r="BW1821" s="304"/>
      <c r="BX1821" s="313"/>
      <c r="BY1821" s="138"/>
    </row>
    <row r="1822" spans="1:77" ht="15" customHeight="1" outlineLevel="1" x14ac:dyDescent="0.2">
      <c r="A1822" s="57" t="s">
        <v>24</v>
      </c>
      <c r="B1822" s="583"/>
      <c r="C1822" s="583" t="s">
        <v>1648</v>
      </c>
      <c r="D1822" s="546">
        <v>5.0999999999999996</v>
      </c>
      <c r="E1822" s="162" t="s">
        <v>631</v>
      </c>
      <c r="F1822" s="358"/>
      <c r="G1822" s="65"/>
      <c r="H1822" s="73"/>
      <c r="I1822" s="90">
        <v>2007</v>
      </c>
      <c r="J1822" s="73"/>
      <c r="K1822" s="734">
        <v>1.7613E-2</v>
      </c>
      <c r="L1822" s="717"/>
      <c r="M1822" s="73"/>
      <c r="N1822" s="359"/>
      <c r="O1822" s="1041"/>
      <c r="P1822" s="73"/>
      <c r="Q1822" s="359"/>
      <c r="R1822" s="1041"/>
      <c r="S1822" s="73"/>
      <c r="T1822" s="359"/>
      <c r="U1822" s="73"/>
      <c r="V1822" s="66"/>
      <c r="W1822" s="740">
        <f t="shared" ref="W1822:W1825" si="1702">AA1822*(1+AB1822)</f>
        <v>1.2681359999999999E-5</v>
      </c>
      <c r="X1822" s="741">
        <f>AA1822*(1+AC1822)</f>
        <v>1.2681359999999999E-5</v>
      </c>
      <c r="Y1822" s="52">
        <v>2007</v>
      </c>
      <c r="Z1822" s="52"/>
      <c r="AA1822" s="739">
        <f>+K1822/1000</f>
        <v>1.7612999999999999E-5</v>
      </c>
      <c r="AB1822" s="256">
        <v>-0.28000000000000003</v>
      </c>
      <c r="AC1822" s="688">
        <f t="shared" si="1620"/>
        <v>-0.28000000000000003</v>
      </c>
      <c r="AD1822" s="164"/>
      <c r="AE1822" s="164"/>
      <c r="AF1822" s="25"/>
      <c r="AG1822" s="26"/>
      <c r="AH1822" s="275"/>
      <c r="AI1822" s="52"/>
      <c r="AJ1822" s="35"/>
      <c r="AK1822" s="289"/>
      <c r="AL1822" s="290"/>
      <c r="AM1822" s="211"/>
      <c r="AN1822" s="164"/>
      <c r="AO1822" s="594"/>
      <c r="AP1822" s="595"/>
      <c r="AQ1822" s="275"/>
      <c r="AR1822" s="52"/>
      <c r="AS1822" s="596"/>
      <c r="AT1822" s="79"/>
      <c r="AU1822" s="212"/>
      <c r="AV1822" s="164"/>
      <c r="AW1822" s="164"/>
      <c r="AX1822" s="76"/>
      <c r="AY1822" s="44"/>
      <c r="AZ1822" s="275"/>
      <c r="BA1822" s="52"/>
      <c r="BB1822" s="35"/>
      <c r="BC1822" s="79"/>
      <c r="BD1822" s="230"/>
      <c r="BE1822" s="211"/>
      <c r="BF1822" s="164"/>
      <c r="BG1822" s="76"/>
      <c r="BH1822" s="44"/>
      <c r="BI1822" s="275"/>
      <c r="BJ1822" s="52"/>
      <c r="BK1822" s="35"/>
      <c r="BL1822" s="79"/>
      <c r="BM1822" s="230"/>
      <c r="BN1822" s="211"/>
      <c r="BO1822" s="164"/>
      <c r="BP1822" s="726"/>
      <c r="BQ1822" s="727"/>
      <c r="BR1822" s="299"/>
      <c r="BS1822" s="35"/>
      <c r="BT1822" s="596"/>
      <c r="BU1822" s="79"/>
      <c r="BV1822" s="212"/>
      <c r="BW1822" s="304"/>
      <c r="BX1822" s="313"/>
      <c r="BY1822" s="138"/>
    </row>
    <row r="1823" spans="1:77" ht="15" customHeight="1" outlineLevel="1" x14ac:dyDescent="0.2">
      <c r="A1823" s="57" t="s">
        <v>24</v>
      </c>
      <c r="B1823" s="583"/>
      <c r="C1823" s="583" t="s">
        <v>2408</v>
      </c>
      <c r="D1823" s="546">
        <v>1.74</v>
      </c>
      <c r="E1823" s="162" t="s">
        <v>631</v>
      </c>
      <c r="F1823" s="358"/>
      <c r="G1823" s="65"/>
      <c r="H1823" s="73"/>
      <c r="I1823" s="90"/>
      <c r="J1823" s="73"/>
      <c r="K1823" s="734"/>
      <c r="L1823" s="717"/>
      <c r="M1823" s="73"/>
      <c r="N1823" s="786">
        <v>3.3809999999999999E-3</v>
      </c>
      <c r="O1823" s="1041"/>
      <c r="P1823" s="73"/>
      <c r="Q1823" s="359"/>
      <c r="R1823" s="1041"/>
      <c r="S1823" s="73"/>
      <c r="T1823" s="359"/>
      <c r="U1823" s="73"/>
      <c r="V1823" s="66"/>
      <c r="W1823" s="788">
        <f t="shared" si="1702"/>
        <v>2.19765E-6</v>
      </c>
      <c r="X1823" s="789">
        <f t="shared" ref="X1823" si="1703">AA1823*(1+AC1823)</f>
        <v>2.19765E-6</v>
      </c>
      <c r="Y1823" s="52">
        <v>2011</v>
      </c>
      <c r="Z1823" s="52"/>
      <c r="AA1823" s="787">
        <f>+N1823/1000</f>
        <v>3.3809999999999999E-6</v>
      </c>
      <c r="AB1823" s="256">
        <v>-0.35</v>
      </c>
      <c r="AC1823" s="688">
        <f t="shared" ref="AC1823" si="1704">AB1823</f>
        <v>-0.35</v>
      </c>
      <c r="AD1823" s="164"/>
      <c r="AE1823" s="164"/>
      <c r="AF1823" s="25"/>
      <c r="AG1823" s="26"/>
      <c r="AH1823" s="275"/>
      <c r="AI1823" s="52"/>
      <c r="AJ1823" s="35"/>
      <c r="AK1823" s="289"/>
      <c r="AL1823" s="290"/>
      <c r="AM1823" s="211"/>
      <c r="AN1823" s="164"/>
      <c r="AO1823" s="594"/>
      <c r="AP1823" s="595"/>
      <c r="AQ1823" s="275"/>
      <c r="AR1823" s="52"/>
      <c r="AS1823" s="596"/>
      <c r="AT1823" s="79"/>
      <c r="AU1823" s="212"/>
      <c r="AV1823" s="164"/>
      <c r="AW1823" s="164"/>
      <c r="AX1823" s="76"/>
      <c r="AY1823" s="44"/>
      <c r="AZ1823" s="275"/>
      <c r="BA1823" s="52"/>
      <c r="BB1823" s="35"/>
      <c r="BC1823" s="79"/>
      <c r="BD1823" s="230"/>
      <c r="BE1823" s="211"/>
      <c r="BF1823" s="164"/>
      <c r="BG1823" s="76"/>
      <c r="BH1823" s="44"/>
      <c r="BI1823" s="275"/>
      <c r="BJ1823" s="52"/>
      <c r="BK1823" s="35"/>
      <c r="BL1823" s="79"/>
      <c r="BM1823" s="230"/>
      <c r="BN1823" s="211"/>
      <c r="BO1823" s="164"/>
      <c r="BP1823" s="726"/>
      <c r="BQ1823" s="727"/>
      <c r="BR1823" s="299"/>
      <c r="BS1823" s="35"/>
      <c r="BT1823" s="596"/>
      <c r="BU1823" s="79"/>
      <c r="BV1823" s="212"/>
      <c r="BW1823" s="304"/>
      <c r="BX1823" s="313"/>
      <c r="BY1823" s="138"/>
    </row>
    <row r="1824" spans="1:77" ht="15" customHeight="1" outlineLevel="1" x14ac:dyDescent="0.2">
      <c r="A1824" s="583" t="s">
        <v>24</v>
      </c>
      <c r="B1824" s="583"/>
      <c r="C1824" s="583" t="s">
        <v>1840</v>
      </c>
      <c r="D1824" s="546">
        <v>61.518999999999998</v>
      </c>
      <c r="E1824" s="162" t="s">
        <v>631</v>
      </c>
      <c r="F1824" s="358"/>
      <c r="G1824" s="65"/>
      <c r="H1824" s="73"/>
      <c r="I1824" s="90"/>
      <c r="J1824" s="73"/>
      <c r="K1824" s="734">
        <v>0.212233</v>
      </c>
      <c r="L1824" s="717">
        <v>2011</v>
      </c>
      <c r="M1824" s="73"/>
      <c r="N1824" s="359"/>
      <c r="O1824" s="1041"/>
      <c r="P1824" s="73"/>
      <c r="Q1824" s="359"/>
      <c r="R1824" s="1041"/>
      <c r="S1824" s="73"/>
      <c r="T1824" s="359"/>
      <c r="U1824" s="73"/>
      <c r="V1824" s="66"/>
      <c r="W1824" s="740">
        <f t="shared" si="1702"/>
        <v>1.5705242E-4</v>
      </c>
      <c r="X1824" s="741">
        <f>AA1824*(1+AC1824)</f>
        <v>1.5705242E-4</v>
      </c>
      <c r="Y1824" s="52">
        <v>2005</v>
      </c>
      <c r="Z1824" s="52"/>
      <c r="AA1824" s="739">
        <f>+K1824/1000</f>
        <v>2.1223300000000001E-4</v>
      </c>
      <c r="AB1824" s="256">
        <v>-0.26</v>
      </c>
      <c r="AC1824" s="688">
        <f t="shared" si="1620"/>
        <v>-0.26</v>
      </c>
      <c r="AD1824" s="164"/>
      <c r="AE1824" s="164"/>
      <c r="AF1824" s="25"/>
      <c r="AG1824" s="26"/>
      <c r="AH1824" s="275"/>
      <c r="AI1824" s="52"/>
      <c r="AJ1824" s="35"/>
      <c r="AK1824" s="289"/>
      <c r="AL1824" s="290"/>
      <c r="AM1824" s="211"/>
      <c r="AN1824" s="164"/>
      <c r="AO1824" s="594"/>
      <c r="AP1824" s="595"/>
      <c r="AQ1824" s="275"/>
      <c r="AR1824" s="52"/>
      <c r="AS1824" s="596"/>
      <c r="AT1824" s="79"/>
      <c r="AU1824" s="212"/>
      <c r="AV1824" s="164"/>
      <c r="AW1824" s="164"/>
      <c r="AX1824" s="76"/>
      <c r="AY1824" s="44"/>
      <c r="AZ1824" s="275"/>
      <c r="BA1824" s="52"/>
      <c r="BB1824" s="35"/>
      <c r="BC1824" s="79"/>
      <c r="BD1824" s="230"/>
      <c r="BE1824" s="211"/>
      <c r="BF1824" s="164"/>
      <c r="BG1824" s="76"/>
      <c r="BH1824" s="44"/>
      <c r="BI1824" s="275"/>
      <c r="BJ1824" s="52"/>
      <c r="BK1824" s="35"/>
      <c r="BL1824" s="79"/>
      <c r="BM1824" s="230"/>
      <c r="BN1824" s="211"/>
      <c r="BO1824" s="164"/>
      <c r="BP1824" s="726"/>
      <c r="BQ1824" s="727"/>
      <c r="BR1824" s="299"/>
      <c r="BS1824" s="35"/>
      <c r="BT1824" s="596"/>
      <c r="BU1824" s="79"/>
      <c r="BV1824" s="212"/>
      <c r="BW1824" s="304"/>
      <c r="BX1824" s="313"/>
      <c r="BY1824" s="138"/>
    </row>
    <row r="1825" spans="1:77" ht="15" customHeight="1" outlineLevel="1" x14ac:dyDescent="0.2">
      <c r="A1825" s="583" t="s">
        <v>24</v>
      </c>
      <c r="B1825" s="583"/>
      <c r="C1825" s="583" t="s">
        <v>1760</v>
      </c>
      <c r="D1825" s="546">
        <v>3.5209999999999999</v>
      </c>
      <c r="E1825" s="162" t="s">
        <v>631</v>
      </c>
      <c r="F1825" s="358"/>
      <c r="G1825" s="65"/>
      <c r="H1825" s="73"/>
      <c r="I1825" s="90"/>
      <c r="J1825" s="73"/>
      <c r="K1825" s="734">
        <v>1.1389E-2</v>
      </c>
      <c r="L1825" s="717"/>
      <c r="M1825" s="73"/>
      <c r="N1825" s="359"/>
      <c r="O1825" s="1041"/>
      <c r="P1825" s="73"/>
      <c r="Q1825" s="359"/>
      <c r="R1825" s="1041"/>
      <c r="S1825" s="73"/>
      <c r="T1825" s="359"/>
      <c r="U1825" s="73"/>
      <c r="V1825" s="66"/>
      <c r="W1825" s="740">
        <f t="shared" si="1702"/>
        <v>8.54175E-6</v>
      </c>
      <c r="X1825" s="741">
        <f>AA1825*(1+AC1825)</f>
        <v>8.54175E-6</v>
      </c>
      <c r="Y1825" s="52">
        <v>2005</v>
      </c>
      <c r="Z1825" s="52"/>
      <c r="AA1825" s="739">
        <f>+K1825/1000</f>
        <v>1.1389000000000001E-5</v>
      </c>
      <c r="AB1825" s="256">
        <v>-0.25</v>
      </c>
      <c r="AC1825" s="688">
        <f t="shared" si="1620"/>
        <v>-0.25</v>
      </c>
      <c r="AD1825" s="164"/>
      <c r="AE1825" s="164"/>
      <c r="AF1825" s="25"/>
      <c r="AG1825" s="26"/>
      <c r="AH1825" s="275"/>
      <c r="AI1825" s="52"/>
      <c r="AJ1825" s="35"/>
      <c r="AK1825" s="289"/>
      <c r="AL1825" s="290"/>
      <c r="AM1825" s="211"/>
      <c r="AN1825" s="164"/>
      <c r="AO1825" s="594"/>
      <c r="AP1825" s="595"/>
      <c r="AQ1825" s="275"/>
      <c r="AR1825" s="52"/>
      <c r="AS1825" s="596"/>
      <c r="AT1825" s="79"/>
      <c r="AU1825" s="212"/>
      <c r="AV1825" s="164"/>
      <c r="AW1825" s="164"/>
      <c r="AX1825" s="76"/>
      <c r="AY1825" s="44"/>
      <c r="AZ1825" s="275"/>
      <c r="BA1825" s="52"/>
      <c r="BB1825" s="35"/>
      <c r="BC1825" s="79"/>
      <c r="BD1825" s="230"/>
      <c r="BE1825" s="211"/>
      <c r="BF1825" s="164"/>
      <c r="BG1825" s="76"/>
      <c r="BH1825" s="44"/>
      <c r="BI1825" s="275"/>
      <c r="BJ1825" s="52"/>
      <c r="BK1825" s="35"/>
      <c r="BL1825" s="79"/>
      <c r="BM1825" s="230"/>
      <c r="BN1825" s="211"/>
      <c r="BO1825" s="164"/>
      <c r="BP1825" s="726"/>
      <c r="BQ1825" s="727"/>
      <c r="BR1825" s="299"/>
      <c r="BS1825" s="35"/>
      <c r="BT1825" s="596"/>
      <c r="BU1825" s="79"/>
      <c r="BV1825" s="212"/>
      <c r="BW1825" s="304"/>
      <c r="BX1825" s="313"/>
      <c r="BY1825" s="138"/>
    </row>
    <row r="1826" spans="1:77" ht="15" customHeight="1" outlineLevel="1" x14ac:dyDescent="0.2">
      <c r="A1826" s="57" t="s">
        <v>24</v>
      </c>
      <c r="B1826" s="583"/>
      <c r="C1826" s="583" t="s">
        <v>1322</v>
      </c>
      <c r="D1826" s="801">
        <v>0.45</v>
      </c>
      <c r="E1826" s="162" t="s">
        <v>631</v>
      </c>
      <c r="F1826" s="358"/>
      <c r="G1826" s="65"/>
      <c r="H1826" s="73"/>
      <c r="I1826" s="90"/>
      <c r="J1826" s="73"/>
      <c r="K1826" s="734"/>
      <c r="L1826" s="717">
        <v>2011</v>
      </c>
      <c r="M1826" s="73"/>
      <c r="N1826" s="811">
        <v>4.4999999999999999E-4</v>
      </c>
      <c r="O1826" s="1041"/>
      <c r="P1826" s="73"/>
      <c r="Q1826" s="811"/>
      <c r="R1826" s="1041"/>
      <c r="S1826" s="73"/>
      <c r="T1826" s="811"/>
      <c r="U1826" s="73"/>
      <c r="V1826" s="66"/>
      <c r="W1826" s="808">
        <f t="shared" si="1618"/>
        <v>1.4849999999999999E-7</v>
      </c>
      <c r="X1826" s="809">
        <f t="shared" si="1619"/>
        <v>1.4849999999999999E-7</v>
      </c>
      <c r="Y1826" s="52">
        <v>2011</v>
      </c>
      <c r="Z1826" s="52"/>
      <c r="AA1826" s="807">
        <f>+N1826/1000</f>
        <v>4.4999999999999998E-7</v>
      </c>
      <c r="AB1826" s="256">
        <v>-0.67</v>
      </c>
      <c r="AC1826" s="688">
        <f t="shared" si="1620"/>
        <v>-0.67</v>
      </c>
      <c r="AD1826" s="164"/>
      <c r="AE1826" s="164"/>
      <c r="AF1826" s="25"/>
      <c r="AG1826" s="26"/>
      <c r="AH1826" s="275"/>
      <c r="AI1826" s="52"/>
      <c r="AJ1826" s="35"/>
      <c r="AK1826" s="289"/>
      <c r="AL1826" s="290"/>
      <c r="AM1826" s="211"/>
      <c r="AN1826" s="164"/>
      <c r="AO1826" s="594"/>
      <c r="AP1826" s="595"/>
      <c r="AQ1826" s="275"/>
      <c r="AR1826" s="52"/>
      <c r="AS1826" s="596"/>
      <c r="AT1826" s="79"/>
      <c r="AU1826" s="212"/>
      <c r="AV1826" s="164"/>
      <c r="AW1826" s="164"/>
      <c r="AX1826" s="76"/>
      <c r="AY1826" s="44"/>
      <c r="AZ1826" s="275"/>
      <c r="BA1826" s="52"/>
      <c r="BB1826" s="35"/>
      <c r="BC1826" s="79"/>
      <c r="BD1826" s="230"/>
      <c r="BE1826" s="211"/>
      <c r="BF1826" s="164"/>
      <c r="BG1826" s="76"/>
      <c r="BH1826" s="44"/>
      <c r="BI1826" s="275"/>
      <c r="BJ1826" s="52"/>
      <c r="BK1826" s="35"/>
      <c r="BL1826" s="79"/>
      <c r="BM1826" s="230"/>
      <c r="BN1826" s="211"/>
      <c r="BO1826" s="164"/>
      <c r="BP1826" s="726"/>
      <c r="BQ1826" s="727"/>
      <c r="BR1826" s="299"/>
      <c r="BS1826" s="35"/>
      <c r="BT1826" s="596"/>
      <c r="BU1826" s="79"/>
      <c r="BV1826" s="212"/>
      <c r="BW1826" s="304"/>
      <c r="BX1826" s="313"/>
      <c r="BY1826" s="138"/>
    </row>
    <row r="1827" spans="1:77" ht="15" customHeight="1" outlineLevel="1" x14ac:dyDescent="0.2">
      <c r="A1827" s="583" t="s">
        <v>24</v>
      </c>
      <c r="B1827" s="583"/>
      <c r="C1827" s="583" t="s">
        <v>1942</v>
      </c>
      <c r="D1827" s="801">
        <v>0.316</v>
      </c>
      <c r="E1827" s="162" t="s">
        <v>631</v>
      </c>
      <c r="F1827" s="358"/>
      <c r="G1827" s="65"/>
      <c r="H1827" s="73"/>
      <c r="I1827" s="90">
        <v>2007</v>
      </c>
      <c r="J1827" s="73"/>
      <c r="K1827" s="734">
        <v>1.057E-3</v>
      </c>
      <c r="L1827" s="717"/>
      <c r="M1827" s="73"/>
      <c r="N1827" s="811"/>
      <c r="O1827" s="1041"/>
      <c r="P1827" s="73"/>
      <c r="Q1827" s="811"/>
      <c r="R1827" s="1041"/>
      <c r="S1827" s="73"/>
      <c r="T1827" s="811"/>
      <c r="U1827" s="73"/>
      <c r="V1827" s="66"/>
      <c r="W1827" s="808">
        <f t="shared" ref="W1827" si="1705">AA1827*(1+AB1827)</f>
        <v>7.7161000000000001E-7</v>
      </c>
      <c r="X1827" s="809">
        <f t="shared" ref="X1827" si="1706">AA1827*(1+AC1827)</f>
        <v>7.7161000000000001E-7</v>
      </c>
      <c r="Y1827" s="52">
        <v>2007</v>
      </c>
      <c r="Z1827" s="52"/>
      <c r="AA1827" s="807">
        <f>+K1827/1000</f>
        <v>1.057E-6</v>
      </c>
      <c r="AB1827" s="256">
        <v>-0.27</v>
      </c>
      <c r="AC1827" s="688">
        <f t="shared" si="1620"/>
        <v>-0.27</v>
      </c>
      <c r="AD1827" s="164"/>
      <c r="AE1827" s="164"/>
      <c r="AF1827" s="25"/>
      <c r="AG1827" s="26"/>
      <c r="AH1827" s="275"/>
      <c r="AI1827" s="52"/>
      <c r="AJ1827" s="35"/>
      <c r="AK1827" s="289"/>
      <c r="AL1827" s="290"/>
      <c r="AM1827" s="211"/>
      <c r="AN1827" s="164"/>
      <c r="AO1827" s="594"/>
      <c r="AP1827" s="595"/>
      <c r="AQ1827" s="275"/>
      <c r="AR1827" s="52"/>
      <c r="AS1827" s="596"/>
      <c r="AT1827" s="79"/>
      <c r="AU1827" s="212"/>
      <c r="AV1827" s="164"/>
      <c r="AW1827" s="164"/>
      <c r="AX1827" s="76"/>
      <c r="AY1827" s="44"/>
      <c r="AZ1827" s="275"/>
      <c r="BA1827" s="52"/>
      <c r="BB1827" s="35"/>
      <c r="BC1827" s="79"/>
      <c r="BD1827" s="230"/>
      <c r="BE1827" s="211"/>
      <c r="BF1827" s="164"/>
      <c r="BG1827" s="76"/>
      <c r="BH1827" s="44"/>
      <c r="BI1827" s="275"/>
      <c r="BJ1827" s="52"/>
      <c r="BK1827" s="35"/>
      <c r="BL1827" s="79"/>
      <c r="BM1827" s="230"/>
      <c r="BN1827" s="211"/>
      <c r="BO1827" s="164"/>
      <c r="BP1827" s="726"/>
      <c r="BQ1827" s="727"/>
      <c r="BR1827" s="299"/>
      <c r="BS1827" s="35"/>
      <c r="BT1827" s="596"/>
      <c r="BU1827" s="79"/>
      <c r="BV1827" s="212"/>
      <c r="BW1827" s="304"/>
      <c r="BX1827" s="313"/>
      <c r="BY1827" s="138"/>
    </row>
    <row r="1828" spans="1:77" ht="15" customHeight="1" outlineLevel="1" x14ac:dyDescent="0.2">
      <c r="A1828" s="57" t="s">
        <v>24</v>
      </c>
      <c r="B1828" s="583"/>
      <c r="C1828" s="583" t="s">
        <v>1407</v>
      </c>
      <c r="D1828" s="546">
        <v>1.9379999999999999</v>
      </c>
      <c r="E1828" s="162" t="s">
        <v>631</v>
      </c>
      <c r="F1828" s="358"/>
      <c r="G1828" s="65"/>
      <c r="H1828" s="73"/>
      <c r="I1828" s="90">
        <v>2007</v>
      </c>
      <c r="J1828" s="73"/>
      <c r="K1828" s="790">
        <v>4.2519999999999997E-3</v>
      </c>
      <c r="L1828" s="717"/>
      <c r="M1828" s="73"/>
      <c r="N1828" s="359"/>
      <c r="O1828" s="1041"/>
      <c r="P1828" s="73"/>
      <c r="Q1828" s="359"/>
      <c r="R1828" s="1041"/>
      <c r="S1828" s="73"/>
      <c r="T1828" s="359"/>
      <c r="U1828" s="73"/>
      <c r="V1828" s="66"/>
      <c r="W1828" s="788">
        <f t="shared" si="1618"/>
        <v>1.7008000000000001E-6</v>
      </c>
      <c r="X1828" s="789">
        <f t="shared" si="1619"/>
        <v>1.7008000000000001E-6</v>
      </c>
      <c r="Y1828" s="52">
        <v>2007</v>
      </c>
      <c r="Z1828" s="52"/>
      <c r="AA1828" s="787">
        <f>+K1828/1000</f>
        <v>4.2520000000000001E-6</v>
      </c>
      <c r="AB1828" s="256">
        <v>-0.6</v>
      </c>
      <c r="AC1828" s="688">
        <f t="shared" si="1620"/>
        <v>-0.6</v>
      </c>
      <c r="AD1828" s="164"/>
      <c r="AE1828" s="164"/>
      <c r="AF1828" s="25"/>
      <c r="AG1828" s="26"/>
      <c r="AH1828" s="275"/>
      <c r="AI1828" s="52"/>
      <c r="AJ1828" s="35"/>
      <c r="AK1828" s="289"/>
      <c r="AL1828" s="290"/>
      <c r="AM1828" s="211"/>
      <c r="AN1828" s="164"/>
      <c r="AO1828" s="594"/>
      <c r="AP1828" s="595"/>
      <c r="AQ1828" s="275"/>
      <c r="AR1828" s="52"/>
      <c r="AS1828" s="596"/>
      <c r="AT1828" s="79"/>
      <c r="AU1828" s="212"/>
      <c r="AV1828" s="164"/>
      <c r="AW1828" s="164"/>
      <c r="AX1828" s="76"/>
      <c r="AY1828" s="44"/>
      <c r="AZ1828" s="275"/>
      <c r="BA1828" s="52"/>
      <c r="BB1828" s="35"/>
      <c r="BC1828" s="79"/>
      <c r="BD1828" s="230"/>
      <c r="BE1828" s="211"/>
      <c r="BF1828" s="164"/>
      <c r="BG1828" s="76"/>
      <c r="BH1828" s="44"/>
      <c r="BI1828" s="275"/>
      <c r="BJ1828" s="52"/>
      <c r="BK1828" s="35"/>
      <c r="BL1828" s="79"/>
      <c r="BM1828" s="230"/>
      <c r="BN1828" s="211"/>
      <c r="BO1828" s="164"/>
      <c r="BP1828" s="726"/>
      <c r="BQ1828" s="727"/>
      <c r="BR1828" s="299"/>
      <c r="BS1828" s="35"/>
      <c r="BT1828" s="596"/>
      <c r="BU1828" s="79"/>
      <c r="BV1828" s="212"/>
      <c r="BW1828" s="304"/>
      <c r="BX1828" s="313"/>
      <c r="BY1828" s="138"/>
    </row>
    <row r="1829" spans="1:77" ht="15" customHeight="1" outlineLevel="1" x14ac:dyDescent="0.2">
      <c r="A1829" s="57" t="s">
        <v>24</v>
      </c>
      <c r="B1829" s="583"/>
      <c r="C1829" s="583" t="s">
        <v>1413</v>
      </c>
      <c r="D1829" s="546">
        <v>2.0019999999999998</v>
      </c>
      <c r="E1829" s="162" t="s">
        <v>631</v>
      </c>
      <c r="F1829" s="358"/>
      <c r="G1829" s="65"/>
      <c r="H1829" s="73"/>
      <c r="I1829" s="90"/>
      <c r="J1829" s="73"/>
      <c r="K1829" s="814">
        <v>4.2519999999999997E-3</v>
      </c>
      <c r="L1829" s="717"/>
      <c r="M1829" s="73"/>
      <c r="N1829" s="359"/>
      <c r="O1829" s="1041"/>
      <c r="P1829" s="73"/>
      <c r="Q1829" s="359"/>
      <c r="R1829" s="1041"/>
      <c r="S1829" s="73"/>
      <c r="T1829" s="359"/>
      <c r="U1829" s="73"/>
      <c r="V1829" s="66"/>
      <c r="W1829" s="788">
        <f t="shared" ref="W1829:W1902" si="1707">AA1829*(1+AB1829)</f>
        <v>2.6362400000000001E-6</v>
      </c>
      <c r="X1829" s="789">
        <f t="shared" ref="X1829:X1902" si="1708">AA1829*(1+AC1829)</f>
        <v>2.6362400000000001E-6</v>
      </c>
      <c r="Y1829" s="52">
        <v>2005</v>
      </c>
      <c r="Z1829" s="52"/>
      <c r="AA1829" s="787">
        <f>+K1829/1000</f>
        <v>4.2520000000000001E-6</v>
      </c>
      <c r="AB1829" s="256">
        <v>-0.38</v>
      </c>
      <c r="AC1829" s="688">
        <f t="shared" ref="AC1829:AC1902" si="1709">AB1829</f>
        <v>-0.38</v>
      </c>
      <c r="AD1829" s="164"/>
      <c r="AE1829" s="164"/>
      <c r="AF1829" s="25"/>
      <c r="AG1829" s="26"/>
      <c r="AH1829" s="275"/>
      <c r="AI1829" s="52"/>
      <c r="AJ1829" s="35"/>
      <c r="AK1829" s="289"/>
      <c r="AL1829" s="290"/>
      <c r="AM1829" s="211"/>
      <c r="AN1829" s="164"/>
      <c r="AO1829" s="594"/>
      <c r="AP1829" s="595"/>
      <c r="AQ1829" s="275"/>
      <c r="AR1829" s="52"/>
      <c r="AS1829" s="596"/>
      <c r="AT1829" s="79"/>
      <c r="AU1829" s="212"/>
      <c r="AV1829" s="164"/>
      <c r="AW1829" s="164"/>
      <c r="AX1829" s="76"/>
      <c r="AY1829" s="44"/>
      <c r="AZ1829" s="275"/>
      <c r="BA1829" s="52"/>
      <c r="BB1829" s="35"/>
      <c r="BC1829" s="79"/>
      <c r="BD1829" s="230"/>
      <c r="BE1829" s="211"/>
      <c r="BF1829" s="164"/>
      <c r="BG1829" s="76"/>
      <c r="BH1829" s="44"/>
      <c r="BI1829" s="275"/>
      <c r="BJ1829" s="52"/>
      <c r="BK1829" s="35"/>
      <c r="BL1829" s="79"/>
      <c r="BM1829" s="230"/>
      <c r="BN1829" s="211"/>
      <c r="BO1829" s="164"/>
      <c r="BP1829" s="726"/>
      <c r="BQ1829" s="727"/>
      <c r="BR1829" s="299"/>
      <c r="BS1829" s="35"/>
      <c r="BT1829" s="596"/>
      <c r="BU1829" s="79"/>
      <c r="BV1829" s="212"/>
      <c r="BW1829" s="304"/>
      <c r="BX1829" s="313"/>
      <c r="BY1829" s="138"/>
    </row>
    <row r="1830" spans="1:77" ht="15" customHeight="1" outlineLevel="1" x14ac:dyDescent="0.2">
      <c r="A1830" s="57" t="s">
        <v>24</v>
      </c>
      <c r="B1830" s="583"/>
      <c r="C1830" s="583" t="s">
        <v>2658</v>
      </c>
      <c r="D1830" s="546">
        <v>2.552</v>
      </c>
      <c r="E1830" s="162" t="s">
        <v>631</v>
      </c>
      <c r="F1830" s="358"/>
      <c r="G1830" s="65"/>
      <c r="H1830" s="73"/>
      <c r="I1830" s="90">
        <v>2007</v>
      </c>
      <c r="J1830" s="73"/>
      <c r="K1830" s="814">
        <v>7.6249999999999998E-3</v>
      </c>
      <c r="L1830" s="717"/>
      <c r="M1830" s="73"/>
      <c r="N1830" s="359"/>
      <c r="O1830" s="1041"/>
      <c r="P1830" s="73"/>
      <c r="Q1830" s="359"/>
      <c r="R1830" s="1041"/>
      <c r="S1830" s="73"/>
      <c r="T1830" s="359"/>
      <c r="U1830" s="73"/>
      <c r="V1830" s="66"/>
      <c r="W1830" s="788">
        <f t="shared" ref="W1830" si="1710">AA1830*(1+AB1830)</f>
        <v>4.8799999999999999E-6</v>
      </c>
      <c r="X1830" s="789">
        <f t="shared" ref="X1830" si="1711">AA1830*(1+AC1830)</f>
        <v>4.8799999999999999E-6</v>
      </c>
      <c r="Y1830" s="52">
        <v>2007</v>
      </c>
      <c r="Z1830" s="52"/>
      <c r="AA1830" s="787">
        <f>+K1830/1000</f>
        <v>7.6249999999999998E-6</v>
      </c>
      <c r="AB1830" s="256">
        <v>-0.36</v>
      </c>
      <c r="AC1830" s="688">
        <f t="shared" ref="AC1830" si="1712">AB1830</f>
        <v>-0.36</v>
      </c>
      <c r="AD1830" s="164"/>
      <c r="AE1830" s="164"/>
      <c r="AF1830" s="25"/>
      <c r="AG1830" s="26"/>
      <c r="AH1830" s="275"/>
      <c r="AI1830" s="52"/>
      <c r="AJ1830" s="35"/>
      <c r="AK1830" s="289"/>
      <c r="AL1830" s="290"/>
      <c r="AM1830" s="211"/>
      <c r="AN1830" s="164"/>
      <c r="AO1830" s="594"/>
      <c r="AP1830" s="595"/>
      <c r="AQ1830" s="275"/>
      <c r="AR1830" s="52"/>
      <c r="AS1830" s="596"/>
      <c r="AT1830" s="79"/>
      <c r="AU1830" s="212"/>
      <c r="AV1830" s="164"/>
      <c r="AW1830" s="164"/>
      <c r="AX1830" s="76"/>
      <c r="AY1830" s="44"/>
      <c r="AZ1830" s="275"/>
      <c r="BA1830" s="52"/>
      <c r="BB1830" s="35"/>
      <c r="BC1830" s="79"/>
      <c r="BD1830" s="230"/>
      <c r="BE1830" s="211"/>
      <c r="BF1830" s="164"/>
      <c r="BG1830" s="76"/>
      <c r="BH1830" s="44"/>
      <c r="BI1830" s="275"/>
      <c r="BJ1830" s="52"/>
      <c r="BK1830" s="35"/>
      <c r="BL1830" s="79"/>
      <c r="BM1830" s="230"/>
      <c r="BN1830" s="211"/>
      <c r="BO1830" s="164"/>
      <c r="BP1830" s="726"/>
      <c r="BQ1830" s="727"/>
      <c r="BR1830" s="299"/>
      <c r="BS1830" s="35"/>
      <c r="BT1830" s="596"/>
      <c r="BU1830" s="79"/>
      <c r="BV1830" s="212"/>
      <c r="BW1830" s="304"/>
      <c r="BX1830" s="313"/>
      <c r="BY1830" s="138"/>
    </row>
    <row r="1831" spans="1:77" ht="15" customHeight="1" outlineLevel="1" x14ac:dyDescent="0.2">
      <c r="A1831" s="57" t="s">
        <v>24</v>
      </c>
      <c r="B1831" s="583"/>
      <c r="C1831" s="583" t="s">
        <v>1470</v>
      </c>
      <c r="D1831" s="546">
        <v>4.0199999999999996</v>
      </c>
      <c r="E1831" s="162" t="s">
        <v>631</v>
      </c>
      <c r="F1831" s="358"/>
      <c r="G1831" s="65"/>
      <c r="H1831" s="73"/>
      <c r="I1831" s="90"/>
      <c r="J1831" s="73"/>
      <c r="K1831" s="734"/>
      <c r="L1831" s="717">
        <v>2009</v>
      </c>
      <c r="M1831" s="73"/>
      <c r="N1831" s="738">
        <v>7.0340000000000003E-3</v>
      </c>
      <c r="O1831" s="1041"/>
      <c r="P1831" s="73"/>
      <c r="Q1831" s="738"/>
      <c r="R1831" s="1041"/>
      <c r="S1831" s="73"/>
      <c r="T1831" s="738"/>
      <c r="U1831" s="73"/>
      <c r="V1831" s="66"/>
      <c r="W1831" s="788">
        <f t="shared" si="1707"/>
        <v>1.0551000000000001E-6</v>
      </c>
      <c r="X1831" s="789">
        <f t="shared" si="1708"/>
        <v>1.0551000000000001E-6</v>
      </c>
      <c r="Y1831" s="52">
        <v>2009</v>
      </c>
      <c r="Z1831" s="52"/>
      <c r="AA1831" s="739">
        <f>+N1831/1000</f>
        <v>7.0339999999999999E-6</v>
      </c>
      <c r="AB1831" s="256">
        <v>-0.85</v>
      </c>
      <c r="AC1831" s="688">
        <f t="shared" si="1709"/>
        <v>-0.85</v>
      </c>
      <c r="AD1831" s="164"/>
      <c r="AE1831" s="164"/>
      <c r="AF1831" s="25"/>
      <c r="AG1831" s="26"/>
      <c r="AH1831" s="275"/>
      <c r="AI1831" s="52"/>
      <c r="AJ1831" s="35"/>
      <c r="AK1831" s="289"/>
      <c r="AL1831" s="290"/>
      <c r="AM1831" s="211"/>
      <c r="AN1831" s="164"/>
      <c r="AO1831" s="594"/>
      <c r="AP1831" s="595"/>
      <c r="AQ1831" s="275"/>
      <c r="AR1831" s="52"/>
      <c r="AS1831" s="596"/>
      <c r="AT1831" s="79"/>
      <c r="AU1831" s="212"/>
      <c r="AV1831" s="164"/>
      <c r="AW1831" s="164"/>
      <c r="AX1831" s="76"/>
      <c r="AY1831" s="44"/>
      <c r="AZ1831" s="275"/>
      <c r="BA1831" s="52"/>
      <c r="BB1831" s="35"/>
      <c r="BC1831" s="79"/>
      <c r="BD1831" s="230"/>
      <c r="BE1831" s="211"/>
      <c r="BF1831" s="164"/>
      <c r="BG1831" s="76"/>
      <c r="BH1831" s="44"/>
      <c r="BI1831" s="275"/>
      <c r="BJ1831" s="52"/>
      <c r="BK1831" s="35"/>
      <c r="BL1831" s="79"/>
      <c r="BM1831" s="230"/>
      <c r="BN1831" s="211"/>
      <c r="BO1831" s="164"/>
      <c r="BP1831" s="726"/>
      <c r="BQ1831" s="727"/>
      <c r="BR1831" s="299"/>
      <c r="BS1831" s="35"/>
      <c r="BT1831" s="596"/>
      <c r="BU1831" s="79"/>
      <c r="BV1831" s="212"/>
      <c r="BW1831" s="304"/>
      <c r="BX1831" s="313"/>
      <c r="BY1831" s="138"/>
    </row>
    <row r="1832" spans="1:77" ht="15" customHeight="1" outlineLevel="1" x14ac:dyDescent="0.2">
      <c r="A1832" s="57" t="s">
        <v>24</v>
      </c>
      <c r="B1832" s="583"/>
      <c r="C1832" s="583" t="s">
        <v>2433</v>
      </c>
      <c r="D1832" s="546">
        <v>0.65300000000000002</v>
      </c>
      <c r="E1832" s="162" t="s">
        <v>631</v>
      </c>
      <c r="F1832" s="358"/>
      <c r="G1832" s="65"/>
      <c r="H1832" s="73"/>
      <c r="I1832" s="90"/>
      <c r="J1832" s="73"/>
      <c r="K1832" s="734"/>
      <c r="L1832" s="717">
        <v>2008</v>
      </c>
      <c r="M1832" s="73"/>
      <c r="N1832" s="786">
        <v>1.7420000000000001E-3</v>
      </c>
      <c r="O1832" s="1041"/>
      <c r="P1832" s="73"/>
      <c r="Q1832" s="738"/>
      <c r="R1832" s="1041"/>
      <c r="S1832" s="73"/>
      <c r="T1832" s="738"/>
      <c r="U1832" s="73"/>
      <c r="V1832" s="66"/>
      <c r="W1832" s="788"/>
      <c r="X1832" s="789"/>
      <c r="Y1832" s="52"/>
      <c r="Z1832" s="52"/>
      <c r="AA1832" s="739"/>
      <c r="AB1832" s="256"/>
      <c r="AC1832" s="688"/>
      <c r="AD1832" s="164"/>
      <c r="AE1832" s="164"/>
      <c r="AF1832" s="25"/>
      <c r="AG1832" s="26"/>
      <c r="AH1832" s="275"/>
      <c r="AI1832" s="52"/>
      <c r="AJ1832" s="35"/>
      <c r="AK1832" s="289"/>
      <c r="AL1832" s="290"/>
      <c r="AM1832" s="211"/>
      <c r="AN1832" s="164"/>
      <c r="AO1832" s="788">
        <f>AS1832*(1+AT1832)</f>
        <v>1.0452E-6</v>
      </c>
      <c r="AP1832" s="789">
        <f>AS1832*(1+AU1832)</f>
        <v>1.0452E-6</v>
      </c>
      <c r="AQ1832" s="275">
        <v>2008</v>
      </c>
      <c r="AR1832" s="52"/>
      <c r="AS1832" s="787">
        <f>+N1832/1000</f>
        <v>1.742E-6</v>
      </c>
      <c r="AT1832" s="79">
        <v>-0.4</v>
      </c>
      <c r="AU1832" s="212">
        <f>AT1832</f>
        <v>-0.4</v>
      </c>
      <c r="AV1832" s="164"/>
      <c r="AW1832" s="164"/>
      <c r="AX1832" s="76"/>
      <c r="AY1832" s="44"/>
      <c r="AZ1832" s="275"/>
      <c r="BA1832" s="52"/>
      <c r="BB1832" s="35"/>
      <c r="BC1832" s="79"/>
      <c r="BD1832" s="230"/>
      <c r="BE1832" s="211"/>
      <c r="BF1832" s="164"/>
      <c r="BG1832" s="76"/>
      <c r="BH1832" s="44"/>
      <c r="BI1832" s="275"/>
      <c r="BJ1832" s="52"/>
      <c r="BK1832" s="35"/>
      <c r="BL1832" s="79"/>
      <c r="BM1832" s="230"/>
      <c r="BN1832" s="211"/>
      <c r="BO1832" s="164"/>
      <c r="BP1832" s="726"/>
      <c r="BQ1832" s="727"/>
      <c r="BR1832" s="299"/>
      <c r="BS1832" s="35"/>
      <c r="BT1832" s="596"/>
      <c r="BU1832" s="79"/>
      <c r="BV1832" s="212"/>
      <c r="BW1832" s="304"/>
      <c r="BX1832" s="313"/>
      <c r="BY1832" s="138"/>
    </row>
    <row r="1833" spans="1:77" ht="15" customHeight="1" outlineLevel="1" x14ac:dyDescent="0.2">
      <c r="A1833" s="57" t="s">
        <v>24</v>
      </c>
      <c r="B1833" s="583"/>
      <c r="C1833" s="583" t="s">
        <v>1555</v>
      </c>
      <c r="D1833" s="546">
        <v>22.216000000000001</v>
      </c>
      <c r="E1833" s="162" t="s">
        <v>631</v>
      </c>
      <c r="F1833" s="358"/>
      <c r="G1833" s="65"/>
      <c r="H1833" s="73"/>
      <c r="I1833" s="90"/>
      <c r="J1833" s="73"/>
      <c r="K1833" s="734"/>
      <c r="L1833" s="717">
        <v>2011</v>
      </c>
      <c r="M1833" s="73"/>
      <c r="N1833" s="359">
        <v>6.6332000000000002E-2</v>
      </c>
      <c r="O1833" s="1041"/>
      <c r="P1833" s="73"/>
      <c r="Q1833" s="359"/>
      <c r="R1833" s="1041"/>
      <c r="S1833" s="73"/>
      <c r="T1833" s="359"/>
      <c r="U1833" s="73"/>
      <c r="V1833" s="66"/>
      <c r="W1833" s="740">
        <f t="shared" si="1707"/>
        <v>4.6432399999999999E-5</v>
      </c>
      <c r="X1833" s="741">
        <f t="shared" si="1708"/>
        <v>4.6432399999999999E-5</v>
      </c>
      <c r="Y1833" s="52">
        <v>2011</v>
      </c>
      <c r="Z1833" s="52"/>
      <c r="AA1833" s="596">
        <f>+N1833/1000</f>
        <v>6.6332000000000001E-5</v>
      </c>
      <c r="AB1833" s="256">
        <v>-0.3</v>
      </c>
      <c r="AC1833" s="688">
        <f t="shared" si="1709"/>
        <v>-0.3</v>
      </c>
      <c r="AD1833" s="164"/>
      <c r="AE1833" s="164"/>
      <c r="AF1833" s="25"/>
      <c r="AG1833" s="26"/>
      <c r="AH1833" s="275"/>
      <c r="AI1833" s="52"/>
      <c r="AJ1833" s="35"/>
      <c r="AK1833" s="289"/>
      <c r="AL1833" s="290"/>
      <c r="AM1833" s="211"/>
      <c r="AN1833" s="164"/>
      <c r="AO1833" s="594"/>
      <c r="AP1833" s="595"/>
      <c r="AQ1833" s="275"/>
      <c r="AR1833" s="52"/>
      <c r="AS1833" s="596"/>
      <c r="AT1833" s="79"/>
      <c r="AU1833" s="212"/>
      <c r="AV1833" s="164"/>
      <c r="AW1833" s="164"/>
      <c r="AX1833" s="76"/>
      <c r="AY1833" s="44"/>
      <c r="AZ1833" s="275"/>
      <c r="BA1833" s="52"/>
      <c r="BB1833" s="35"/>
      <c r="BC1833" s="79"/>
      <c r="BD1833" s="230"/>
      <c r="BE1833" s="211"/>
      <c r="BF1833" s="164"/>
      <c r="BG1833" s="76"/>
      <c r="BH1833" s="44"/>
      <c r="BI1833" s="275"/>
      <c r="BJ1833" s="52"/>
      <c r="BK1833" s="35"/>
      <c r="BL1833" s="79"/>
      <c r="BM1833" s="230"/>
      <c r="BN1833" s="211"/>
      <c r="BO1833" s="164"/>
      <c r="BP1833" s="726"/>
      <c r="BQ1833" s="727"/>
      <c r="BR1833" s="299"/>
      <c r="BS1833" s="35"/>
      <c r="BT1833" s="596"/>
      <c r="BU1833" s="79"/>
      <c r="BV1833" s="212"/>
      <c r="BW1833" s="304"/>
      <c r="BX1833" s="313"/>
      <c r="BY1833" s="138"/>
    </row>
    <row r="1834" spans="1:77" ht="15" customHeight="1" outlineLevel="1" x14ac:dyDescent="0.2">
      <c r="A1834" s="57" t="s">
        <v>24</v>
      </c>
      <c r="B1834" s="583"/>
      <c r="C1834" s="583" t="s">
        <v>1551</v>
      </c>
      <c r="D1834" s="546">
        <v>1.554</v>
      </c>
      <c r="E1834" s="162" t="s">
        <v>631</v>
      </c>
      <c r="F1834" s="358"/>
      <c r="G1834" s="65"/>
      <c r="H1834" s="73"/>
      <c r="I1834" s="90"/>
      <c r="J1834" s="73"/>
      <c r="K1834" s="734"/>
      <c r="L1834" s="717">
        <v>2008</v>
      </c>
      <c r="M1834" s="73"/>
      <c r="N1834" s="786">
        <v>2.7810000000000001E-3</v>
      </c>
      <c r="O1834" s="1041"/>
      <c r="P1834" s="73"/>
      <c r="Q1834" s="786"/>
      <c r="R1834" s="1041"/>
      <c r="S1834" s="73"/>
      <c r="T1834" s="786"/>
      <c r="U1834" s="73"/>
      <c r="V1834" s="66"/>
      <c r="W1834" s="788">
        <f t="shared" si="1707"/>
        <v>1.8910799999999999E-6</v>
      </c>
      <c r="X1834" s="789">
        <f t="shared" si="1708"/>
        <v>1.8910799999999999E-6</v>
      </c>
      <c r="Y1834" s="52">
        <v>2008</v>
      </c>
      <c r="Z1834" s="52"/>
      <c r="AA1834" s="787">
        <f>+N1834/1000</f>
        <v>2.7810000000000001E-6</v>
      </c>
      <c r="AB1834" s="256">
        <v>-0.32</v>
      </c>
      <c r="AC1834" s="688">
        <f t="shared" si="1709"/>
        <v>-0.32</v>
      </c>
      <c r="AD1834" s="164"/>
      <c r="AE1834" s="164"/>
      <c r="AF1834" s="25"/>
      <c r="AG1834" s="26"/>
      <c r="AH1834" s="275"/>
      <c r="AI1834" s="52"/>
      <c r="AJ1834" s="35"/>
      <c r="AK1834" s="289"/>
      <c r="AL1834" s="290"/>
      <c r="AM1834" s="211"/>
      <c r="AN1834" s="164"/>
      <c r="AO1834" s="594"/>
      <c r="AP1834" s="595"/>
      <c r="AQ1834" s="275"/>
      <c r="AR1834" s="52"/>
      <c r="AS1834" s="596"/>
      <c r="AT1834" s="79"/>
      <c r="AU1834" s="212"/>
      <c r="AV1834" s="164"/>
      <c r="AW1834" s="164"/>
      <c r="AX1834" s="76"/>
      <c r="AY1834" s="44"/>
      <c r="AZ1834" s="275"/>
      <c r="BA1834" s="52"/>
      <c r="BB1834" s="35"/>
      <c r="BC1834" s="79"/>
      <c r="BD1834" s="230"/>
      <c r="BE1834" s="211"/>
      <c r="BF1834" s="164"/>
      <c r="BG1834" s="76"/>
      <c r="BH1834" s="44"/>
      <c r="BI1834" s="275"/>
      <c r="BJ1834" s="52"/>
      <c r="BK1834" s="35"/>
      <c r="BL1834" s="79"/>
      <c r="BM1834" s="230"/>
      <c r="BN1834" s="211"/>
      <c r="BO1834" s="164"/>
      <c r="BP1834" s="726"/>
      <c r="BQ1834" s="727"/>
      <c r="BR1834" s="299"/>
      <c r="BS1834" s="35"/>
      <c r="BT1834" s="596"/>
      <c r="BU1834" s="79"/>
      <c r="BV1834" s="212"/>
      <c r="BW1834" s="304"/>
      <c r="BX1834" s="313"/>
      <c r="BY1834" s="138"/>
    </row>
    <row r="1835" spans="1:77" ht="15" customHeight="1" outlineLevel="1" x14ac:dyDescent="0.2">
      <c r="A1835" s="57" t="s">
        <v>24</v>
      </c>
      <c r="B1835" s="583"/>
      <c r="C1835" s="583" t="s">
        <v>496</v>
      </c>
      <c r="D1835" s="546">
        <v>273</v>
      </c>
      <c r="E1835" s="162" t="s">
        <v>387</v>
      </c>
      <c r="F1835" s="358"/>
      <c r="G1835" s="65"/>
      <c r="H1835" s="73"/>
      <c r="I1835" s="90">
        <v>2006</v>
      </c>
      <c r="J1835" s="73"/>
      <c r="K1835" s="66">
        <v>0.44755</v>
      </c>
      <c r="L1835" s="717"/>
      <c r="M1835" s="73"/>
      <c r="N1835" s="359"/>
      <c r="O1835" s="1041"/>
      <c r="P1835" s="73"/>
      <c r="Q1835" s="359"/>
      <c r="R1835" s="1041"/>
      <c r="S1835" s="73"/>
      <c r="T1835" s="359"/>
      <c r="U1835" s="73"/>
      <c r="V1835" s="66"/>
      <c r="W1835" s="594">
        <f t="shared" si="1707"/>
        <v>0</v>
      </c>
      <c r="X1835" s="595">
        <f>AA1835*(1+AC1835)</f>
        <v>0</v>
      </c>
      <c r="Y1835" s="52">
        <v>2006</v>
      </c>
      <c r="Z1835" s="596"/>
      <c r="AA1835" s="596">
        <f>K1835/1000</f>
        <v>4.4755000000000001E-4</v>
      </c>
      <c r="AB1835" s="256">
        <v>-1</v>
      </c>
      <c r="AC1835" s="688">
        <f t="shared" si="1709"/>
        <v>-1</v>
      </c>
      <c r="AD1835" s="164"/>
      <c r="AE1835" s="164"/>
      <c r="AF1835" s="25"/>
      <c r="AG1835" s="26"/>
      <c r="AH1835" s="275"/>
      <c r="AI1835" s="52"/>
      <c r="AJ1835" s="35"/>
      <c r="AK1835" s="289"/>
      <c r="AL1835" s="290"/>
      <c r="AM1835" s="211"/>
      <c r="AN1835" s="164"/>
      <c r="AO1835" s="594"/>
      <c r="AP1835" s="595"/>
      <c r="AQ1835" s="275"/>
      <c r="AR1835" s="52"/>
      <c r="AS1835" s="596"/>
      <c r="AT1835" s="79"/>
      <c r="AU1835" s="212"/>
      <c r="AV1835" s="164"/>
      <c r="AW1835" s="164"/>
      <c r="AX1835" s="76"/>
      <c r="AY1835" s="44"/>
      <c r="AZ1835" s="275"/>
      <c r="BA1835" s="52"/>
      <c r="BB1835" s="35"/>
      <c r="BC1835" s="79"/>
      <c r="BD1835" s="230"/>
      <c r="BE1835" s="211"/>
      <c r="BF1835" s="164"/>
      <c r="BG1835" s="76"/>
      <c r="BH1835" s="44"/>
      <c r="BI1835" s="275"/>
      <c r="BJ1835" s="52"/>
      <c r="BK1835" s="35"/>
      <c r="BL1835" s="79"/>
      <c r="BM1835" s="230"/>
      <c r="BN1835" s="211"/>
      <c r="BO1835" s="164"/>
      <c r="BP1835" s="726"/>
      <c r="BQ1835" s="727"/>
      <c r="BR1835" s="299"/>
      <c r="BS1835" s="35"/>
      <c r="BT1835" s="596"/>
      <c r="BU1835" s="79"/>
      <c r="BV1835" s="212"/>
      <c r="BW1835" s="304"/>
      <c r="BX1835" s="313"/>
      <c r="BY1835" s="736" t="s">
        <v>493</v>
      </c>
    </row>
    <row r="1836" spans="1:77" ht="15" customHeight="1" outlineLevel="1" x14ac:dyDescent="0.2">
      <c r="A1836" s="583" t="s">
        <v>24</v>
      </c>
      <c r="B1836" s="583"/>
      <c r="C1836" s="583" t="s">
        <v>1717</v>
      </c>
      <c r="D1836" s="546">
        <v>15.766</v>
      </c>
      <c r="E1836" s="162" t="s">
        <v>631</v>
      </c>
      <c r="F1836" s="358"/>
      <c r="G1836" s="65"/>
      <c r="H1836" s="73"/>
      <c r="I1836" s="90"/>
      <c r="J1836" s="73"/>
      <c r="K1836" s="734">
        <v>4.1840000000000002E-2</v>
      </c>
      <c r="L1836" s="717"/>
      <c r="M1836" s="73"/>
      <c r="N1836" s="359"/>
      <c r="O1836" s="1041"/>
      <c r="P1836" s="73"/>
      <c r="Q1836" s="359"/>
      <c r="R1836" s="1041"/>
      <c r="S1836" s="73"/>
      <c r="T1836" s="359"/>
      <c r="U1836" s="73"/>
      <c r="V1836" s="66"/>
      <c r="W1836" s="740">
        <f t="shared" ref="W1836" si="1713">AA1836*(1+AB1836)</f>
        <v>3.1380000000000001E-5</v>
      </c>
      <c r="X1836" s="741">
        <f t="shared" ref="X1836" si="1714">AA1836*(1+AC1836)</f>
        <v>3.1380000000000001E-5</v>
      </c>
      <c r="Y1836" s="52">
        <v>2005</v>
      </c>
      <c r="Z1836" s="596"/>
      <c r="AA1836" s="787">
        <f>K1836/1000</f>
        <v>4.1839999999999999E-5</v>
      </c>
      <c r="AB1836" s="256">
        <v>-0.25</v>
      </c>
      <c r="AC1836" s="688">
        <f t="shared" si="1709"/>
        <v>-0.25</v>
      </c>
      <c r="AD1836" s="164"/>
      <c r="AE1836" s="164"/>
      <c r="AF1836" s="25"/>
      <c r="AG1836" s="26"/>
      <c r="AH1836" s="275"/>
      <c r="AI1836" s="52"/>
      <c r="AJ1836" s="35"/>
      <c r="AK1836" s="289"/>
      <c r="AL1836" s="290"/>
      <c r="AM1836" s="211"/>
      <c r="AN1836" s="164"/>
      <c r="AO1836" s="594"/>
      <c r="AP1836" s="595"/>
      <c r="AQ1836" s="275"/>
      <c r="AR1836" s="52"/>
      <c r="AS1836" s="596"/>
      <c r="AT1836" s="79"/>
      <c r="AU1836" s="212"/>
      <c r="AV1836" s="164"/>
      <c r="AW1836" s="164"/>
      <c r="AX1836" s="76"/>
      <c r="AY1836" s="44"/>
      <c r="AZ1836" s="275"/>
      <c r="BA1836" s="52"/>
      <c r="BB1836" s="35"/>
      <c r="BC1836" s="79"/>
      <c r="BD1836" s="230"/>
      <c r="BE1836" s="211"/>
      <c r="BF1836" s="164"/>
      <c r="BG1836" s="76"/>
      <c r="BH1836" s="44"/>
      <c r="BI1836" s="275"/>
      <c r="BJ1836" s="52"/>
      <c r="BK1836" s="35"/>
      <c r="BL1836" s="79"/>
      <c r="BM1836" s="230"/>
      <c r="BN1836" s="211"/>
      <c r="BO1836" s="164"/>
      <c r="BP1836" s="726"/>
      <c r="BQ1836" s="727"/>
      <c r="BR1836" s="299"/>
      <c r="BS1836" s="35"/>
      <c r="BT1836" s="596"/>
      <c r="BU1836" s="79"/>
      <c r="BV1836" s="212"/>
      <c r="BW1836" s="304"/>
      <c r="BX1836" s="313"/>
      <c r="BY1836" s="736"/>
    </row>
    <row r="1837" spans="1:77" ht="15" customHeight="1" outlineLevel="1" x14ac:dyDescent="0.2">
      <c r="A1837" s="583" t="s">
        <v>24</v>
      </c>
      <c r="B1837" s="583"/>
      <c r="C1837" s="583" t="s">
        <v>1828</v>
      </c>
      <c r="D1837" s="546">
        <v>2.7810000000000001</v>
      </c>
      <c r="E1837" s="162" t="s">
        <v>631</v>
      </c>
      <c r="F1837" s="358"/>
      <c r="G1837" s="65"/>
      <c r="H1837" s="73"/>
      <c r="I1837" s="90"/>
      <c r="J1837" s="73"/>
      <c r="K1837" s="734"/>
      <c r="L1837" s="717">
        <v>2011</v>
      </c>
      <c r="M1837" s="73"/>
      <c r="N1837" s="359">
        <v>5.8459999999999996E-3</v>
      </c>
      <c r="O1837" s="1041"/>
      <c r="P1837" s="73"/>
      <c r="Q1837" s="359"/>
      <c r="R1837" s="1041"/>
      <c r="S1837" s="73"/>
      <c r="T1837" s="359"/>
      <c r="U1837" s="73"/>
      <c r="V1837" s="66"/>
      <c r="W1837" s="788">
        <f t="shared" ref="W1837" si="1715">AA1837*(1+AB1837)</f>
        <v>4.32604E-6</v>
      </c>
      <c r="X1837" s="789">
        <f t="shared" ref="X1837" si="1716">AA1837*(1+AC1837)</f>
        <v>4.32604E-6</v>
      </c>
      <c r="Y1837" s="52">
        <v>2011</v>
      </c>
      <c r="Z1837" s="596"/>
      <c r="AA1837" s="787">
        <f>N1837/1000</f>
        <v>5.8459999999999996E-6</v>
      </c>
      <c r="AB1837" s="256">
        <v>-0.26</v>
      </c>
      <c r="AC1837" s="688">
        <f t="shared" si="1709"/>
        <v>-0.26</v>
      </c>
      <c r="AD1837" s="164"/>
      <c r="AE1837" s="164"/>
      <c r="AF1837" s="25"/>
      <c r="AG1837" s="26"/>
      <c r="AH1837" s="275"/>
      <c r="AI1837" s="52"/>
      <c r="AJ1837" s="35"/>
      <c r="AK1837" s="289"/>
      <c r="AL1837" s="290"/>
      <c r="AM1837" s="211"/>
      <c r="AN1837" s="164"/>
      <c r="AO1837" s="594"/>
      <c r="AP1837" s="595"/>
      <c r="AQ1837" s="275"/>
      <c r="AR1837" s="52"/>
      <c r="AS1837" s="596"/>
      <c r="AT1837" s="79"/>
      <c r="AU1837" s="212"/>
      <c r="AV1837" s="164"/>
      <c r="AW1837" s="164"/>
      <c r="AX1837" s="76"/>
      <c r="AY1837" s="44"/>
      <c r="AZ1837" s="275"/>
      <c r="BA1837" s="52"/>
      <c r="BB1837" s="35"/>
      <c r="BC1837" s="79"/>
      <c r="BD1837" s="230"/>
      <c r="BE1837" s="211"/>
      <c r="BF1837" s="164"/>
      <c r="BG1837" s="76"/>
      <c r="BH1837" s="44"/>
      <c r="BI1837" s="275"/>
      <c r="BJ1837" s="52"/>
      <c r="BK1837" s="35"/>
      <c r="BL1837" s="79"/>
      <c r="BM1837" s="230"/>
      <c r="BN1837" s="211"/>
      <c r="BO1837" s="164"/>
      <c r="BP1837" s="726"/>
      <c r="BQ1837" s="727"/>
      <c r="BR1837" s="299"/>
      <c r="BS1837" s="35"/>
      <c r="BT1837" s="596"/>
      <c r="BU1837" s="79"/>
      <c r="BV1837" s="212"/>
      <c r="BW1837" s="304"/>
      <c r="BX1837" s="313"/>
      <c r="BY1837" s="736"/>
    </row>
    <row r="1838" spans="1:77" ht="15" customHeight="1" outlineLevel="1" x14ac:dyDescent="0.2">
      <c r="A1838" s="57" t="s">
        <v>24</v>
      </c>
      <c r="B1838" s="583"/>
      <c r="C1838" s="583" t="s">
        <v>1375</v>
      </c>
      <c r="D1838" s="546">
        <v>4.1219999999999999</v>
      </c>
      <c r="E1838" s="162" t="s">
        <v>631</v>
      </c>
      <c r="F1838" s="358"/>
      <c r="G1838" s="65"/>
      <c r="H1838" s="73"/>
      <c r="I1838" s="90">
        <v>2007</v>
      </c>
      <c r="J1838" s="73"/>
      <c r="K1838" s="734">
        <v>8.1650000000000004E-3</v>
      </c>
      <c r="L1838" s="717"/>
      <c r="M1838" s="73"/>
      <c r="N1838" s="359"/>
      <c r="O1838" s="1041"/>
      <c r="P1838" s="73"/>
      <c r="Q1838" s="359"/>
      <c r="R1838" s="1041"/>
      <c r="S1838" s="73"/>
      <c r="T1838" s="359"/>
      <c r="U1838" s="73"/>
      <c r="V1838" s="66"/>
      <c r="W1838" s="788">
        <f t="shared" si="1707"/>
        <v>4.9806500000000003E-6</v>
      </c>
      <c r="X1838" s="789">
        <f t="shared" si="1708"/>
        <v>4.9806500000000003E-6</v>
      </c>
      <c r="Y1838" s="52">
        <v>2007</v>
      </c>
      <c r="Z1838" s="52"/>
      <c r="AA1838" s="739">
        <f>+K1838/1000</f>
        <v>8.1650000000000006E-6</v>
      </c>
      <c r="AB1838" s="256">
        <v>-0.39</v>
      </c>
      <c r="AC1838" s="688">
        <f t="shared" si="1709"/>
        <v>-0.39</v>
      </c>
      <c r="AD1838" s="164"/>
      <c r="AE1838" s="164"/>
      <c r="AF1838" s="25"/>
      <c r="AG1838" s="26"/>
      <c r="AH1838" s="275"/>
      <c r="AI1838" s="52"/>
      <c r="AJ1838" s="35"/>
      <c r="AK1838" s="289"/>
      <c r="AL1838" s="290"/>
      <c r="AM1838" s="211"/>
      <c r="AN1838" s="164"/>
      <c r="AO1838" s="594"/>
      <c r="AP1838" s="595"/>
      <c r="AQ1838" s="275"/>
      <c r="AR1838" s="52"/>
      <c r="AS1838" s="596"/>
      <c r="AT1838" s="79"/>
      <c r="AU1838" s="212"/>
      <c r="AV1838" s="164"/>
      <c r="AW1838" s="164"/>
      <c r="AX1838" s="76"/>
      <c r="AY1838" s="44"/>
      <c r="AZ1838" s="275"/>
      <c r="BA1838" s="52"/>
      <c r="BB1838" s="35"/>
      <c r="BC1838" s="79"/>
      <c r="BD1838" s="230"/>
      <c r="BE1838" s="211"/>
      <c r="BF1838" s="164"/>
      <c r="BG1838" s="76"/>
      <c r="BH1838" s="44"/>
      <c r="BI1838" s="275"/>
      <c r="BJ1838" s="52"/>
      <c r="BK1838" s="35"/>
      <c r="BL1838" s="79"/>
      <c r="BM1838" s="230"/>
      <c r="BN1838" s="211"/>
      <c r="BO1838" s="164"/>
      <c r="BP1838" s="726"/>
      <c r="BQ1838" s="727"/>
      <c r="BR1838" s="299"/>
      <c r="BS1838" s="35"/>
      <c r="BT1838" s="596"/>
      <c r="BU1838" s="79"/>
      <c r="BV1838" s="212"/>
      <c r="BW1838" s="304"/>
      <c r="BX1838" s="313"/>
      <c r="BY1838" s="138"/>
    </row>
    <row r="1839" spans="1:77" ht="15" customHeight="1" outlineLevel="1" x14ac:dyDescent="0.2">
      <c r="A1839" s="57" t="s">
        <v>24</v>
      </c>
      <c r="B1839" s="583"/>
      <c r="C1839" s="583" t="s">
        <v>1559</v>
      </c>
      <c r="D1839" s="546">
        <v>35.328000000000003</v>
      </c>
      <c r="E1839" s="162" t="s">
        <v>631</v>
      </c>
      <c r="F1839" s="358"/>
      <c r="G1839" s="65"/>
      <c r="H1839" s="73"/>
      <c r="I1839" s="90"/>
      <c r="J1839" s="73"/>
      <c r="K1839" s="734"/>
      <c r="L1839" s="717"/>
      <c r="M1839" s="73"/>
      <c r="N1839" s="359">
        <v>0.10639899999999999</v>
      </c>
      <c r="O1839" s="1041"/>
      <c r="P1839" s="73"/>
      <c r="Q1839" s="359"/>
      <c r="R1839" s="1041"/>
      <c r="S1839" s="73"/>
      <c r="T1839" s="359"/>
      <c r="U1839" s="73"/>
      <c r="V1839" s="66"/>
      <c r="W1839" s="740">
        <f t="shared" si="1707"/>
        <v>7.3415309999999996E-5</v>
      </c>
      <c r="X1839" s="741">
        <f t="shared" si="1708"/>
        <v>7.3415309999999996E-5</v>
      </c>
      <c r="Y1839" s="52">
        <v>2010</v>
      </c>
      <c r="Z1839" s="52"/>
      <c r="AA1839" s="739">
        <f>+N1839/1000</f>
        <v>1.06399E-4</v>
      </c>
      <c r="AB1839" s="256">
        <v>-0.31</v>
      </c>
      <c r="AC1839" s="688">
        <f t="shared" si="1709"/>
        <v>-0.31</v>
      </c>
      <c r="AD1839" s="164"/>
      <c r="AE1839" s="164"/>
      <c r="AF1839" s="25"/>
      <c r="AG1839" s="26"/>
      <c r="AH1839" s="275"/>
      <c r="AI1839" s="52"/>
      <c r="AJ1839" s="35"/>
      <c r="AK1839" s="289"/>
      <c r="AL1839" s="290"/>
      <c r="AM1839" s="211"/>
      <c r="AN1839" s="164"/>
      <c r="AO1839" s="594"/>
      <c r="AP1839" s="595"/>
      <c r="AQ1839" s="275"/>
      <c r="AR1839" s="52"/>
      <c r="AS1839" s="596"/>
      <c r="AT1839" s="79"/>
      <c r="AU1839" s="212"/>
      <c r="AV1839" s="164"/>
      <c r="AW1839" s="164"/>
      <c r="AX1839" s="76"/>
      <c r="AY1839" s="44"/>
      <c r="AZ1839" s="275"/>
      <c r="BA1839" s="52"/>
      <c r="BB1839" s="35"/>
      <c r="BC1839" s="79"/>
      <c r="BD1839" s="230"/>
      <c r="BE1839" s="211"/>
      <c r="BF1839" s="164"/>
      <c r="BG1839" s="76"/>
      <c r="BH1839" s="44"/>
      <c r="BI1839" s="275"/>
      <c r="BJ1839" s="52"/>
      <c r="BK1839" s="35"/>
      <c r="BL1839" s="79"/>
      <c r="BM1839" s="230"/>
      <c r="BN1839" s="211"/>
      <c r="BO1839" s="164"/>
      <c r="BP1839" s="726"/>
      <c r="BQ1839" s="727"/>
      <c r="BR1839" s="299"/>
      <c r="BS1839" s="35"/>
      <c r="BT1839" s="596"/>
      <c r="BU1839" s="79"/>
      <c r="BV1839" s="212"/>
      <c r="BW1839" s="304"/>
      <c r="BX1839" s="313"/>
      <c r="BY1839" s="138"/>
    </row>
    <row r="1840" spans="1:77" ht="15" customHeight="1" outlineLevel="1" x14ac:dyDescent="0.2">
      <c r="A1840" s="57" t="s">
        <v>24</v>
      </c>
      <c r="B1840" s="583"/>
      <c r="C1840" s="583" t="s">
        <v>1376</v>
      </c>
      <c r="D1840" s="546">
        <v>10.07</v>
      </c>
      <c r="E1840" s="162" t="s">
        <v>631</v>
      </c>
      <c r="F1840" s="358"/>
      <c r="G1840" s="65"/>
      <c r="H1840" s="73"/>
      <c r="I1840" s="90">
        <v>1999</v>
      </c>
      <c r="J1840" s="73"/>
      <c r="K1840" s="734">
        <v>2.9744E-2</v>
      </c>
      <c r="L1840" s="717"/>
      <c r="M1840" s="73"/>
      <c r="N1840" s="359"/>
      <c r="O1840" s="1041"/>
      <c r="P1840" s="73"/>
      <c r="Q1840" s="359"/>
      <c r="R1840" s="1041"/>
      <c r="S1840" s="73"/>
      <c r="T1840" s="359"/>
      <c r="U1840" s="73"/>
      <c r="V1840" s="66"/>
      <c r="W1840" s="740">
        <f t="shared" si="1707"/>
        <v>2.0820799999999999E-5</v>
      </c>
      <c r="X1840" s="741">
        <f t="shared" si="1708"/>
        <v>2.0820799999999999E-5</v>
      </c>
      <c r="Y1840" s="52">
        <v>1999</v>
      </c>
      <c r="Z1840" s="52"/>
      <c r="AA1840" s="739">
        <f>+K1840/1000</f>
        <v>2.9743999999999998E-5</v>
      </c>
      <c r="AB1840" s="256">
        <v>-0.3</v>
      </c>
      <c r="AC1840" s="688">
        <f t="shared" si="1709"/>
        <v>-0.3</v>
      </c>
      <c r="AD1840" s="164"/>
      <c r="AE1840" s="164"/>
      <c r="AF1840" s="25"/>
      <c r="AG1840" s="26"/>
      <c r="AH1840" s="275"/>
      <c r="AI1840" s="52"/>
      <c r="AJ1840" s="35"/>
      <c r="AK1840" s="289"/>
      <c r="AL1840" s="290"/>
      <c r="AM1840" s="211"/>
      <c r="AN1840" s="164"/>
      <c r="AO1840" s="594"/>
      <c r="AP1840" s="595"/>
      <c r="AQ1840" s="275"/>
      <c r="AR1840" s="52"/>
      <c r="AS1840" s="596"/>
      <c r="AT1840" s="79"/>
      <c r="AU1840" s="212"/>
      <c r="AV1840" s="164"/>
      <c r="AW1840" s="164"/>
      <c r="AX1840" s="76"/>
      <c r="AY1840" s="44"/>
      <c r="AZ1840" s="275"/>
      <c r="BA1840" s="52"/>
      <c r="BB1840" s="35"/>
      <c r="BC1840" s="79"/>
      <c r="BD1840" s="230"/>
      <c r="BE1840" s="211"/>
      <c r="BF1840" s="164"/>
      <c r="BG1840" s="76"/>
      <c r="BH1840" s="44"/>
      <c r="BI1840" s="275"/>
      <c r="BJ1840" s="52"/>
      <c r="BK1840" s="35"/>
      <c r="BL1840" s="79"/>
      <c r="BM1840" s="230"/>
      <c r="BN1840" s="211"/>
      <c r="BO1840" s="164"/>
      <c r="BP1840" s="726"/>
      <c r="BQ1840" s="727"/>
      <c r="BR1840" s="299"/>
      <c r="BS1840" s="35"/>
      <c r="BT1840" s="596"/>
      <c r="BU1840" s="79"/>
      <c r="BV1840" s="212"/>
      <c r="BW1840" s="304"/>
      <c r="BX1840" s="313"/>
      <c r="BY1840" s="138"/>
    </row>
    <row r="1841" spans="1:77" ht="15" customHeight="1" outlineLevel="1" x14ac:dyDescent="0.2">
      <c r="A1841" s="57" t="s">
        <v>24</v>
      </c>
      <c r="B1841" s="583"/>
      <c r="C1841" s="583" t="s">
        <v>1463</v>
      </c>
      <c r="D1841" s="546">
        <v>1.256</v>
      </c>
      <c r="E1841" s="162" t="s">
        <v>631</v>
      </c>
      <c r="F1841" s="358"/>
      <c r="G1841" s="65"/>
      <c r="H1841" s="73"/>
      <c r="I1841" s="90">
        <v>2007</v>
      </c>
      <c r="J1841" s="73"/>
      <c r="K1841" s="734">
        <v>8.6090000000000003E-3</v>
      </c>
      <c r="L1841" s="717"/>
      <c r="M1841" s="73"/>
      <c r="N1841" s="359"/>
      <c r="O1841" s="1041"/>
      <c r="P1841" s="73"/>
      <c r="Q1841" s="359"/>
      <c r="R1841" s="1041"/>
      <c r="S1841" s="73"/>
      <c r="T1841" s="359"/>
      <c r="U1841" s="73"/>
      <c r="V1841" s="66"/>
      <c r="W1841" s="788">
        <f t="shared" si="1707"/>
        <v>5.59585E-6</v>
      </c>
      <c r="X1841" s="789">
        <f t="shared" si="1708"/>
        <v>5.59585E-6</v>
      </c>
      <c r="Y1841" s="52">
        <v>2007</v>
      </c>
      <c r="Z1841" s="52"/>
      <c r="AA1841" s="787">
        <f>+K1841/1000</f>
        <v>8.6090000000000001E-6</v>
      </c>
      <c r="AB1841" s="256">
        <v>-0.35</v>
      </c>
      <c r="AC1841" s="688">
        <f t="shared" si="1709"/>
        <v>-0.35</v>
      </c>
      <c r="AD1841" s="164"/>
      <c r="AE1841" s="164"/>
      <c r="AF1841" s="25"/>
      <c r="AG1841" s="26"/>
      <c r="AH1841" s="275"/>
      <c r="AI1841" s="52"/>
      <c r="AJ1841" s="35"/>
      <c r="AK1841" s="289"/>
      <c r="AL1841" s="290"/>
      <c r="AM1841" s="211"/>
      <c r="AN1841" s="164"/>
      <c r="AO1841" s="594"/>
      <c r="AP1841" s="595"/>
      <c r="AQ1841" s="275"/>
      <c r="AR1841" s="52"/>
      <c r="AS1841" s="596"/>
      <c r="AT1841" s="79"/>
      <c r="AU1841" s="212"/>
      <c r="AV1841" s="164"/>
      <c r="AW1841" s="164"/>
      <c r="AX1841" s="76"/>
      <c r="AY1841" s="44"/>
      <c r="AZ1841" s="275"/>
      <c r="BA1841" s="52"/>
      <c r="BB1841" s="35"/>
      <c r="BC1841" s="79"/>
      <c r="BD1841" s="230"/>
      <c r="BE1841" s="211"/>
      <c r="BF1841" s="164"/>
      <c r="BG1841" s="76"/>
      <c r="BH1841" s="44"/>
      <c r="BI1841" s="275"/>
      <c r="BJ1841" s="52"/>
      <c r="BK1841" s="35"/>
      <c r="BL1841" s="79"/>
      <c r="BM1841" s="230"/>
      <c r="BN1841" s="211"/>
      <c r="BO1841" s="164"/>
      <c r="BP1841" s="726"/>
      <c r="BQ1841" s="727"/>
      <c r="BR1841" s="299"/>
      <c r="BS1841" s="35"/>
      <c r="BT1841" s="596"/>
      <c r="BU1841" s="79"/>
      <c r="BV1841" s="212"/>
      <c r="BW1841" s="304"/>
      <c r="BX1841" s="313"/>
      <c r="BY1841" s="138"/>
    </row>
    <row r="1842" spans="1:77" ht="15" customHeight="1" outlineLevel="1" x14ac:dyDescent="0.2">
      <c r="A1842" s="57" t="s">
        <v>24</v>
      </c>
      <c r="B1842" s="583"/>
      <c r="C1842" s="583" t="s">
        <v>1357</v>
      </c>
      <c r="D1842" s="546">
        <v>1.25</v>
      </c>
      <c r="E1842" s="162" t="s">
        <v>631</v>
      </c>
      <c r="F1842" s="358"/>
      <c r="G1842" s="65"/>
      <c r="H1842" s="73"/>
      <c r="I1842" s="90"/>
      <c r="J1842" s="73"/>
      <c r="K1842" s="734"/>
      <c r="L1842" s="717">
        <v>2008</v>
      </c>
      <c r="M1842" s="73"/>
      <c r="N1842" s="738">
        <v>7.5789999999999998E-3</v>
      </c>
      <c r="O1842" s="1041"/>
      <c r="P1842" s="73"/>
      <c r="Q1842" s="738"/>
      <c r="R1842" s="1041"/>
      <c r="S1842" s="73"/>
      <c r="T1842" s="738"/>
      <c r="U1842" s="73"/>
      <c r="V1842" s="66"/>
      <c r="W1842" s="740">
        <f t="shared" si="1707"/>
        <v>5.2295099999999995E-6</v>
      </c>
      <c r="X1842" s="741">
        <f t="shared" si="1708"/>
        <v>5.2295099999999995E-6</v>
      </c>
      <c r="Y1842" s="52">
        <v>2008</v>
      </c>
      <c r="Z1842" s="52"/>
      <c r="AA1842" s="739">
        <f>+N1842/1000</f>
        <v>7.5789999999999998E-6</v>
      </c>
      <c r="AB1842" s="256">
        <v>-0.31</v>
      </c>
      <c r="AC1842" s="688">
        <f t="shared" si="1709"/>
        <v>-0.31</v>
      </c>
      <c r="AD1842" s="164"/>
      <c r="AE1842" s="164"/>
      <c r="AF1842" s="25"/>
      <c r="AG1842" s="26"/>
      <c r="AH1842" s="275"/>
      <c r="AI1842" s="52"/>
      <c r="AJ1842" s="35"/>
      <c r="AK1842" s="289"/>
      <c r="AL1842" s="290"/>
      <c r="AM1842" s="211"/>
      <c r="AN1842" s="164"/>
      <c r="AO1842" s="594"/>
      <c r="AP1842" s="595"/>
      <c r="AQ1842" s="275"/>
      <c r="AR1842" s="52"/>
      <c r="AS1842" s="596"/>
      <c r="AT1842" s="79"/>
      <c r="AU1842" s="212"/>
      <c r="AV1842" s="164"/>
      <c r="AW1842" s="164"/>
      <c r="AX1842" s="76"/>
      <c r="AY1842" s="44"/>
      <c r="AZ1842" s="275"/>
      <c r="BA1842" s="52"/>
      <c r="BB1842" s="35"/>
      <c r="BC1842" s="79"/>
      <c r="BD1842" s="230"/>
      <c r="BE1842" s="211"/>
      <c r="BF1842" s="164"/>
      <c r="BG1842" s="76"/>
      <c r="BH1842" s="44"/>
      <c r="BI1842" s="275"/>
      <c r="BJ1842" s="52"/>
      <c r="BK1842" s="35"/>
      <c r="BL1842" s="79"/>
      <c r="BM1842" s="230"/>
      <c r="BN1842" s="211"/>
      <c r="BO1842" s="164"/>
      <c r="BP1842" s="726"/>
      <c r="BQ1842" s="727"/>
      <c r="BR1842" s="299"/>
      <c r="BS1842" s="35"/>
      <c r="BT1842" s="596"/>
      <c r="BU1842" s="79"/>
      <c r="BV1842" s="212"/>
      <c r="BW1842" s="304"/>
      <c r="BX1842" s="313"/>
      <c r="BY1842" s="138"/>
    </row>
    <row r="1843" spans="1:77" ht="15" customHeight="1" outlineLevel="1" x14ac:dyDescent="0.2">
      <c r="A1843" s="57" t="s">
        <v>24</v>
      </c>
      <c r="B1843" s="583"/>
      <c r="C1843" s="583" t="s">
        <v>1335</v>
      </c>
      <c r="D1843" s="546">
        <v>3.1</v>
      </c>
      <c r="E1843" s="162" t="s">
        <v>631</v>
      </c>
      <c r="F1843" s="358"/>
      <c r="G1843" s="65"/>
      <c r="H1843" s="73"/>
      <c r="I1843" s="90"/>
      <c r="J1843" s="73"/>
      <c r="K1843" s="734">
        <v>6.6959999999999997E-3</v>
      </c>
      <c r="L1843" s="717"/>
      <c r="M1843" s="73"/>
      <c r="N1843" s="359"/>
      <c r="O1843" s="1041"/>
      <c r="P1843" s="73"/>
      <c r="Q1843" s="359"/>
      <c r="R1843" s="1041"/>
      <c r="S1843" s="73"/>
      <c r="T1843" s="359"/>
      <c r="U1843" s="73"/>
      <c r="V1843" s="66"/>
      <c r="W1843" s="788">
        <f t="shared" si="1707"/>
        <v>2.7453600000000002E-6</v>
      </c>
      <c r="X1843" s="789">
        <f t="shared" si="1708"/>
        <v>2.7453600000000002E-6</v>
      </c>
      <c r="Y1843" s="52">
        <v>2005</v>
      </c>
      <c r="Z1843" s="52"/>
      <c r="AA1843" s="739">
        <f>+K1843/1000</f>
        <v>6.6959999999999999E-6</v>
      </c>
      <c r="AB1843" s="256">
        <v>-0.59</v>
      </c>
      <c r="AC1843" s="688">
        <f t="shared" si="1709"/>
        <v>-0.59</v>
      </c>
      <c r="AD1843" s="164"/>
      <c r="AE1843" s="164"/>
      <c r="AF1843" s="25"/>
      <c r="AG1843" s="26"/>
      <c r="AH1843" s="275"/>
      <c r="AI1843" s="52"/>
      <c r="AJ1843" s="35"/>
      <c r="AK1843" s="289"/>
      <c r="AL1843" s="290"/>
      <c r="AM1843" s="211"/>
      <c r="AN1843" s="164"/>
      <c r="AO1843" s="594"/>
      <c r="AP1843" s="595"/>
      <c r="AQ1843" s="275"/>
      <c r="AR1843" s="52"/>
      <c r="AS1843" s="596"/>
      <c r="AT1843" s="79"/>
      <c r="AU1843" s="212"/>
      <c r="AV1843" s="164"/>
      <c r="AW1843" s="164"/>
      <c r="AX1843" s="76"/>
      <c r="AY1843" s="44"/>
      <c r="AZ1843" s="275"/>
      <c r="BA1843" s="52"/>
      <c r="BB1843" s="35"/>
      <c r="BC1843" s="79"/>
      <c r="BD1843" s="230"/>
      <c r="BE1843" s="211"/>
      <c r="BF1843" s="164"/>
      <c r="BG1843" s="76"/>
      <c r="BH1843" s="44"/>
      <c r="BI1843" s="275"/>
      <c r="BJ1843" s="52"/>
      <c r="BK1843" s="35"/>
      <c r="BL1843" s="79"/>
      <c r="BM1843" s="230"/>
      <c r="BN1843" s="211"/>
      <c r="BO1843" s="164"/>
      <c r="BP1843" s="726"/>
      <c r="BQ1843" s="727"/>
      <c r="BR1843" s="299"/>
      <c r="BS1843" s="35"/>
      <c r="BT1843" s="596"/>
      <c r="BU1843" s="79"/>
      <c r="BV1843" s="212"/>
      <c r="BW1843" s="304"/>
      <c r="BX1843" s="313"/>
      <c r="BY1843" s="138"/>
    </row>
    <row r="1844" spans="1:77" ht="15" customHeight="1" outlineLevel="1" x14ac:dyDescent="0.2">
      <c r="A1844" s="57" t="s">
        <v>24</v>
      </c>
      <c r="B1844" s="583"/>
      <c r="C1844" s="583" t="s">
        <v>1294</v>
      </c>
      <c r="D1844" s="546">
        <v>7.6849999999999996</v>
      </c>
      <c r="E1844" s="162" t="s">
        <v>631</v>
      </c>
      <c r="F1844" s="358"/>
      <c r="G1844" s="65"/>
      <c r="H1844" s="73"/>
      <c r="I1844" s="90"/>
      <c r="J1844" s="73"/>
      <c r="K1844" s="734"/>
      <c r="L1844" s="717"/>
      <c r="M1844" s="73"/>
      <c r="N1844" s="738">
        <v>3.1736E-2</v>
      </c>
      <c r="O1844" s="1041"/>
      <c r="P1844" s="73"/>
      <c r="Q1844" s="738"/>
      <c r="R1844" s="1041"/>
      <c r="S1844" s="73"/>
      <c r="T1844" s="738"/>
      <c r="U1844" s="73"/>
      <c r="V1844" s="66"/>
      <c r="W1844" s="740">
        <f t="shared" si="1707"/>
        <v>2.0945759999999999E-5</v>
      </c>
      <c r="X1844" s="741">
        <f t="shared" si="1708"/>
        <v>2.0945759999999999E-5</v>
      </c>
      <c r="Y1844" s="52">
        <v>2010</v>
      </c>
      <c r="Z1844" s="52"/>
      <c r="AA1844" s="739">
        <f>+N1844/1000</f>
        <v>3.1736000000000002E-5</v>
      </c>
      <c r="AB1844" s="256">
        <v>-0.34</v>
      </c>
      <c r="AC1844" s="688">
        <f t="shared" si="1709"/>
        <v>-0.34</v>
      </c>
      <c r="AD1844" s="164"/>
      <c r="AE1844" s="164"/>
      <c r="AF1844" s="25"/>
      <c r="AG1844" s="26"/>
      <c r="AH1844" s="275"/>
      <c r="AI1844" s="52"/>
      <c r="AJ1844" s="35"/>
      <c r="AK1844" s="289"/>
      <c r="AL1844" s="290"/>
      <c r="AM1844" s="211"/>
      <c r="AN1844" s="164"/>
      <c r="AO1844" s="594"/>
      <c r="AP1844" s="595"/>
      <c r="AQ1844" s="275"/>
      <c r="AR1844" s="52"/>
      <c r="AS1844" s="596"/>
      <c r="AT1844" s="79"/>
      <c r="AU1844" s="212"/>
      <c r="AV1844" s="164"/>
      <c r="AW1844" s="164"/>
      <c r="AX1844" s="76"/>
      <c r="AY1844" s="44"/>
      <c r="AZ1844" s="275"/>
      <c r="BA1844" s="52"/>
      <c r="BB1844" s="35"/>
      <c r="BC1844" s="79"/>
      <c r="BD1844" s="230"/>
      <c r="BE1844" s="211"/>
      <c r="BF1844" s="164"/>
      <c r="BG1844" s="76"/>
      <c r="BH1844" s="44"/>
      <c r="BI1844" s="275"/>
      <c r="BJ1844" s="52"/>
      <c r="BK1844" s="35"/>
      <c r="BL1844" s="79"/>
      <c r="BM1844" s="230"/>
      <c r="BN1844" s="211"/>
      <c r="BO1844" s="164"/>
      <c r="BP1844" s="726"/>
      <c r="BQ1844" s="727"/>
      <c r="BR1844" s="299"/>
      <c r="BS1844" s="35"/>
      <c r="BT1844" s="596"/>
      <c r="BU1844" s="79"/>
      <c r="BV1844" s="212"/>
      <c r="BW1844" s="304"/>
      <c r="BX1844" s="313"/>
      <c r="BY1844" s="138"/>
    </row>
    <row r="1845" spans="1:77" ht="15" customHeight="1" outlineLevel="1" x14ac:dyDescent="0.2">
      <c r="A1845" s="57" t="s">
        <v>24</v>
      </c>
      <c r="B1845" s="583"/>
      <c r="C1845" s="583" t="s">
        <v>1581</v>
      </c>
      <c r="D1845" s="546">
        <v>1.427</v>
      </c>
      <c r="E1845" s="162" t="s">
        <v>631</v>
      </c>
      <c r="F1845" s="358"/>
      <c r="G1845" s="65"/>
      <c r="H1845" s="73"/>
      <c r="I1845" s="90"/>
      <c r="J1845" s="73"/>
      <c r="K1845" s="734"/>
      <c r="L1845" s="717">
        <v>2008</v>
      </c>
      <c r="M1845" s="73"/>
      <c r="N1845" s="738">
        <v>5.0330000000000001E-3</v>
      </c>
      <c r="O1845" s="1041"/>
      <c r="P1845" s="73"/>
      <c r="Q1845" s="738"/>
      <c r="R1845" s="1041"/>
      <c r="S1845" s="73"/>
      <c r="T1845" s="738"/>
      <c r="U1845" s="73"/>
      <c r="V1845" s="66"/>
      <c r="W1845" s="788">
        <f t="shared" si="1707"/>
        <v>3.1707899999999999E-6</v>
      </c>
      <c r="X1845" s="789">
        <f t="shared" si="1708"/>
        <v>3.1707899999999999E-6</v>
      </c>
      <c r="Y1845" s="52">
        <v>2008</v>
      </c>
      <c r="Z1845" s="52"/>
      <c r="AA1845" s="739">
        <f>+N1845/1000</f>
        <v>5.0329999999999999E-6</v>
      </c>
      <c r="AB1845" s="256">
        <v>-0.37</v>
      </c>
      <c r="AC1845" s="688">
        <f t="shared" si="1709"/>
        <v>-0.37</v>
      </c>
      <c r="AD1845" s="164"/>
      <c r="AE1845" s="164"/>
      <c r="AF1845" s="25"/>
      <c r="AG1845" s="26"/>
      <c r="AH1845" s="275"/>
      <c r="AI1845" s="52"/>
      <c r="AJ1845" s="35"/>
      <c r="AK1845" s="289"/>
      <c r="AL1845" s="290"/>
      <c r="AM1845" s="211"/>
      <c r="AN1845" s="164"/>
      <c r="AO1845" s="594"/>
      <c r="AP1845" s="595"/>
      <c r="AQ1845" s="275"/>
      <c r="AR1845" s="52"/>
      <c r="AS1845" s="596"/>
      <c r="AT1845" s="79"/>
      <c r="AU1845" s="212"/>
      <c r="AV1845" s="164"/>
      <c r="AW1845" s="164"/>
      <c r="AX1845" s="76"/>
      <c r="AY1845" s="44"/>
      <c r="AZ1845" s="275"/>
      <c r="BA1845" s="52"/>
      <c r="BB1845" s="35"/>
      <c r="BC1845" s="79"/>
      <c r="BD1845" s="230"/>
      <c r="BE1845" s="211"/>
      <c r="BF1845" s="164"/>
      <c r="BG1845" s="76"/>
      <c r="BH1845" s="44"/>
      <c r="BI1845" s="275"/>
      <c r="BJ1845" s="52"/>
      <c r="BK1845" s="35"/>
      <c r="BL1845" s="79"/>
      <c r="BM1845" s="230"/>
      <c r="BN1845" s="211"/>
      <c r="BO1845" s="164"/>
      <c r="BP1845" s="726"/>
      <c r="BQ1845" s="727"/>
      <c r="BR1845" s="299"/>
      <c r="BS1845" s="35"/>
      <c r="BT1845" s="596"/>
      <c r="BU1845" s="79"/>
      <c r="BV1845" s="212"/>
      <c r="BW1845" s="304"/>
      <c r="BX1845" s="313"/>
      <c r="BY1845" s="138"/>
    </row>
    <row r="1846" spans="1:77" ht="15" customHeight="1" outlineLevel="1" x14ac:dyDescent="0.2">
      <c r="A1846" s="583" t="s">
        <v>24</v>
      </c>
      <c r="B1846" s="583"/>
      <c r="C1846" s="583" t="s">
        <v>1686</v>
      </c>
      <c r="D1846" s="546">
        <v>14.032</v>
      </c>
      <c r="E1846" s="162" t="s">
        <v>631</v>
      </c>
      <c r="F1846" s="358"/>
      <c r="G1846" s="65"/>
      <c r="H1846" s="73"/>
      <c r="I1846" s="90"/>
      <c r="J1846" s="73"/>
      <c r="K1846" s="734">
        <v>4.3364E-2</v>
      </c>
      <c r="L1846" s="717"/>
      <c r="M1846" s="73"/>
      <c r="N1846" s="738"/>
      <c r="O1846" s="1041"/>
      <c r="P1846" s="73"/>
      <c r="Q1846" s="738"/>
      <c r="R1846" s="1041"/>
      <c r="S1846" s="73"/>
      <c r="T1846" s="738"/>
      <c r="U1846" s="73"/>
      <c r="V1846" s="66"/>
      <c r="W1846" s="788">
        <f t="shared" ref="W1846" si="1717">AA1846*(1+AB1846)</f>
        <v>3.2523E-5</v>
      </c>
      <c r="X1846" s="789">
        <f t="shared" ref="X1846" si="1718">AA1846*(1+AC1846)</f>
        <v>3.2523E-5</v>
      </c>
      <c r="Y1846" s="52">
        <v>2005</v>
      </c>
      <c r="Z1846" s="52"/>
      <c r="AA1846" s="787">
        <f>+K1846/1000</f>
        <v>4.3364E-5</v>
      </c>
      <c r="AB1846" s="256">
        <v>-0.25</v>
      </c>
      <c r="AC1846" s="688">
        <f t="shared" si="1709"/>
        <v>-0.25</v>
      </c>
      <c r="AD1846" s="164"/>
      <c r="AE1846" s="164"/>
      <c r="AF1846" s="25"/>
      <c r="AG1846" s="26"/>
      <c r="AH1846" s="275"/>
      <c r="AI1846" s="52"/>
      <c r="AJ1846" s="35"/>
      <c r="AK1846" s="289"/>
      <c r="AL1846" s="290"/>
      <c r="AM1846" s="211"/>
      <c r="AN1846" s="164"/>
      <c r="AO1846" s="594"/>
      <c r="AP1846" s="595"/>
      <c r="AQ1846" s="275"/>
      <c r="AR1846" s="52"/>
      <c r="AS1846" s="596"/>
      <c r="AT1846" s="79"/>
      <c r="AU1846" s="212"/>
      <c r="AV1846" s="164"/>
      <c r="AW1846" s="164"/>
      <c r="AX1846" s="76"/>
      <c r="AY1846" s="44"/>
      <c r="AZ1846" s="275"/>
      <c r="BA1846" s="52"/>
      <c r="BB1846" s="35"/>
      <c r="BC1846" s="79"/>
      <c r="BD1846" s="230"/>
      <c r="BE1846" s="211"/>
      <c r="BF1846" s="164"/>
      <c r="BG1846" s="76"/>
      <c r="BH1846" s="44"/>
      <c r="BI1846" s="275"/>
      <c r="BJ1846" s="52"/>
      <c r="BK1846" s="35"/>
      <c r="BL1846" s="79"/>
      <c r="BM1846" s="230"/>
      <c r="BN1846" s="211"/>
      <c r="BO1846" s="164"/>
      <c r="BP1846" s="726"/>
      <c r="BQ1846" s="727"/>
      <c r="BR1846" s="299"/>
      <c r="BS1846" s="35"/>
      <c r="BT1846" s="596"/>
      <c r="BU1846" s="79"/>
      <c r="BV1846" s="212"/>
      <c r="BW1846" s="304"/>
      <c r="BX1846" s="313"/>
      <c r="BY1846" s="138"/>
    </row>
    <row r="1847" spans="1:77" ht="15" customHeight="1" outlineLevel="1" x14ac:dyDescent="0.2">
      <c r="A1847" s="583" t="s">
        <v>24</v>
      </c>
      <c r="B1847" s="583"/>
      <c r="C1847" s="583" t="s">
        <v>1765</v>
      </c>
      <c r="D1847" s="546">
        <v>0.45400000000000001</v>
      </c>
      <c r="E1847" s="162" t="s">
        <v>631</v>
      </c>
      <c r="F1847" s="358"/>
      <c r="G1847" s="65"/>
      <c r="H1847" s="73"/>
      <c r="I1847" s="90"/>
      <c r="J1847" s="73"/>
      <c r="K1847" s="815">
        <v>1.5610000000000001E-3</v>
      </c>
      <c r="L1847" s="717"/>
      <c r="M1847" s="73"/>
      <c r="N1847" s="738"/>
      <c r="O1847" s="1041"/>
      <c r="P1847" s="73"/>
      <c r="Q1847" s="738"/>
      <c r="R1847" s="1041"/>
      <c r="S1847" s="73"/>
      <c r="T1847" s="738"/>
      <c r="U1847" s="73"/>
      <c r="V1847" s="66"/>
      <c r="W1847" s="788">
        <f t="shared" ref="W1847" si="1719">AA1847*(1+AB1847)</f>
        <v>1.1707500000000002E-6</v>
      </c>
      <c r="X1847" s="789">
        <f t="shared" ref="X1847" si="1720">AA1847*(1+AC1847)</f>
        <v>1.1707500000000002E-6</v>
      </c>
      <c r="Y1847" s="52">
        <v>2005</v>
      </c>
      <c r="Z1847" s="52"/>
      <c r="AA1847" s="787">
        <f>+K1847/1000</f>
        <v>1.5610000000000002E-6</v>
      </c>
      <c r="AB1847" s="256">
        <v>-0.25</v>
      </c>
      <c r="AC1847" s="688">
        <f t="shared" si="1709"/>
        <v>-0.25</v>
      </c>
      <c r="AD1847" s="164"/>
      <c r="AE1847" s="164"/>
      <c r="AF1847" s="25"/>
      <c r="AG1847" s="26"/>
      <c r="AH1847" s="275"/>
      <c r="AI1847" s="52"/>
      <c r="AJ1847" s="35"/>
      <c r="AK1847" s="289"/>
      <c r="AL1847" s="290"/>
      <c r="AM1847" s="211"/>
      <c r="AN1847" s="164"/>
      <c r="AO1847" s="594"/>
      <c r="AP1847" s="595"/>
      <c r="AQ1847" s="275"/>
      <c r="AR1847" s="52"/>
      <c r="AS1847" s="596"/>
      <c r="AT1847" s="79"/>
      <c r="AU1847" s="212"/>
      <c r="AV1847" s="164"/>
      <c r="AW1847" s="164"/>
      <c r="AX1847" s="76"/>
      <c r="AY1847" s="44"/>
      <c r="AZ1847" s="275"/>
      <c r="BA1847" s="52"/>
      <c r="BB1847" s="35"/>
      <c r="BC1847" s="79"/>
      <c r="BD1847" s="230"/>
      <c r="BE1847" s="211"/>
      <c r="BF1847" s="164"/>
      <c r="BG1847" s="76"/>
      <c r="BH1847" s="44"/>
      <c r="BI1847" s="275"/>
      <c r="BJ1847" s="52"/>
      <c r="BK1847" s="35"/>
      <c r="BL1847" s="79"/>
      <c r="BM1847" s="230"/>
      <c r="BN1847" s="211"/>
      <c r="BO1847" s="164"/>
      <c r="BP1847" s="726"/>
      <c r="BQ1847" s="727"/>
      <c r="BR1847" s="299"/>
      <c r="BS1847" s="35"/>
      <c r="BT1847" s="596"/>
      <c r="BU1847" s="79"/>
      <c r="BV1847" s="212"/>
      <c r="BW1847" s="304"/>
      <c r="BX1847" s="313"/>
      <c r="BY1847" s="138"/>
    </row>
    <row r="1848" spans="1:77" ht="15" customHeight="1" outlineLevel="1" x14ac:dyDescent="0.2">
      <c r="A1848" s="583" t="s">
        <v>24</v>
      </c>
      <c r="B1848" s="583"/>
      <c r="C1848" s="583" t="s">
        <v>1965</v>
      </c>
      <c r="D1848" s="546">
        <v>0.59799999999999998</v>
      </c>
      <c r="E1848" s="162" t="s">
        <v>631</v>
      </c>
      <c r="F1848" s="358"/>
      <c r="G1848" s="65"/>
      <c r="H1848" s="73"/>
      <c r="I1848" s="90">
        <v>2004</v>
      </c>
      <c r="J1848" s="73"/>
      <c r="K1848" s="815">
        <v>2.869E-3</v>
      </c>
      <c r="L1848" s="717"/>
      <c r="M1848" s="73"/>
      <c r="N1848" s="738"/>
      <c r="O1848" s="1041"/>
      <c r="P1848" s="73"/>
      <c r="Q1848" s="738"/>
      <c r="R1848" s="1041"/>
      <c r="S1848" s="73"/>
      <c r="T1848" s="738"/>
      <c r="U1848" s="73"/>
      <c r="V1848" s="66"/>
      <c r="W1848" s="788">
        <f t="shared" ref="W1848" si="1721">AA1848*(1+AB1848)</f>
        <v>2.0943699999999998E-6</v>
      </c>
      <c r="X1848" s="789">
        <f t="shared" ref="X1848" si="1722">AA1848*(1+AC1848)</f>
        <v>2.0943699999999998E-6</v>
      </c>
      <c r="Y1848" s="52">
        <v>2004</v>
      </c>
      <c r="Z1848" s="52"/>
      <c r="AA1848" s="787">
        <f>+K1848/1000</f>
        <v>2.869E-6</v>
      </c>
      <c r="AB1848" s="256">
        <v>-0.27</v>
      </c>
      <c r="AC1848" s="688">
        <f t="shared" si="1709"/>
        <v>-0.27</v>
      </c>
      <c r="AD1848" s="164"/>
      <c r="AE1848" s="164"/>
      <c r="AF1848" s="25"/>
      <c r="AG1848" s="26"/>
      <c r="AH1848" s="275"/>
      <c r="AI1848" s="52"/>
      <c r="AJ1848" s="35"/>
      <c r="AK1848" s="289"/>
      <c r="AL1848" s="290"/>
      <c r="AM1848" s="211"/>
      <c r="AN1848" s="164"/>
      <c r="AO1848" s="594"/>
      <c r="AP1848" s="595"/>
      <c r="AQ1848" s="275"/>
      <c r="AR1848" s="52"/>
      <c r="AS1848" s="596"/>
      <c r="AT1848" s="79"/>
      <c r="AU1848" s="212"/>
      <c r="AV1848" s="164"/>
      <c r="AW1848" s="164"/>
      <c r="AX1848" s="76"/>
      <c r="AY1848" s="44"/>
      <c r="AZ1848" s="275"/>
      <c r="BA1848" s="52"/>
      <c r="BB1848" s="35"/>
      <c r="BC1848" s="79"/>
      <c r="BD1848" s="230"/>
      <c r="BE1848" s="211"/>
      <c r="BF1848" s="164"/>
      <c r="BG1848" s="76"/>
      <c r="BH1848" s="44"/>
      <c r="BI1848" s="275"/>
      <c r="BJ1848" s="52"/>
      <c r="BK1848" s="35"/>
      <c r="BL1848" s="79"/>
      <c r="BM1848" s="230"/>
      <c r="BN1848" s="211"/>
      <c r="BO1848" s="164"/>
      <c r="BP1848" s="726"/>
      <c r="BQ1848" s="727"/>
      <c r="BR1848" s="299"/>
      <c r="BS1848" s="35"/>
      <c r="BT1848" s="596"/>
      <c r="BU1848" s="79"/>
      <c r="BV1848" s="212"/>
      <c r="BW1848" s="304"/>
      <c r="BX1848" s="313"/>
      <c r="BY1848" s="138"/>
    </row>
    <row r="1849" spans="1:77" ht="15" customHeight="1" outlineLevel="1" x14ac:dyDescent="0.2">
      <c r="A1849" s="57" t="s">
        <v>24</v>
      </c>
      <c r="B1849" s="583"/>
      <c r="C1849" s="583" t="s">
        <v>1468</v>
      </c>
      <c r="D1849" s="546">
        <v>14.446</v>
      </c>
      <c r="E1849" s="162" t="s">
        <v>631</v>
      </c>
      <c r="F1849" s="358"/>
      <c r="G1849" s="65"/>
      <c r="H1849" s="73"/>
      <c r="I1849" s="90"/>
      <c r="J1849" s="73"/>
      <c r="K1849" s="734"/>
      <c r="L1849" s="717">
        <v>2011</v>
      </c>
      <c r="M1849" s="73"/>
      <c r="N1849" s="359">
        <v>9.3292E-2</v>
      </c>
      <c r="O1849" s="1041"/>
      <c r="P1849" s="73"/>
      <c r="Q1849" s="359"/>
      <c r="R1849" s="1041"/>
      <c r="S1849" s="73"/>
      <c r="T1849" s="359"/>
      <c r="U1849" s="73"/>
      <c r="V1849" s="66"/>
      <c r="W1849" s="740">
        <f t="shared" si="1707"/>
        <v>5.784104E-5</v>
      </c>
      <c r="X1849" s="741">
        <f t="shared" si="1708"/>
        <v>5.784104E-5</v>
      </c>
      <c r="Y1849" s="52">
        <v>2011</v>
      </c>
      <c r="Z1849" s="52"/>
      <c r="AA1849" s="739">
        <f>+N1849/1000</f>
        <v>9.3292000000000001E-5</v>
      </c>
      <c r="AB1849" s="256">
        <v>-0.38</v>
      </c>
      <c r="AC1849" s="688">
        <f t="shared" si="1709"/>
        <v>-0.38</v>
      </c>
      <c r="AD1849" s="164"/>
      <c r="AE1849" s="164"/>
      <c r="AF1849" s="25"/>
      <c r="AG1849" s="26"/>
      <c r="AH1849" s="275"/>
      <c r="AI1849" s="52"/>
      <c r="AJ1849" s="35"/>
      <c r="AK1849" s="289"/>
      <c r="AL1849" s="290"/>
      <c r="AM1849" s="211"/>
      <c r="AN1849" s="164"/>
      <c r="AO1849" s="594"/>
      <c r="AP1849" s="595"/>
      <c r="AQ1849" s="275"/>
      <c r="AR1849" s="52"/>
      <c r="AS1849" s="596"/>
      <c r="AT1849" s="79"/>
      <c r="AU1849" s="212"/>
      <c r="AV1849" s="164"/>
      <c r="AW1849" s="164"/>
      <c r="AX1849" s="76"/>
      <c r="AY1849" s="44"/>
      <c r="AZ1849" s="275"/>
      <c r="BA1849" s="52"/>
      <c r="BB1849" s="35"/>
      <c r="BC1849" s="79"/>
      <c r="BD1849" s="230"/>
      <c r="BE1849" s="211"/>
      <c r="BF1849" s="164"/>
      <c r="BG1849" s="76"/>
      <c r="BH1849" s="44"/>
      <c r="BI1849" s="275"/>
      <c r="BJ1849" s="52"/>
      <c r="BK1849" s="35"/>
      <c r="BL1849" s="79"/>
      <c r="BM1849" s="230"/>
      <c r="BN1849" s="211"/>
      <c r="BO1849" s="164"/>
      <c r="BP1849" s="726"/>
      <c r="BQ1849" s="727"/>
      <c r="BR1849" s="299"/>
      <c r="BS1849" s="35"/>
      <c r="BT1849" s="596"/>
      <c r="BU1849" s="79"/>
      <c r="BV1849" s="212"/>
      <c r="BW1849" s="304"/>
      <c r="BX1849" s="313"/>
      <c r="BY1849" s="138"/>
    </row>
    <row r="1850" spans="1:77" ht="15" customHeight="1" outlineLevel="1" x14ac:dyDescent="0.2">
      <c r="A1850" s="583" t="s">
        <v>24</v>
      </c>
      <c r="B1850" s="583"/>
      <c r="C1850" s="583" t="s">
        <v>2042</v>
      </c>
      <c r="D1850" s="546">
        <v>8.2319999999999993</v>
      </c>
      <c r="E1850" s="162" t="s">
        <v>631</v>
      </c>
      <c r="F1850" s="358"/>
      <c r="G1850" s="65"/>
      <c r="H1850" s="73"/>
      <c r="I1850" s="90"/>
      <c r="J1850" s="73"/>
      <c r="K1850" s="734"/>
      <c r="L1850" s="717">
        <v>2011</v>
      </c>
      <c r="M1850" s="73"/>
      <c r="N1850" s="786">
        <v>2.1843000000000001E-2</v>
      </c>
      <c r="O1850" s="1041"/>
      <c r="P1850" s="73"/>
      <c r="Q1850" s="359"/>
      <c r="R1850" s="1041"/>
      <c r="S1850" s="73"/>
      <c r="T1850" s="359"/>
      <c r="U1850" s="73"/>
      <c r="V1850" s="66"/>
      <c r="W1850" s="740">
        <f t="shared" ref="W1850:W1851" si="1723">AA1850*(1+AB1850)</f>
        <v>1.5726960000000001E-5</v>
      </c>
      <c r="X1850" s="741">
        <f t="shared" ref="X1850:X1851" si="1724">AA1850*(1+AC1850)</f>
        <v>1.5726960000000001E-5</v>
      </c>
      <c r="Y1850" s="52">
        <v>2011</v>
      </c>
      <c r="Z1850" s="52"/>
      <c r="AA1850" s="739">
        <f>+N1850/1000</f>
        <v>2.1843000000000001E-5</v>
      </c>
      <c r="AB1850" s="256">
        <v>-0.28000000000000003</v>
      </c>
      <c r="AC1850" s="688">
        <f t="shared" si="1709"/>
        <v>-0.28000000000000003</v>
      </c>
      <c r="AD1850" s="164"/>
      <c r="AE1850" s="164"/>
      <c r="AF1850" s="25"/>
      <c r="AG1850" s="26"/>
      <c r="AH1850" s="275"/>
      <c r="AI1850" s="52"/>
      <c r="AJ1850" s="35"/>
      <c r="AK1850" s="289"/>
      <c r="AL1850" s="290"/>
      <c r="AM1850" s="211"/>
      <c r="AN1850" s="164"/>
      <c r="AO1850" s="594"/>
      <c r="AP1850" s="595"/>
      <c r="AQ1850" s="275"/>
      <c r="AR1850" s="52"/>
      <c r="AS1850" s="596"/>
      <c r="AT1850" s="79"/>
      <c r="AU1850" s="212"/>
      <c r="AV1850" s="164"/>
      <c r="AW1850" s="164"/>
      <c r="AX1850" s="76"/>
      <c r="AY1850" s="44"/>
      <c r="AZ1850" s="275"/>
      <c r="BA1850" s="52"/>
      <c r="BB1850" s="35"/>
      <c r="BC1850" s="79"/>
      <c r="BD1850" s="230"/>
      <c r="BE1850" s="211"/>
      <c r="BF1850" s="164"/>
      <c r="BG1850" s="76"/>
      <c r="BH1850" s="44"/>
      <c r="BI1850" s="275"/>
      <c r="BJ1850" s="52"/>
      <c r="BK1850" s="35"/>
      <c r="BL1850" s="79"/>
      <c r="BM1850" s="230"/>
      <c r="BN1850" s="211"/>
      <c r="BO1850" s="164"/>
      <c r="BP1850" s="726"/>
      <c r="BQ1850" s="727"/>
      <c r="BR1850" s="299"/>
      <c r="BS1850" s="35"/>
      <c r="BT1850" s="596"/>
      <c r="BU1850" s="79"/>
      <c r="BV1850" s="212"/>
      <c r="BW1850" s="304"/>
      <c r="BX1850" s="313"/>
      <c r="BY1850" s="138"/>
    </row>
    <row r="1851" spans="1:77" ht="15" customHeight="1" outlineLevel="1" x14ac:dyDescent="0.2">
      <c r="A1851" s="583" t="s">
        <v>24</v>
      </c>
      <c r="B1851" s="583"/>
      <c r="C1851" s="583" t="s">
        <v>2383</v>
      </c>
      <c r="D1851" s="546">
        <v>2.0379999999999998</v>
      </c>
      <c r="E1851" s="162" t="s">
        <v>631</v>
      </c>
      <c r="F1851" s="358"/>
      <c r="G1851" s="65"/>
      <c r="H1851" s="73"/>
      <c r="I1851" s="90"/>
      <c r="J1851" s="73"/>
      <c r="K1851" s="734"/>
      <c r="L1851" s="717">
        <v>2008</v>
      </c>
      <c r="M1851" s="73"/>
      <c r="N1851" s="786">
        <v>7.6569999999999997E-3</v>
      </c>
      <c r="O1851" s="1041"/>
      <c r="P1851" s="73"/>
      <c r="Q1851" s="359"/>
      <c r="R1851" s="1041"/>
      <c r="S1851" s="73"/>
      <c r="T1851" s="359"/>
      <c r="U1851" s="73"/>
      <c r="V1851" s="66"/>
      <c r="W1851" s="808">
        <f t="shared" si="1723"/>
        <v>5.5130399999999998E-6</v>
      </c>
      <c r="X1851" s="809">
        <f t="shared" si="1724"/>
        <v>5.5130399999999998E-6</v>
      </c>
      <c r="Y1851" s="52">
        <v>2008</v>
      </c>
      <c r="Z1851" s="52"/>
      <c r="AA1851" s="807">
        <f>+N1851/1000</f>
        <v>7.6569999999999997E-6</v>
      </c>
      <c r="AB1851" s="256">
        <v>-0.28000000000000003</v>
      </c>
      <c r="AC1851" s="688">
        <f t="shared" ref="AC1851" si="1725">AB1851</f>
        <v>-0.28000000000000003</v>
      </c>
      <c r="AD1851" s="164"/>
      <c r="AE1851" s="164"/>
      <c r="AF1851" s="25"/>
      <c r="AG1851" s="26"/>
      <c r="AH1851" s="275"/>
      <c r="AI1851" s="52"/>
      <c r="AJ1851" s="35"/>
      <c r="AK1851" s="289"/>
      <c r="AL1851" s="290"/>
      <c r="AM1851" s="211"/>
      <c r="AN1851" s="164"/>
      <c r="AO1851" s="594"/>
      <c r="AP1851" s="595"/>
      <c r="AQ1851" s="275"/>
      <c r="AR1851" s="52"/>
      <c r="AS1851" s="596"/>
      <c r="AT1851" s="79"/>
      <c r="AU1851" s="212"/>
      <c r="AV1851" s="164"/>
      <c r="AW1851" s="164"/>
      <c r="AX1851" s="76"/>
      <c r="AY1851" s="44"/>
      <c r="AZ1851" s="275"/>
      <c r="BA1851" s="52"/>
      <c r="BB1851" s="35"/>
      <c r="BC1851" s="79"/>
      <c r="BD1851" s="230"/>
      <c r="BE1851" s="211"/>
      <c r="BF1851" s="164"/>
      <c r="BG1851" s="76"/>
      <c r="BH1851" s="44"/>
      <c r="BI1851" s="275"/>
      <c r="BJ1851" s="52"/>
      <c r="BK1851" s="35"/>
      <c r="BL1851" s="79"/>
      <c r="BM1851" s="230"/>
      <c r="BN1851" s="211"/>
      <c r="BO1851" s="164"/>
      <c r="BP1851" s="726"/>
      <c r="BQ1851" s="727"/>
      <c r="BR1851" s="299"/>
      <c r="BS1851" s="35"/>
      <c r="BT1851" s="596"/>
      <c r="BU1851" s="79"/>
      <c r="BV1851" s="212"/>
      <c r="BW1851" s="304"/>
      <c r="BX1851" s="313"/>
      <c r="BY1851" s="138"/>
    </row>
    <row r="1852" spans="1:77" ht="15" customHeight="1" outlineLevel="1" x14ac:dyDescent="0.2">
      <c r="A1852" s="583" t="s">
        <v>24</v>
      </c>
      <c r="B1852" s="583"/>
      <c r="C1852" s="583" t="s">
        <v>1685</v>
      </c>
      <c r="D1852" s="546">
        <v>0.72199999999999998</v>
      </c>
      <c r="E1852" s="162" t="s">
        <v>631</v>
      </c>
      <c r="F1852" s="358"/>
      <c r="G1852" s="65"/>
      <c r="H1852" s="73"/>
      <c r="I1852" s="90"/>
      <c r="J1852" s="73"/>
      <c r="K1852" s="734"/>
      <c r="L1852" s="717">
        <v>2008</v>
      </c>
      <c r="M1852" s="73"/>
      <c r="N1852" s="786">
        <v>1.7309999999999999E-3</v>
      </c>
      <c r="O1852" s="1041"/>
      <c r="P1852" s="73"/>
      <c r="Q1852" s="786"/>
      <c r="R1852" s="1041"/>
      <c r="S1852" s="73"/>
      <c r="T1852" s="786"/>
      <c r="U1852" s="73"/>
      <c r="V1852" s="66"/>
      <c r="W1852" s="808">
        <f t="shared" si="1707"/>
        <v>1.2982499999999998E-6</v>
      </c>
      <c r="X1852" s="809">
        <f t="shared" si="1708"/>
        <v>1.2982499999999998E-6</v>
      </c>
      <c r="Y1852" s="52">
        <v>2008</v>
      </c>
      <c r="Z1852" s="52"/>
      <c r="AA1852" s="807">
        <f>+N1852/1000</f>
        <v>1.7309999999999998E-6</v>
      </c>
      <c r="AB1852" s="256">
        <v>-0.25</v>
      </c>
      <c r="AC1852" s="688">
        <f t="shared" si="1709"/>
        <v>-0.25</v>
      </c>
      <c r="AD1852" s="164"/>
      <c r="AE1852" s="164"/>
      <c r="AF1852" s="25"/>
      <c r="AG1852" s="26"/>
      <c r="AH1852" s="275"/>
      <c r="AI1852" s="52"/>
      <c r="AJ1852" s="35"/>
      <c r="AK1852" s="289"/>
      <c r="AL1852" s="290"/>
      <c r="AM1852" s="211"/>
      <c r="AN1852" s="164"/>
      <c r="AO1852" s="594"/>
      <c r="AP1852" s="595"/>
      <c r="AQ1852" s="275"/>
      <c r="AR1852" s="52"/>
      <c r="AS1852" s="596"/>
      <c r="AT1852" s="79"/>
      <c r="AU1852" s="212"/>
      <c r="AV1852" s="164"/>
      <c r="AW1852" s="164"/>
      <c r="AX1852" s="76"/>
      <c r="AY1852" s="44"/>
      <c r="AZ1852" s="275"/>
      <c r="BA1852" s="52"/>
      <c r="BB1852" s="35"/>
      <c r="BC1852" s="79"/>
      <c r="BD1852" s="230"/>
      <c r="BE1852" s="211"/>
      <c r="BF1852" s="164"/>
      <c r="BG1852" s="76"/>
      <c r="BH1852" s="44"/>
      <c r="BI1852" s="275"/>
      <c r="BJ1852" s="52"/>
      <c r="BK1852" s="35"/>
      <c r="BL1852" s="79"/>
      <c r="BM1852" s="230"/>
      <c r="BN1852" s="211"/>
      <c r="BO1852" s="164"/>
      <c r="BP1852" s="726"/>
      <c r="BQ1852" s="727"/>
      <c r="BR1852" s="299"/>
      <c r="BS1852" s="35"/>
      <c r="BT1852" s="596"/>
      <c r="BU1852" s="79"/>
      <c r="BV1852" s="212"/>
      <c r="BW1852" s="304"/>
      <c r="BX1852" s="313"/>
      <c r="BY1852" s="138"/>
    </row>
    <row r="1853" spans="1:77" ht="15" customHeight="1" outlineLevel="1" x14ac:dyDescent="0.2">
      <c r="A1853" s="57" t="s">
        <v>24</v>
      </c>
      <c r="B1853" s="583"/>
      <c r="C1853" s="583" t="s">
        <v>1282</v>
      </c>
      <c r="D1853" s="546">
        <v>2.931</v>
      </c>
      <c r="E1853" s="162" t="s">
        <v>631</v>
      </c>
      <c r="F1853" s="358"/>
      <c r="G1853" s="65"/>
      <c r="H1853" s="73"/>
      <c r="I1853" s="90">
        <v>2007</v>
      </c>
      <c r="J1853" s="73"/>
      <c r="K1853" s="734">
        <v>5.5290000000000001E-3</v>
      </c>
      <c r="L1853" s="717"/>
      <c r="M1853" s="73"/>
      <c r="N1853" s="359"/>
      <c r="O1853" s="1041"/>
      <c r="P1853" s="73"/>
      <c r="Q1853" s="359"/>
      <c r="R1853" s="1041"/>
      <c r="S1853" s="73"/>
      <c r="T1853" s="359"/>
      <c r="U1853" s="73"/>
      <c r="V1853" s="66"/>
      <c r="W1853" s="788">
        <f t="shared" si="1707"/>
        <v>3.4832699999999998E-6</v>
      </c>
      <c r="X1853" s="789">
        <f t="shared" si="1708"/>
        <v>3.4832699999999998E-6</v>
      </c>
      <c r="Y1853" s="52">
        <v>2007</v>
      </c>
      <c r="Z1853" s="52"/>
      <c r="AA1853" s="739">
        <f>+K1853/1000</f>
        <v>5.5289999999999999E-6</v>
      </c>
      <c r="AB1853" s="256">
        <v>-0.37</v>
      </c>
      <c r="AC1853" s="688">
        <f t="shared" si="1709"/>
        <v>-0.37</v>
      </c>
      <c r="AD1853" s="164"/>
      <c r="AE1853" s="164"/>
      <c r="AF1853" s="25"/>
      <c r="AG1853" s="26"/>
      <c r="AH1853" s="275"/>
      <c r="AI1853" s="52"/>
      <c r="AJ1853" s="35"/>
      <c r="AK1853" s="289"/>
      <c r="AL1853" s="290"/>
      <c r="AM1853" s="211"/>
      <c r="AN1853" s="164"/>
      <c r="AO1853" s="594"/>
      <c r="AP1853" s="595"/>
      <c r="AQ1853" s="275"/>
      <c r="AR1853" s="52"/>
      <c r="AS1853" s="596"/>
      <c r="AT1853" s="79"/>
      <c r="AU1853" s="212"/>
      <c r="AV1853" s="164"/>
      <c r="AW1853" s="164"/>
      <c r="AX1853" s="76"/>
      <c r="AY1853" s="44"/>
      <c r="AZ1853" s="275"/>
      <c r="BA1853" s="52"/>
      <c r="BB1853" s="35"/>
      <c r="BC1853" s="79"/>
      <c r="BD1853" s="230"/>
      <c r="BE1853" s="211"/>
      <c r="BF1853" s="164"/>
      <c r="BG1853" s="76"/>
      <c r="BH1853" s="44"/>
      <c r="BI1853" s="275"/>
      <c r="BJ1853" s="52"/>
      <c r="BK1853" s="35"/>
      <c r="BL1853" s="79"/>
      <c r="BM1853" s="230"/>
      <c r="BN1853" s="211"/>
      <c r="BO1853" s="164"/>
      <c r="BP1853" s="726"/>
      <c r="BQ1853" s="727"/>
      <c r="BR1853" s="299"/>
      <c r="BS1853" s="35"/>
      <c r="BT1853" s="596"/>
      <c r="BU1853" s="79"/>
      <c r="BV1853" s="212"/>
      <c r="BW1853" s="304"/>
      <c r="BX1853" s="313"/>
      <c r="BY1853" s="138"/>
    </row>
    <row r="1854" spans="1:77" ht="15" customHeight="1" outlineLevel="1" x14ac:dyDescent="0.2">
      <c r="A1854" s="583" t="s">
        <v>24</v>
      </c>
      <c r="B1854" s="583"/>
      <c r="C1854" s="583" t="s">
        <v>1978</v>
      </c>
      <c r="D1854" s="546">
        <v>0.34300000000000003</v>
      </c>
      <c r="E1854" s="162" t="s">
        <v>631</v>
      </c>
      <c r="F1854" s="358"/>
      <c r="G1854" s="65"/>
      <c r="H1854" s="73"/>
      <c r="I1854" s="90"/>
      <c r="J1854" s="73"/>
      <c r="K1854" s="815">
        <v>8.83E-4</v>
      </c>
      <c r="L1854" s="717"/>
      <c r="M1854" s="73"/>
      <c r="N1854" s="359"/>
      <c r="O1854" s="1041"/>
      <c r="P1854" s="73"/>
      <c r="Q1854" s="359"/>
      <c r="R1854" s="1041"/>
      <c r="S1854" s="73"/>
      <c r="T1854" s="359"/>
      <c r="U1854" s="73"/>
      <c r="V1854" s="66"/>
      <c r="W1854" s="906">
        <f t="shared" ref="W1854" si="1726">AA1854*(1+AB1854)</f>
        <v>6.4458999999999998E-7</v>
      </c>
      <c r="X1854" s="907">
        <f t="shared" ref="X1854" si="1727">AA1854*(1+AC1854)</f>
        <v>6.4458999999999998E-7</v>
      </c>
      <c r="Y1854" s="52">
        <v>2005</v>
      </c>
      <c r="Z1854" s="52"/>
      <c r="AA1854" s="807">
        <f>+K1854/1000</f>
        <v>8.8299999999999995E-7</v>
      </c>
      <c r="AB1854" s="256">
        <v>-0.27</v>
      </c>
      <c r="AC1854" s="688">
        <f t="shared" si="1709"/>
        <v>-0.27</v>
      </c>
      <c r="AD1854" s="164"/>
      <c r="AE1854" s="164"/>
      <c r="AF1854" s="25"/>
      <c r="AG1854" s="26"/>
      <c r="AH1854" s="275"/>
      <c r="AI1854" s="52"/>
      <c r="AJ1854" s="35"/>
      <c r="AK1854" s="289"/>
      <c r="AL1854" s="290"/>
      <c r="AM1854" s="211"/>
      <c r="AN1854" s="164"/>
      <c r="AO1854" s="594"/>
      <c r="AP1854" s="595"/>
      <c r="AQ1854" s="275"/>
      <c r="AR1854" s="52"/>
      <c r="AS1854" s="596"/>
      <c r="AT1854" s="79"/>
      <c r="AU1854" s="212"/>
      <c r="AV1854" s="164"/>
      <c r="AW1854" s="164"/>
      <c r="AX1854" s="76"/>
      <c r="AY1854" s="44"/>
      <c r="AZ1854" s="275"/>
      <c r="BA1854" s="52"/>
      <c r="BB1854" s="35"/>
      <c r="BC1854" s="79"/>
      <c r="BD1854" s="230"/>
      <c r="BE1854" s="211"/>
      <c r="BF1854" s="164"/>
      <c r="BG1854" s="76"/>
      <c r="BH1854" s="44"/>
      <c r="BI1854" s="275"/>
      <c r="BJ1854" s="52"/>
      <c r="BK1854" s="35"/>
      <c r="BL1854" s="79"/>
      <c r="BM1854" s="230"/>
      <c r="BN1854" s="211"/>
      <c r="BO1854" s="164"/>
      <c r="BP1854" s="726"/>
      <c r="BQ1854" s="727"/>
      <c r="BR1854" s="299"/>
      <c r="BS1854" s="35"/>
      <c r="BT1854" s="596"/>
      <c r="BU1854" s="79"/>
      <c r="BV1854" s="212"/>
      <c r="BW1854" s="304"/>
      <c r="BX1854" s="313"/>
      <c r="BY1854" s="138"/>
    </row>
    <row r="1855" spans="1:77" ht="15" customHeight="1" outlineLevel="1" x14ac:dyDescent="0.2">
      <c r="A1855" s="583" t="s">
        <v>24</v>
      </c>
      <c r="B1855" s="583"/>
      <c r="C1855" s="583" t="s">
        <v>1885</v>
      </c>
      <c r="D1855" s="546">
        <v>7.1970000000000001</v>
      </c>
      <c r="E1855" s="162" t="s">
        <v>631</v>
      </c>
      <c r="F1855" s="358"/>
      <c r="G1855" s="65"/>
      <c r="H1855" s="73"/>
      <c r="I1855" s="90"/>
      <c r="J1855" s="73"/>
      <c r="K1855" s="734"/>
      <c r="L1855" s="717">
        <v>2009</v>
      </c>
      <c r="M1855" s="73"/>
      <c r="N1855" s="786">
        <v>3.5092999999999999E-2</v>
      </c>
      <c r="O1855" s="1041"/>
      <c r="P1855" s="73"/>
      <c r="Q1855" s="786"/>
      <c r="R1855" s="1041"/>
      <c r="S1855" s="73"/>
      <c r="T1855" s="786"/>
      <c r="U1855" s="73"/>
      <c r="V1855" s="66"/>
      <c r="W1855" s="788">
        <f t="shared" ref="W1855" si="1728">AA1855*(1+AB1855)</f>
        <v>2.5968819999999999E-5</v>
      </c>
      <c r="X1855" s="789">
        <f t="shared" ref="X1855" si="1729">AA1855*(1+AC1855)</f>
        <v>2.5968819999999999E-5</v>
      </c>
      <c r="Y1855" s="52">
        <v>2009</v>
      </c>
      <c r="Z1855" s="52"/>
      <c r="AA1855" s="739">
        <f>+N1855/1000</f>
        <v>3.5092999999999998E-5</v>
      </c>
      <c r="AB1855" s="256">
        <v>-0.26</v>
      </c>
      <c r="AC1855" s="688">
        <f t="shared" si="1709"/>
        <v>-0.26</v>
      </c>
      <c r="AD1855" s="164"/>
      <c r="AE1855" s="164"/>
      <c r="AF1855" s="25"/>
      <c r="AG1855" s="26"/>
      <c r="AH1855" s="275"/>
      <c r="AI1855" s="52"/>
      <c r="AJ1855" s="35"/>
      <c r="AK1855" s="289"/>
      <c r="AL1855" s="290"/>
      <c r="AM1855" s="211"/>
      <c r="AN1855" s="164"/>
      <c r="AO1855" s="594"/>
      <c r="AP1855" s="595"/>
      <c r="AQ1855" s="275"/>
      <c r="AR1855" s="52"/>
      <c r="AS1855" s="596"/>
      <c r="AT1855" s="79"/>
      <c r="AU1855" s="212"/>
      <c r="AV1855" s="164"/>
      <c r="AW1855" s="164"/>
      <c r="AX1855" s="76"/>
      <c r="AY1855" s="44"/>
      <c r="AZ1855" s="275"/>
      <c r="BA1855" s="52"/>
      <c r="BB1855" s="35"/>
      <c r="BC1855" s="79"/>
      <c r="BD1855" s="230"/>
      <c r="BE1855" s="211"/>
      <c r="BF1855" s="164"/>
      <c r="BG1855" s="76"/>
      <c r="BH1855" s="44"/>
      <c r="BI1855" s="275"/>
      <c r="BJ1855" s="52"/>
      <c r="BK1855" s="35"/>
      <c r="BL1855" s="79"/>
      <c r="BM1855" s="230"/>
      <c r="BN1855" s="211"/>
      <c r="BO1855" s="164"/>
      <c r="BP1855" s="726"/>
      <c r="BQ1855" s="727"/>
      <c r="BR1855" s="299"/>
      <c r="BS1855" s="35"/>
      <c r="BT1855" s="596"/>
      <c r="BU1855" s="79"/>
      <c r="BV1855" s="212"/>
      <c r="BW1855" s="304"/>
      <c r="BX1855" s="313"/>
      <c r="BY1855" s="138"/>
    </row>
    <row r="1856" spans="1:77" ht="15" customHeight="1" outlineLevel="1" x14ac:dyDescent="0.2">
      <c r="A1856" s="583" t="s">
        <v>24</v>
      </c>
      <c r="B1856" s="583"/>
      <c r="C1856" s="583" t="s">
        <v>2050</v>
      </c>
      <c r="D1856" s="546">
        <v>2.8239999999999998</v>
      </c>
      <c r="E1856" s="162" t="s">
        <v>631</v>
      </c>
      <c r="F1856" s="358"/>
      <c r="G1856" s="65"/>
      <c r="H1856" s="73"/>
      <c r="I1856" s="90"/>
      <c r="J1856" s="73"/>
      <c r="K1856" s="734">
        <v>6.7000000000000002E-3</v>
      </c>
      <c r="L1856" s="717"/>
      <c r="M1856" s="73"/>
      <c r="N1856" s="786"/>
      <c r="O1856" s="1041"/>
      <c r="P1856" s="73"/>
      <c r="Q1856" s="786"/>
      <c r="R1856" s="1041"/>
      <c r="S1856" s="73"/>
      <c r="T1856" s="786"/>
      <c r="U1856" s="73"/>
      <c r="V1856" s="66"/>
      <c r="W1856" s="788">
        <f t="shared" ref="W1856" si="1730">AA1856*(1+AB1856)</f>
        <v>4.7569999999999995E-6</v>
      </c>
      <c r="X1856" s="789">
        <f t="shared" ref="X1856" si="1731">AA1856*(1+AC1856)</f>
        <v>4.7569999999999995E-6</v>
      </c>
      <c r="Y1856" s="52">
        <v>2005</v>
      </c>
      <c r="Z1856" s="52"/>
      <c r="AA1856" s="739">
        <f>+K1856/1000</f>
        <v>6.7000000000000002E-6</v>
      </c>
      <c r="AB1856" s="256">
        <v>-0.28999999999999998</v>
      </c>
      <c r="AC1856" s="688">
        <f t="shared" si="1709"/>
        <v>-0.28999999999999998</v>
      </c>
      <c r="AD1856" s="164"/>
      <c r="AE1856" s="164"/>
      <c r="AF1856" s="25"/>
      <c r="AG1856" s="26"/>
      <c r="AH1856" s="275"/>
      <c r="AI1856" s="52"/>
      <c r="AJ1856" s="35"/>
      <c r="AK1856" s="289"/>
      <c r="AL1856" s="290"/>
      <c r="AM1856" s="211"/>
      <c r="AN1856" s="164"/>
      <c r="AO1856" s="594"/>
      <c r="AP1856" s="595"/>
      <c r="AQ1856" s="275"/>
      <c r="AR1856" s="52"/>
      <c r="AS1856" s="596"/>
      <c r="AT1856" s="79"/>
      <c r="AU1856" s="212"/>
      <c r="AV1856" s="164"/>
      <c r="AW1856" s="164"/>
      <c r="AX1856" s="76"/>
      <c r="AY1856" s="44"/>
      <c r="AZ1856" s="275"/>
      <c r="BA1856" s="52"/>
      <c r="BB1856" s="35"/>
      <c r="BC1856" s="79"/>
      <c r="BD1856" s="230"/>
      <c r="BE1856" s="211"/>
      <c r="BF1856" s="164"/>
      <c r="BG1856" s="76"/>
      <c r="BH1856" s="44"/>
      <c r="BI1856" s="275"/>
      <c r="BJ1856" s="52"/>
      <c r="BK1856" s="35"/>
      <c r="BL1856" s="79"/>
      <c r="BM1856" s="230"/>
      <c r="BN1856" s="211"/>
      <c r="BO1856" s="164"/>
      <c r="BP1856" s="726"/>
      <c r="BQ1856" s="727"/>
      <c r="BR1856" s="299"/>
      <c r="BS1856" s="35"/>
      <c r="BT1856" s="596"/>
      <c r="BU1856" s="79"/>
      <c r="BV1856" s="212"/>
      <c r="BW1856" s="304"/>
      <c r="BX1856" s="313"/>
      <c r="BY1856" s="138"/>
    </row>
    <row r="1857" spans="1:77" ht="15" customHeight="1" outlineLevel="1" x14ac:dyDescent="0.2">
      <c r="A1857" s="57" t="s">
        <v>24</v>
      </c>
      <c r="B1857" s="583"/>
      <c r="C1857" s="583" t="s">
        <v>1475</v>
      </c>
      <c r="D1857" s="546">
        <v>3.3959999999999999</v>
      </c>
      <c r="E1857" s="162" t="s">
        <v>631</v>
      </c>
      <c r="F1857" s="358"/>
      <c r="G1857" s="65"/>
      <c r="H1857" s="73"/>
      <c r="I1857" s="90"/>
      <c r="J1857" s="73"/>
      <c r="K1857" s="734"/>
      <c r="L1857" s="717">
        <v>2009</v>
      </c>
      <c r="M1857" s="73"/>
      <c r="N1857" s="738">
        <v>1.7503999999999999E-2</v>
      </c>
      <c r="O1857" s="1041"/>
      <c r="P1857" s="73"/>
      <c r="Q1857" s="738"/>
      <c r="R1857" s="1041"/>
      <c r="S1857" s="73"/>
      <c r="T1857" s="738"/>
      <c r="U1857" s="73"/>
      <c r="V1857" s="66"/>
      <c r="W1857" s="740">
        <f t="shared" si="1707"/>
        <v>1.0852479999999998E-5</v>
      </c>
      <c r="X1857" s="741">
        <f t="shared" si="1708"/>
        <v>1.0852479999999998E-5</v>
      </c>
      <c r="Y1857" s="52">
        <v>2009</v>
      </c>
      <c r="Z1857" s="52"/>
      <c r="AA1857" s="739">
        <f>+N1857/1000</f>
        <v>1.7503999999999997E-5</v>
      </c>
      <c r="AB1857" s="256">
        <v>-0.38</v>
      </c>
      <c r="AC1857" s="688">
        <f t="shared" si="1709"/>
        <v>-0.38</v>
      </c>
      <c r="AD1857" s="164"/>
      <c r="AE1857" s="164"/>
      <c r="AF1857" s="25"/>
      <c r="AG1857" s="26"/>
      <c r="AH1857" s="275"/>
      <c r="AI1857" s="52"/>
      <c r="AJ1857" s="35"/>
      <c r="AK1857" s="289"/>
      <c r="AL1857" s="290"/>
      <c r="AM1857" s="211"/>
      <c r="AN1857" s="164"/>
      <c r="AO1857" s="594"/>
      <c r="AP1857" s="595"/>
      <c r="AQ1857" s="275"/>
      <c r="AR1857" s="52"/>
      <c r="AS1857" s="596"/>
      <c r="AT1857" s="79"/>
      <c r="AU1857" s="212"/>
      <c r="AV1857" s="164"/>
      <c r="AW1857" s="164"/>
      <c r="AX1857" s="76"/>
      <c r="AY1857" s="44"/>
      <c r="AZ1857" s="275"/>
      <c r="BA1857" s="52"/>
      <c r="BB1857" s="35"/>
      <c r="BC1857" s="79"/>
      <c r="BD1857" s="230"/>
      <c r="BE1857" s="211"/>
      <c r="BF1857" s="164"/>
      <c r="BG1857" s="76"/>
      <c r="BH1857" s="44"/>
      <c r="BI1857" s="275"/>
      <c r="BJ1857" s="52"/>
      <c r="BK1857" s="35"/>
      <c r="BL1857" s="79"/>
      <c r="BM1857" s="230"/>
      <c r="BN1857" s="211"/>
      <c r="BO1857" s="164"/>
      <c r="BP1857" s="726"/>
      <c r="BQ1857" s="727"/>
      <c r="BR1857" s="299"/>
      <c r="BS1857" s="35"/>
      <c r="BT1857" s="596"/>
      <c r="BU1857" s="79"/>
      <c r="BV1857" s="212"/>
      <c r="BW1857" s="304"/>
      <c r="BX1857" s="313"/>
      <c r="BY1857" s="138"/>
    </row>
    <row r="1858" spans="1:77" ht="15" customHeight="1" outlineLevel="1" x14ac:dyDescent="0.2">
      <c r="A1858" s="57" t="s">
        <v>24</v>
      </c>
      <c r="B1858" s="583"/>
      <c r="C1858" s="583" t="s">
        <v>1441</v>
      </c>
      <c r="D1858" s="546">
        <v>1.6919999999999999</v>
      </c>
      <c r="E1858" s="162" t="s">
        <v>631</v>
      </c>
      <c r="F1858" s="358"/>
      <c r="G1858" s="65"/>
      <c r="H1858" s="73"/>
      <c r="I1858" s="90"/>
      <c r="J1858" s="73"/>
      <c r="K1858" s="790">
        <v>5.6849999999999999E-3</v>
      </c>
      <c r="L1858" s="717"/>
      <c r="M1858" s="73"/>
      <c r="N1858" s="359"/>
      <c r="O1858" s="1041"/>
      <c r="P1858" s="73"/>
      <c r="Q1858" s="359"/>
      <c r="R1858" s="1041"/>
      <c r="S1858" s="73"/>
      <c r="T1858" s="359"/>
      <c r="U1858" s="73"/>
      <c r="V1858" s="66"/>
      <c r="W1858" s="788">
        <f t="shared" si="1707"/>
        <v>3.4109999999999996E-6</v>
      </c>
      <c r="X1858" s="789">
        <f t="shared" si="1708"/>
        <v>3.4109999999999996E-6</v>
      </c>
      <c r="Y1858" s="52">
        <v>2005</v>
      </c>
      <c r="Z1858" s="52"/>
      <c r="AA1858" s="787">
        <f>+K1858/1000</f>
        <v>5.6849999999999998E-6</v>
      </c>
      <c r="AB1858" s="256">
        <v>-0.4</v>
      </c>
      <c r="AC1858" s="688">
        <f t="shared" si="1709"/>
        <v>-0.4</v>
      </c>
      <c r="AD1858" s="164"/>
      <c r="AE1858" s="164"/>
      <c r="AF1858" s="25"/>
      <c r="AG1858" s="26"/>
      <c r="AH1858" s="275"/>
      <c r="AI1858" s="52"/>
      <c r="AJ1858" s="35"/>
      <c r="AK1858" s="289"/>
      <c r="AL1858" s="290"/>
      <c r="AM1858" s="211"/>
      <c r="AN1858" s="164"/>
      <c r="AO1858" s="594"/>
      <c r="AP1858" s="595"/>
      <c r="AQ1858" s="275"/>
      <c r="AR1858" s="52"/>
      <c r="AS1858" s="596"/>
      <c r="AT1858" s="79"/>
      <c r="AU1858" s="212"/>
      <c r="AV1858" s="164"/>
      <c r="AW1858" s="164"/>
      <c r="AX1858" s="76"/>
      <c r="AY1858" s="44"/>
      <c r="AZ1858" s="275"/>
      <c r="BA1858" s="52"/>
      <c r="BB1858" s="35"/>
      <c r="BC1858" s="79"/>
      <c r="BD1858" s="230"/>
      <c r="BE1858" s="211"/>
      <c r="BF1858" s="164"/>
      <c r="BG1858" s="76"/>
      <c r="BH1858" s="44"/>
      <c r="BI1858" s="275"/>
      <c r="BJ1858" s="52"/>
      <c r="BK1858" s="35"/>
      <c r="BL1858" s="79"/>
      <c r="BM1858" s="230"/>
      <c r="BN1858" s="211"/>
      <c r="BO1858" s="164"/>
      <c r="BP1858" s="726"/>
      <c r="BQ1858" s="727"/>
      <c r="BR1858" s="299"/>
      <c r="BS1858" s="35"/>
      <c r="BT1858" s="596"/>
      <c r="BU1858" s="79"/>
      <c r="BV1858" s="212"/>
      <c r="BW1858" s="304"/>
      <c r="BX1858" s="313"/>
      <c r="BY1858" s="138"/>
    </row>
    <row r="1859" spans="1:77" ht="15" customHeight="1" outlineLevel="1" x14ac:dyDescent="0.2">
      <c r="A1859" s="583" t="s">
        <v>24</v>
      </c>
      <c r="B1859" s="583"/>
      <c r="C1859" s="583" t="s">
        <v>2012</v>
      </c>
      <c r="D1859" s="546">
        <v>0.67700000000000005</v>
      </c>
      <c r="E1859" s="162" t="s">
        <v>631</v>
      </c>
      <c r="F1859" s="358"/>
      <c r="G1859" s="65"/>
      <c r="H1859" s="73"/>
      <c r="I1859" s="90">
        <v>2007</v>
      </c>
      <c r="J1859" s="73"/>
      <c r="K1859" s="790">
        <v>4.1570000000000001E-3</v>
      </c>
      <c r="L1859" s="717"/>
      <c r="M1859" s="73"/>
      <c r="N1859" s="359"/>
      <c r="O1859" s="1041"/>
      <c r="P1859" s="73"/>
      <c r="Q1859" s="359"/>
      <c r="R1859" s="1041"/>
      <c r="S1859" s="73"/>
      <c r="T1859" s="359"/>
      <c r="U1859" s="73"/>
      <c r="V1859" s="66"/>
      <c r="W1859" s="788">
        <f t="shared" ref="W1859" si="1732">AA1859*(1+AB1859)</f>
        <v>2.9930399999999998E-6</v>
      </c>
      <c r="X1859" s="789">
        <f t="shared" ref="X1859" si="1733">AA1859*(1+AC1859)</f>
        <v>2.9930399999999998E-6</v>
      </c>
      <c r="Y1859" s="52">
        <v>2007</v>
      </c>
      <c r="Z1859" s="52"/>
      <c r="AA1859" s="787">
        <f>+K1859/1000</f>
        <v>4.1570000000000002E-6</v>
      </c>
      <c r="AB1859" s="256">
        <v>-0.28000000000000003</v>
      </c>
      <c r="AC1859" s="688">
        <f t="shared" si="1709"/>
        <v>-0.28000000000000003</v>
      </c>
      <c r="AD1859" s="164"/>
      <c r="AE1859" s="164"/>
      <c r="AF1859" s="25"/>
      <c r="AG1859" s="26"/>
      <c r="AH1859" s="275"/>
      <c r="AI1859" s="52"/>
      <c r="AJ1859" s="35"/>
      <c r="AK1859" s="289"/>
      <c r="AL1859" s="290"/>
      <c r="AM1859" s="211"/>
      <c r="AN1859" s="164"/>
      <c r="AO1859" s="594"/>
      <c r="AP1859" s="595"/>
      <c r="AQ1859" s="275"/>
      <c r="AR1859" s="52"/>
      <c r="AS1859" s="596"/>
      <c r="AT1859" s="79"/>
      <c r="AU1859" s="212"/>
      <c r="AV1859" s="164"/>
      <c r="AW1859" s="164"/>
      <c r="AX1859" s="76"/>
      <c r="AY1859" s="44"/>
      <c r="AZ1859" s="275"/>
      <c r="BA1859" s="52"/>
      <c r="BB1859" s="35"/>
      <c r="BC1859" s="79"/>
      <c r="BD1859" s="230"/>
      <c r="BE1859" s="211"/>
      <c r="BF1859" s="164"/>
      <c r="BG1859" s="76"/>
      <c r="BH1859" s="44"/>
      <c r="BI1859" s="275"/>
      <c r="BJ1859" s="52"/>
      <c r="BK1859" s="35"/>
      <c r="BL1859" s="79"/>
      <c r="BM1859" s="230"/>
      <c r="BN1859" s="211"/>
      <c r="BO1859" s="164"/>
      <c r="BP1859" s="726"/>
      <c r="BQ1859" s="727"/>
      <c r="BR1859" s="299"/>
      <c r="BS1859" s="35"/>
      <c r="BT1859" s="596"/>
      <c r="BU1859" s="79"/>
      <c r="BV1859" s="212"/>
      <c r="BW1859" s="304"/>
      <c r="BX1859" s="313"/>
      <c r="BY1859" s="138"/>
    </row>
    <row r="1860" spans="1:77" ht="15" customHeight="1" outlineLevel="1" x14ac:dyDescent="0.2">
      <c r="A1860" s="57" t="s">
        <v>24</v>
      </c>
      <c r="B1860" s="583"/>
      <c r="C1860" s="583" t="s">
        <v>480</v>
      </c>
      <c r="D1860" s="546">
        <v>910.50400000000002</v>
      </c>
      <c r="E1860" s="162" t="s">
        <v>2519</v>
      </c>
      <c r="F1860" s="800">
        <v>1991</v>
      </c>
      <c r="G1860" s="65"/>
      <c r="H1860" s="73">
        <v>5.0999999999999996</v>
      </c>
      <c r="I1860" s="90"/>
      <c r="J1860" s="73"/>
      <c r="K1860" s="734"/>
      <c r="L1860" s="717"/>
      <c r="M1860" s="73"/>
      <c r="N1860" s="359"/>
      <c r="O1860" s="1041">
        <v>2014</v>
      </c>
      <c r="P1860" s="73"/>
      <c r="Q1860" s="359">
        <v>3.496156</v>
      </c>
      <c r="R1860" s="1041"/>
      <c r="S1860" s="73"/>
      <c r="T1860" s="359"/>
      <c r="U1860" s="73"/>
      <c r="V1860" s="66"/>
      <c r="W1860" s="594">
        <f t="shared" si="1707"/>
        <v>3.0599999999999998E-3</v>
      </c>
      <c r="X1860" s="595">
        <f t="shared" si="1708"/>
        <v>3.0599999999999998E-3</v>
      </c>
      <c r="Y1860" s="52">
        <v>1991</v>
      </c>
      <c r="Z1860" s="52"/>
      <c r="AA1860" s="35">
        <f>+H1860/1000</f>
        <v>5.0999999999999995E-3</v>
      </c>
      <c r="AB1860" s="256">
        <v>-0.4</v>
      </c>
      <c r="AC1860" s="688">
        <f t="shared" si="1709"/>
        <v>-0.4</v>
      </c>
      <c r="AD1860" s="164"/>
      <c r="AE1860" s="164"/>
      <c r="AF1860" s="25"/>
      <c r="AG1860" s="26"/>
      <c r="AH1860" s="275"/>
      <c r="AI1860" s="52"/>
      <c r="AJ1860" s="35"/>
      <c r="AK1860" s="289"/>
      <c r="AL1860" s="290"/>
      <c r="AM1860" s="211"/>
      <c r="AN1860" s="164"/>
      <c r="AO1860" s="594"/>
      <c r="AP1860" s="595"/>
      <c r="AQ1860" s="275"/>
      <c r="AR1860" s="52"/>
      <c r="AS1860" s="596"/>
      <c r="AT1860" s="79"/>
      <c r="AU1860" s="212"/>
      <c r="AV1860" s="164"/>
      <c r="AW1860" s="164"/>
      <c r="AX1860" s="76"/>
      <c r="AY1860" s="44"/>
      <c r="AZ1860" s="275"/>
      <c r="BA1860" s="52"/>
      <c r="BB1860" s="35"/>
      <c r="BC1860" s="79"/>
      <c r="BD1860" s="230"/>
      <c r="BE1860" s="211"/>
      <c r="BF1860" s="164"/>
      <c r="BG1860" s="76"/>
      <c r="BH1860" s="44"/>
      <c r="BI1860" s="275"/>
      <c r="BJ1860" s="52"/>
      <c r="BK1860" s="35"/>
      <c r="BL1860" s="79"/>
      <c r="BM1860" s="230"/>
      <c r="BN1860" s="211"/>
      <c r="BO1860" s="164"/>
      <c r="BP1860" s="726"/>
      <c r="BQ1860" s="727"/>
      <c r="BR1860" s="299"/>
      <c r="BS1860" s="35"/>
      <c r="BT1860" s="596"/>
      <c r="BU1860" s="79"/>
      <c r="BV1860" s="212"/>
      <c r="BW1860" s="304"/>
      <c r="BX1860" s="313"/>
      <c r="BY1860" s="138"/>
    </row>
    <row r="1861" spans="1:77" ht="15" customHeight="1" outlineLevel="1" x14ac:dyDescent="0.2">
      <c r="A1861" s="57" t="s">
        <v>24</v>
      </c>
      <c r="B1861" s="583"/>
      <c r="C1861" s="583" t="s">
        <v>480</v>
      </c>
      <c r="D1861" s="546">
        <v>872</v>
      </c>
      <c r="E1861" s="162" t="s">
        <v>387</v>
      </c>
      <c r="F1861" s="358"/>
      <c r="G1861" s="65"/>
      <c r="H1861" s="73">
        <v>6.3470000000000004</v>
      </c>
      <c r="I1861" s="90"/>
      <c r="J1861" s="73"/>
      <c r="K1861" s="66"/>
      <c r="L1861" s="717">
        <v>2013</v>
      </c>
      <c r="M1861" s="73"/>
      <c r="N1861" s="359">
        <v>5.0650000000000004</v>
      </c>
      <c r="O1861" s="1041">
        <v>2013</v>
      </c>
      <c r="P1861" s="73"/>
      <c r="Q1861" s="359">
        <v>5.0650000000000004</v>
      </c>
      <c r="R1861" s="1041"/>
      <c r="S1861" s="73"/>
      <c r="T1861" s="359"/>
      <c r="U1861" s="73"/>
      <c r="V1861" s="66"/>
      <c r="W1861" s="594">
        <f t="shared" si="1707"/>
        <v>3.8081999999999999E-3</v>
      </c>
      <c r="X1861" s="595">
        <f t="shared" si="1708"/>
        <v>3.8081999999999999E-3</v>
      </c>
      <c r="Y1861" s="52">
        <v>1990</v>
      </c>
      <c r="Z1861" s="52"/>
      <c r="AA1861" s="596">
        <f>+H1861/1000</f>
        <v>6.3470000000000002E-3</v>
      </c>
      <c r="AB1861" s="256">
        <v>-0.4</v>
      </c>
      <c r="AC1861" s="688">
        <f t="shared" si="1709"/>
        <v>-0.4</v>
      </c>
      <c r="AD1861" s="164"/>
      <c r="AE1861" s="164"/>
      <c r="AF1861" s="25"/>
      <c r="AG1861" s="26"/>
      <c r="AH1861" s="275"/>
      <c r="AI1861" s="52"/>
      <c r="AJ1861" s="35"/>
      <c r="AK1861" s="289"/>
      <c r="AL1861" s="290"/>
      <c r="AM1861" s="211"/>
      <c r="AN1861" s="164"/>
      <c r="AO1861" s="594"/>
      <c r="AP1861" s="595"/>
      <c r="AQ1861" s="275"/>
      <c r="AR1861" s="52"/>
      <c r="AS1861" s="596"/>
      <c r="AT1861" s="79"/>
      <c r="AU1861" s="212"/>
      <c r="AV1861" s="164"/>
      <c r="AW1861" s="164"/>
      <c r="AX1861" s="76"/>
      <c r="AY1861" s="44"/>
      <c r="AZ1861" s="275"/>
      <c r="BA1861" s="52"/>
      <c r="BB1861" s="35"/>
      <c r="BC1861" s="79"/>
      <c r="BD1861" s="230"/>
      <c r="BE1861" s="211"/>
      <c r="BF1861" s="164"/>
      <c r="BG1861" s="76"/>
      <c r="BH1861" s="44"/>
      <c r="BI1861" s="275"/>
      <c r="BJ1861" s="52"/>
      <c r="BK1861" s="35"/>
      <c r="BL1861" s="79"/>
      <c r="BM1861" s="230"/>
      <c r="BN1861" s="211"/>
      <c r="BO1861" s="164"/>
      <c r="BP1861" s="726"/>
      <c r="BQ1861" s="727"/>
      <c r="BR1861" s="299"/>
      <c r="BS1861" s="35"/>
      <c r="BT1861" s="596"/>
      <c r="BU1861" s="79"/>
      <c r="BV1861" s="212"/>
      <c r="BW1861" s="304"/>
      <c r="BX1861" s="313"/>
      <c r="BY1861" s="138"/>
    </row>
    <row r="1862" spans="1:77" ht="15" customHeight="1" outlineLevel="1" x14ac:dyDescent="0.2">
      <c r="A1862" s="583" t="s">
        <v>24</v>
      </c>
      <c r="B1862" s="583"/>
      <c r="C1862" s="583" t="s">
        <v>1948</v>
      </c>
      <c r="D1862" s="546">
        <v>1.5129999999999999</v>
      </c>
      <c r="E1862" s="162" t="s">
        <v>631</v>
      </c>
      <c r="F1862" s="358"/>
      <c r="G1862" s="65"/>
      <c r="H1862" s="73"/>
      <c r="I1862" s="90"/>
      <c r="J1862" s="73"/>
      <c r="K1862" s="66"/>
      <c r="L1862" s="717"/>
      <c r="M1862" s="73"/>
      <c r="N1862" s="359">
        <v>2.8479999999999998E-3</v>
      </c>
      <c r="O1862" s="1041"/>
      <c r="P1862" s="73"/>
      <c r="Q1862" s="359"/>
      <c r="R1862" s="1041"/>
      <c r="S1862" s="73"/>
      <c r="T1862" s="359"/>
      <c r="U1862" s="73"/>
      <c r="V1862" s="66"/>
      <c r="W1862" s="788">
        <f t="shared" ref="W1862" si="1734">AA1862*(1+AB1862)</f>
        <v>2.0790399999999997E-6</v>
      </c>
      <c r="X1862" s="789">
        <f t="shared" ref="X1862" si="1735">AA1862*(1+AC1862)</f>
        <v>2.0790399999999997E-6</v>
      </c>
      <c r="Y1862" s="52">
        <v>2010</v>
      </c>
      <c r="Z1862" s="52"/>
      <c r="AA1862" s="787">
        <f>+N1862/1000</f>
        <v>2.8479999999999997E-6</v>
      </c>
      <c r="AB1862" s="256">
        <v>-0.27</v>
      </c>
      <c r="AC1862" s="688">
        <v>-0.27</v>
      </c>
      <c r="AD1862" s="164"/>
      <c r="AE1862" s="164"/>
      <c r="AF1862" s="25"/>
      <c r="AG1862" s="26"/>
      <c r="AH1862" s="275"/>
      <c r="AI1862" s="52"/>
      <c r="AJ1862" s="35"/>
      <c r="AK1862" s="289"/>
      <c r="AL1862" s="290"/>
      <c r="AM1862" s="211"/>
      <c r="AN1862" s="164"/>
      <c r="AO1862" s="594"/>
      <c r="AP1862" s="595"/>
      <c r="AQ1862" s="275"/>
      <c r="AR1862" s="52"/>
      <c r="AS1862" s="596"/>
      <c r="AT1862" s="79"/>
      <c r="AU1862" s="212"/>
      <c r="AV1862" s="164"/>
      <c r="AW1862" s="164"/>
      <c r="AX1862" s="76"/>
      <c r="AY1862" s="44"/>
      <c r="AZ1862" s="275"/>
      <c r="BA1862" s="52"/>
      <c r="BB1862" s="35"/>
      <c r="BC1862" s="79"/>
      <c r="BD1862" s="230"/>
      <c r="BE1862" s="211"/>
      <c r="BF1862" s="164"/>
      <c r="BG1862" s="76"/>
      <c r="BH1862" s="44"/>
      <c r="BI1862" s="275"/>
      <c r="BJ1862" s="52"/>
      <c r="BK1862" s="35"/>
      <c r="BL1862" s="79"/>
      <c r="BM1862" s="230"/>
      <c r="BN1862" s="211"/>
      <c r="BO1862" s="164"/>
      <c r="BP1862" s="726"/>
      <c r="BQ1862" s="727"/>
      <c r="BR1862" s="299"/>
      <c r="BS1862" s="35"/>
      <c r="BT1862" s="596"/>
      <c r="BU1862" s="79"/>
      <c r="BV1862" s="212"/>
      <c r="BW1862" s="304"/>
      <c r="BX1862" s="313"/>
      <c r="BY1862" s="138"/>
    </row>
    <row r="1863" spans="1:77" ht="15" customHeight="1" outlineLevel="1" x14ac:dyDescent="0.2">
      <c r="A1863" s="583" t="s">
        <v>24</v>
      </c>
      <c r="B1863" s="583"/>
      <c r="C1863" s="583" t="s">
        <v>2031</v>
      </c>
      <c r="D1863" s="546">
        <v>1.304</v>
      </c>
      <c r="E1863" s="162" t="s">
        <v>631</v>
      </c>
      <c r="F1863" s="358"/>
      <c r="G1863" s="65"/>
      <c r="H1863" s="73"/>
      <c r="I1863" s="90"/>
      <c r="J1863" s="73"/>
      <c r="K1863" s="66"/>
      <c r="L1863" s="717">
        <v>2011</v>
      </c>
      <c r="M1863" s="73"/>
      <c r="N1863" s="786">
        <v>1.884E-3</v>
      </c>
      <c r="O1863" s="1041"/>
      <c r="P1863" s="73"/>
      <c r="Q1863" s="359"/>
      <c r="R1863" s="1041"/>
      <c r="S1863" s="73"/>
      <c r="T1863" s="359"/>
      <c r="U1863" s="73"/>
      <c r="V1863" s="66"/>
      <c r="W1863" s="788">
        <f t="shared" ref="W1863" si="1736">AA1863*(1+AB1863)</f>
        <v>1.3564799999999999E-6</v>
      </c>
      <c r="X1863" s="789">
        <f t="shared" ref="X1863" si="1737">AA1863*(1+AC1863)</f>
        <v>1.3564799999999999E-6</v>
      </c>
      <c r="Y1863" s="52">
        <v>2011</v>
      </c>
      <c r="Z1863" s="52"/>
      <c r="AA1863" s="787">
        <f>+N1863/1000</f>
        <v>1.8840000000000001E-6</v>
      </c>
      <c r="AB1863" s="256">
        <v>-0.28000000000000003</v>
      </c>
      <c r="AC1863" s="688">
        <v>-0.28000000000000003</v>
      </c>
      <c r="AD1863" s="164"/>
      <c r="AE1863" s="164"/>
      <c r="AF1863" s="25"/>
      <c r="AG1863" s="26"/>
      <c r="AH1863" s="275"/>
      <c r="AI1863" s="52"/>
      <c r="AJ1863" s="35"/>
      <c r="AK1863" s="289"/>
      <c r="AL1863" s="290"/>
      <c r="AM1863" s="211"/>
      <c r="AN1863" s="164"/>
      <c r="AO1863" s="594"/>
      <c r="AP1863" s="595"/>
      <c r="AQ1863" s="275"/>
      <c r="AR1863" s="52"/>
      <c r="AS1863" s="596"/>
      <c r="AT1863" s="79"/>
      <c r="AU1863" s="212"/>
      <c r="AV1863" s="164"/>
      <c r="AW1863" s="164"/>
      <c r="AX1863" s="76"/>
      <c r="AY1863" s="44"/>
      <c r="AZ1863" s="275"/>
      <c r="BA1863" s="52"/>
      <c r="BB1863" s="35"/>
      <c r="BC1863" s="79"/>
      <c r="BD1863" s="230"/>
      <c r="BE1863" s="211"/>
      <c r="BF1863" s="164"/>
      <c r="BG1863" s="76"/>
      <c r="BH1863" s="44"/>
      <c r="BI1863" s="275"/>
      <c r="BJ1863" s="52"/>
      <c r="BK1863" s="35"/>
      <c r="BL1863" s="79"/>
      <c r="BM1863" s="230"/>
      <c r="BN1863" s="211"/>
      <c r="BO1863" s="164"/>
      <c r="BP1863" s="726"/>
      <c r="BQ1863" s="727"/>
      <c r="BR1863" s="299"/>
      <c r="BS1863" s="35"/>
      <c r="BT1863" s="596"/>
      <c r="BU1863" s="79"/>
      <c r="BV1863" s="212"/>
      <c r="BW1863" s="304"/>
      <c r="BX1863" s="313"/>
      <c r="BY1863" s="138"/>
    </row>
    <row r="1864" spans="1:77" ht="15" customHeight="1" outlineLevel="1" x14ac:dyDescent="0.2">
      <c r="A1864" s="583" t="s">
        <v>24</v>
      </c>
      <c r="B1864" s="583"/>
      <c r="C1864" s="583" t="s">
        <v>1912</v>
      </c>
      <c r="D1864" s="546">
        <v>3.177</v>
      </c>
      <c r="E1864" s="162" t="s">
        <v>631</v>
      </c>
      <c r="F1864" s="358"/>
      <c r="G1864" s="65"/>
      <c r="H1864" s="73"/>
      <c r="I1864" s="90"/>
      <c r="J1864" s="73"/>
      <c r="K1864" s="66"/>
      <c r="L1864" s="717">
        <v>2009</v>
      </c>
      <c r="M1864" s="73"/>
      <c r="N1864" s="786">
        <v>9.8119999999999995E-3</v>
      </c>
      <c r="O1864" s="1041"/>
      <c r="P1864" s="73"/>
      <c r="Q1864" s="786"/>
      <c r="R1864" s="1041"/>
      <c r="S1864" s="73"/>
      <c r="T1864" s="786"/>
      <c r="U1864" s="73"/>
      <c r="V1864" s="66"/>
      <c r="W1864" s="788">
        <f t="shared" ref="W1864" si="1738">AA1864*(1+AB1864)</f>
        <v>7.16276E-6</v>
      </c>
      <c r="X1864" s="789">
        <f t="shared" ref="X1864" si="1739">AA1864*(1+AC1864)</f>
        <v>7.16276E-6</v>
      </c>
      <c r="Y1864" s="52">
        <v>2009</v>
      </c>
      <c r="Z1864" s="52"/>
      <c r="AA1864" s="787">
        <f>+N1864/1000</f>
        <v>9.8120000000000002E-6</v>
      </c>
      <c r="AB1864" s="256">
        <v>-0.27</v>
      </c>
      <c r="AC1864" s="688">
        <f t="shared" si="1709"/>
        <v>-0.27</v>
      </c>
      <c r="AD1864" s="164"/>
      <c r="AE1864" s="164"/>
      <c r="AF1864" s="25"/>
      <c r="AG1864" s="26"/>
      <c r="AH1864" s="275"/>
      <c r="AI1864" s="52"/>
      <c r="AJ1864" s="35"/>
      <c r="AK1864" s="289"/>
      <c r="AL1864" s="290"/>
      <c r="AM1864" s="211"/>
      <c r="AN1864" s="164"/>
      <c r="AO1864" s="594"/>
      <c r="AP1864" s="595"/>
      <c r="AQ1864" s="275"/>
      <c r="AR1864" s="52"/>
      <c r="AS1864" s="596"/>
      <c r="AT1864" s="79"/>
      <c r="AU1864" s="212"/>
      <c r="AV1864" s="164"/>
      <c r="AW1864" s="164"/>
      <c r="AX1864" s="76"/>
      <c r="AY1864" s="44"/>
      <c r="AZ1864" s="275"/>
      <c r="BA1864" s="52"/>
      <c r="BB1864" s="35"/>
      <c r="BC1864" s="79"/>
      <c r="BD1864" s="230"/>
      <c r="BE1864" s="211"/>
      <c r="BF1864" s="164"/>
      <c r="BG1864" s="76"/>
      <c r="BH1864" s="44"/>
      <c r="BI1864" s="275"/>
      <c r="BJ1864" s="52"/>
      <c r="BK1864" s="35"/>
      <c r="BL1864" s="79"/>
      <c r="BM1864" s="230"/>
      <c r="BN1864" s="211"/>
      <c r="BO1864" s="164"/>
      <c r="BP1864" s="726"/>
      <c r="BQ1864" s="727"/>
      <c r="BR1864" s="299"/>
      <c r="BS1864" s="35"/>
      <c r="BT1864" s="596"/>
      <c r="BU1864" s="79"/>
      <c r="BV1864" s="212"/>
      <c r="BW1864" s="304"/>
      <c r="BX1864" s="313"/>
      <c r="BY1864" s="138"/>
    </row>
    <row r="1865" spans="1:77" ht="15" customHeight="1" outlineLevel="1" x14ac:dyDescent="0.2">
      <c r="A1865" s="583" t="s">
        <v>24</v>
      </c>
      <c r="B1865" s="583"/>
      <c r="C1865" s="583" t="s">
        <v>2406</v>
      </c>
      <c r="D1865" s="546">
        <v>85.382000000000005</v>
      </c>
      <c r="E1865" s="162" t="s">
        <v>631</v>
      </c>
      <c r="F1865" s="358"/>
      <c r="G1865" s="65"/>
      <c r="H1865" s="73"/>
      <c r="I1865" s="90"/>
      <c r="J1865" s="73"/>
      <c r="K1865" s="66"/>
      <c r="L1865" s="717">
        <v>2011</v>
      </c>
      <c r="M1865" s="73"/>
      <c r="N1865" s="738">
        <v>0.55660399999999999</v>
      </c>
      <c r="O1865" s="1041"/>
      <c r="P1865" s="73"/>
      <c r="Q1865" s="786"/>
      <c r="R1865" s="1041"/>
      <c r="S1865" s="73"/>
      <c r="T1865" s="786"/>
      <c r="U1865" s="73"/>
      <c r="V1865" s="66"/>
      <c r="W1865" s="740">
        <f t="shared" ref="W1865" si="1740">AA1865*(1+AB1865)</f>
        <v>4.1745300000000003E-4</v>
      </c>
      <c r="X1865" s="741">
        <f t="shared" ref="X1865" si="1741">AA1865*(1+AC1865)</f>
        <v>4.1745300000000003E-4</v>
      </c>
      <c r="Y1865" s="52">
        <v>2011</v>
      </c>
      <c r="Z1865" s="52"/>
      <c r="AA1865" s="739">
        <f>+N1865/1000</f>
        <v>5.5660400000000004E-4</v>
      </c>
      <c r="AB1865" s="256">
        <v>-0.25</v>
      </c>
      <c r="AC1865" s="688">
        <f t="shared" ref="AC1865" si="1742">AB1865</f>
        <v>-0.25</v>
      </c>
      <c r="AD1865" s="164"/>
      <c r="AE1865" s="164"/>
      <c r="AF1865" s="25"/>
      <c r="AG1865" s="26"/>
      <c r="AH1865" s="275"/>
      <c r="AI1865" s="52"/>
      <c r="AJ1865" s="35"/>
      <c r="AK1865" s="289"/>
      <c r="AL1865" s="290"/>
      <c r="AM1865" s="211"/>
      <c r="AN1865" s="164"/>
      <c r="AO1865" s="594"/>
      <c r="AP1865" s="595"/>
      <c r="AQ1865" s="275"/>
      <c r="AR1865" s="52"/>
      <c r="AS1865" s="596"/>
      <c r="AT1865" s="79"/>
      <c r="AU1865" s="212"/>
      <c r="AV1865" s="164"/>
      <c r="AW1865" s="164"/>
      <c r="AX1865" s="76"/>
      <c r="AY1865" s="44"/>
      <c r="AZ1865" s="275"/>
      <c r="BA1865" s="52"/>
      <c r="BB1865" s="35"/>
      <c r="BC1865" s="79"/>
      <c r="BD1865" s="230"/>
      <c r="BE1865" s="211"/>
      <c r="BF1865" s="164"/>
      <c r="BG1865" s="76"/>
      <c r="BH1865" s="44"/>
      <c r="BI1865" s="275"/>
      <c r="BJ1865" s="52"/>
      <c r="BK1865" s="35"/>
      <c r="BL1865" s="79"/>
      <c r="BM1865" s="230"/>
      <c r="BN1865" s="211"/>
      <c r="BO1865" s="164"/>
      <c r="BP1865" s="726"/>
      <c r="BQ1865" s="727"/>
      <c r="BR1865" s="299"/>
      <c r="BS1865" s="35"/>
      <c r="BT1865" s="596"/>
      <c r="BU1865" s="79"/>
      <c r="BV1865" s="212"/>
      <c r="BW1865" s="304"/>
      <c r="BX1865" s="313"/>
      <c r="BY1865" s="138"/>
    </row>
    <row r="1866" spans="1:77" ht="15" customHeight="1" outlineLevel="1" x14ac:dyDescent="0.2">
      <c r="A1866" s="583" t="s">
        <v>24</v>
      </c>
      <c r="B1866" s="583"/>
      <c r="C1866" s="583" t="s">
        <v>2032</v>
      </c>
      <c r="D1866" s="546">
        <v>2.2589999999999999</v>
      </c>
      <c r="E1866" s="162" t="s">
        <v>631</v>
      </c>
      <c r="F1866" s="358"/>
      <c r="G1866" s="65"/>
      <c r="H1866" s="73"/>
      <c r="I1866" s="90"/>
      <c r="J1866" s="73"/>
      <c r="K1866" s="734"/>
      <c r="L1866" s="717">
        <v>2011</v>
      </c>
      <c r="M1866" s="73"/>
      <c r="N1866" s="786">
        <v>3.888E-3</v>
      </c>
      <c r="O1866" s="1041"/>
      <c r="P1866" s="73"/>
      <c r="Q1866" s="359"/>
      <c r="R1866" s="1041"/>
      <c r="S1866" s="73"/>
      <c r="T1866" s="359"/>
      <c r="U1866" s="73"/>
      <c r="V1866" s="66"/>
      <c r="W1866" s="740">
        <f t="shared" ref="W1866" si="1743">AA1866*(1+AB1866)</f>
        <v>2.79936E-6</v>
      </c>
      <c r="X1866" s="741">
        <f t="shared" ref="X1866" si="1744">AA1866*(1+AC1866)</f>
        <v>2.79936E-6</v>
      </c>
      <c r="Y1866" s="52">
        <v>2011</v>
      </c>
      <c r="Z1866" s="52"/>
      <c r="AA1866" s="739">
        <f>+N1866/1000</f>
        <v>3.8879999999999999E-6</v>
      </c>
      <c r="AB1866" s="256">
        <v>-0.28000000000000003</v>
      </c>
      <c r="AC1866" s="688">
        <v>-0.28000000000000003</v>
      </c>
      <c r="AD1866" s="164"/>
      <c r="AE1866" s="164"/>
      <c r="AF1866" s="25"/>
      <c r="AG1866" s="26"/>
      <c r="AH1866" s="275"/>
      <c r="AI1866" s="52"/>
      <c r="AJ1866" s="35"/>
      <c r="AK1866" s="289"/>
      <c r="AL1866" s="290"/>
      <c r="AM1866" s="211"/>
      <c r="AN1866" s="164"/>
      <c r="AO1866" s="594"/>
      <c r="AP1866" s="595"/>
      <c r="AQ1866" s="275"/>
      <c r="AR1866" s="52"/>
      <c r="AS1866" s="596"/>
      <c r="AT1866" s="79"/>
      <c r="AU1866" s="212"/>
      <c r="AV1866" s="164"/>
      <c r="AW1866" s="164"/>
      <c r="AX1866" s="76"/>
      <c r="AY1866" s="44"/>
      <c r="AZ1866" s="275"/>
      <c r="BA1866" s="52"/>
      <c r="BB1866" s="35"/>
      <c r="BC1866" s="79"/>
      <c r="BD1866" s="230"/>
      <c r="BE1866" s="211"/>
      <c r="BF1866" s="164"/>
      <c r="BG1866" s="76"/>
      <c r="BH1866" s="44"/>
      <c r="BI1866" s="275"/>
      <c r="BJ1866" s="52"/>
      <c r="BK1866" s="35"/>
      <c r="BL1866" s="79"/>
      <c r="BM1866" s="230"/>
      <c r="BN1866" s="211"/>
      <c r="BO1866" s="164"/>
      <c r="BP1866" s="726"/>
      <c r="BQ1866" s="727"/>
      <c r="BR1866" s="299"/>
      <c r="BS1866" s="35"/>
      <c r="BT1866" s="596"/>
      <c r="BU1866" s="79"/>
      <c r="BV1866" s="212"/>
      <c r="BW1866" s="304"/>
      <c r="BX1866" s="313"/>
      <c r="BY1866" s="138"/>
    </row>
    <row r="1867" spans="1:77" ht="15" customHeight="1" outlineLevel="1" x14ac:dyDescent="0.2">
      <c r="A1867" s="583" t="s">
        <v>24</v>
      </c>
      <c r="B1867" s="583"/>
      <c r="C1867" s="583" t="s">
        <v>1733</v>
      </c>
      <c r="D1867" s="546">
        <v>0.99</v>
      </c>
      <c r="E1867" s="162" t="s">
        <v>631</v>
      </c>
      <c r="F1867" s="358"/>
      <c r="G1867" s="65"/>
      <c r="H1867" s="73"/>
      <c r="I1867" s="90"/>
      <c r="J1867" s="73"/>
      <c r="K1867" s="790">
        <v>3.2469999999999999E-3</v>
      </c>
      <c r="L1867" s="717"/>
      <c r="M1867" s="73"/>
      <c r="N1867" s="359"/>
      <c r="O1867" s="1041"/>
      <c r="P1867" s="73"/>
      <c r="Q1867" s="359"/>
      <c r="R1867" s="1041"/>
      <c r="S1867" s="73"/>
      <c r="T1867" s="359"/>
      <c r="U1867" s="73"/>
      <c r="V1867" s="66"/>
      <c r="W1867" s="788">
        <f t="shared" ref="W1867" si="1745">AA1867*(1+AB1867)</f>
        <v>2.4352500000000001E-6</v>
      </c>
      <c r="X1867" s="789">
        <f t="shared" ref="X1867" si="1746">AA1867*(1+AC1867)</f>
        <v>2.4352500000000001E-6</v>
      </c>
      <c r="Y1867" s="52">
        <v>2005</v>
      </c>
      <c r="Z1867" s="52"/>
      <c r="AA1867" s="787">
        <f t="shared" ref="AA1867:AA1874" si="1747">+K1867/1000</f>
        <v>3.247E-6</v>
      </c>
      <c r="AB1867" s="256">
        <v>-0.25</v>
      </c>
      <c r="AC1867" s="688">
        <f t="shared" si="1709"/>
        <v>-0.25</v>
      </c>
      <c r="AD1867" s="164"/>
      <c r="AE1867" s="164"/>
      <c r="AF1867" s="25"/>
      <c r="AG1867" s="26"/>
      <c r="AH1867" s="275"/>
      <c r="AI1867" s="52"/>
      <c r="AJ1867" s="35"/>
      <c r="AK1867" s="289"/>
      <c r="AL1867" s="290"/>
      <c r="AM1867" s="211"/>
      <c r="AN1867" s="164"/>
      <c r="AO1867" s="594"/>
      <c r="AP1867" s="595"/>
      <c r="AQ1867" s="275"/>
      <c r="AR1867" s="52"/>
      <c r="AS1867" s="596"/>
      <c r="AT1867" s="79"/>
      <c r="AU1867" s="212"/>
      <c r="AV1867" s="164"/>
      <c r="AW1867" s="164"/>
      <c r="AX1867" s="76"/>
      <c r="AY1867" s="44"/>
      <c r="AZ1867" s="275"/>
      <c r="BA1867" s="52"/>
      <c r="BB1867" s="35"/>
      <c r="BC1867" s="79"/>
      <c r="BD1867" s="230"/>
      <c r="BE1867" s="211"/>
      <c r="BF1867" s="164"/>
      <c r="BG1867" s="76"/>
      <c r="BH1867" s="44"/>
      <c r="BI1867" s="275"/>
      <c r="BJ1867" s="52"/>
      <c r="BK1867" s="35"/>
      <c r="BL1867" s="79"/>
      <c r="BM1867" s="230"/>
      <c r="BN1867" s="211"/>
      <c r="BO1867" s="164"/>
      <c r="BP1867" s="726"/>
      <c r="BQ1867" s="727"/>
      <c r="BR1867" s="299"/>
      <c r="BS1867" s="35"/>
      <c r="BT1867" s="596"/>
      <c r="BU1867" s="79"/>
      <c r="BV1867" s="212"/>
      <c r="BW1867" s="304"/>
      <c r="BX1867" s="313"/>
      <c r="BY1867" s="138"/>
    </row>
    <row r="1868" spans="1:77" ht="15" customHeight="1" outlineLevel="1" x14ac:dyDescent="0.2">
      <c r="A1868" s="583" t="s">
        <v>24</v>
      </c>
      <c r="B1868" s="583"/>
      <c r="C1868" s="583" t="s">
        <v>1831</v>
      </c>
      <c r="D1868" s="546">
        <v>5.6349999999999998</v>
      </c>
      <c r="E1868" s="162" t="s">
        <v>631</v>
      </c>
      <c r="F1868" s="358"/>
      <c r="G1868" s="65"/>
      <c r="H1868" s="73"/>
      <c r="I1868" s="90"/>
      <c r="J1868" s="73"/>
      <c r="K1868" s="790"/>
      <c r="L1868" s="717">
        <v>2011</v>
      </c>
      <c r="M1868" s="73"/>
      <c r="N1868" s="786">
        <v>1.6442999999999999E-2</v>
      </c>
      <c r="O1868" s="1041"/>
      <c r="P1868" s="73"/>
      <c r="Q1868" s="786"/>
      <c r="R1868" s="1041"/>
      <c r="S1868" s="73"/>
      <c r="T1868" s="786"/>
      <c r="U1868" s="73"/>
      <c r="V1868" s="66"/>
      <c r="W1868" s="788">
        <f t="shared" ref="W1868" si="1748">AA1868*(1+AB1868)</f>
        <v>1.2167819999999999E-5</v>
      </c>
      <c r="X1868" s="789">
        <f t="shared" ref="X1868" si="1749">AA1868*(1+AC1868)</f>
        <v>1.2167819999999999E-5</v>
      </c>
      <c r="Y1868" s="52">
        <v>2011</v>
      </c>
      <c r="Z1868" s="52"/>
      <c r="AA1868" s="787">
        <f>+N1868/1000</f>
        <v>1.6442999999999998E-5</v>
      </c>
      <c r="AB1868" s="256">
        <v>-0.26</v>
      </c>
      <c r="AC1868" s="688">
        <f t="shared" si="1709"/>
        <v>-0.26</v>
      </c>
      <c r="AD1868" s="164"/>
      <c r="AE1868" s="164"/>
      <c r="AF1868" s="25"/>
      <c r="AG1868" s="26"/>
      <c r="AH1868" s="275"/>
      <c r="AI1868" s="52"/>
      <c r="AJ1868" s="35"/>
      <c r="AK1868" s="289"/>
      <c r="AL1868" s="290"/>
      <c r="AM1868" s="211"/>
      <c r="AN1868" s="164"/>
      <c r="AO1868" s="594"/>
      <c r="AP1868" s="595"/>
      <c r="AQ1868" s="275"/>
      <c r="AR1868" s="52"/>
      <c r="AS1868" s="596"/>
      <c r="AT1868" s="79"/>
      <c r="AU1868" s="212"/>
      <c r="AV1868" s="164"/>
      <c r="AW1868" s="164"/>
      <c r="AX1868" s="76"/>
      <c r="AY1868" s="44"/>
      <c r="AZ1868" s="275"/>
      <c r="BA1868" s="52"/>
      <c r="BB1868" s="35"/>
      <c r="BC1868" s="79"/>
      <c r="BD1868" s="230"/>
      <c r="BE1868" s="211"/>
      <c r="BF1868" s="164"/>
      <c r="BG1868" s="76"/>
      <c r="BH1868" s="44"/>
      <c r="BI1868" s="275"/>
      <c r="BJ1868" s="52"/>
      <c r="BK1868" s="35"/>
      <c r="BL1868" s="79"/>
      <c r="BM1868" s="230"/>
      <c r="BN1868" s="211"/>
      <c r="BO1868" s="164"/>
      <c r="BP1868" s="726"/>
      <c r="BQ1868" s="727"/>
      <c r="BR1868" s="299"/>
      <c r="BS1868" s="35"/>
      <c r="BT1868" s="596"/>
      <c r="BU1868" s="79"/>
      <c r="BV1868" s="212"/>
      <c r="BW1868" s="304"/>
      <c r="BX1868" s="313"/>
      <c r="BY1868" s="138"/>
    </row>
    <row r="1869" spans="1:77" ht="15" customHeight="1" outlineLevel="1" x14ac:dyDescent="0.2">
      <c r="A1869" s="583" t="s">
        <v>24</v>
      </c>
      <c r="B1869" s="583"/>
      <c r="C1869" s="583" t="s">
        <v>1747</v>
      </c>
      <c r="D1869" s="546">
        <v>2.7269999999999999</v>
      </c>
      <c r="E1869" s="162" t="s">
        <v>631</v>
      </c>
      <c r="F1869" s="358"/>
      <c r="G1869" s="65"/>
      <c r="H1869" s="73"/>
      <c r="I1869" s="90"/>
      <c r="J1869" s="73"/>
      <c r="K1869" s="790">
        <v>1.0448000000000001E-2</v>
      </c>
      <c r="L1869" s="717"/>
      <c r="M1869" s="73"/>
      <c r="N1869" s="359"/>
      <c r="O1869" s="1041"/>
      <c r="P1869" s="73"/>
      <c r="Q1869" s="359"/>
      <c r="R1869" s="1041"/>
      <c r="S1869" s="73"/>
      <c r="T1869" s="359"/>
      <c r="U1869" s="73"/>
      <c r="V1869" s="66"/>
      <c r="W1869" s="788">
        <f t="shared" ref="W1869" si="1750">AA1869*(1+AB1869)</f>
        <v>7.8360000000000009E-6</v>
      </c>
      <c r="X1869" s="789">
        <f t="shared" ref="X1869" si="1751">AA1869*(1+AC1869)</f>
        <v>7.8360000000000009E-6</v>
      </c>
      <c r="Y1869" s="52">
        <v>2005</v>
      </c>
      <c r="Z1869" s="52"/>
      <c r="AA1869" s="787">
        <f t="shared" si="1747"/>
        <v>1.0448000000000001E-5</v>
      </c>
      <c r="AB1869" s="256">
        <v>-0.25</v>
      </c>
      <c r="AC1869" s="688">
        <f t="shared" si="1709"/>
        <v>-0.25</v>
      </c>
      <c r="AD1869" s="164"/>
      <c r="AE1869" s="164"/>
      <c r="AF1869" s="25"/>
      <c r="AG1869" s="26"/>
      <c r="AH1869" s="275"/>
      <c r="AI1869" s="52"/>
      <c r="AJ1869" s="35"/>
      <c r="AK1869" s="289"/>
      <c r="AL1869" s="290"/>
      <c r="AM1869" s="211"/>
      <c r="AN1869" s="164"/>
      <c r="AO1869" s="594"/>
      <c r="AP1869" s="595"/>
      <c r="AQ1869" s="275"/>
      <c r="AR1869" s="52"/>
      <c r="AS1869" s="596"/>
      <c r="AT1869" s="79"/>
      <c r="AU1869" s="212"/>
      <c r="AV1869" s="164"/>
      <c r="AW1869" s="164"/>
      <c r="AX1869" s="76"/>
      <c r="AY1869" s="44"/>
      <c r="AZ1869" s="275"/>
      <c r="BA1869" s="52"/>
      <c r="BB1869" s="35"/>
      <c r="BC1869" s="79"/>
      <c r="BD1869" s="230"/>
      <c r="BE1869" s="211"/>
      <c r="BF1869" s="164"/>
      <c r="BG1869" s="76"/>
      <c r="BH1869" s="44"/>
      <c r="BI1869" s="275"/>
      <c r="BJ1869" s="52"/>
      <c r="BK1869" s="35"/>
      <c r="BL1869" s="79"/>
      <c r="BM1869" s="230"/>
      <c r="BN1869" s="211"/>
      <c r="BO1869" s="164"/>
      <c r="BP1869" s="726"/>
      <c r="BQ1869" s="727"/>
      <c r="BR1869" s="299"/>
      <c r="BS1869" s="35"/>
      <c r="BT1869" s="596"/>
      <c r="BU1869" s="79"/>
      <c r="BV1869" s="212"/>
      <c r="BW1869" s="304"/>
      <c r="BX1869" s="313"/>
      <c r="BY1869" s="138"/>
    </row>
    <row r="1870" spans="1:77" ht="15" customHeight="1" outlineLevel="1" x14ac:dyDescent="0.2">
      <c r="A1870" s="583" t="s">
        <v>24</v>
      </c>
      <c r="B1870" s="583"/>
      <c r="C1870" s="583" t="s">
        <v>2033</v>
      </c>
      <c r="D1870" s="546">
        <v>0.57199999999999995</v>
      </c>
      <c r="E1870" s="162" t="s">
        <v>631</v>
      </c>
      <c r="F1870" s="358"/>
      <c r="G1870" s="65"/>
      <c r="H1870" s="73"/>
      <c r="I1870" s="90"/>
      <c r="J1870" s="73"/>
      <c r="K1870" s="790"/>
      <c r="L1870" s="717">
        <v>2011</v>
      </c>
      <c r="M1870" s="73"/>
      <c r="N1870" s="811">
        <v>9.9500000000000001E-4</v>
      </c>
      <c r="O1870" s="1041"/>
      <c r="P1870" s="73"/>
      <c r="Q1870" s="359"/>
      <c r="R1870" s="1041"/>
      <c r="S1870" s="73"/>
      <c r="T1870" s="359"/>
      <c r="U1870" s="73"/>
      <c r="V1870" s="66"/>
      <c r="W1870" s="788">
        <f t="shared" ref="W1870" si="1752">AA1870*(1+AB1870)</f>
        <v>7.1639999999999993E-7</v>
      </c>
      <c r="X1870" s="789">
        <f t="shared" ref="X1870" si="1753">AA1870*(1+AC1870)</f>
        <v>7.1639999999999993E-7</v>
      </c>
      <c r="Y1870" s="52">
        <v>2011</v>
      </c>
      <c r="Z1870" s="52"/>
      <c r="AA1870" s="787">
        <f>+N1870/1000</f>
        <v>9.95E-7</v>
      </c>
      <c r="AB1870" s="256">
        <v>-0.28000000000000003</v>
      </c>
      <c r="AC1870" s="688">
        <f t="shared" si="1709"/>
        <v>-0.28000000000000003</v>
      </c>
      <c r="AD1870" s="164"/>
      <c r="AE1870" s="164"/>
      <c r="AF1870" s="25"/>
      <c r="AG1870" s="26"/>
      <c r="AH1870" s="275"/>
      <c r="AI1870" s="52"/>
      <c r="AJ1870" s="35"/>
      <c r="AK1870" s="289"/>
      <c r="AL1870" s="290"/>
      <c r="AM1870" s="211"/>
      <c r="AN1870" s="164"/>
      <c r="AO1870" s="594"/>
      <c r="AP1870" s="595"/>
      <c r="AQ1870" s="275"/>
      <c r="AR1870" s="52"/>
      <c r="AS1870" s="596"/>
      <c r="AT1870" s="79"/>
      <c r="AU1870" s="212"/>
      <c r="AV1870" s="164"/>
      <c r="AW1870" s="164"/>
      <c r="AX1870" s="76"/>
      <c r="AY1870" s="44"/>
      <c r="AZ1870" s="275"/>
      <c r="BA1870" s="52"/>
      <c r="BB1870" s="35"/>
      <c r="BC1870" s="79"/>
      <c r="BD1870" s="230"/>
      <c r="BE1870" s="211"/>
      <c r="BF1870" s="164"/>
      <c r="BG1870" s="76"/>
      <c r="BH1870" s="44"/>
      <c r="BI1870" s="275"/>
      <c r="BJ1870" s="52"/>
      <c r="BK1870" s="35"/>
      <c r="BL1870" s="79"/>
      <c r="BM1870" s="230"/>
      <c r="BN1870" s="211"/>
      <c r="BO1870" s="164"/>
      <c r="BP1870" s="726"/>
      <c r="BQ1870" s="727"/>
      <c r="BR1870" s="299"/>
      <c r="BS1870" s="35"/>
      <c r="BT1870" s="596"/>
      <c r="BU1870" s="79"/>
      <c r="BV1870" s="212"/>
      <c r="BW1870" s="304"/>
      <c r="BX1870" s="313"/>
      <c r="BY1870" s="138"/>
    </row>
    <row r="1871" spans="1:77" ht="15" customHeight="1" outlineLevel="1" x14ac:dyDescent="0.2">
      <c r="A1871" s="583" t="s">
        <v>24</v>
      </c>
      <c r="B1871" s="583"/>
      <c r="C1871" s="583" t="s">
        <v>1748</v>
      </c>
      <c r="D1871" s="546">
        <v>10.202</v>
      </c>
      <c r="E1871" s="162" t="s">
        <v>631</v>
      </c>
      <c r="F1871" s="358"/>
      <c r="G1871" s="65"/>
      <c r="H1871" s="73"/>
      <c r="I1871" s="90"/>
      <c r="J1871" s="73"/>
      <c r="K1871" s="790">
        <v>2.7722E-2</v>
      </c>
      <c r="L1871" s="717"/>
      <c r="M1871" s="73"/>
      <c r="N1871" s="359"/>
      <c r="O1871" s="1041"/>
      <c r="P1871" s="73"/>
      <c r="Q1871" s="359"/>
      <c r="R1871" s="1041"/>
      <c r="S1871" s="73"/>
      <c r="T1871" s="359"/>
      <c r="U1871" s="73"/>
      <c r="V1871" s="66"/>
      <c r="W1871" s="788">
        <f t="shared" ref="W1871" si="1754">AA1871*(1+AB1871)</f>
        <v>2.0791499999999999E-5</v>
      </c>
      <c r="X1871" s="789">
        <f t="shared" ref="X1871" si="1755">AA1871*(1+AC1871)</f>
        <v>2.0791499999999999E-5</v>
      </c>
      <c r="Y1871" s="52">
        <v>2005</v>
      </c>
      <c r="Z1871" s="52"/>
      <c r="AA1871" s="787">
        <f t="shared" si="1747"/>
        <v>2.7722E-5</v>
      </c>
      <c r="AB1871" s="256">
        <v>-0.25</v>
      </c>
      <c r="AC1871" s="688">
        <f t="shared" si="1709"/>
        <v>-0.25</v>
      </c>
      <c r="AD1871" s="164"/>
      <c r="AE1871" s="164"/>
      <c r="AF1871" s="25"/>
      <c r="AG1871" s="26"/>
      <c r="AH1871" s="275"/>
      <c r="AI1871" s="52"/>
      <c r="AJ1871" s="35"/>
      <c r="AK1871" s="289"/>
      <c r="AL1871" s="290"/>
      <c r="AM1871" s="211"/>
      <c r="AN1871" s="164"/>
      <c r="AO1871" s="594"/>
      <c r="AP1871" s="595"/>
      <c r="AQ1871" s="275"/>
      <c r="AR1871" s="52"/>
      <c r="AS1871" s="596"/>
      <c r="AT1871" s="79"/>
      <c r="AU1871" s="212"/>
      <c r="AV1871" s="164"/>
      <c r="AW1871" s="164"/>
      <c r="AX1871" s="76"/>
      <c r="AY1871" s="44"/>
      <c r="AZ1871" s="275"/>
      <c r="BA1871" s="52"/>
      <c r="BB1871" s="35"/>
      <c r="BC1871" s="79"/>
      <c r="BD1871" s="230"/>
      <c r="BE1871" s="211"/>
      <c r="BF1871" s="164"/>
      <c r="BG1871" s="76"/>
      <c r="BH1871" s="44"/>
      <c r="BI1871" s="275"/>
      <c r="BJ1871" s="52"/>
      <c r="BK1871" s="35"/>
      <c r="BL1871" s="79"/>
      <c r="BM1871" s="230"/>
      <c r="BN1871" s="211"/>
      <c r="BO1871" s="164"/>
      <c r="BP1871" s="726"/>
      <c r="BQ1871" s="727"/>
      <c r="BR1871" s="299"/>
      <c r="BS1871" s="35"/>
      <c r="BT1871" s="596"/>
      <c r="BU1871" s="79"/>
      <c r="BV1871" s="212"/>
      <c r="BW1871" s="304"/>
      <c r="BX1871" s="313"/>
      <c r="BY1871" s="138"/>
    </row>
    <row r="1872" spans="1:77" ht="15" customHeight="1" outlineLevel="1" x14ac:dyDescent="0.2">
      <c r="A1872" s="583" t="s">
        <v>24</v>
      </c>
      <c r="B1872" s="583"/>
      <c r="C1872" s="583" t="s">
        <v>1721</v>
      </c>
      <c r="D1872" s="546">
        <v>1.4570000000000001</v>
      </c>
      <c r="E1872" s="162" t="s">
        <v>631</v>
      </c>
      <c r="F1872" s="358"/>
      <c r="G1872" s="65"/>
      <c r="H1872" s="73"/>
      <c r="I1872" s="90"/>
      <c r="J1872" s="73"/>
      <c r="K1872" s="734">
        <v>5.3030000000000004E-3</v>
      </c>
      <c r="L1872" s="717"/>
      <c r="M1872" s="73"/>
      <c r="N1872" s="359"/>
      <c r="O1872" s="1041"/>
      <c r="P1872" s="73"/>
      <c r="Q1872" s="359"/>
      <c r="R1872" s="1041"/>
      <c r="S1872" s="73"/>
      <c r="T1872" s="359"/>
      <c r="U1872" s="73"/>
      <c r="V1872" s="66"/>
      <c r="W1872" s="788">
        <f t="shared" ref="W1872" si="1756">AA1872*(1+AB1872)</f>
        <v>3.9772500000000008E-6</v>
      </c>
      <c r="X1872" s="789">
        <f t="shared" ref="X1872" si="1757">AA1872*(1+AC1872)</f>
        <v>3.9772500000000008E-6</v>
      </c>
      <c r="Y1872" s="52">
        <v>2005</v>
      </c>
      <c r="Z1872" s="52"/>
      <c r="AA1872" s="787">
        <f t="shared" si="1747"/>
        <v>5.3030000000000007E-6</v>
      </c>
      <c r="AB1872" s="256">
        <v>-0.25</v>
      </c>
      <c r="AC1872" s="688">
        <f t="shared" si="1709"/>
        <v>-0.25</v>
      </c>
      <c r="AD1872" s="164"/>
      <c r="AE1872" s="164"/>
      <c r="AF1872" s="25"/>
      <c r="AG1872" s="26"/>
      <c r="AH1872" s="275"/>
      <c r="AI1872" s="52"/>
      <c r="AJ1872" s="35"/>
      <c r="AK1872" s="289"/>
      <c r="AL1872" s="290"/>
      <c r="AM1872" s="211"/>
      <c r="AN1872" s="164"/>
      <c r="AO1872" s="594"/>
      <c r="AP1872" s="595"/>
      <c r="AQ1872" s="275"/>
      <c r="AR1872" s="52"/>
      <c r="AS1872" s="596"/>
      <c r="AT1872" s="79"/>
      <c r="AU1872" s="212"/>
      <c r="AV1872" s="164"/>
      <c r="AW1872" s="164"/>
      <c r="AX1872" s="76"/>
      <c r="AY1872" s="44"/>
      <c r="AZ1872" s="275"/>
      <c r="BA1872" s="52"/>
      <c r="BB1872" s="35"/>
      <c r="BC1872" s="79"/>
      <c r="BD1872" s="230"/>
      <c r="BE1872" s="211"/>
      <c r="BF1872" s="164"/>
      <c r="BG1872" s="76"/>
      <c r="BH1872" s="44"/>
      <c r="BI1872" s="275"/>
      <c r="BJ1872" s="52"/>
      <c r="BK1872" s="35"/>
      <c r="BL1872" s="79"/>
      <c r="BM1872" s="230"/>
      <c r="BN1872" s="211"/>
      <c r="BO1872" s="164"/>
      <c r="BP1872" s="726"/>
      <c r="BQ1872" s="727"/>
      <c r="BR1872" s="299"/>
      <c r="BS1872" s="35"/>
      <c r="BT1872" s="596"/>
      <c r="BU1872" s="79"/>
      <c r="BV1872" s="212"/>
      <c r="BW1872" s="304"/>
      <c r="BX1872" s="313"/>
      <c r="BY1872" s="138"/>
    </row>
    <row r="1873" spans="1:77" ht="15" customHeight="1" outlineLevel="1" x14ac:dyDescent="0.2">
      <c r="A1873" s="583" t="s">
        <v>24</v>
      </c>
      <c r="B1873" s="583"/>
      <c r="C1873" s="583" t="s">
        <v>2671</v>
      </c>
      <c r="D1873" s="546">
        <v>3.2120000000000002</v>
      </c>
      <c r="E1873" s="162" t="s">
        <v>631</v>
      </c>
      <c r="F1873" s="358"/>
      <c r="G1873" s="65"/>
      <c r="H1873" s="73"/>
      <c r="I1873" s="90"/>
      <c r="J1873" s="73"/>
      <c r="K1873" s="734"/>
      <c r="L1873" s="717">
        <v>2009</v>
      </c>
      <c r="M1873" s="73"/>
      <c r="N1873" s="786">
        <v>9.5980000000000006E-3</v>
      </c>
      <c r="O1873" s="1041"/>
      <c r="P1873" s="73"/>
      <c r="Q1873" s="359"/>
      <c r="R1873" s="1041"/>
      <c r="S1873" s="73"/>
      <c r="T1873" s="359"/>
      <c r="U1873" s="73"/>
      <c r="V1873" s="66"/>
      <c r="W1873" s="788">
        <f t="shared" ref="W1873" si="1758">AA1873*(1+AB1873)</f>
        <v>6.8145800000000002E-6</v>
      </c>
      <c r="X1873" s="789">
        <f t="shared" ref="X1873" si="1759">AA1873*(1+AC1873)</f>
        <v>6.8145800000000002E-6</v>
      </c>
      <c r="Y1873" s="52">
        <v>2009</v>
      </c>
      <c r="Z1873" s="52"/>
      <c r="AA1873" s="787">
        <f>+N1873/1000</f>
        <v>9.5980000000000003E-6</v>
      </c>
      <c r="AB1873" s="256">
        <v>-0.28999999999999998</v>
      </c>
      <c r="AC1873" s="688">
        <f t="shared" ref="AC1873" si="1760">AB1873</f>
        <v>-0.28999999999999998</v>
      </c>
      <c r="AD1873" s="164"/>
      <c r="AE1873" s="164"/>
      <c r="AF1873" s="25"/>
      <c r="AG1873" s="26"/>
      <c r="AH1873" s="275"/>
      <c r="AI1873" s="52"/>
      <c r="AJ1873" s="35"/>
      <c r="AK1873" s="289"/>
      <c r="AL1873" s="290"/>
      <c r="AM1873" s="211"/>
      <c r="AN1873" s="164"/>
      <c r="AO1873" s="594"/>
      <c r="AP1873" s="595"/>
      <c r="AQ1873" s="275"/>
      <c r="AR1873" s="52"/>
      <c r="AS1873" s="596"/>
      <c r="AT1873" s="79"/>
      <c r="AU1873" s="212"/>
      <c r="AV1873" s="164"/>
      <c r="AW1873" s="164"/>
      <c r="AX1873" s="76"/>
      <c r="AY1873" s="44"/>
      <c r="AZ1873" s="275"/>
      <c r="BA1873" s="52"/>
      <c r="BB1873" s="35"/>
      <c r="BC1873" s="79"/>
      <c r="BD1873" s="230"/>
      <c r="BE1873" s="211"/>
      <c r="BF1873" s="164"/>
      <c r="BG1873" s="76"/>
      <c r="BH1873" s="44"/>
      <c r="BI1873" s="275"/>
      <c r="BJ1873" s="52"/>
      <c r="BK1873" s="35"/>
      <c r="BL1873" s="79"/>
      <c r="BM1873" s="230"/>
      <c r="BN1873" s="211"/>
      <c r="BO1873" s="164"/>
      <c r="BP1873" s="726"/>
      <c r="BQ1873" s="727"/>
      <c r="BR1873" s="299"/>
      <c r="BS1873" s="35"/>
      <c r="BT1873" s="596"/>
      <c r="BU1873" s="79"/>
      <c r="BV1873" s="212"/>
      <c r="BW1873" s="304"/>
      <c r="BX1873" s="313"/>
      <c r="BY1873" s="138"/>
    </row>
    <row r="1874" spans="1:77" ht="15" customHeight="1" outlineLevel="1" x14ac:dyDescent="0.2">
      <c r="A1874" s="57" t="s">
        <v>24</v>
      </c>
      <c r="B1874" s="583"/>
      <c r="C1874" s="583" t="s">
        <v>1570</v>
      </c>
      <c r="D1874" s="546">
        <v>2.1280000000000001</v>
      </c>
      <c r="E1874" s="162" t="s">
        <v>631</v>
      </c>
      <c r="F1874" s="358"/>
      <c r="G1874" s="65"/>
      <c r="H1874" s="73"/>
      <c r="I1874" s="90">
        <v>2007</v>
      </c>
      <c r="J1874" s="73"/>
      <c r="K1874" s="734">
        <v>9.5560000000000003E-3</v>
      </c>
      <c r="L1874" s="717"/>
      <c r="M1874" s="73"/>
      <c r="N1874" s="359"/>
      <c r="O1874" s="1041"/>
      <c r="P1874" s="73"/>
      <c r="Q1874" s="359"/>
      <c r="R1874" s="1041"/>
      <c r="S1874" s="73"/>
      <c r="T1874" s="359"/>
      <c r="U1874" s="73"/>
      <c r="V1874" s="66"/>
      <c r="W1874" s="740">
        <f t="shared" si="1707"/>
        <v>5.6380400000000003E-6</v>
      </c>
      <c r="X1874" s="741">
        <f t="shared" si="1708"/>
        <v>5.6380400000000003E-6</v>
      </c>
      <c r="Y1874" s="52">
        <v>2007</v>
      </c>
      <c r="Z1874" s="52"/>
      <c r="AA1874" s="739">
        <f t="shared" si="1747"/>
        <v>9.5559999999999996E-6</v>
      </c>
      <c r="AB1874" s="256">
        <v>-0.41</v>
      </c>
      <c r="AC1874" s="688">
        <f t="shared" si="1709"/>
        <v>-0.41</v>
      </c>
      <c r="AD1874" s="164"/>
      <c r="AE1874" s="164"/>
      <c r="AF1874" s="25"/>
      <c r="AG1874" s="26"/>
      <c r="AH1874" s="275"/>
      <c r="AI1874" s="52"/>
      <c r="AJ1874" s="35"/>
      <c r="AK1874" s="289"/>
      <c r="AL1874" s="290"/>
      <c r="AM1874" s="211"/>
      <c r="AN1874" s="164"/>
      <c r="AO1874" s="594"/>
      <c r="AP1874" s="595"/>
      <c r="AQ1874" s="275"/>
      <c r="AR1874" s="52"/>
      <c r="AS1874" s="596"/>
      <c r="AT1874" s="79"/>
      <c r="AU1874" s="212"/>
      <c r="AV1874" s="164"/>
      <c r="AW1874" s="164"/>
      <c r="AX1874" s="76"/>
      <c r="AY1874" s="44"/>
      <c r="AZ1874" s="275"/>
      <c r="BA1874" s="52"/>
      <c r="BB1874" s="35"/>
      <c r="BC1874" s="79"/>
      <c r="BD1874" s="230"/>
      <c r="BE1874" s="211"/>
      <c r="BF1874" s="164"/>
      <c r="BG1874" s="76"/>
      <c r="BH1874" s="44"/>
      <c r="BI1874" s="275"/>
      <c r="BJ1874" s="52"/>
      <c r="BK1874" s="35"/>
      <c r="BL1874" s="79"/>
      <c r="BM1874" s="230"/>
      <c r="BN1874" s="211"/>
      <c r="BO1874" s="164"/>
      <c r="BP1874" s="726"/>
      <c r="BQ1874" s="727"/>
      <c r="BR1874" s="299"/>
      <c r="BS1874" s="35"/>
      <c r="BT1874" s="596"/>
      <c r="BU1874" s="79"/>
      <c r="BV1874" s="212"/>
      <c r="BW1874" s="304"/>
      <c r="BX1874" s="313"/>
      <c r="BY1874" s="138"/>
    </row>
    <row r="1875" spans="1:77" ht="15" customHeight="1" outlineLevel="1" x14ac:dyDescent="0.2">
      <c r="A1875" s="583" t="s">
        <v>24</v>
      </c>
      <c r="B1875" s="583"/>
      <c r="C1875" s="583" t="s">
        <v>1791</v>
      </c>
      <c r="D1875" s="546">
        <v>0.56100000000000005</v>
      </c>
      <c r="E1875" s="162" t="s">
        <v>631</v>
      </c>
      <c r="F1875" s="358"/>
      <c r="G1875" s="65"/>
      <c r="H1875" s="73"/>
      <c r="I1875" s="90"/>
      <c r="J1875" s="73"/>
      <c r="K1875" s="734"/>
      <c r="L1875" s="717">
        <v>2008</v>
      </c>
      <c r="M1875" s="73"/>
      <c r="N1875" s="786">
        <v>1.841E-3</v>
      </c>
      <c r="O1875" s="1041"/>
      <c r="P1875" s="73"/>
      <c r="Q1875" s="786"/>
      <c r="R1875" s="1041"/>
      <c r="S1875" s="73"/>
      <c r="T1875" s="786"/>
      <c r="U1875" s="73"/>
      <c r="V1875" s="66"/>
      <c r="W1875" s="788">
        <f t="shared" ref="W1875" si="1761">AA1875*(1+AB1875)</f>
        <v>1.3807500000000001E-6</v>
      </c>
      <c r="X1875" s="789">
        <f t="shared" ref="X1875" si="1762">AA1875*(1+AC1875)</f>
        <v>1.3807500000000001E-6</v>
      </c>
      <c r="Y1875" s="52">
        <v>2008</v>
      </c>
      <c r="Z1875" s="52"/>
      <c r="AA1875" s="787">
        <f>+N1875/1000</f>
        <v>1.841E-6</v>
      </c>
      <c r="AB1875" s="256">
        <v>-0.25</v>
      </c>
      <c r="AC1875" s="688">
        <f t="shared" si="1709"/>
        <v>-0.25</v>
      </c>
      <c r="AD1875" s="164"/>
      <c r="AE1875" s="164"/>
      <c r="AF1875" s="25"/>
      <c r="AG1875" s="26"/>
      <c r="AH1875" s="275"/>
      <c r="AI1875" s="52"/>
      <c r="AJ1875" s="35"/>
      <c r="AK1875" s="289"/>
      <c r="AL1875" s="290"/>
      <c r="AM1875" s="211"/>
      <c r="AN1875" s="164"/>
      <c r="AO1875" s="594"/>
      <c r="AP1875" s="595"/>
      <c r="AQ1875" s="275"/>
      <c r="AR1875" s="52"/>
      <c r="AS1875" s="596"/>
      <c r="AT1875" s="79"/>
      <c r="AU1875" s="212"/>
      <c r="AV1875" s="164"/>
      <c r="AW1875" s="164"/>
      <c r="AX1875" s="76"/>
      <c r="AY1875" s="44"/>
      <c r="AZ1875" s="275"/>
      <c r="BA1875" s="52"/>
      <c r="BB1875" s="35"/>
      <c r="BC1875" s="79"/>
      <c r="BD1875" s="230"/>
      <c r="BE1875" s="211"/>
      <c r="BF1875" s="164"/>
      <c r="BG1875" s="76"/>
      <c r="BH1875" s="44"/>
      <c r="BI1875" s="275"/>
      <c r="BJ1875" s="52"/>
      <c r="BK1875" s="35"/>
      <c r="BL1875" s="79"/>
      <c r="BM1875" s="230"/>
      <c r="BN1875" s="211"/>
      <c r="BO1875" s="164"/>
      <c r="BP1875" s="726"/>
      <c r="BQ1875" s="727"/>
      <c r="BR1875" s="299"/>
      <c r="BS1875" s="35"/>
      <c r="BT1875" s="596"/>
      <c r="BU1875" s="79"/>
      <c r="BV1875" s="212"/>
      <c r="BW1875" s="304"/>
      <c r="BX1875" s="313"/>
      <c r="BY1875" s="138"/>
    </row>
    <row r="1876" spans="1:77" ht="15" customHeight="1" outlineLevel="1" x14ac:dyDescent="0.2">
      <c r="A1876" s="57" t="s">
        <v>24</v>
      </c>
      <c r="B1876" s="583"/>
      <c r="C1876" s="583" t="s">
        <v>1579</v>
      </c>
      <c r="D1876" s="546">
        <v>17.797000000000001</v>
      </c>
      <c r="E1876" s="162" t="s">
        <v>631</v>
      </c>
      <c r="F1876" s="358"/>
      <c r="G1876" s="65"/>
      <c r="H1876" s="73"/>
      <c r="I1876" s="90"/>
      <c r="J1876" s="73"/>
      <c r="K1876" s="734"/>
      <c r="L1876" s="717">
        <v>2011</v>
      </c>
      <c r="M1876" s="73"/>
      <c r="N1876" s="738">
        <v>1.2515E-2</v>
      </c>
      <c r="O1876" s="1041"/>
      <c r="P1876" s="73"/>
      <c r="Q1876" s="738"/>
      <c r="R1876" s="1041"/>
      <c r="S1876" s="73"/>
      <c r="T1876" s="738"/>
      <c r="U1876" s="73"/>
      <c r="V1876" s="66"/>
      <c r="W1876" s="740">
        <f t="shared" si="1707"/>
        <v>8.6353499999999986E-6</v>
      </c>
      <c r="X1876" s="741">
        <f t="shared" si="1708"/>
        <v>8.6353499999999986E-6</v>
      </c>
      <c r="Y1876" s="52">
        <v>2011</v>
      </c>
      <c r="Z1876" s="52"/>
      <c r="AA1876" s="739">
        <f>+N1876/1000</f>
        <v>1.2515E-5</v>
      </c>
      <c r="AB1876" s="256">
        <v>-0.31</v>
      </c>
      <c r="AC1876" s="688">
        <f t="shared" si="1709"/>
        <v>-0.31</v>
      </c>
      <c r="AD1876" s="164"/>
      <c r="AE1876" s="164"/>
      <c r="AF1876" s="25"/>
      <c r="AG1876" s="26"/>
      <c r="AH1876" s="275"/>
      <c r="AI1876" s="52"/>
      <c r="AJ1876" s="35"/>
      <c r="AK1876" s="289"/>
      <c r="AL1876" s="290"/>
      <c r="AM1876" s="211"/>
      <c r="AN1876" s="164"/>
      <c r="AO1876" s="594"/>
      <c r="AP1876" s="595"/>
      <c r="AQ1876" s="275"/>
      <c r="AR1876" s="52"/>
      <c r="AS1876" s="596"/>
      <c r="AT1876" s="79"/>
      <c r="AU1876" s="212"/>
      <c r="AV1876" s="164"/>
      <c r="AW1876" s="164"/>
      <c r="AX1876" s="76"/>
      <c r="AY1876" s="44"/>
      <c r="AZ1876" s="275"/>
      <c r="BA1876" s="52"/>
      <c r="BB1876" s="35"/>
      <c r="BC1876" s="79"/>
      <c r="BD1876" s="230"/>
      <c r="BE1876" s="211"/>
      <c r="BF1876" s="164"/>
      <c r="BG1876" s="76"/>
      <c r="BH1876" s="44"/>
      <c r="BI1876" s="275"/>
      <c r="BJ1876" s="52"/>
      <c r="BK1876" s="35"/>
      <c r="BL1876" s="79"/>
      <c r="BM1876" s="230"/>
      <c r="BN1876" s="211"/>
      <c r="BO1876" s="164"/>
      <c r="BP1876" s="726"/>
      <c r="BQ1876" s="727"/>
      <c r="BR1876" s="299"/>
      <c r="BS1876" s="35"/>
      <c r="BT1876" s="596"/>
      <c r="BU1876" s="79"/>
      <c r="BV1876" s="212"/>
      <c r="BW1876" s="304"/>
      <c r="BX1876" s="313"/>
      <c r="BY1876" s="138"/>
    </row>
    <row r="1877" spans="1:77" ht="15" customHeight="1" outlineLevel="1" x14ac:dyDescent="0.2">
      <c r="A1877" s="583" t="s">
        <v>24</v>
      </c>
      <c r="B1877" s="583"/>
      <c r="C1877" s="583" t="s">
        <v>1860</v>
      </c>
      <c r="D1877" s="546">
        <v>5.95</v>
      </c>
      <c r="E1877" s="162" t="s">
        <v>631</v>
      </c>
      <c r="F1877" s="358"/>
      <c r="G1877" s="65"/>
      <c r="H1877" s="73"/>
      <c r="I1877" s="90">
        <v>2004</v>
      </c>
      <c r="J1877" s="73"/>
      <c r="K1877" s="734">
        <v>2.1860000000000001E-2</v>
      </c>
      <c r="L1877" s="717"/>
      <c r="M1877" s="73"/>
      <c r="N1877" s="738"/>
      <c r="O1877" s="1041"/>
      <c r="P1877" s="73"/>
      <c r="Q1877" s="738"/>
      <c r="R1877" s="1041"/>
      <c r="S1877" s="73"/>
      <c r="T1877" s="738"/>
      <c r="U1877" s="73"/>
      <c r="V1877" s="66"/>
      <c r="W1877" s="740">
        <f t="shared" ref="W1877" si="1763">AA1877*(1+AB1877)</f>
        <v>1.61764E-5</v>
      </c>
      <c r="X1877" s="741">
        <f t="shared" ref="X1877" si="1764">AA1877*(1+AC1877)</f>
        <v>1.61764E-5</v>
      </c>
      <c r="Y1877" s="52">
        <v>2004</v>
      </c>
      <c r="Z1877" s="52"/>
      <c r="AA1877" s="739">
        <f>+K1877/1000</f>
        <v>2.1860000000000001E-5</v>
      </c>
      <c r="AB1877" s="256">
        <v>-0.26</v>
      </c>
      <c r="AC1877" s="688">
        <f t="shared" si="1709"/>
        <v>-0.26</v>
      </c>
      <c r="AD1877" s="164"/>
      <c r="AE1877" s="164"/>
      <c r="AF1877" s="25"/>
      <c r="AG1877" s="26"/>
      <c r="AH1877" s="275"/>
      <c r="AI1877" s="52"/>
      <c r="AJ1877" s="35"/>
      <c r="AK1877" s="289"/>
      <c r="AL1877" s="290"/>
      <c r="AM1877" s="211"/>
      <c r="AN1877" s="164"/>
      <c r="AO1877" s="594"/>
      <c r="AP1877" s="595"/>
      <c r="AQ1877" s="275"/>
      <c r="AR1877" s="52"/>
      <c r="AS1877" s="596"/>
      <c r="AT1877" s="79"/>
      <c r="AU1877" s="212"/>
      <c r="AV1877" s="164"/>
      <c r="AW1877" s="164"/>
      <c r="AX1877" s="76"/>
      <c r="AY1877" s="44"/>
      <c r="AZ1877" s="275"/>
      <c r="BA1877" s="52"/>
      <c r="BB1877" s="35"/>
      <c r="BC1877" s="79"/>
      <c r="BD1877" s="230"/>
      <c r="BE1877" s="211"/>
      <c r="BF1877" s="164"/>
      <c r="BG1877" s="76"/>
      <c r="BH1877" s="44"/>
      <c r="BI1877" s="275"/>
      <c r="BJ1877" s="52"/>
      <c r="BK1877" s="35"/>
      <c r="BL1877" s="79"/>
      <c r="BM1877" s="230"/>
      <c r="BN1877" s="211"/>
      <c r="BO1877" s="164"/>
      <c r="BP1877" s="726"/>
      <c r="BQ1877" s="727"/>
      <c r="BR1877" s="299"/>
      <c r="BS1877" s="35"/>
      <c r="BT1877" s="596"/>
      <c r="BU1877" s="79"/>
      <c r="BV1877" s="212"/>
      <c r="BW1877" s="304"/>
      <c r="BX1877" s="313"/>
      <c r="BY1877" s="138"/>
    </row>
    <row r="1878" spans="1:77" ht="15" customHeight="1" outlineLevel="1" x14ac:dyDescent="0.2">
      <c r="A1878" s="583" t="s">
        <v>24</v>
      </c>
      <c r="B1878" s="583"/>
      <c r="C1878" s="583" t="s">
        <v>1858</v>
      </c>
      <c r="D1878" s="546">
        <v>14.426</v>
      </c>
      <c r="E1878" s="162" t="s">
        <v>631</v>
      </c>
      <c r="F1878" s="358"/>
      <c r="G1878" s="65"/>
      <c r="H1878" s="73"/>
      <c r="I1878" s="90"/>
      <c r="J1878" s="73"/>
      <c r="K1878" s="734"/>
      <c r="L1878" s="717"/>
      <c r="M1878" s="73"/>
      <c r="N1878" s="738">
        <v>6.1866999999999998E-2</v>
      </c>
      <c r="O1878" s="1041"/>
      <c r="P1878" s="73"/>
      <c r="Q1878" s="738"/>
      <c r="R1878" s="1041"/>
      <c r="S1878" s="73"/>
      <c r="T1878" s="738"/>
      <c r="U1878" s="73"/>
      <c r="V1878" s="66"/>
      <c r="W1878" s="740">
        <f t="shared" ref="W1878" si="1765">AA1878*(1+AB1878)</f>
        <v>4.5781579999999994E-5</v>
      </c>
      <c r="X1878" s="741">
        <f t="shared" ref="X1878" si="1766">AA1878*(1+AC1878)</f>
        <v>4.5781579999999994E-5</v>
      </c>
      <c r="Y1878" s="52">
        <v>2010</v>
      </c>
      <c r="Z1878" s="52"/>
      <c r="AA1878" s="739">
        <f>+N1878/1000</f>
        <v>6.1866999999999996E-5</v>
      </c>
      <c r="AB1878" s="256">
        <v>-0.26</v>
      </c>
      <c r="AC1878" s="688">
        <f t="shared" si="1709"/>
        <v>-0.26</v>
      </c>
      <c r="AD1878" s="164"/>
      <c r="AE1878" s="164"/>
      <c r="AF1878" s="25"/>
      <c r="AG1878" s="26"/>
      <c r="AH1878" s="275"/>
      <c r="AI1878" s="52"/>
      <c r="AJ1878" s="35"/>
      <c r="AK1878" s="289"/>
      <c r="AL1878" s="290"/>
      <c r="AM1878" s="211"/>
      <c r="AN1878" s="164"/>
      <c r="AO1878" s="594"/>
      <c r="AP1878" s="595"/>
      <c r="AQ1878" s="275"/>
      <c r="AR1878" s="52"/>
      <c r="AS1878" s="596"/>
      <c r="AT1878" s="79"/>
      <c r="AU1878" s="212"/>
      <c r="AV1878" s="164"/>
      <c r="AW1878" s="164"/>
      <c r="AX1878" s="76"/>
      <c r="AY1878" s="44"/>
      <c r="AZ1878" s="275"/>
      <c r="BA1878" s="52"/>
      <c r="BB1878" s="35"/>
      <c r="BC1878" s="79"/>
      <c r="BD1878" s="230"/>
      <c r="BE1878" s="211"/>
      <c r="BF1878" s="164"/>
      <c r="BG1878" s="76"/>
      <c r="BH1878" s="44"/>
      <c r="BI1878" s="275"/>
      <c r="BJ1878" s="52"/>
      <c r="BK1878" s="35"/>
      <c r="BL1878" s="79"/>
      <c r="BM1878" s="230"/>
      <c r="BN1878" s="211"/>
      <c r="BO1878" s="164"/>
      <c r="BP1878" s="726"/>
      <c r="BQ1878" s="727"/>
      <c r="BR1878" s="299"/>
      <c r="BS1878" s="35"/>
      <c r="BT1878" s="596"/>
      <c r="BU1878" s="79"/>
      <c r="BV1878" s="212"/>
      <c r="BW1878" s="304"/>
      <c r="BX1878" s="313"/>
      <c r="BY1878" s="138"/>
    </row>
    <row r="1879" spans="1:77" ht="15" customHeight="1" outlineLevel="1" x14ac:dyDescent="0.2">
      <c r="A1879" s="583" t="s">
        <v>24</v>
      </c>
      <c r="B1879" s="583"/>
      <c r="C1879" s="583" t="s">
        <v>1953</v>
      </c>
      <c r="D1879" s="546">
        <v>0.50800000000000001</v>
      </c>
      <c r="E1879" s="162" t="s">
        <v>631</v>
      </c>
      <c r="F1879" s="358"/>
      <c r="G1879" s="65"/>
      <c r="H1879" s="73"/>
      <c r="I1879" s="90"/>
      <c r="J1879" s="73"/>
      <c r="K1879" s="734">
        <v>1.426E-3</v>
      </c>
      <c r="L1879" s="717"/>
      <c r="M1879" s="73"/>
      <c r="N1879" s="738"/>
      <c r="O1879" s="1041"/>
      <c r="P1879" s="73"/>
      <c r="Q1879" s="738"/>
      <c r="R1879" s="1041"/>
      <c r="S1879" s="73"/>
      <c r="T1879" s="738"/>
      <c r="U1879" s="73"/>
      <c r="V1879" s="66"/>
      <c r="W1879" s="808">
        <f t="shared" ref="W1879" si="1767">AA1879*(1+AB1879)</f>
        <v>1.0409799999999999E-6</v>
      </c>
      <c r="X1879" s="809">
        <f t="shared" ref="X1879" si="1768">AA1879*(1+AC1879)</f>
        <v>1.0409799999999999E-6</v>
      </c>
      <c r="Y1879" s="52">
        <v>2005</v>
      </c>
      <c r="Z1879" s="52"/>
      <c r="AA1879" s="807">
        <f>+K1879/1000</f>
        <v>1.426E-6</v>
      </c>
      <c r="AB1879" s="256">
        <v>-0.27</v>
      </c>
      <c r="AC1879" s="688">
        <f t="shared" si="1709"/>
        <v>-0.27</v>
      </c>
      <c r="AD1879" s="164"/>
      <c r="AE1879" s="164"/>
      <c r="AF1879" s="25"/>
      <c r="AG1879" s="26"/>
      <c r="AH1879" s="275"/>
      <c r="AI1879" s="52"/>
      <c r="AJ1879" s="35"/>
      <c r="AK1879" s="289"/>
      <c r="AL1879" s="290"/>
      <c r="AM1879" s="211"/>
      <c r="AN1879" s="164"/>
      <c r="AO1879" s="594"/>
      <c r="AP1879" s="595"/>
      <c r="AQ1879" s="275"/>
      <c r="AR1879" s="52"/>
      <c r="AS1879" s="596"/>
      <c r="AT1879" s="79"/>
      <c r="AU1879" s="212"/>
      <c r="AV1879" s="164"/>
      <c r="AW1879" s="164"/>
      <c r="AX1879" s="76"/>
      <c r="AY1879" s="44"/>
      <c r="AZ1879" s="275"/>
      <c r="BA1879" s="52"/>
      <c r="BB1879" s="35"/>
      <c r="BC1879" s="79"/>
      <c r="BD1879" s="230"/>
      <c r="BE1879" s="211"/>
      <c r="BF1879" s="164"/>
      <c r="BG1879" s="76"/>
      <c r="BH1879" s="44"/>
      <c r="BI1879" s="275"/>
      <c r="BJ1879" s="52"/>
      <c r="BK1879" s="35"/>
      <c r="BL1879" s="79"/>
      <c r="BM1879" s="230"/>
      <c r="BN1879" s="211"/>
      <c r="BO1879" s="164"/>
      <c r="BP1879" s="726"/>
      <c r="BQ1879" s="727"/>
      <c r="BR1879" s="299"/>
      <c r="BS1879" s="35"/>
      <c r="BT1879" s="596"/>
      <c r="BU1879" s="79"/>
      <c r="BV1879" s="212"/>
      <c r="BW1879" s="304"/>
      <c r="BX1879" s="313"/>
      <c r="BY1879" s="138"/>
    </row>
    <row r="1880" spans="1:77" ht="15" customHeight="1" outlineLevel="1" x14ac:dyDescent="0.2">
      <c r="A1880" s="583" t="s">
        <v>24</v>
      </c>
      <c r="B1880" s="583"/>
      <c r="C1880" s="583" t="s">
        <v>2214</v>
      </c>
      <c r="D1880" s="546">
        <v>300</v>
      </c>
      <c r="E1880" s="162" t="s">
        <v>387</v>
      </c>
      <c r="F1880" s="358"/>
      <c r="G1880" s="65"/>
      <c r="H1880" s="73"/>
      <c r="I1880" s="90">
        <v>2006</v>
      </c>
      <c r="J1880" s="73"/>
      <c r="K1880" s="734">
        <v>0.69247899999999996</v>
      </c>
      <c r="L1880" s="717"/>
      <c r="M1880" s="73"/>
      <c r="N1880" s="738"/>
      <c r="O1880" s="1041">
        <v>2016</v>
      </c>
      <c r="P1880" s="73"/>
      <c r="Q1880" s="738">
        <v>0.61358800000000002</v>
      </c>
      <c r="R1880" s="1041">
        <v>2016</v>
      </c>
      <c r="S1880" s="73"/>
      <c r="T1880" s="738">
        <v>0.61358800000000002</v>
      </c>
      <c r="U1880" s="73"/>
      <c r="V1880" s="66"/>
      <c r="W1880" s="740">
        <f t="shared" ref="W1880" si="1769">AA1880*(1+AB1880)</f>
        <v>5.5398320000000004E-4</v>
      </c>
      <c r="X1880" s="741">
        <f t="shared" ref="X1880" si="1770">AA1880*(1+AC1880)</f>
        <v>5.5398320000000004E-4</v>
      </c>
      <c r="Y1880" s="52">
        <v>2006</v>
      </c>
      <c r="Z1880" s="52"/>
      <c r="AA1880" s="739">
        <f>+K1880/1000</f>
        <v>6.9247899999999997E-4</v>
      </c>
      <c r="AB1880" s="256">
        <v>-0.2</v>
      </c>
      <c r="AC1880" s="688">
        <f t="shared" ref="AC1880" si="1771">AB1880</f>
        <v>-0.2</v>
      </c>
      <c r="AD1880" s="164"/>
      <c r="AE1880" s="164"/>
      <c r="AF1880" s="25"/>
      <c r="AG1880" s="26"/>
      <c r="AH1880" s="275"/>
      <c r="AI1880" s="52"/>
      <c r="AJ1880" s="35"/>
      <c r="AK1880" s="289"/>
      <c r="AL1880" s="290"/>
      <c r="AM1880" s="211"/>
      <c r="AN1880" s="164"/>
      <c r="AO1880" s="594"/>
      <c r="AP1880" s="595"/>
      <c r="AQ1880" s="275"/>
      <c r="AR1880" s="52"/>
      <c r="AS1880" s="596"/>
      <c r="AT1880" s="79"/>
      <c r="AU1880" s="212"/>
      <c r="AV1880" s="164"/>
      <c r="AW1880" s="164"/>
      <c r="AX1880" s="76"/>
      <c r="AY1880" s="44"/>
      <c r="AZ1880" s="275"/>
      <c r="BA1880" s="52"/>
      <c r="BB1880" s="35"/>
      <c r="BC1880" s="79"/>
      <c r="BD1880" s="230"/>
      <c r="BE1880" s="211"/>
      <c r="BF1880" s="164"/>
      <c r="BG1880" s="76"/>
      <c r="BH1880" s="44"/>
      <c r="BI1880" s="275"/>
      <c r="BJ1880" s="52"/>
      <c r="BK1880" s="35"/>
      <c r="BL1880" s="79"/>
      <c r="BM1880" s="230"/>
      <c r="BN1880" s="211"/>
      <c r="BO1880" s="164"/>
      <c r="BP1880" s="726"/>
      <c r="BQ1880" s="727"/>
      <c r="BR1880" s="299"/>
      <c r="BS1880" s="35"/>
      <c r="BT1880" s="596"/>
      <c r="BU1880" s="79"/>
      <c r="BV1880" s="212"/>
      <c r="BW1880" s="304"/>
      <c r="BX1880" s="313"/>
      <c r="BY1880" s="138"/>
    </row>
    <row r="1881" spans="1:77" ht="15" customHeight="1" outlineLevel="1" x14ac:dyDescent="0.2">
      <c r="A1881" s="583" t="s">
        <v>24</v>
      </c>
      <c r="B1881" s="583"/>
      <c r="C1881" s="583" t="s">
        <v>1933</v>
      </c>
      <c r="D1881" s="546">
        <v>2.7719999999999998</v>
      </c>
      <c r="E1881" s="162" t="s">
        <v>631</v>
      </c>
      <c r="F1881" s="358"/>
      <c r="G1881" s="65"/>
      <c r="H1881" s="73"/>
      <c r="I1881" s="90"/>
      <c r="J1881" s="73"/>
      <c r="K1881" s="734"/>
      <c r="L1881" s="717">
        <v>2012</v>
      </c>
      <c r="M1881" s="73"/>
      <c r="N1881" s="738">
        <v>8.1259999999999995E-3</v>
      </c>
      <c r="O1881" s="1041"/>
      <c r="P1881" s="73"/>
      <c r="Q1881" s="738"/>
      <c r="R1881" s="1041"/>
      <c r="S1881" s="73"/>
      <c r="T1881" s="738"/>
      <c r="U1881" s="73"/>
      <c r="V1881" s="66"/>
      <c r="W1881" s="740">
        <f t="shared" ref="W1881" si="1772">AA1881*(1+AB1881)</f>
        <v>5.9319799999999996E-6</v>
      </c>
      <c r="X1881" s="741">
        <f t="shared" ref="X1881" si="1773">AA1881*(1+AC1881)</f>
        <v>5.9319799999999996E-6</v>
      </c>
      <c r="Y1881" s="52">
        <v>2012</v>
      </c>
      <c r="Z1881" s="52"/>
      <c r="AA1881" s="739">
        <f>+N1881/1000</f>
        <v>8.1259999999999998E-6</v>
      </c>
      <c r="AB1881" s="256">
        <v>-0.27</v>
      </c>
      <c r="AC1881" s="688">
        <f t="shared" si="1709"/>
        <v>-0.27</v>
      </c>
      <c r="AD1881" s="164"/>
      <c r="AE1881" s="164"/>
      <c r="AF1881" s="25"/>
      <c r="AG1881" s="26"/>
      <c r="AH1881" s="275"/>
      <c r="AI1881" s="52"/>
      <c r="AJ1881" s="35"/>
      <c r="AK1881" s="289"/>
      <c r="AL1881" s="290"/>
      <c r="AM1881" s="211"/>
      <c r="AN1881" s="164"/>
      <c r="AO1881" s="594"/>
      <c r="AP1881" s="595"/>
      <c r="AQ1881" s="275"/>
      <c r="AR1881" s="52"/>
      <c r="AS1881" s="596"/>
      <c r="AT1881" s="79"/>
      <c r="AU1881" s="212"/>
      <c r="AV1881" s="164"/>
      <c r="AW1881" s="164"/>
      <c r="AX1881" s="76"/>
      <c r="AY1881" s="44"/>
      <c r="AZ1881" s="275"/>
      <c r="BA1881" s="52"/>
      <c r="BB1881" s="35"/>
      <c r="BC1881" s="79"/>
      <c r="BD1881" s="230"/>
      <c r="BE1881" s="211"/>
      <c r="BF1881" s="164"/>
      <c r="BG1881" s="76"/>
      <c r="BH1881" s="44"/>
      <c r="BI1881" s="275"/>
      <c r="BJ1881" s="52"/>
      <c r="BK1881" s="35"/>
      <c r="BL1881" s="79"/>
      <c r="BM1881" s="230"/>
      <c r="BN1881" s="211"/>
      <c r="BO1881" s="164"/>
      <c r="BP1881" s="726"/>
      <c r="BQ1881" s="727"/>
      <c r="BR1881" s="299"/>
      <c r="BS1881" s="35"/>
      <c r="BT1881" s="596"/>
      <c r="BU1881" s="79"/>
      <c r="BV1881" s="212"/>
      <c r="BW1881" s="304"/>
      <c r="BX1881" s="313"/>
      <c r="BY1881" s="138"/>
    </row>
    <row r="1882" spans="1:77" ht="15" customHeight="1" outlineLevel="1" x14ac:dyDescent="0.2">
      <c r="A1882" s="583" t="s">
        <v>24</v>
      </c>
      <c r="B1882" s="583"/>
      <c r="C1882" s="583" t="s">
        <v>1954</v>
      </c>
      <c r="D1882" s="546">
        <v>1.7509999999999999</v>
      </c>
      <c r="E1882" s="162" t="s">
        <v>631</v>
      </c>
      <c r="F1882" s="358"/>
      <c r="G1882" s="65"/>
      <c r="H1882" s="73"/>
      <c r="I1882" s="90"/>
      <c r="J1882" s="73"/>
      <c r="K1882" s="790">
        <v>4.2360000000000002E-3</v>
      </c>
      <c r="L1882" s="717"/>
      <c r="M1882" s="73"/>
      <c r="N1882" s="738"/>
      <c r="O1882" s="1041"/>
      <c r="P1882" s="73"/>
      <c r="Q1882" s="738"/>
      <c r="R1882" s="1041"/>
      <c r="S1882" s="73"/>
      <c r="T1882" s="738"/>
      <c r="U1882" s="73"/>
      <c r="V1882" s="66"/>
      <c r="W1882" s="808">
        <f t="shared" ref="W1882" si="1774">AA1882*(1+AB1882)</f>
        <v>3.0922799999999999E-6</v>
      </c>
      <c r="X1882" s="809">
        <f t="shared" ref="X1882" si="1775">AA1882*(1+AC1882)</f>
        <v>3.0922799999999999E-6</v>
      </c>
      <c r="Y1882" s="52">
        <v>2005</v>
      </c>
      <c r="Z1882" s="52"/>
      <c r="AA1882" s="807">
        <f t="shared" ref="AA1882:AA1887" si="1776">+K1882/1000</f>
        <v>4.2359999999999998E-6</v>
      </c>
      <c r="AB1882" s="256">
        <v>-0.27</v>
      </c>
      <c r="AC1882" s="688">
        <f t="shared" si="1709"/>
        <v>-0.27</v>
      </c>
      <c r="AD1882" s="164"/>
      <c r="AE1882" s="164"/>
      <c r="AF1882" s="25"/>
      <c r="AG1882" s="26"/>
      <c r="AH1882" s="275"/>
      <c r="AI1882" s="52"/>
      <c r="AJ1882" s="35"/>
      <c r="AK1882" s="289"/>
      <c r="AL1882" s="290"/>
      <c r="AM1882" s="211"/>
      <c r="AN1882" s="164"/>
      <c r="AO1882" s="594"/>
      <c r="AP1882" s="595"/>
      <c r="AQ1882" s="275"/>
      <c r="AR1882" s="52"/>
      <c r="AS1882" s="596"/>
      <c r="AT1882" s="79"/>
      <c r="AU1882" s="212"/>
      <c r="AV1882" s="164"/>
      <c r="AW1882" s="164"/>
      <c r="AX1882" s="76"/>
      <c r="AY1882" s="44"/>
      <c r="AZ1882" s="275"/>
      <c r="BA1882" s="52"/>
      <c r="BB1882" s="35"/>
      <c r="BC1882" s="79"/>
      <c r="BD1882" s="230"/>
      <c r="BE1882" s="211"/>
      <c r="BF1882" s="164"/>
      <c r="BG1882" s="76"/>
      <c r="BH1882" s="44"/>
      <c r="BI1882" s="275"/>
      <c r="BJ1882" s="52"/>
      <c r="BK1882" s="35"/>
      <c r="BL1882" s="79"/>
      <c r="BM1882" s="230"/>
      <c r="BN1882" s="211"/>
      <c r="BO1882" s="164"/>
      <c r="BP1882" s="726"/>
      <c r="BQ1882" s="727"/>
      <c r="BR1882" s="299"/>
      <c r="BS1882" s="35"/>
      <c r="BT1882" s="596"/>
      <c r="BU1882" s="79"/>
      <c r="BV1882" s="212"/>
      <c r="BW1882" s="304"/>
      <c r="BX1882" s="313"/>
      <c r="BY1882" s="138"/>
    </row>
    <row r="1883" spans="1:77" ht="15" customHeight="1" outlineLevel="1" x14ac:dyDescent="0.2">
      <c r="A1883" s="583" t="s">
        <v>24</v>
      </c>
      <c r="B1883" s="583"/>
      <c r="C1883" s="583" t="s">
        <v>1844</v>
      </c>
      <c r="D1883" s="546">
        <v>8.17</v>
      </c>
      <c r="E1883" s="162" t="s">
        <v>631</v>
      </c>
      <c r="F1883" s="358"/>
      <c r="G1883" s="65"/>
      <c r="H1883" s="73"/>
      <c r="I1883" s="90"/>
      <c r="J1883" s="73"/>
      <c r="K1883" s="734">
        <v>2.8719999999999999E-2</v>
      </c>
      <c r="L1883" s="717"/>
      <c r="M1883" s="73"/>
      <c r="N1883" s="738"/>
      <c r="O1883" s="1041"/>
      <c r="P1883" s="73"/>
      <c r="Q1883" s="738"/>
      <c r="R1883" s="1041"/>
      <c r="S1883" s="73"/>
      <c r="T1883" s="738"/>
      <c r="U1883" s="73"/>
      <c r="V1883" s="66"/>
      <c r="W1883" s="740">
        <f t="shared" ref="W1883" si="1777">AA1883*(1+AB1883)</f>
        <v>2.1252800000000001E-5</v>
      </c>
      <c r="X1883" s="741">
        <f t="shared" ref="X1883" si="1778">AA1883*(1+AC1883)</f>
        <v>2.1252800000000001E-5</v>
      </c>
      <c r="Y1883" s="52">
        <v>2005</v>
      </c>
      <c r="Z1883" s="52"/>
      <c r="AA1883" s="739">
        <f t="shared" si="1776"/>
        <v>2.8719999999999999E-5</v>
      </c>
      <c r="AB1883" s="256">
        <v>-0.26</v>
      </c>
      <c r="AC1883" s="688">
        <f t="shared" si="1709"/>
        <v>-0.26</v>
      </c>
      <c r="AD1883" s="164"/>
      <c r="AE1883" s="164"/>
      <c r="AF1883" s="25"/>
      <c r="AG1883" s="26"/>
      <c r="AH1883" s="275"/>
      <c r="AI1883" s="52"/>
      <c r="AJ1883" s="35"/>
      <c r="AK1883" s="289"/>
      <c r="AL1883" s="290"/>
      <c r="AM1883" s="211"/>
      <c r="AN1883" s="164"/>
      <c r="AO1883" s="594"/>
      <c r="AP1883" s="595"/>
      <c r="AQ1883" s="275"/>
      <c r="AR1883" s="52"/>
      <c r="AS1883" s="596"/>
      <c r="AT1883" s="79"/>
      <c r="AU1883" s="212"/>
      <c r="AV1883" s="164"/>
      <c r="AW1883" s="164"/>
      <c r="AX1883" s="76"/>
      <c r="AY1883" s="44"/>
      <c r="AZ1883" s="275"/>
      <c r="BA1883" s="52"/>
      <c r="BB1883" s="35"/>
      <c r="BC1883" s="79"/>
      <c r="BD1883" s="230"/>
      <c r="BE1883" s="211"/>
      <c r="BF1883" s="164"/>
      <c r="BG1883" s="76"/>
      <c r="BH1883" s="44"/>
      <c r="BI1883" s="275"/>
      <c r="BJ1883" s="52"/>
      <c r="BK1883" s="35"/>
      <c r="BL1883" s="79"/>
      <c r="BM1883" s="230"/>
      <c r="BN1883" s="211"/>
      <c r="BO1883" s="164"/>
      <c r="BP1883" s="726"/>
      <c r="BQ1883" s="727"/>
      <c r="BR1883" s="299"/>
      <c r="BS1883" s="35"/>
      <c r="BT1883" s="596"/>
      <c r="BU1883" s="79"/>
      <c r="BV1883" s="212"/>
      <c r="BW1883" s="304"/>
      <c r="BX1883" s="313"/>
      <c r="BY1883" s="138"/>
    </row>
    <row r="1884" spans="1:77" ht="15" customHeight="1" outlineLevel="1" x14ac:dyDescent="0.2">
      <c r="A1884" s="583" t="s">
        <v>24</v>
      </c>
      <c r="B1884" s="583"/>
      <c r="C1884" s="583" t="s">
        <v>2405</v>
      </c>
      <c r="D1884" s="546">
        <v>2.0459999999999998</v>
      </c>
      <c r="E1884" s="162" t="s">
        <v>631</v>
      </c>
      <c r="F1884" s="358"/>
      <c r="G1884" s="65"/>
      <c r="H1884" s="73"/>
      <c r="I1884" s="90"/>
      <c r="J1884" s="73"/>
      <c r="K1884" s="734"/>
      <c r="L1884" s="717"/>
      <c r="M1884" s="73"/>
      <c r="N1884" s="738">
        <v>6.2260000000000003E-2</v>
      </c>
      <c r="O1884" s="1041"/>
      <c r="P1884" s="73"/>
      <c r="Q1884" s="738"/>
      <c r="R1884" s="1041"/>
      <c r="S1884" s="73"/>
      <c r="T1884" s="738"/>
      <c r="U1884" s="73"/>
      <c r="V1884" s="66"/>
      <c r="W1884" s="740">
        <f t="shared" ref="W1884" si="1779">AA1884*(1+AB1884)</f>
        <v>4.4827200000000003E-5</v>
      </c>
      <c r="X1884" s="741">
        <f t="shared" ref="X1884" si="1780">AA1884*(1+AC1884)</f>
        <v>4.4827200000000003E-5</v>
      </c>
      <c r="Y1884" s="52">
        <v>2005</v>
      </c>
      <c r="Z1884" s="52"/>
      <c r="AA1884" s="739">
        <f>+N1884/1000</f>
        <v>6.2260000000000004E-5</v>
      </c>
      <c r="AB1884" s="256">
        <v>-0.28000000000000003</v>
      </c>
      <c r="AC1884" s="688">
        <f t="shared" ref="AC1884" si="1781">AB1884</f>
        <v>-0.28000000000000003</v>
      </c>
      <c r="AD1884" s="164"/>
      <c r="AE1884" s="164"/>
      <c r="AF1884" s="25"/>
      <c r="AG1884" s="26"/>
      <c r="AH1884" s="275"/>
      <c r="AI1884" s="52"/>
      <c r="AJ1884" s="35"/>
      <c r="AK1884" s="289"/>
      <c r="AL1884" s="290"/>
      <c r="AM1884" s="211"/>
      <c r="AN1884" s="164"/>
      <c r="AO1884" s="594"/>
      <c r="AP1884" s="595"/>
      <c r="AQ1884" s="275"/>
      <c r="AR1884" s="52"/>
      <c r="AS1884" s="596"/>
      <c r="AT1884" s="79"/>
      <c r="AU1884" s="212"/>
      <c r="AV1884" s="164"/>
      <c r="AW1884" s="164"/>
      <c r="AX1884" s="76"/>
      <c r="AY1884" s="44"/>
      <c r="AZ1884" s="275"/>
      <c r="BA1884" s="52"/>
      <c r="BB1884" s="35"/>
      <c r="BC1884" s="79"/>
      <c r="BD1884" s="230"/>
      <c r="BE1884" s="211"/>
      <c r="BF1884" s="164"/>
      <c r="BG1884" s="76"/>
      <c r="BH1884" s="44"/>
      <c r="BI1884" s="275"/>
      <c r="BJ1884" s="52"/>
      <c r="BK1884" s="35"/>
      <c r="BL1884" s="79"/>
      <c r="BM1884" s="230"/>
      <c r="BN1884" s="211"/>
      <c r="BO1884" s="164"/>
      <c r="BP1884" s="726"/>
      <c r="BQ1884" s="727"/>
      <c r="BR1884" s="299"/>
      <c r="BS1884" s="35"/>
      <c r="BT1884" s="596"/>
      <c r="BU1884" s="79"/>
      <c r="BV1884" s="212"/>
      <c r="BW1884" s="304"/>
      <c r="BX1884" s="313"/>
      <c r="BY1884" s="138"/>
    </row>
    <row r="1885" spans="1:77" ht="15" customHeight="1" outlineLevel="1" x14ac:dyDescent="0.2">
      <c r="A1885" s="57" t="s">
        <v>24</v>
      </c>
      <c r="B1885" s="583"/>
      <c r="C1885" s="583" t="s">
        <v>1402</v>
      </c>
      <c r="D1885" s="546">
        <v>2.7410000000000001</v>
      </c>
      <c r="E1885" s="162" t="s">
        <v>631</v>
      </c>
      <c r="F1885" s="358"/>
      <c r="G1885" s="65"/>
      <c r="H1885" s="73"/>
      <c r="I1885" s="90"/>
      <c r="J1885" s="73"/>
      <c r="K1885" s="813">
        <v>1.468E-2</v>
      </c>
      <c r="L1885" s="717"/>
      <c r="M1885" s="73"/>
      <c r="N1885" s="359"/>
      <c r="O1885" s="1041"/>
      <c r="P1885" s="73"/>
      <c r="Q1885" s="359"/>
      <c r="R1885" s="1041"/>
      <c r="S1885" s="73"/>
      <c r="T1885" s="359"/>
      <c r="U1885" s="73"/>
      <c r="V1885" s="66"/>
      <c r="W1885" s="788">
        <f t="shared" si="1707"/>
        <v>9.3951999999999994E-6</v>
      </c>
      <c r="X1885" s="789">
        <f t="shared" si="1708"/>
        <v>9.3951999999999994E-6</v>
      </c>
      <c r="Y1885" s="52">
        <v>2005</v>
      </c>
      <c r="Z1885" s="52"/>
      <c r="AA1885" s="787">
        <f t="shared" si="1776"/>
        <v>1.468E-5</v>
      </c>
      <c r="AB1885" s="256">
        <v>-0.36</v>
      </c>
      <c r="AC1885" s="688">
        <f t="shared" si="1709"/>
        <v>-0.36</v>
      </c>
      <c r="AD1885" s="164"/>
      <c r="AE1885" s="164"/>
      <c r="AF1885" s="25"/>
      <c r="AG1885" s="26"/>
      <c r="AH1885" s="275"/>
      <c r="AI1885" s="52"/>
      <c r="AJ1885" s="35"/>
      <c r="AK1885" s="289"/>
      <c r="AL1885" s="290"/>
      <c r="AM1885" s="211"/>
      <c r="AN1885" s="164"/>
      <c r="AO1885" s="594"/>
      <c r="AP1885" s="595"/>
      <c r="AQ1885" s="275"/>
      <c r="AR1885" s="52"/>
      <c r="AS1885" s="596"/>
      <c r="AT1885" s="79"/>
      <c r="AU1885" s="212"/>
      <c r="AV1885" s="164"/>
      <c r="AW1885" s="164"/>
      <c r="AX1885" s="76"/>
      <c r="AY1885" s="44"/>
      <c r="AZ1885" s="275"/>
      <c r="BA1885" s="52"/>
      <c r="BB1885" s="35"/>
      <c r="BC1885" s="79"/>
      <c r="BD1885" s="230"/>
      <c r="BE1885" s="211"/>
      <c r="BF1885" s="164"/>
      <c r="BG1885" s="76"/>
      <c r="BH1885" s="44"/>
      <c r="BI1885" s="275"/>
      <c r="BJ1885" s="52"/>
      <c r="BK1885" s="35"/>
      <c r="BL1885" s="79"/>
      <c r="BM1885" s="230"/>
      <c r="BN1885" s="211"/>
      <c r="BO1885" s="164"/>
      <c r="BP1885" s="726"/>
      <c r="BQ1885" s="727"/>
      <c r="BR1885" s="299"/>
      <c r="BS1885" s="35"/>
      <c r="BT1885" s="596"/>
      <c r="BU1885" s="79"/>
      <c r="BV1885" s="212"/>
      <c r="BW1885" s="304"/>
      <c r="BX1885" s="313"/>
      <c r="BY1885" s="138"/>
    </row>
    <row r="1886" spans="1:77" ht="15" customHeight="1" outlineLevel="1" x14ac:dyDescent="0.2">
      <c r="A1886" s="583" t="s">
        <v>24</v>
      </c>
      <c r="B1886" s="583"/>
      <c r="C1886" s="583" t="s">
        <v>2006</v>
      </c>
      <c r="D1886" s="546">
        <v>1.1579999999999999</v>
      </c>
      <c r="E1886" s="162" t="s">
        <v>631</v>
      </c>
      <c r="F1886" s="358"/>
      <c r="G1886" s="65"/>
      <c r="H1886" s="73"/>
      <c r="I1886" s="90"/>
      <c r="J1886" s="73"/>
      <c r="K1886" s="814">
        <v>4.274E-3</v>
      </c>
      <c r="L1886" s="717"/>
      <c r="M1886" s="73"/>
      <c r="N1886" s="359"/>
      <c r="O1886" s="1041"/>
      <c r="P1886" s="73"/>
      <c r="Q1886" s="359"/>
      <c r="R1886" s="1041"/>
      <c r="S1886" s="73"/>
      <c r="T1886" s="359"/>
      <c r="U1886" s="73"/>
      <c r="V1886" s="66"/>
      <c r="W1886" s="788">
        <f t="shared" ref="W1886" si="1782">AA1886*(1+AB1886)</f>
        <v>3.07728E-6</v>
      </c>
      <c r="X1886" s="789">
        <f t="shared" ref="X1886" si="1783">AA1886*(1+AC1886)</f>
        <v>3.07728E-6</v>
      </c>
      <c r="Y1886" s="52">
        <v>2005</v>
      </c>
      <c r="Z1886" s="52"/>
      <c r="AA1886" s="787">
        <f t="shared" si="1776"/>
        <v>4.2740000000000001E-6</v>
      </c>
      <c r="AB1886" s="256">
        <v>-0.28000000000000003</v>
      </c>
      <c r="AC1886" s="688">
        <f t="shared" si="1709"/>
        <v>-0.28000000000000003</v>
      </c>
      <c r="AD1886" s="164"/>
      <c r="AE1886" s="164"/>
      <c r="AF1886" s="25"/>
      <c r="AG1886" s="26"/>
      <c r="AH1886" s="275"/>
      <c r="AI1886" s="52"/>
      <c r="AJ1886" s="35"/>
      <c r="AK1886" s="289"/>
      <c r="AL1886" s="290"/>
      <c r="AM1886" s="211"/>
      <c r="AN1886" s="164"/>
      <c r="AO1886" s="594"/>
      <c r="AP1886" s="595"/>
      <c r="AQ1886" s="275"/>
      <c r="AR1886" s="52"/>
      <c r="AS1886" s="596"/>
      <c r="AT1886" s="79"/>
      <c r="AU1886" s="212"/>
      <c r="AV1886" s="164"/>
      <c r="AW1886" s="164"/>
      <c r="AX1886" s="76"/>
      <c r="AY1886" s="44"/>
      <c r="AZ1886" s="275"/>
      <c r="BA1886" s="52"/>
      <c r="BB1886" s="35"/>
      <c r="BC1886" s="79"/>
      <c r="BD1886" s="230"/>
      <c r="BE1886" s="211"/>
      <c r="BF1886" s="164"/>
      <c r="BG1886" s="76"/>
      <c r="BH1886" s="44"/>
      <c r="BI1886" s="275"/>
      <c r="BJ1886" s="52"/>
      <c r="BK1886" s="35"/>
      <c r="BL1886" s="79"/>
      <c r="BM1886" s="230"/>
      <c r="BN1886" s="211"/>
      <c r="BO1886" s="164"/>
      <c r="BP1886" s="726"/>
      <c r="BQ1886" s="727"/>
      <c r="BR1886" s="299"/>
      <c r="BS1886" s="35"/>
      <c r="BT1886" s="596"/>
      <c r="BU1886" s="79"/>
      <c r="BV1886" s="212"/>
      <c r="BW1886" s="304"/>
      <c r="BX1886" s="313"/>
      <c r="BY1886" s="138"/>
    </row>
    <row r="1887" spans="1:77" ht="15" customHeight="1" outlineLevel="1" x14ac:dyDescent="0.2">
      <c r="A1887" s="583" t="s">
        <v>24</v>
      </c>
      <c r="B1887" s="583"/>
      <c r="C1887" s="583" t="s">
        <v>1961</v>
      </c>
      <c r="D1887" s="546">
        <v>0.82399999999999995</v>
      </c>
      <c r="E1887" s="162" t="s">
        <v>631</v>
      </c>
      <c r="F1887" s="358"/>
      <c r="G1887" s="65"/>
      <c r="H1887" s="73"/>
      <c r="I1887" s="90">
        <v>2007</v>
      </c>
      <c r="J1887" s="73"/>
      <c r="K1887" s="813">
        <v>5.8339999999999998E-3</v>
      </c>
      <c r="L1887" s="717"/>
      <c r="M1887" s="73"/>
      <c r="N1887" s="359"/>
      <c r="O1887" s="1041"/>
      <c r="P1887" s="73"/>
      <c r="Q1887" s="359"/>
      <c r="R1887" s="1041"/>
      <c r="S1887" s="73"/>
      <c r="T1887" s="359"/>
      <c r="U1887" s="73"/>
      <c r="V1887" s="66"/>
      <c r="W1887" s="788">
        <f t="shared" ref="W1887" si="1784">AA1887*(1+AB1887)</f>
        <v>4.2588199999999995E-6</v>
      </c>
      <c r="X1887" s="789">
        <f t="shared" ref="X1887" si="1785">AA1887*(1+AC1887)</f>
        <v>4.2588199999999995E-6</v>
      </c>
      <c r="Y1887" s="52">
        <v>2007</v>
      </c>
      <c r="Z1887" s="52"/>
      <c r="AA1887" s="787">
        <f t="shared" si="1776"/>
        <v>5.8339999999999995E-6</v>
      </c>
      <c r="AB1887" s="256">
        <v>-0.27</v>
      </c>
      <c r="AC1887" s="688">
        <f t="shared" si="1709"/>
        <v>-0.27</v>
      </c>
      <c r="AD1887" s="164"/>
      <c r="AE1887" s="164"/>
      <c r="AF1887" s="25"/>
      <c r="AG1887" s="26"/>
      <c r="AH1887" s="275"/>
      <c r="AI1887" s="52"/>
      <c r="AJ1887" s="35"/>
      <c r="AK1887" s="289"/>
      <c r="AL1887" s="290"/>
      <c r="AM1887" s="211"/>
      <c r="AN1887" s="164"/>
      <c r="AO1887" s="594"/>
      <c r="AP1887" s="595"/>
      <c r="AQ1887" s="275"/>
      <c r="AR1887" s="52"/>
      <c r="AS1887" s="596"/>
      <c r="AT1887" s="79"/>
      <c r="AU1887" s="212"/>
      <c r="AV1887" s="164"/>
      <c r="AW1887" s="164"/>
      <c r="AX1887" s="76"/>
      <c r="AY1887" s="44"/>
      <c r="AZ1887" s="275"/>
      <c r="BA1887" s="52"/>
      <c r="BB1887" s="35"/>
      <c r="BC1887" s="79"/>
      <c r="BD1887" s="230"/>
      <c r="BE1887" s="211"/>
      <c r="BF1887" s="164"/>
      <c r="BG1887" s="76"/>
      <c r="BH1887" s="44"/>
      <c r="BI1887" s="275"/>
      <c r="BJ1887" s="52"/>
      <c r="BK1887" s="35"/>
      <c r="BL1887" s="79"/>
      <c r="BM1887" s="230"/>
      <c r="BN1887" s="211"/>
      <c r="BO1887" s="164"/>
      <c r="BP1887" s="726"/>
      <c r="BQ1887" s="727"/>
      <c r="BR1887" s="299"/>
      <c r="BS1887" s="35"/>
      <c r="BT1887" s="596"/>
      <c r="BU1887" s="79"/>
      <c r="BV1887" s="212"/>
      <c r="BW1887" s="304"/>
      <c r="BX1887" s="313"/>
      <c r="BY1887" s="138"/>
    </row>
    <row r="1888" spans="1:77" ht="15" customHeight="1" outlineLevel="1" x14ac:dyDescent="0.2">
      <c r="A1888" s="583" t="s">
        <v>24</v>
      </c>
      <c r="B1888" s="583"/>
      <c r="C1888" s="583" t="s">
        <v>2409</v>
      </c>
      <c r="D1888" s="546">
        <v>46.957999999999998</v>
      </c>
      <c r="E1888" s="162" t="s">
        <v>631</v>
      </c>
      <c r="F1888" s="358"/>
      <c r="G1888" s="65"/>
      <c r="H1888" s="73"/>
      <c r="I1888" s="90">
        <v>2002</v>
      </c>
      <c r="J1888" s="73"/>
      <c r="K1888" s="813">
        <v>0.31195400000000001</v>
      </c>
      <c r="L1888" s="717"/>
      <c r="M1888" s="73"/>
      <c r="N1888" s="359"/>
      <c r="O1888" s="1041"/>
      <c r="P1888" s="73"/>
      <c r="Q1888" s="359"/>
      <c r="R1888" s="1041"/>
      <c r="S1888" s="73"/>
      <c r="T1888" s="359"/>
      <c r="U1888" s="73"/>
      <c r="V1888" s="66"/>
      <c r="W1888" s="740">
        <f t="shared" ref="W1888" si="1786">AA1888*(1+AB1888)</f>
        <v>2.2460688E-4</v>
      </c>
      <c r="X1888" s="741">
        <f t="shared" ref="X1888" si="1787">AA1888*(1+AC1888)</f>
        <v>2.2460688E-4</v>
      </c>
      <c r="Y1888" s="52">
        <v>2002</v>
      </c>
      <c r="Z1888" s="52"/>
      <c r="AA1888" s="739">
        <f t="shared" ref="AA1888" si="1788">+K1888/1000</f>
        <v>3.1195400000000003E-4</v>
      </c>
      <c r="AB1888" s="256">
        <v>-0.28000000000000003</v>
      </c>
      <c r="AC1888" s="688">
        <f t="shared" ref="AC1888" si="1789">AB1888</f>
        <v>-0.28000000000000003</v>
      </c>
      <c r="AD1888" s="164"/>
      <c r="AE1888" s="164"/>
      <c r="AF1888" s="25"/>
      <c r="AG1888" s="26"/>
      <c r="AH1888" s="275"/>
      <c r="AI1888" s="52"/>
      <c r="AJ1888" s="35"/>
      <c r="AK1888" s="289"/>
      <c r="AL1888" s="290"/>
      <c r="AM1888" s="211"/>
      <c r="AN1888" s="164"/>
      <c r="AO1888" s="594"/>
      <c r="AP1888" s="595"/>
      <c r="AQ1888" s="275"/>
      <c r="AR1888" s="52"/>
      <c r="AS1888" s="596"/>
      <c r="AT1888" s="79"/>
      <c r="AU1888" s="212"/>
      <c r="AV1888" s="164"/>
      <c r="AW1888" s="164"/>
      <c r="AX1888" s="76"/>
      <c r="AY1888" s="44"/>
      <c r="AZ1888" s="275"/>
      <c r="BA1888" s="52"/>
      <c r="BB1888" s="35"/>
      <c r="BC1888" s="79"/>
      <c r="BD1888" s="230"/>
      <c r="BE1888" s="211"/>
      <c r="BF1888" s="164"/>
      <c r="BG1888" s="76"/>
      <c r="BH1888" s="44"/>
      <c r="BI1888" s="275"/>
      <c r="BJ1888" s="52"/>
      <c r="BK1888" s="35"/>
      <c r="BL1888" s="79"/>
      <c r="BM1888" s="230"/>
      <c r="BN1888" s="211"/>
      <c r="BO1888" s="164"/>
      <c r="BP1888" s="726"/>
      <c r="BQ1888" s="727"/>
      <c r="BR1888" s="299"/>
      <c r="BS1888" s="35"/>
      <c r="BT1888" s="596"/>
      <c r="BU1888" s="79"/>
      <c r="BV1888" s="212"/>
      <c r="BW1888" s="304"/>
      <c r="BX1888" s="313"/>
      <c r="BY1888" s="138"/>
    </row>
    <row r="1889" spans="1:77" ht="15" customHeight="1" outlineLevel="1" x14ac:dyDescent="0.2">
      <c r="A1889" s="57" t="s">
        <v>24</v>
      </c>
      <c r="B1889" s="583"/>
      <c r="C1889" s="583" t="s">
        <v>1595</v>
      </c>
      <c r="D1889" s="546">
        <v>1.895</v>
      </c>
      <c r="E1889" s="162" t="s">
        <v>631</v>
      </c>
      <c r="F1889" s="358"/>
      <c r="G1889" s="65"/>
      <c r="H1889" s="73"/>
      <c r="I1889" s="90"/>
      <c r="J1889" s="73"/>
      <c r="K1889" s="734"/>
      <c r="L1889" s="717">
        <v>2011</v>
      </c>
      <c r="M1889" s="73"/>
      <c r="N1889" s="738">
        <v>1.0451E-2</v>
      </c>
      <c r="O1889" s="1041"/>
      <c r="P1889" s="73"/>
      <c r="Q1889" s="738"/>
      <c r="R1889" s="1041"/>
      <c r="S1889" s="73"/>
      <c r="T1889" s="738"/>
      <c r="U1889" s="73"/>
      <c r="V1889" s="66"/>
      <c r="W1889" s="740">
        <f t="shared" si="1707"/>
        <v>2.7172600000000004E-6</v>
      </c>
      <c r="X1889" s="741">
        <f t="shared" si="1708"/>
        <v>2.7172600000000004E-6</v>
      </c>
      <c r="Y1889" s="52">
        <v>2011</v>
      </c>
      <c r="Z1889" s="52"/>
      <c r="AA1889" s="739">
        <f>+N1889/1000</f>
        <v>1.0451E-5</v>
      </c>
      <c r="AB1889" s="256">
        <v>-0.74</v>
      </c>
      <c r="AC1889" s="688">
        <f t="shared" si="1709"/>
        <v>-0.74</v>
      </c>
      <c r="AD1889" s="164"/>
      <c r="AE1889" s="164"/>
      <c r="AF1889" s="25"/>
      <c r="AG1889" s="26"/>
      <c r="AH1889" s="275"/>
      <c r="AI1889" s="52"/>
      <c r="AJ1889" s="35"/>
      <c r="AK1889" s="289"/>
      <c r="AL1889" s="290"/>
      <c r="AM1889" s="211"/>
      <c r="AN1889" s="164"/>
      <c r="AO1889" s="594"/>
      <c r="AP1889" s="595"/>
      <c r="AQ1889" s="275"/>
      <c r="AR1889" s="52"/>
      <c r="AS1889" s="596"/>
      <c r="AT1889" s="79"/>
      <c r="AU1889" s="212"/>
      <c r="AV1889" s="164"/>
      <c r="AW1889" s="164"/>
      <c r="AX1889" s="76"/>
      <c r="AY1889" s="44"/>
      <c r="AZ1889" s="275"/>
      <c r="BA1889" s="52"/>
      <c r="BB1889" s="35"/>
      <c r="BC1889" s="79"/>
      <c r="BD1889" s="230"/>
      <c r="BE1889" s="211"/>
      <c r="BF1889" s="164"/>
      <c r="BG1889" s="76"/>
      <c r="BH1889" s="44"/>
      <c r="BI1889" s="275"/>
      <c r="BJ1889" s="52"/>
      <c r="BK1889" s="35"/>
      <c r="BL1889" s="79"/>
      <c r="BM1889" s="230"/>
      <c r="BN1889" s="211"/>
      <c r="BO1889" s="164"/>
      <c r="BP1889" s="726"/>
      <c r="BQ1889" s="727"/>
      <c r="BR1889" s="299"/>
      <c r="BS1889" s="35"/>
      <c r="BT1889" s="596"/>
      <c r="BU1889" s="79"/>
      <c r="BV1889" s="212"/>
      <c r="BW1889" s="304"/>
      <c r="BX1889" s="313"/>
      <c r="BY1889" s="138"/>
    </row>
    <row r="1890" spans="1:77" ht="15" customHeight="1" outlineLevel="1" x14ac:dyDescent="0.2">
      <c r="A1890" s="583" t="s">
        <v>24</v>
      </c>
      <c r="B1890" s="583"/>
      <c r="C1890" s="583" t="s">
        <v>2056</v>
      </c>
      <c r="D1890" s="546">
        <v>7.2249999999999996</v>
      </c>
      <c r="E1890" s="162" t="s">
        <v>631</v>
      </c>
      <c r="F1890" s="358"/>
      <c r="G1890" s="65"/>
      <c r="H1890" s="73"/>
      <c r="I1890" s="90"/>
      <c r="J1890" s="73"/>
      <c r="K1890" s="734"/>
      <c r="L1890" s="717">
        <v>2011</v>
      </c>
      <c r="M1890" s="73"/>
      <c r="N1890" s="786">
        <v>1.9265999999999998E-2</v>
      </c>
      <c r="O1890" s="1041"/>
      <c r="P1890" s="73"/>
      <c r="Q1890" s="738"/>
      <c r="R1890" s="1041"/>
      <c r="S1890" s="73"/>
      <c r="T1890" s="738"/>
      <c r="U1890" s="73"/>
      <c r="V1890" s="66"/>
      <c r="W1890" s="740"/>
      <c r="X1890" s="741"/>
      <c r="Y1890" s="52">
        <v>2011</v>
      </c>
      <c r="Z1890" s="52"/>
      <c r="AA1890" s="739"/>
      <c r="AB1890" s="256"/>
      <c r="AC1890" s="688"/>
      <c r="AD1890" s="164"/>
      <c r="AE1890" s="164"/>
      <c r="AF1890" s="25"/>
      <c r="AG1890" s="26"/>
      <c r="AH1890" s="275"/>
      <c r="AI1890" s="52"/>
      <c r="AJ1890" s="35"/>
      <c r="AK1890" s="289"/>
      <c r="AL1890" s="290"/>
      <c r="AM1890" s="211"/>
      <c r="AN1890" s="164"/>
      <c r="AO1890" s="594"/>
      <c r="AP1890" s="595"/>
      <c r="AQ1890" s="275"/>
      <c r="AR1890" s="52"/>
      <c r="AS1890" s="596"/>
      <c r="AT1890" s="79"/>
      <c r="AU1890" s="212"/>
      <c r="AV1890" s="164"/>
      <c r="AW1890" s="164"/>
      <c r="AX1890" s="76"/>
      <c r="AY1890" s="44"/>
      <c r="AZ1890" s="275"/>
      <c r="BA1890" s="52"/>
      <c r="BB1890" s="35"/>
      <c r="BC1890" s="79"/>
      <c r="BD1890" s="230"/>
      <c r="BE1890" s="211"/>
      <c r="BF1890" s="164"/>
      <c r="BG1890" s="76"/>
      <c r="BH1890" s="44"/>
      <c r="BI1890" s="275"/>
      <c r="BJ1890" s="52"/>
      <c r="BK1890" s="35"/>
      <c r="BL1890" s="79"/>
      <c r="BM1890" s="230"/>
      <c r="BN1890" s="211"/>
      <c r="BO1890" s="164"/>
      <c r="BP1890" s="726"/>
      <c r="BQ1890" s="727"/>
      <c r="BR1890" s="299"/>
      <c r="BS1890" s="35"/>
      <c r="BT1890" s="596"/>
      <c r="BU1890" s="79"/>
      <c r="BV1890" s="212"/>
      <c r="BW1890" s="304"/>
      <c r="BX1890" s="313"/>
      <c r="BY1890" s="138"/>
    </row>
    <row r="1891" spans="1:77" ht="15" customHeight="1" outlineLevel="1" x14ac:dyDescent="0.2">
      <c r="A1891" s="583" t="s">
        <v>24</v>
      </c>
      <c r="B1891" s="583"/>
      <c r="C1891" s="583" t="s">
        <v>2034</v>
      </c>
      <c r="D1891" s="546">
        <v>3.278</v>
      </c>
      <c r="E1891" s="162" t="s">
        <v>631</v>
      </c>
      <c r="F1891" s="358"/>
      <c r="G1891" s="65"/>
      <c r="H1891" s="73"/>
      <c r="I1891" s="90"/>
      <c r="J1891" s="73"/>
      <c r="K1891" s="734"/>
      <c r="L1891" s="717">
        <v>2011</v>
      </c>
      <c r="M1891" s="73"/>
      <c r="N1891" s="786">
        <v>5.5630000000000002E-3</v>
      </c>
      <c r="O1891" s="1041"/>
      <c r="P1891" s="73"/>
      <c r="Q1891" s="738"/>
      <c r="R1891" s="1041"/>
      <c r="S1891" s="73"/>
      <c r="T1891" s="738"/>
      <c r="U1891" s="73"/>
      <c r="V1891" s="66"/>
      <c r="W1891" s="740">
        <f t="shared" ref="W1891" si="1790">AA1891*(1+AB1891)</f>
        <v>4.0053599999999995E-6</v>
      </c>
      <c r="X1891" s="741">
        <f t="shared" ref="X1891" si="1791">AA1891*(1+AC1891)</f>
        <v>4.0053599999999995E-6</v>
      </c>
      <c r="Y1891" s="52">
        <v>2011</v>
      </c>
      <c r="Z1891" s="52"/>
      <c r="AA1891" s="739">
        <f>+N1891/1000</f>
        <v>5.5629999999999999E-6</v>
      </c>
      <c r="AB1891" s="256">
        <v>-0.28000000000000003</v>
      </c>
      <c r="AC1891" s="688">
        <f t="shared" si="1709"/>
        <v>-0.28000000000000003</v>
      </c>
      <c r="AD1891" s="164"/>
      <c r="AE1891" s="164"/>
      <c r="AF1891" s="25"/>
      <c r="AG1891" s="26"/>
      <c r="AH1891" s="275"/>
      <c r="AI1891" s="52"/>
      <c r="AJ1891" s="35"/>
      <c r="AK1891" s="289"/>
      <c r="AL1891" s="290"/>
      <c r="AM1891" s="211"/>
      <c r="AN1891" s="164"/>
      <c r="AO1891" s="594"/>
      <c r="AP1891" s="595"/>
      <c r="AQ1891" s="275"/>
      <c r="AR1891" s="52"/>
      <c r="AS1891" s="596"/>
      <c r="AT1891" s="79"/>
      <c r="AU1891" s="212"/>
      <c r="AV1891" s="164"/>
      <c r="AW1891" s="164"/>
      <c r="AX1891" s="76"/>
      <c r="AY1891" s="44"/>
      <c r="AZ1891" s="275"/>
      <c r="BA1891" s="52"/>
      <c r="BB1891" s="35"/>
      <c r="BC1891" s="79"/>
      <c r="BD1891" s="230"/>
      <c r="BE1891" s="211"/>
      <c r="BF1891" s="164"/>
      <c r="BG1891" s="76"/>
      <c r="BH1891" s="44"/>
      <c r="BI1891" s="275"/>
      <c r="BJ1891" s="52"/>
      <c r="BK1891" s="35"/>
      <c r="BL1891" s="79"/>
      <c r="BM1891" s="230"/>
      <c r="BN1891" s="211"/>
      <c r="BO1891" s="164"/>
      <c r="BP1891" s="726"/>
      <c r="BQ1891" s="727"/>
      <c r="BR1891" s="299"/>
      <c r="BS1891" s="35"/>
      <c r="BT1891" s="596"/>
      <c r="BU1891" s="79"/>
      <c r="BV1891" s="212"/>
      <c r="BW1891" s="304"/>
      <c r="BX1891" s="313"/>
      <c r="BY1891" s="138"/>
    </row>
    <row r="1892" spans="1:77" ht="15" customHeight="1" outlineLevel="1" x14ac:dyDescent="0.2">
      <c r="A1892" s="583" t="s">
        <v>24</v>
      </c>
      <c r="B1892" s="583"/>
      <c r="C1892" s="583" t="s">
        <v>2656</v>
      </c>
      <c r="D1892" s="546">
        <v>3.16</v>
      </c>
      <c r="E1892" s="162" t="s">
        <v>631</v>
      </c>
      <c r="F1892" s="358"/>
      <c r="G1892" s="65"/>
      <c r="H1892" s="73"/>
      <c r="I1892" s="90"/>
      <c r="J1892" s="73"/>
      <c r="K1892" s="734"/>
      <c r="L1892" s="717">
        <v>2009</v>
      </c>
      <c r="M1892" s="73"/>
      <c r="N1892" s="786">
        <v>1.4146000000000001E-2</v>
      </c>
      <c r="O1892" s="1041"/>
      <c r="P1892" s="73"/>
      <c r="Q1892" s="738"/>
      <c r="R1892" s="1041"/>
      <c r="S1892" s="73"/>
      <c r="T1892" s="738"/>
      <c r="U1892" s="73"/>
      <c r="V1892" s="66"/>
      <c r="W1892" s="788">
        <f t="shared" ref="W1892" si="1792">AA1892*(1+AB1892)</f>
        <v>9.760739999999999E-6</v>
      </c>
      <c r="X1892" s="789">
        <f t="shared" ref="X1892" si="1793">AA1892*(1+AC1892)</f>
        <v>9.760739999999999E-6</v>
      </c>
      <c r="Y1892" s="52">
        <v>2011</v>
      </c>
      <c r="Z1892" s="52"/>
      <c r="AA1892" s="787">
        <f>+N1892/1000</f>
        <v>1.4146E-5</v>
      </c>
      <c r="AB1892" s="256">
        <v>-0.31</v>
      </c>
      <c r="AC1892" s="688">
        <f t="shared" ref="AC1892" si="1794">AB1892</f>
        <v>-0.31</v>
      </c>
      <c r="AD1892" s="164"/>
      <c r="AE1892" s="164"/>
      <c r="AF1892" s="25"/>
      <c r="AG1892" s="26"/>
      <c r="AH1892" s="275"/>
      <c r="AI1892" s="52"/>
      <c r="AJ1892" s="35"/>
      <c r="AK1892" s="289"/>
      <c r="AL1892" s="290"/>
      <c r="AM1892" s="211"/>
      <c r="AN1892" s="164"/>
      <c r="AO1892" s="594"/>
      <c r="AP1892" s="595"/>
      <c r="AQ1892" s="275"/>
      <c r="AR1892" s="52"/>
      <c r="AS1892" s="596"/>
      <c r="AT1892" s="79"/>
      <c r="AU1892" s="212"/>
      <c r="AV1892" s="164"/>
      <c r="AW1892" s="164"/>
      <c r="AX1892" s="76"/>
      <c r="AY1892" s="44"/>
      <c r="AZ1892" s="275"/>
      <c r="BA1892" s="52"/>
      <c r="BB1892" s="35"/>
      <c r="BC1892" s="79"/>
      <c r="BD1892" s="230"/>
      <c r="BE1892" s="211"/>
      <c r="BF1892" s="164"/>
      <c r="BG1892" s="76"/>
      <c r="BH1892" s="44"/>
      <c r="BI1892" s="275"/>
      <c r="BJ1892" s="52"/>
      <c r="BK1892" s="35"/>
      <c r="BL1892" s="79"/>
      <c r="BM1892" s="230"/>
      <c r="BN1892" s="211"/>
      <c r="BO1892" s="164"/>
      <c r="BP1892" s="726"/>
      <c r="BQ1892" s="727"/>
      <c r="BR1892" s="299"/>
      <c r="BS1892" s="35"/>
      <c r="BT1892" s="596"/>
      <c r="BU1892" s="79"/>
      <c r="BV1892" s="212"/>
      <c r="BW1892" s="304"/>
      <c r="BX1892" s="313"/>
      <c r="BY1892" s="138"/>
    </row>
    <row r="1893" spans="1:77" ht="15" customHeight="1" outlineLevel="1" x14ac:dyDescent="0.2">
      <c r="A1893" s="583" t="s">
        <v>24</v>
      </c>
      <c r="B1893" s="583"/>
      <c r="C1893" s="583" t="s">
        <v>1853</v>
      </c>
      <c r="D1893" s="546">
        <v>1.177</v>
      </c>
      <c r="E1893" s="162" t="s">
        <v>631</v>
      </c>
      <c r="F1893" s="358"/>
      <c r="G1893" s="65"/>
      <c r="H1893" s="73"/>
      <c r="I1893" s="90">
        <v>2007</v>
      </c>
      <c r="J1893" s="73"/>
      <c r="K1893" s="734">
        <v>9.6629999999999997E-3</v>
      </c>
      <c r="L1893" s="717"/>
      <c r="M1893" s="73"/>
      <c r="N1893" s="738"/>
      <c r="O1893" s="1041"/>
      <c r="P1893" s="73"/>
      <c r="Q1893" s="738"/>
      <c r="R1893" s="1041"/>
      <c r="S1893" s="73"/>
      <c r="T1893" s="738"/>
      <c r="U1893" s="73"/>
      <c r="V1893" s="66"/>
      <c r="W1893" s="740">
        <f t="shared" ref="W1893" si="1795">AA1893*(1+AB1893)</f>
        <v>7.1506200000000003E-6</v>
      </c>
      <c r="X1893" s="741">
        <f t="shared" ref="X1893" si="1796">AA1893*(1+AC1893)</f>
        <v>7.1506200000000003E-6</v>
      </c>
      <c r="Y1893" s="52">
        <v>2007</v>
      </c>
      <c r="Z1893" s="52"/>
      <c r="AA1893" s="739">
        <f>+K1893/1000</f>
        <v>9.6630000000000005E-6</v>
      </c>
      <c r="AB1893" s="256">
        <v>-0.26</v>
      </c>
      <c r="AC1893" s="688">
        <f t="shared" si="1709"/>
        <v>-0.26</v>
      </c>
      <c r="AD1893" s="164"/>
      <c r="AE1893" s="164"/>
      <c r="AF1893" s="25"/>
      <c r="AG1893" s="26"/>
      <c r="AH1893" s="275"/>
      <c r="AI1893" s="52"/>
      <c r="AJ1893" s="35"/>
      <c r="AK1893" s="289"/>
      <c r="AL1893" s="290"/>
      <c r="AM1893" s="211"/>
      <c r="AN1893" s="164"/>
      <c r="AO1893" s="594"/>
      <c r="AP1893" s="595"/>
      <c r="AQ1893" s="275"/>
      <c r="AR1893" s="52"/>
      <c r="AS1893" s="596"/>
      <c r="AT1893" s="79"/>
      <c r="AU1893" s="212"/>
      <c r="AV1893" s="164"/>
      <c r="AW1893" s="164"/>
      <c r="AX1893" s="76"/>
      <c r="AY1893" s="44"/>
      <c r="AZ1893" s="275"/>
      <c r="BA1893" s="52"/>
      <c r="BB1893" s="35"/>
      <c r="BC1893" s="79"/>
      <c r="BD1893" s="230"/>
      <c r="BE1893" s="211"/>
      <c r="BF1893" s="164"/>
      <c r="BG1893" s="76"/>
      <c r="BH1893" s="44"/>
      <c r="BI1893" s="275"/>
      <c r="BJ1893" s="52"/>
      <c r="BK1893" s="35"/>
      <c r="BL1893" s="79"/>
      <c r="BM1893" s="230"/>
      <c r="BN1893" s="211"/>
      <c r="BO1893" s="164"/>
      <c r="BP1893" s="726"/>
      <c r="BQ1893" s="727"/>
      <c r="BR1893" s="299"/>
      <c r="BS1893" s="35"/>
      <c r="BT1893" s="596"/>
      <c r="BU1893" s="79"/>
      <c r="BV1893" s="212"/>
      <c r="BW1893" s="304"/>
      <c r="BX1893" s="313"/>
      <c r="BY1893" s="138"/>
    </row>
    <row r="1894" spans="1:77" ht="15" customHeight="1" outlineLevel="1" x14ac:dyDescent="0.2">
      <c r="A1894" s="583" t="s">
        <v>24</v>
      </c>
      <c r="B1894" s="583"/>
      <c r="C1894" s="583" t="s">
        <v>1824</v>
      </c>
      <c r="D1894" s="546">
        <v>0.75600000000000001</v>
      </c>
      <c r="E1894" s="162" t="s">
        <v>631</v>
      </c>
      <c r="F1894" s="358"/>
      <c r="G1894" s="65"/>
      <c r="H1894" s="73"/>
      <c r="I1894" s="90"/>
      <c r="J1894" s="73"/>
      <c r="K1894" s="734">
        <v>5.3099999999999996E-3</v>
      </c>
      <c r="L1894" s="717"/>
      <c r="M1894" s="73"/>
      <c r="N1894" s="738"/>
      <c r="O1894" s="1041"/>
      <c r="P1894" s="73"/>
      <c r="Q1894" s="738"/>
      <c r="R1894" s="1041"/>
      <c r="S1894" s="73"/>
      <c r="T1894" s="738"/>
      <c r="U1894" s="73"/>
      <c r="V1894" s="66"/>
      <c r="W1894" s="788">
        <f t="shared" ref="W1894" si="1797">AA1894*(1+AB1894)</f>
        <v>3.9294E-6</v>
      </c>
      <c r="X1894" s="789">
        <f t="shared" ref="X1894" si="1798">AA1894*(1+AC1894)</f>
        <v>3.9294E-6</v>
      </c>
      <c r="Y1894" s="52">
        <v>2005</v>
      </c>
      <c r="Z1894" s="52"/>
      <c r="AA1894" s="739">
        <f>+K1894/1000</f>
        <v>5.31E-6</v>
      </c>
      <c r="AB1894" s="256">
        <v>-0.26</v>
      </c>
      <c r="AC1894" s="688">
        <f t="shared" si="1709"/>
        <v>-0.26</v>
      </c>
      <c r="AD1894" s="164"/>
      <c r="AE1894" s="164"/>
      <c r="AF1894" s="25"/>
      <c r="AG1894" s="26"/>
      <c r="AH1894" s="275"/>
      <c r="AI1894" s="52"/>
      <c r="AJ1894" s="35"/>
      <c r="AK1894" s="289"/>
      <c r="AL1894" s="290"/>
      <c r="AM1894" s="211"/>
      <c r="AN1894" s="164"/>
      <c r="AO1894" s="594"/>
      <c r="AP1894" s="595"/>
      <c r="AQ1894" s="275"/>
      <c r="AR1894" s="52"/>
      <c r="AS1894" s="596"/>
      <c r="AT1894" s="79"/>
      <c r="AU1894" s="212"/>
      <c r="AV1894" s="164"/>
      <c r="AW1894" s="164"/>
      <c r="AX1894" s="76"/>
      <c r="AY1894" s="44"/>
      <c r="AZ1894" s="275"/>
      <c r="BA1894" s="52"/>
      <c r="BB1894" s="35"/>
      <c r="BC1894" s="79"/>
      <c r="BD1894" s="230"/>
      <c r="BE1894" s="211"/>
      <c r="BF1894" s="164"/>
      <c r="BG1894" s="76"/>
      <c r="BH1894" s="44"/>
      <c r="BI1894" s="275"/>
      <c r="BJ1894" s="52"/>
      <c r="BK1894" s="35"/>
      <c r="BL1894" s="79"/>
      <c r="BM1894" s="230"/>
      <c r="BN1894" s="211"/>
      <c r="BO1894" s="164"/>
      <c r="BP1894" s="726"/>
      <c r="BQ1894" s="727"/>
      <c r="BR1894" s="299"/>
      <c r="BS1894" s="35"/>
      <c r="BT1894" s="596"/>
      <c r="BU1894" s="79"/>
      <c r="BV1894" s="212"/>
      <c r="BW1894" s="304"/>
      <c r="BX1894" s="313"/>
      <c r="BY1894" s="138"/>
    </row>
    <row r="1895" spans="1:77" ht="15" customHeight="1" outlineLevel="1" x14ac:dyDescent="0.2">
      <c r="A1895" s="57" t="s">
        <v>24</v>
      </c>
      <c r="B1895" s="583"/>
      <c r="C1895" s="583" t="s">
        <v>1577</v>
      </c>
      <c r="D1895" s="546">
        <v>6.7629999999999999</v>
      </c>
      <c r="E1895" s="162" t="s">
        <v>631</v>
      </c>
      <c r="F1895" s="358"/>
      <c r="G1895" s="65"/>
      <c r="H1895" s="73"/>
      <c r="I1895" s="90"/>
      <c r="J1895" s="73"/>
      <c r="K1895" s="734"/>
      <c r="L1895" s="717">
        <v>2011</v>
      </c>
      <c r="M1895" s="73"/>
      <c r="N1895" s="738">
        <v>1.4571000000000001E-2</v>
      </c>
      <c r="O1895" s="1041"/>
      <c r="P1895" s="73"/>
      <c r="Q1895" s="738"/>
      <c r="R1895" s="1041"/>
      <c r="S1895" s="73"/>
      <c r="T1895" s="738"/>
      <c r="U1895" s="73"/>
      <c r="V1895" s="66"/>
      <c r="W1895" s="740">
        <f t="shared" si="1707"/>
        <v>1.005399E-5</v>
      </c>
      <c r="X1895" s="741">
        <f t="shared" si="1708"/>
        <v>1.005399E-5</v>
      </c>
      <c r="Y1895" s="52">
        <v>2011</v>
      </c>
      <c r="Z1895" s="52"/>
      <c r="AA1895" s="739">
        <f>+N1895/1000</f>
        <v>1.4571E-5</v>
      </c>
      <c r="AB1895" s="256">
        <v>-0.31</v>
      </c>
      <c r="AC1895" s="688">
        <f t="shared" si="1709"/>
        <v>-0.31</v>
      </c>
      <c r="AD1895" s="164"/>
      <c r="AE1895" s="164"/>
      <c r="AF1895" s="25"/>
      <c r="AG1895" s="26"/>
      <c r="AH1895" s="275"/>
      <c r="AI1895" s="52"/>
      <c r="AJ1895" s="35"/>
      <c r="AK1895" s="289"/>
      <c r="AL1895" s="290"/>
      <c r="AM1895" s="211"/>
      <c r="AN1895" s="164"/>
      <c r="AO1895" s="594"/>
      <c r="AP1895" s="595"/>
      <c r="AQ1895" s="275"/>
      <c r="AR1895" s="52"/>
      <c r="AS1895" s="596"/>
      <c r="AT1895" s="79"/>
      <c r="AU1895" s="212"/>
      <c r="AV1895" s="164"/>
      <c r="AW1895" s="164"/>
      <c r="AX1895" s="76"/>
      <c r="AY1895" s="44"/>
      <c r="AZ1895" s="275"/>
      <c r="BA1895" s="52"/>
      <c r="BB1895" s="35"/>
      <c r="BC1895" s="79"/>
      <c r="BD1895" s="230"/>
      <c r="BE1895" s="211"/>
      <c r="BF1895" s="164"/>
      <c r="BG1895" s="76"/>
      <c r="BH1895" s="44"/>
      <c r="BI1895" s="275"/>
      <c r="BJ1895" s="52"/>
      <c r="BK1895" s="35"/>
      <c r="BL1895" s="79"/>
      <c r="BM1895" s="230"/>
      <c r="BN1895" s="211"/>
      <c r="BO1895" s="164"/>
      <c r="BP1895" s="726"/>
      <c r="BQ1895" s="727"/>
      <c r="BR1895" s="299"/>
      <c r="BS1895" s="35"/>
      <c r="BT1895" s="596"/>
      <c r="BU1895" s="79"/>
      <c r="BV1895" s="212"/>
      <c r="BW1895" s="304"/>
      <c r="BX1895" s="313"/>
      <c r="BY1895" s="138"/>
    </row>
    <row r="1896" spans="1:77" ht="15" customHeight="1" outlineLevel="1" x14ac:dyDescent="0.2">
      <c r="A1896" s="583" t="s">
        <v>24</v>
      </c>
      <c r="B1896" s="583"/>
      <c r="C1896" s="583" t="s">
        <v>1877</v>
      </c>
      <c r="D1896" s="546">
        <v>1.4490000000000001</v>
      </c>
      <c r="E1896" s="162" t="s">
        <v>631</v>
      </c>
      <c r="F1896" s="358"/>
      <c r="G1896" s="65"/>
      <c r="H1896" s="73"/>
      <c r="I1896" s="90"/>
      <c r="J1896" s="73"/>
      <c r="K1896" s="790">
        <v>4.2389999999999997E-3</v>
      </c>
      <c r="L1896" s="717"/>
      <c r="M1896" s="73"/>
      <c r="N1896" s="738"/>
      <c r="O1896" s="1041"/>
      <c r="P1896" s="73"/>
      <c r="Q1896" s="738"/>
      <c r="R1896" s="1041"/>
      <c r="S1896" s="73"/>
      <c r="T1896" s="738"/>
      <c r="U1896" s="73"/>
      <c r="V1896" s="66"/>
      <c r="W1896" s="740">
        <f t="shared" ref="W1896" si="1799">AA1896*(1+AB1896)</f>
        <v>3.1368599999999997E-6</v>
      </c>
      <c r="X1896" s="741">
        <f t="shared" ref="X1896" si="1800">AA1896*(1+AC1896)</f>
        <v>3.1368599999999997E-6</v>
      </c>
      <c r="Y1896" s="52">
        <v>2005</v>
      </c>
      <c r="Z1896" s="52"/>
      <c r="AA1896" s="739">
        <f>+K1896/1000</f>
        <v>4.2389999999999996E-6</v>
      </c>
      <c r="AB1896" s="256">
        <v>-0.26</v>
      </c>
      <c r="AC1896" s="688">
        <f t="shared" si="1709"/>
        <v>-0.26</v>
      </c>
      <c r="AD1896" s="164"/>
      <c r="AE1896" s="164"/>
      <c r="AF1896" s="25"/>
      <c r="AG1896" s="26"/>
      <c r="AH1896" s="275"/>
      <c r="AI1896" s="52"/>
      <c r="AJ1896" s="35"/>
      <c r="AK1896" s="289"/>
      <c r="AL1896" s="290"/>
      <c r="AM1896" s="211"/>
      <c r="AN1896" s="164"/>
      <c r="AO1896" s="594"/>
      <c r="AP1896" s="595"/>
      <c r="AQ1896" s="275"/>
      <c r="AR1896" s="52"/>
      <c r="AS1896" s="596"/>
      <c r="AT1896" s="79"/>
      <c r="AU1896" s="212"/>
      <c r="AV1896" s="164"/>
      <c r="AW1896" s="164"/>
      <c r="AX1896" s="76"/>
      <c r="AY1896" s="44"/>
      <c r="AZ1896" s="275"/>
      <c r="BA1896" s="52"/>
      <c r="BB1896" s="35"/>
      <c r="BC1896" s="79"/>
      <c r="BD1896" s="230"/>
      <c r="BE1896" s="211"/>
      <c r="BF1896" s="164"/>
      <c r="BG1896" s="76"/>
      <c r="BH1896" s="44"/>
      <c r="BI1896" s="275"/>
      <c r="BJ1896" s="52"/>
      <c r="BK1896" s="35"/>
      <c r="BL1896" s="79"/>
      <c r="BM1896" s="230"/>
      <c r="BN1896" s="211"/>
      <c r="BO1896" s="164"/>
      <c r="BP1896" s="726"/>
      <c r="BQ1896" s="727"/>
      <c r="BR1896" s="299"/>
      <c r="BS1896" s="35"/>
      <c r="BT1896" s="596"/>
      <c r="BU1896" s="79"/>
      <c r="BV1896" s="212"/>
      <c r="BW1896" s="304"/>
      <c r="BX1896" s="313"/>
      <c r="BY1896" s="138"/>
    </row>
    <row r="1897" spans="1:77" ht="15" customHeight="1" outlineLevel="1" x14ac:dyDescent="0.2">
      <c r="A1897" s="583" t="s">
        <v>24</v>
      </c>
      <c r="B1897" s="583"/>
      <c r="C1897" s="583" t="s">
        <v>2669</v>
      </c>
      <c r="D1897" s="546">
        <v>3.738</v>
      </c>
      <c r="E1897" s="162" t="s">
        <v>631</v>
      </c>
      <c r="F1897" s="358"/>
      <c r="G1897" s="65"/>
      <c r="H1897" s="73"/>
      <c r="I1897" s="90"/>
      <c r="J1897" s="73"/>
      <c r="K1897" s="790"/>
      <c r="L1897" s="717">
        <v>2008</v>
      </c>
      <c r="M1897" s="73"/>
      <c r="N1897" s="786">
        <v>1.9902E-2</v>
      </c>
      <c r="O1897" s="1041"/>
      <c r="P1897" s="73"/>
      <c r="Q1897" s="738"/>
      <c r="R1897" s="1041"/>
      <c r="S1897" s="73"/>
      <c r="T1897" s="738"/>
      <c r="U1897" s="73"/>
      <c r="V1897" s="66"/>
      <c r="W1897" s="740">
        <f t="shared" ref="W1897" si="1801">AA1897*(1+AB1897)</f>
        <v>1.3334339999999998E-5</v>
      </c>
      <c r="X1897" s="741">
        <f t="shared" ref="X1897" si="1802">AA1897*(1+AC1897)</f>
        <v>1.3334339999999998E-5</v>
      </c>
      <c r="Y1897" s="52">
        <v>2008</v>
      </c>
      <c r="Z1897" s="52"/>
      <c r="AA1897" s="739">
        <f>+N1897/1000</f>
        <v>1.9902E-5</v>
      </c>
      <c r="AB1897" s="256">
        <v>-0.33</v>
      </c>
      <c r="AC1897" s="688">
        <f t="shared" ref="AC1897" si="1803">AB1897</f>
        <v>-0.33</v>
      </c>
      <c r="AD1897" s="164"/>
      <c r="AE1897" s="164"/>
      <c r="AF1897" s="25"/>
      <c r="AG1897" s="26"/>
      <c r="AH1897" s="275"/>
      <c r="AI1897" s="52"/>
      <c r="AJ1897" s="35"/>
      <c r="AK1897" s="289"/>
      <c r="AL1897" s="290"/>
      <c r="AM1897" s="211"/>
      <c r="AN1897" s="164"/>
      <c r="AO1897" s="594"/>
      <c r="AP1897" s="595"/>
      <c r="AQ1897" s="275"/>
      <c r="AR1897" s="52"/>
      <c r="AS1897" s="596"/>
      <c r="AT1897" s="79"/>
      <c r="AU1897" s="212"/>
      <c r="AV1897" s="164"/>
      <c r="AW1897" s="164"/>
      <c r="AX1897" s="76"/>
      <c r="AY1897" s="44"/>
      <c r="AZ1897" s="275"/>
      <c r="BA1897" s="52"/>
      <c r="BB1897" s="35"/>
      <c r="BC1897" s="79"/>
      <c r="BD1897" s="230"/>
      <c r="BE1897" s="211"/>
      <c r="BF1897" s="164"/>
      <c r="BG1897" s="76"/>
      <c r="BH1897" s="44"/>
      <c r="BI1897" s="275"/>
      <c r="BJ1897" s="52"/>
      <c r="BK1897" s="35"/>
      <c r="BL1897" s="79"/>
      <c r="BM1897" s="230"/>
      <c r="BN1897" s="211"/>
      <c r="BO1897" s="164"/>
      <c r="BP1897" s="726"/>
      <c r="BQ1897" s="727"/>
      <c r="BR1897" s="299"/>
      <c r="BS1897" s="35"/>
      <c r="BT1897" s="596"/>
      <c r="BU1897" s="79"/>
      <c r="BV1897" s="212"/>
      <c r="BW1897" s="304"/>
      <c r="BX1897" s="313"/>
      <c r="BY1897" s="138"/>
    </row>
    <row r="1898" spans="1:77" ht="15" customHeight="1" outlineLevel="1" x14ac:dyDescent="0.2">
      <c r="A1898" s="583" t="s">
        <v>24</v>
      </c>
      <c r="B1898" s="583"/>
      <c r="C1898" s="583" t="s">
        <v>1876</v>
      </c>
      <c r="D1898" s="546">
        <v>2.4569999999999999</v>
      </c>
      <c r="E1898" s="162" t="s">
        <v>631</v>
      </c>
      <c r="F1898" s="358"/>
      <c r="G1898" s="65"/>
      <c r="H1898" s="73"/>
      <c r="I1898" s="90"/>
      <c r="J1898" s="73"/>
      <c r="K1898" s="734">
        <v>3.6800000000000001E-3</v>
      </c>
      <c r="L1898" s="717"/>
      <c r="M1898" s="73"/>
      <c r="N1898" s="738"/>
      <c r="O1898" s="1041"/>
      <c r="P1898" s="73"/>
      <c r="Q1898" s="738"/>
      <c r="R1898" s="1041"/>
      <c r="S1898" s="73"/>
      <c r="T1898" s="738"/>
      <c r="U1898" s="73"/>
      <c r="V1898" s="66"/>
      <c r="W1898" s="788">
        <f t="shared" ref="W1898" si="1804">AA1898*(1+AB1898)</f>
        <v>2.7232E-6</v>
      </c>
      <c r="X1898" s="789">
        <f t="shared" ref="X1898" si="1805">AA1898*(1+AC1898)</f>
        <v>2.7232E-6</v>
      </c>
      <c r="Y1898" s="52">
        <v>2005</v>
      </c>
      <c r="Z1898" s="52"/>
      <c r="AA1898" s="787">
        <f>+K1898/1000</f>
        <v>3.6799999999999999E-6</v>
      </c>
      <c r="AB1898" s="256">
        <v>-0.26</v>
      </c>
      <c r="AC1898" s="688">
        <f t="shared" si="1709"/>
        <v>-0.26</v>
      </c>
      <c r="AD1898" s="164"/>
      <c r="AE1898" s="164"/>
      <c r="AF1898" s="25"/>
      <c r="AG1898" s="26"/>
      <c r="AH1898" s="275"/>
      <c r="AI1898" s="52"/>
      <c r="AJ1898" s="35"/>
      <c r="AK1898" s="289"/>
      <c r="AL1898" s="290"/>
      <c r="AM1898" s="211"/>
      <c r="AN1898" s="164"/>
      <c r="AO1898" s="594"/>
      <c r="AP1898" s="595"/>
      <c r="AQ1898" s="275"/>
      <c r="AR1898" s="52"/>
      <c r="AS1898" s="596"/>
      <c r="AT1898" s="79"/>
      <c r="AU1898" s="212"/>
      <c r="AV1898" s="164"/>
      <c r="AW1898" s="164"/>
      <c r="AX1898" s="76"/>
      <c r="AY1898" s="44"/>
      <c r="AZ1898" s="275"/>
      <c r="BA1898" s="52"/>
      <c r="BB1898" s="35"/>
      <c r="BC1898" s="79"/>
      <c r="BD1898" s="230"/>
      <c r="BE1898" s="211"/>
      <c r="BF1898" s="164"/>
      <c r="BG1898" s="76"/>
      <c r="BH1898" s="44"/>
      <c r="BI1898" s="275"/>
      <c r="BJ1898" s="52"/>
      <c r="BK1898" s="35"/>
      <c r="BL1898" s="79"/>
      <c r="BM1898" s="230"/>
      <c r="BN1898" s="211"/>
      <c r="BO1898" s="164"/>
      <c r="BP1898" s="726"/>
      <c r="BQ1898" s="727"/>
      <c r="BR1898" s="299"/>
      <c r="BS1898" s="35"/>
      <c r="BT1898" s="596"/>
      <c r="BU1898" s="79"/>
      <c r="BV1898" s="212"/>
      <c r="BW1898" s="304"/>
      <c r="BX1898" s="313"/>
      <c r="BY1898" s="138"/>
    </row>
    <row r="1899" spans="1:77" ht="15" customHeight="1" outlineLevel="1" x14ac:dyDescent="0.2">
      <c r="A1899" s="57" t="s">
        <v>24</v>
      </c>
      <c r="B1899" s="583"/>
      <c r="C1899" s="583" t="s">
        <v>1585</v>
      </c>
      <c r="D1899" s="546">
        <v>3.1040000000000001</v>
      </c>
      <c r="E1899" s="162" t="s">
        <v>631</v>
      </c>
      <c r="F1899" s="358"/>
      <c r="G1899" s="65"/>
      <c r="H1899" s="73"/>
      <c r="I1899" s="90">
        <v>2000</v>
      </c>
      <c r="J1899" s="73"/>
      <c r="K1899" s="734">
        <v>1.0385999999999999E-2</v>
      </c>
      <c r="L1899" s="717"/>
      <c r="M1899" s="73"/>
      <c r="N1899" s="359"/>
      <c r="O1899" s="1041"/>
      <c r="P1899" s="73"/>
      <c r="Q1899" s="359"/>
      <c r="R1899" s="1041"/>
      <c r="S1899" s="73"/>
      <c r="T1899" s="359"/>
      <c r="U1899" s="73"/>
      <c r="V1899" s="66"/>
      <c r="W1899" s="740">
        <f t="shared" si="1707"/>
        <v>6.5431799999999998E-6</v>
      </c>
      <c r="X1899" s="741">
        <f t="shared" si="1708"/>
        <v>6.5431799999999998E-6</v>
      </c>
      <c r="Y1899" s="52">
        <v>2000</v>
      </c>
      <c r="Z1899" s="52"/>
      <c r="AA1899" s="739">
        <f>+K1899/1000</f>
        <v>1.0386E-5</v>
      </c>
      <c r="AB1899" s="256">
        <v>-0.37</v>
      </c>
      <c r="AC1899" s="688">
        <f t="shared" si="1709"/>
        <v>-0.37</v>
      </c>
      <c r="AD1899" s="164"/>
      <c r="AE1899" s="164"/>
      <c r="AF1899" s="25"/>
      <c r="AG1899" s="26"/>
      <c r="AH1899" s="275"/>
      <c r="AI1899" s="52"/>
      <c r="AJ1899" s="35"/>
      <c r="AK1899" s="289"/>
      <c r="AL1899" s="290"/>
      <c r="AM1899" s="211"/>
      <c r="AN1899" s="164"/>
      <c r="AO1899" s="594"/>
      <c r="AP1899" s="595"/>
      <c r="AQ1899" s="275"/>
      <c r="AR1899" s="52"/>
      <c r="AS1899" s="596"/>
      <c r="AT1899" s="79"/>
      <c r="AU1899" s="212"/>
      <c r="AV1899" s="164"/>
      <c r="AW1899" s="164"/>
      <c r="AX1899" s="76"/>
      <c r="AY1899" s="44"/>
      <c r="AZ1899" s="275"/>
      <c r="BA1899" s="52"/>
      <c r="BB1899" s="35"/>
      <c r="BC1899" s="79"/>
      <c r="BD1899" s="230"/>
      <c r="BE1899" s="211"/>
      <c r="BF1899" s="164"/>
      <c r="BG1899" s="76"/>
      <c r="BH1899" s="44"/>
      <c r="BI1899" s="275"/>
      <c r="BJ1899" s="52"/>
      <c r="BK1899" s="35"/>
      <c r="BL1899" s="79"/>
      <c r="BM1899" s="230"/>
      <c r="BN1899" s="211"/>
      <c r="BO1899" s="164"/>
      <c r="BP1899" s="726"/>
      <c r="BQ1899" s="727"/>
      <c r="BR1899" s="299"/>
      <c r="BS1899" s="35"/>
      <c r="BT1899" s="596"/>
      <c r="BU1899" s="79"/>
      <c r="BV1899" s="212"/>
      <c r="BW1899" s="304"/>
      <c r="BX1899" s="313"/>
      <c r="BY1899" s="138"/>
    </row>
    <row r="1900" spans="1:77" ht="15" customHeight="1" outlineLevel="1" x14ac:dyDescent="0.2">
      <c r="A1900" s="57" t="s">
        <v>24</v>
      </c>
      <c r="B1900" s="583"/>
      <c r="C1900" s="583" t="s">
        <v>1427</v>
      </c>
      <c r="D1900" s="546">
        <v>1.77</v>
      </c>
      <c r="E1900" s="162" t="s">
        <v>631</v>
      </c>
      <c r="F1900" s="358"/>
      <c r="G1900" s="65"/>
      <c r="H1900" s="73"/>
      <c r="I1900" s="90"/>
      <c r="J1900" s="73"/>
      <c r="K1900" s="734"/>
      <c r="L1900" s="717"/>
      <c r="M1900" s="73"/>
      <c r="N1900" s="738">
        <v>7.4000000000000003E-3</v>
      </c>
      <c r="O1900" s="1041"/>
      <c r="P1900" s="73"/>
      <c r="Q1900" s="738"/>
      <c r="R1900" s="1041"/>
      <c r="S1900" s="73"/>
      <c r="T1900" s="738"/>
      <c r="U1900" s="73"/>
      <c r="V1900" s="66"/>
      <c r="W1900" s="788">
        <f t="shared" si="1707"/>
        <v>5.1799999999999964E-7</v>
      </c>
      <c r="X1900" s="789">
        <f t="shared" si="1708"/>
        <v>5.1799999999999964E-7</v>
      </c>
      <c r="Y1900" s="52">
        <v>2010</v>
      </c>
      <c r="Z1900" s="52"/>
      <c r="AA1900" s="739">
        <f>+N1900/1000</f>
        <v>7.4000000000000003E-6</v>
      </c>
      <c r="AB1900" s="256">
        <v>-0.93</v>
      </c>
      <c r="AC1900" s="688">
        <f t="shared" si="1709"/>
        <v>-0.93</v>
      </c>
      <c r="AD1900" s="164"/>
      <c r="AE1900" s="164"/>
      <c r="AF1900" s="25"/>
      <c r="AG1900" s="26"/>
      <c r="AH1900" s="275"/>
      <c r="AI1900" s="52"/>
      <c r="AJ1900" s="35"/>
      <c r="AK1900" s="289"/>
      <c r="AL1900" s="290"/>
      <c r="AM1900" s="211"/>
      <c r="AN1900" s="164"/>
      <c r="AO1900" s="594"/>
      <c r="AP1900" s="595"/>
      <c r="AQ1900" s="275"/>
      <c r="AR1900" s="52"/>
      <c r="AS1900" s="596"/>
      <c r="AT1900" s="79"/>
      <c r="AU1900" s="212"/>
      <c r="AV1900" s="164"/>
      <c r="AW1900" s="164"/>
      <c r="AX1900" s="76"/>
      <c r="AY1900" s="44"/>
      <c r="AZ1900" s="275"/>
      <c r="BA1900" s="52"/>
      <c r="BB1900" s="35"/>
      <c r="BC1900" s="79"/>
      <c r="BD1900" s="230"/>
      <c r="BE1900" s="211"/>
      <c r="BF1900" s="164"/>
      <c r="BG1900" s="76"/>
      <c r="BH1900" s="44"/>
      <c r="BI1900" s="275"/>
      <c r="BJ1900" s="52"/>
      <c r="BK1900" s="35"/>
      <c r="BL1900" s="79"/>
      <c r="BM1900" s="230"/>
      <c r="BN1900" s="211"/>
      <c r="BO1900" s="164"/>
      <c r="BP1900" s="726"/>
      <c r="BQ1900" s="727"/>
      <c r="BR1900" s="299"/>
      <c r="BS1900" s="35"/>
      <c r="BT1900" s="596"/>
      <c r="BU1900" s="79"/>
      <c r="BV1900" s="212"/>
      <c r="BW1900" s="304"/>
      <c r="BX1900" s="313"/>
      <c r="BY1900" s="138"/>
    </row>
    <row r="1901" spans="1:77" ht="15" customHeight="1" outlineLevel="1" x14ac:dyDescent="0.2">
      <c r="A1901" s="57" t="s">
        <v>24</v>
      </c>
      <c r="B1901" s="583"/>
      <c r="C1901" s="583" t="s">
        <v>1360</v>
      </c>
      <c r="D1901" s="546">
        <v>1.677</v>
      </c>
      <c r="E1901" s="162" t="s">
        <v>631</v>
      </c>
      <c r="F1901" s="358"/>
      <c r="G1901" s="65"/>
      <c r="H1901" s="73"/>
      <c r="I1901" s="90"/>
      <c r="J1901" s="73"/>
      <c r="K1901" s="734"/>
      <c r="L1901" s="717">
        <v>2008</v>
      </c>
      <c r="M1901" s="73"/>
      <c r="N1901" s="786">
        <v>5.4720000000000003E-3</v>
      </c>
      <c r="O1901" s="1041"/>
      <c r="P1901" s="73"/>
      <c r="Q1901" s="786"/>
      <c r="R1901" s="1041"/>
      <c r="S1901" s="73"/>
      <c r="T1901" s="786"/>
      <c r="U1901" s="73"/>
      <c r="V1901" s="66"/>
      <c r="W1901" s="788">
        <f t="shared" si="1707"/>
        <v>3.3926400000000002E-6</v>
      </c>
      <c r="X1901" s="789">
        <f t="shared" si="1708"/>
        <v>3.3926400000000002E-6</v>
      </c>
      <c r="Y1901" s="52">
        <v>2008</v>
      </c>
      <c r="Z1901" s="52"/>
      <c r="AA1901" s="787">
        <f>+N1901/1000</f>
        <v>5.4720000000000003E-6</v>
      </c>
      <c r="AB1901" s="256">
        <v>-0.38</v>
      </c>
      <c r="AC1901" s="688">
        <f t="shared" si="1709"/>
        <v>-0.38</v>
      </c>
      <c r="AD1901" s="164"/>
      <c r="AE1901" s="164"/>
      <c r="AF1901" s="25"/>
      <c r="AG1901" s="26"/>
      <c r="AH1901" s="275"/>
      <c r="AI1901" s="52"/>
      <c r="AJ1901" s="35"/>
      <c r="AK1901" s="289"/>
      <c r="AL1901" s="290"/>
      <c r="AM1901" s="211"/>
      <c r="AN1901" s="164"/>
      <c r="AO1901" s="594"/>
      <c r="AP1901" s="595"/>
      <c r="AQ1901" s="275"/>
      <c r="AR1901" s="52"/>
      <c r="AS1901" s="596"/>
      <c r="AT1901" s="79"/>
      <c r="AU1901" s="212"/>
      <c r="AV1901" s="164"/>
      <c r="AW1901" s="164"/>
      <c r="AX1901" s="76"/>
      <c r="AY1901" s="44"/>
      <c r="AZ1901" s="275"/>
      <c r="BA1901" s="52"/>
      <c r="BB1901" s="35"/>
      <c r="BC1901" s="79"/>
      <c r="BD1901" s="230"/>
      <c r="BE1901" s="211"/>
      <c r="BF1901" s="164"/>
      <c r="BG1901" s="76"/>
      <c r="BH1901" s="44"/>
      <c r="BI1901" s="275"/>
      <c r="BJ1901" s="52"/>
      <c r="BK1901" s="35"/>
      <c r="BL1901" s="79"/>
      <c r="BM1901" s="230"/>
      <c r="BN1901" s="211"/>
      <c r="BO1901" s="164"/>
      <c r="BP1901" s="726"/>
      <c r="BQ1901" s="727"/>
      <c r="BR1901" s="299"/>
      <c r="BS1901" s="35"/>
      <c r="BT1901" s="596"/>
      <c r="BU1901" s="79"/>
      <c r="BV1901" s="212"/>
      <c r="BW1901" s="304"/>
      <c r="BX1901" s="313"/>
      <c r="BY1901" s="138"/>
    </row>
    <row r="1902" spans="1:77" ht="15" customHeight="1" outlineLevel="1" x14ac:dyDescent="0.2">
      <c r="A1902" s="57" t="s">
        <v>24</v>
      </c>
      <c r="B1902" s="583"/>
      <c r="C1902" s="583" t="s">
        <v>1550</v>
      </c>
      <c r="D1902" s="546">
        <v>0.50600000000000001</v>
      </c>
      <c r="E1902" s="162" t="s">
        <v>631</v>
      </c>
      <c r="F1902" s="358"/>
      <c r="G1902" s="65"/>
      <c r="H1902" s="73"/>
      <c r="I1902" s="90"/>
      <c r="J1902" s="73"/>
      <c r="K1902" s="734"/>
      <c r="L1902" s="717">
        <v>2008</v>
      </c>
      <c r="M1902" s="73"/>
      <c r="N1902" s="786">
        <v>1.0449999999999999E-3</v>
      </c>
      <c r="O1902" s="1041"/>
      <c r="P1902" s="73"/>
      <c r="Q1902" s="786"/>
      <c r="R1902" s="1041"/>
      <c r="S1902" s="73"/>
      <c r="T1902" s="786"/>
      <c r="U1902" s="73"/>
      <c r="V1902" s="66"/>
      <c r="W1902" s="808">
        <f t="shared" si="1707"/>
        <v>3.2395000000000004E-7</v>
      </c>
      <c r="X1902" s="809">
        <f t="shared" si="1708"/>
        <v>3.2395000000000004E-7</v>
      </c>
      <c r="Y1902" s="52">
        <v>2008</v>
      </c>
      <c r="Z1902" s="52"/>
      <c r="AA1902" s="787">
        <f>+N1902/1000</f>
        <v>1.0449999999999999E-6</v>
      </c>
      <c r="AB1902" s="256">
        <v>-0.69</v>
      </c>
      <c r="AC1902" s="688">
        <f t="shared" si="1709"/>
        <v>-0.69</v>
      </c>
      <c r="AD1902" s="164"/>
      <c r="AE1902" s="164"/>
      <c r="AF1902" s="25"/>
      <c r="AG1902" s="26"/>
      <c r="AH1902" s="275"/>
      <c r="AI1902" s="52"/>
      <c r="AJ1902" s="35"/>
      <c r="AK1902" s="289"/>
      <c r="AL1902" s="290"/>
      <c r="AM1902" s="211"/>
      <c r="AN1902" s="164"/>
      <c r="AO1902" s="594"/>
      <c r="AP1902" s="595"/>
      <c r="AQ1902" s="275"/>
      <c r="AR1902" s="52"/>
      <c r="AS1902" s="596"/>
      <c r="AT1902" s="79"/>
      <c r="AU1902" s="212"/>
      <c r="AV1902" s="164"/>
      <c r="AW1902" s="164"/>
      <c r="AX1902" s="76"/>
      <c r="AY1902" s="44"/>
      <c r="AZ1902" s="275"/>
      <c r="BA1902" s="52"/>
      <c r="BB1902" s="35"/>
      <c r="BC1902" s="79"/>
      <c r="BD1902" s="230"/>
      <c r="BE1902" s="211"/>
      <c r="BF1902" s="164"/>
      <c r="BG1902" s="76"/>
      <c r="BH1902" s="44"/>
      <c r="BI1902" s="275"/>
      <c r="BJ1902" s="52"/>
      <c r="BK1902" s="35"/>
      <c r="BL1902" s="79"/>
      <c r="BM1902" s="230"/>
      <c r="BN1902" s="211"/>
      <c r="BO1902" s="164"/>
      <c r="BP1902" s="726"/>
      <c r="BQ1902" s="727"/>
      <c r="BR1902" s="299"/>
      <c r="BS1902" s="35"/>
      <c r="BT1902" s="596"/>
      <c r="BU1902" s="79"/>
      <c r="BV1902" s="212"/>
      <c r="BW1902" s="304"/>
      <c r="BX1902" s="313"/>
      <c r="BY1902" s="138"/>
    </row>
    <row r="1903" spans="1:77" ht="15" customHeight="1" x14ac:dyDescent="0.2">
      <c r="A1903" s="57" t="s">
        <v>27</v>
      </c>
      <c r="B1903" s="583" t="s">
        <v>1606</v>
      </c>
      <c r="C1903" s="57"/>
      <c r="D1903" s="546">
        <v>2090.5189999999998</v>
      </c>
      <c r="E1903" s="1101" t="s">
        <v>2896</v>
      </c>
      <c r="F1903" s="729"/>
      <c r="G1903" s="730">
        <v>16.431000000000001</v>
      </c>
      <c r="H1903" s="723">
        <v>26.259</v>
      </c>
      <c r="I1903" s="1282"/>
      <c r="J1903" s="1283">
        <v>8.2029999999999994</v>
      </c>
      <c r="K1903" s="1283">
        <v>11.388</v>
      </c>
      <c r="L1903" s="1282"/>
      <c r="M1903" s="1283">
        <v>12.356999999999999</v>
      </c>
      <c r="N1903" s="1283">
        <v>12.279</v>
      </c>
      <c r="O1903" s="1284"/>
      <c r="P1903" s="1283">
        <v>12.95276</v>
      </c>
      <c r="Q1903" s="796">
        <v>11.25592</v>
      </c>
      <c r="R1903" s="1284">
        <v>2017</v>
      </c>
      <c r="S1903" s="1283">
        <v>9.5990000000000002</v>
      </c>
      <c r="T1903" s="796">
        <v>11.305999999999999</v>
      </c>
      <c r="U1903" s="73"/>
      <c r="V1903" s="66"/>
      <c r="W1903" s="592"/>
      <c r="X1903" s="593"/>
      <c r="Y1903" s="52">
        <v>1990</v>
      </c>
      <c r="Z1903" s="52"/>
      <c r="AA1903" s="596"/>
      <c r="AB1903" s="824">
        <v>-0.2</v>
      </c>
      <c r="AC1903" s="825">
        <v>-0.3</v>
      </c>
      <c r="AD1903" s="164"/>
      <c r="AE1903" s="164"/>
      <c r="AF1903" s="25"/>
      <c r="AG1903" s="26"/>
      <c r="AH1903" s="275"/>
      <c r="AI1903" s="52"/>
      <c r="AJ1903" s="35"/>
      <c r="AK1903" s="289"/>
      <c r="AL1903" s="290"/>
      <c r="AM1903" s="211"/>
      <c r="AN1903" s="164"/>
      <c r="AO1903" s="76"/>
      <c r="AP1903" s="44"/>
      <c r="AQ1903" s="275"/>
      <c r="AR1903" s="52"/>
      <c r="AS1903" s="35"/>
      <c r="AT1903" s="840">
        <v>0.55000000000000004</v>
      </c>
      <c r="AU1903" s="688">
        <v>0.55000000000000004</v>
      </c>
      <c r="AV1903" s="164"/>
      <c r="AW1903" s="164"/>
      <c r="AX1903" s="76"/>
      <c r="AY1903" s="44"/>
      <c r="AZ1903" s="275"/>
      <c r="BA1903" s="52"/>
      <c r="BB1903" s="35"/>
      <c r="BC1903" s="79"/>
      <c r="BD1903" s="230"/>
      <c r="BE1903" s="211"/>
      <c r="BF1903" s="164"/>
      <c r="BG1903" s="76"/>
      <c r="BH1903" s="44"/>
      <c r="BI1903" s="275"/>
      <c r="BJ1903" s="52"/>
      <c r="BK1903" s="35"/>
      <c r="BL1903" s="79"/>
      <c r="BM1903" s="230"/>
      <c r="BN1903" s="211"/>
      <c r="BO1903" s="164"/>
      <c r="BP1903" s="76"/>
      <c r="BQ1903" s="44"/>
      <c r="BR1903" s="299"/>
      <c r="BS1903" s="52"/>
      <c r="BT1903" s="35"/>
      <c r="BU1903" s="79">
        <v>-0.8</v>
      </c>
      <c r="BV1903" s="212">
        <v>-0.95</v>
      </c>
      <c r="BW1903" s="304"/>
      <c r="BX1903" s="313"/>
      <c r="BY1903" s="138"/>
    </row>
    <row r="1904" spans="1:77" ht="15" customHeight="1" x14ac:dyDescent="0.2">
      <c r="A1904" s="57" t="s">
        <v>27</v>
      </c>
      <c r="B1904" s="57"/>
      <c r="C1904" s="583" t="s">
        <v>880</v>
      </c>
      <c r="D1904" s="546">
        <v>650.64</v>
      </c>
      <c r="E1904" s="162" t="s">
        <v>631</v>
      </c>
      <c r="F1904" s="358"/>
      <c r="G1904" s="65"/>
      <c r="H1904" s="73">
        <v>4.4000000000000004</v>
      </c>
      <c r="I1904" s="90"/>
      <c r="J1904" s="73"/>
      <c r="K1904" s="66"/>
      <c r="L1904" s="717"/>
      <c r="M1904" s="73"/>
      <c r="N1904" s="359"/>
      <c r="O1904" s="1041"/>
      <c r="P1904" s="73"/>
      <c r="Q1904" s="359"/>
      <c r="R1904" s="1041"/>
      <c r="S1904" s="73"/>
      <c r="T1904" s="359"/>
      <c r="U1904" s="73"/>
      <c r="V1904" s="66"/>
      <c r="W1904" s="594">
        <f>AA1904*(1+AB1904)</f>
        <v>1.7600000000000003E-3</v>
      </c>
      <c r="X1904" s="595">
        <f>AA1904*(1+AC1904)</f>
        <v>1.7600000000000003E-3</v>
      </c>
      <c r="Y1904" s="52">
        <v>1990</v>
      </c>
      <c r="Z1904" s="52"/>
      <c r="AA1904" s="596">
        <f>+H1904/1000</f>
        <v>4.4000000000000003E-3</v>
      </c>
      <c r="AB1904" s="256">
        <v>-0.6</v>
      </c>
      <c r="AC1904" s="688">
        <f>AB1904</f>
        <v>-0.6</v>
      </c>
      <c r="AD1904" s="164"/>
      <c r="AE1904" s="164"/>
      <c r="AF1904" s="25"/>
      <c r="AG1904" s="26"/>
      <c r="AH1904" s="275"/>
      <c r="AI1904" s="52"/>
      <c r="AJ1904" s="35"/>
      <c r="AK1904" s="289"/>
      <c r="AL1904" s="290"/>
      <c r="AM1904" s="211"/>
      <c r="AN1904" s="164"/>
      <c r="AO1904" s="76"/>
      <c r="AP1904" s="44"/>
      <c r="AQ1904" s="275"/>
      <c r="AR1904" s="52"/>
      <c r="AS1904" s="35"/>
      <c r="AT1904" s="79"/>
      <c r="AU1904" s="212"/>
      <c r="AV1904" s="164"/>
      <c r="AW1904" s="164"/>
      <c r="AX1904" s="76"/>
      <c r="AY1904" s="44"/>
      <c r="AZ1904" s="275"/>
      <c r="BA1904" s="52"/>
      <c r="BB1904" s="35"/>
      <c r="BC1904" s="79"/>
      <c r="BD1904" s="230"/>
      <c r="BE1904" s="211"/>
      <c r="BF1904" s="164"/>
      <c r="BG1904" s="76"/>
      <c r="BH1904" s="44"/>
      <c r="BI1904" s="275"/>
      <c r="BJ1904" s="52"/>
      <c r="BK1904" s="35"/>
      <c r="BL1904" s="79"/>
      <c r="BM1904" s="230"/>
      <c r="BN1904" s="211"/>
      <c r="BO1904" s="164"/>
      <c r="BP1904" s="76"/>
      <c r="BQ1904" s="44"/>
      <c r="BR1904" s="299"/>
      <c r="BS1904" s="52"/>
      <c r="BT1904" s="35"/>
      <c r="BU1904" s="79"/>
      <c r="BV1904" s="212"/>
      <c r="BW1904" s="304"/>
      <c r="BX1904" s="313"/>
      <c r="BY1904" s="138"/>
    </row>
    <row r="1905" spans="1:77" ht="15" customHeight="1" x14ac:dyDescent="0.2">
      <c r="A1905" s="57" t="s">
        <v>27</v>
      </c>
      <c r="B1905" s="57"/>
      <c r="C1905" s="583" t="s">
        <v>881</v>
      </c>
      <c r="D1905" s="546">
        <v>82.412999999999997</v>
      </c>
      <c r="E1905" s="162" t="s">
        <v>631</v>
      </c>
      <c r="F1905" s="358"/>
      <c r="G1905" s="65"/>
      <c r="H1905" s="73"/>
      <c r="I1905" s="90">
        <v>2006</v>
      </c>
      <c r="J1905" s="73"/>
      <c r="K1905" s="734">
        <v>0.113533</v>
      </c>
      <c r="L1905" s="717"/>
      <c r="M1905" s="73"/>
      <c r="N1905" s="359"/>
      <c r="O1905" s="1041"/>
      <c r="P1905" s="73"/>
      <c r="Q1905" s="359"/>
      <c r="R1905" s="1041"/>
      <c r="S1905" s="73"/>
      <c r="T1905" s="359"/>
      <c r="U1905" s="73"/>
      <c r="V1905" s="66"/>
      <c r="W1905" s="740">
        <f t="shared" ref="W1905" si="1806">AA1905*(1+AB1905)</f>
        <v>7.3796450000000001E-5</v>
      </c>
      <c r="X1905" s="741">
        <f t="shared" ref="X1905" si="1807">AA1905*(1+AC1905)</f>
        <v>7.3796450000000001E-5</v>
      </c>
      <c r="Y1905" s="52">
        <v>2006</v>
      </c>
      <c r="Z1905" s="52"/>
      <c r="AA1905" s="739">
        <f t="shared" ref="AA1905" si="1808">+K1905/1000</f>
        <v>1.13533E-4</v>
      </c>
      <c r="AB1905" s="256">
        <v>-0.35</v>
      </c>
      <c r="AC1905" s="688">
        <f>AB1905</f>
        <v>-0.35</v>
      </c>
      <c r="AD1905" s="164"/>
      <c r="AE1905" s="164"/>
      <c r="AF1905" s="25"/>
      <c r="AG1905" s="26"/>
      <c r="AH1905" s="275"/>
      <c r="AI1905" s="52"/>
      <c r="AJ1905" s="35"/>
      <c r="AK1905" s="289"/>
      <c r="AL1905" s="290"/>
      <c r="AM1905" s="211"/>
      <c r="AN1905" s="164"/>
      <c r="AO1905" s="76"/>
      <c r="AP1905" s="44"/>
      <c r="AQ1905" s="275"/>
      <c r="AR1905" s="52"/>
      <c r="AS1905" s="35"/>
      <c r="AT1905" s="79"/>
      <c r="AU1905" s="212"/>
      <c r="AV1905" s="164"/>
      <c r="AW1905" s="164"/>
      <c r="AX1905" s="76"/>
      <c r="AY1905" s="44"/>
      <c r="AZ1905" s="275"/>
      <c r="BA1905" s="52"/>
      <c r="BB1905" s="35"/>
      <c r="BC1905" s="79"/>
      <c r="BD1905" s="230"/>
      <c r="BE1905" s="211"/>
      <c r="BF1905" s="164"/>
      <c r="BG1905" s="76"/>
      <c r="BH1905" s="44"/>
      <c r="BI1905" s="275"/>
      <c r="BJ1905" s="52"/>
      <c r="BK1905" s="35"/>
      <c r="BL1905" s="79"/>
      <c r="BM1905" s="230"/>
      <c r="BN1905" s="211"/>
      <c r="BO1905" s="164"/>
      <c r="BP1905" s="76"/>
      <c r="BQ1905" s="44"/>
      <c r="BR1905" s="299"/>
      <c r="BS1905" s="52"/>
      <c r="BT1905" s="35"/>
      <c r="BU1905" s="79"/>
      <c r="BV1905" s="212"/>
      <c r="BW1905" s="304"/>
      <c r="BX1905" s="313"/>
      <c r="BY1905" s="138"/>
    </row>
    <row r="1906" spans="1:77" ht="15" customHeight="1" x14ac:dyDescent="0.2">
      <c r="A1906" s="57" t="s">
        <v>26</v>
      </c>
      <c r="B1906" s="583" t="s">
        <v>1606</v>
      </c>
      <c r="C1906" s="57"/>
      <c r="D1906" s="546">
        <v>3068.4569999999999</v>
      </c>
      <c r="E1906" s="1101" t="s">
        <v>2896</v>
      </c>
      <c r="F1906" s="729"/>
      <c r="G1906" s="730">
        <v>43.18</v>
      </c>
      <c r="H1906" s="723">
        <v>48.241999999999997</v>
      </c>
      <c r="I1906" s="1282"/>
      <c r="J1906" s="1283">
        <v>19.238</v>
      </c>
      <c r="K1906" s="1283">
        <v>22.966000000000001</v>
      </c>
      <c r="L1906" s="1282"/>
      <c r="M1906" s="1283">
        <v>12.025</v>
      </c>
      <c r="N1906" s="1283">
        <v>21.009</v>
      </c>
      <c r="O1906" s="1284"/>
      <c r="P1906" s="1283">
        <v>16.59872</v>
      </c>
      <c r="Q1906" s="796">
        <v>20.478649999999998</v>
      </c>
      <c r="R1906" s="1284">
        <v>2017</v>
      </c>
      <c r="S1906" s="1283">
        <v>15.41</v>
      </c>
      <c r="T1906" s="796">
        <v>20.706</v>
      </c>
      <c r="U1906" s="73"/>
      <c r="V1906" s="66"/>
      <c r="W1906" s="592"/>
      <c r="X1906" s="593"/>
      <c r="Y1906" s="52">
        <v>1990</v>
      </c>
      <c r="Z1906" s="52"/>
      <c r="AA1906" s="596"/>
      <c r="AB1906" s="824">
        <v>-0.2</v>
      </c>
      <c r="AC1906" s="825">
        <v>-0.3</v>
      </c>
      <c r="AD1906" s="164"/>
      <c r="AE1906" s="164"/>
      <c r="AF1906" s="25"/>
      <c r="AG1906" s="26"/>
      <c r="AH1906" s="275"/>
      <c r="AI1906" s="52"/>
      <c r="AJ1906" s="35"/>
      <c r="AK1906" s="289"/>
      <c r="AL1906" s="290"/>
      <c r="AM1906" s="211"/>
      <c r="AN1906" s="164"/>
      <c r="AO1906" s="76"/>
      <c r="AP1906" s="44"/>
      <c r="AQ1906" s="275"/>
      <c r="AR1906" s="52"/>
      <c r="AS1906" s="35"/>
      <c r="AT1906" s="840">
        <v>0.55000000000000004</v>
      </c>
      <c r="AU1906" s="688">
        <v>0.55000000000000004</v>
      </c>
      <c r="AV1906" s="164"/>
      <c r="AW1906" s="164"/>
      <c r="AX1906" s="76"/>
      <c r="AY1906" s="44"/>
      <c r="AZ1906" s="275"/>
      <c r="BA1906" s="52"/>
      <c r="BB1906" s="35"/>
      <c r="BC1906" s="79"/>
      <c r="BD1906" s="230"/>
      <c r="BE1906" s="211"/>
      <c r="BF1906" s="164"/>
      <c r="BG1906" s="76"/>
      <c r="BH1906" s="44"/>
      <c r="BI1906" s="275"/>
      <c r="BJ1906" s="52"/>
      <c r="BK1906" s="35"/>
      <c r="BL1906" s="79"/>
      <c r="BM1906" s="230"/>
      <c r="BN1906" s="211"/>
      <c r="BO1906" s="164"/>
      <c r="BP1906" s="76"/>
      <c r="BQ1906" s="44"/>
      <c r="BR1906" s="299"/>
      <c r="BS1906" s="52"/>
      <c r="BT1906" s="35"/>
      <c r="BU1906" s="79">
        <v>-0.8</v>
      </c>
      <c r="BV1906" s="212">
        <v>-0.95</v>
      </c>
      <c r="BW1906" s="304"/>
      <c r="BX1906" s="313"/>
      <c r="BY1906" s="138"/>
    </row>
    <row r="1907" spans="1:77" ht="15" customHeight="1" x14ac:dyDescent="0.2">
      <c r="A1907" s="57" t="s">
        <v>26</v>
      </c>
      <c r="B1907" s="57"/>
      <c r="C1907" s="583" t="s">
        <v>882</v>
      </c>
      <c r="D1907" s="546">
        <v>353.8</v>
      </c>
      <c r="E1907" s="162" t="s">
        <v>631</v>
      </c>
      <c r="F1907" s="358"/>
      <c r="G1907" s="65"/>
      <c r="H1907" s="73">
        <v>2.7160000000000002</v>
      </c>
      <c r="I1907" s="90"/>
      <c r="J1907" s="73"/>
      <c r="K1907" s="66"/>
      <c r="L1907" s="717"/>
      <c r="M1907" s="73"/>
      <c r="N1907" s="359"/>
      <c r="O1907" s="1041"/>
      <c r="P1907" s="73"/>
      <c r="Q1907" s="359"/>
      <c r="R1907" s="1041"/>
      <c r="S1907" s="73"/>
      <c r="T1907" s="359"/>
      <c r="U1907" s="73"/>
      <c r="V1907" s="66"/>
      <c r="W1907" s="594">
        <f>AA1907*(1+AB1907)</f>
        <v>1.9012E-3</v>
      </c>
      <c r="X1907" s="595">
        <f>AA1907*(1+AC1907)</f>
        <v>1.9012E-3</v>
      </c>
      <c r="Y1907" s="52">
        <v>1990</v>
      </c>
      <c r="Z1907" s="52"/>
      <c r="AA1907" s="596">
        <f>+H1907/1000</f>
        <v>2.7160000000000001E-3</v>
      </c>
      <c r="AB1907" s="256">
        <v>-0.3</v>
      </c>
      <c r="AC1907" s="688">
        <f>AB1907</f>
        <v>-0.3</v>
      </c>
      <c r="AD1907" s="164"/>
      <c r="AE1907" s="164"/>
      <c r="AF1907" s="25"/>
      <c r="AG1907" s="26"/>
      <c r="AH1907" s="275"/>
      <c r="AI1907" s="52"/>
      <c r="AJ1907" s="35"/>
      <c r="AK1907" s="289"/>
      <c r="AL1907" s="290"/>
      <c r="AM1907" s="211"/>
      <c r="AN1907" s="164"/>
      <c r="AO1907" s="76"/>
      <c r="AP1907" s="44"/>
      <c r="AQ1907" s="275"/>
      <c r="AR1907" s="52"/>
      <c r="AS1907" s="35"/>
      <c r="AT1907" s="79"/>
      <c r="AU1907" s="212"/>
      <c r="AV1907" s="164"/>
      <c r="AW1907" s="164"/>
      <c r="AX1907" s="76"/>
      <c r="AY1907" s="44"/>
      <c r="AZ1907" s="275"/>
      <c r="BA1907" s="52"/>
      <c r="BB1907" s="35"/>
      <c r="BC1907" s="79"/>
      <c r="BD1907" s="230"/>
      <c r="BE1907" s="211"/>
      <c r="BF1907" s="164"/>
      <c r="BG1907" s="76"/>
      <c r="BH1907" s="44"/>
      <c r="BI1907" s="275"/>
      <c r="BJ1907" s="52"/>
      <c r="BK1907" s="35"/>
      <c r="BL1907" s="79"/>
      <c r="BM1907" s="230"/>
      <c r="BN1907" s="211"/>
      <c r="BO1907" s="164"/>
      <c r="BP1907" s="76"/>
      <c r="BQ1907" s="44"/>
      <c r="BR1907" s="299"/>
      <c r="BS1907" s="52"/>
      <c r="BT1907" s="35"/>
      <c r="BU1907" s="79"/>
      <c r="BV1907" s="212"/>
      <c r="BW1907" s="304"/>
      <c r="BX1907" s="313"/>
      <c r="BY1907" s="138"/>
    </row>
    <row r="1908" spans="1:77" ht="15" customHeight="1" x14ac:dyDescent="0.2">
      <c r="A1908" s="57" t="s">
        <v>26</v>
      </c>
      <c r="B1908" s="57"/>
      <c r="C1908" s="583" t="s">
        <v>884</v>
      </c>
      <c r="D1908" s="546">
        <v>33.603999999999999</v>
      </c>
      <c r="E1908" s="162" t="s">
        <v>631</v>
      </c>
      <c r="F1908" s="358"/>
      <c r="G1908" s="65"/>
      <c r="H1908" s="73"/>
      <c r="I1908" s="90"/>
      <c r="J1908" s="73"/>
      <c r="K1908" s="66"/>
      <c r="L1908" s="717">
        <v>2009</v>
      </c>
      <c r="M1908" s="73"/>
      <c r="N1908" s="738">
        <v>6.9638000000000005E-2</v>
      </c>
      <c r="O1908" s="1041"/>
      <c r="P1908" s="73"/>
      <c r="Q1908" s="738"/>
      <c r="R1908" s="1041"/>
      <c r="S1908" s="73"/>
      <c r="T1908" s="738"/>
      <c r="U1908" s="73"/>
      <c r="V1908" s="66"/>
      <c r="W1908" s="740">
        <f>AA1908*(1+AB1908)</f>
        <v>5.0835740000000001E-5</v>
      </c>
      <c r="X1908" s="741">
        <f>AA1908*(1+AC1908)</f>
        <v>5.0835740000000001E-5</v>
      </c>
      <c r="Y1908" s="52">
        <v>2009</v>
      </c>
      <c r="Z1908" s="52"/>
      <c r="AA1908" s="739">
        <f>+N1908/1000</f>
        <v>6.9638E-5</v>
      </c>
      <c r="AB1908" s="256">
        <v>-0.27</v>
      </c>
      <c r="AC1908" s="688">
        <f>AB1908</f>
        <v>-0.27</v>
      </c>
      <c r="AD1908" s="164"/>
      <c r="AE1908" s="164"/>
      <c r="AF1908" s="25"/>
      <c r="AG1908" s="26"/>
      <c r="AH1908" s="275"/>
      <c r="AI1908" s="52"/>
      <c r="AJ1908" s="35"/>
      <c r="AK1908" s="289"/>
      <c r="AL1908" s="290"/>
      <c r="AM1908" s="211"/>
      <c r="AN1908" s="164"/>
      <c r="AO1908" s="76"/>
      <c r="AP1908" s="44"/>
      <c r="AQ1908" s="275"/>
      <c r="AR1908" s="52"/>
      <c r="AS1908" s="35"/>
      <c r="AT1908" s="79"/>
      <c r="AU1908" s="212"/>
      <c r="AV1908" s="164"/>
      <c r="AW1908" s="164"/>
      <c r="AX1908" s="76"/>
      <c r="AY1908" s="44"/>
      <c r="AZ1908" s="275"/>
      <c r="BA1908" s="52"/>
      <c r="BB1908" s="35"/>
      <c r="BC1908" s="79"/>
      <c r="BD1908" s="230"/>
      <c r="BE1908" s="211"/>
      <c r="BF1908" s="164"/>
      <c r="BG1908" s="76"/>
      <c r="BH1908" s="44"/>
      <c r="BI1908" s="275"/>
      <c r="BJ1908" s="52"/>
      <c r="BK1908" s="35"/>
      <c r="BL1908" s="79"/>
      <c r="BM1908" s="230"/>
      <c r="BN1908" s="211"/>
      <c r="BO1908" s="164"/>
      <c r="BP1908" s="76"/>
      <c r="BQ1908" s="44"/>
      <c r="BR1908" s="299"/>
      <c r="BS1908" s="52"/>
      <c r="BT1908" s="35"/>
      <c r="BU1908" s="79"/>
      <c r="BV1908" s="212"/>
      <c r="BW1908" s="304"/>
      <c r="BX1908" s="313"/>
      <c r="BY1908" s="138"/>
    </row>
    <row r="1909" spans="1:77" ht="15" customHeight="1" x14ac:dyDescent="0.2">
      <c r="A1909" s="57" t="s">
        <v>26</v>
      </c>
      <c r="B1909" s="57"/>
      <c r="C1909" s="583" t="s">
        <v>883</v>
      </c>
      <c r="D1909" s="546">
        <v>47.978000000000002</v>
      </c>
      <c r="E1909" s="162" t="s">
        <v>631</v>
      </c>
      <c r="F1909" s="358"/>
      <c r="G1909" s="65"/>
      <c r="H1909" s="73"/>
      <c r="I1909" s="90"/>
      <c r="J1909" s="73"/>
      <c r="K1909" s="66"/>
      <c r="L1909" s="717">
        <v>2008</v>
      </c>
      <c r="M1909" s="73"/>
      <c r="N1909" s="738">
        <v>0.113174</v>
      </c>
      <c r="O1909" s="1041"/>
      <c r="P1909" s="73"/>
      <c r="Q1909" s="738"/>
      <c r="R1909" s="1041"/>
      <c r="S1909" s="73"/>
      <c r="T1909" s="738"/>
      <c r="U1909" s="73"/>
      <c r="V1909" s="66"/>
      <c r="W1909" s="594">
        <f>AA1909*(1+AB1909)</f>
        <v>0</v>
      </c>
      <c r="X1909" s="595">
        <f>AA1909*(1+AC1909)</f>
        <v>0</v>
      </c>
      <c r="Y1909" s="52">
        <v>2008</v>
      </c>
      <c r="Z1909" s="52"/>
      <c r="AA1909" s="739">
        <f>+N1909/1000</f>
        <v>1.13174E-4</v>
      </c>
      <c r="AB1909" s="256">
        <v>-1</v>
      </c>
      <c r="AC1909" s="688">
        <f>AB1909</f>
        <v>-1</v>
      </c>
      <c r="AD1909" s="164"/>
      <c r="AE1909" s="164"/>
      <c r="AF1909" s="25"/>
      <c r="AG1909" s="26"/>
      <c r="AH1909" s="275"/>
      <c r="AI1909" s="52"/>
      <c r="AJ1909" s="35"/>
      <c r="AK1909" s="289"/>
      <c r="AL1909" s="290"/>
      <c r="AM1909" s="211"/>
      <c r="AN1909" s="164"/>
      <c r="AO1909" s="76"/>
      <c r="AP1909" s="44"/>
      <c r="AQ1909" s="275"/>
      <c r="AR1909" s="52"/>
      <c r="AS1909" s="35"/>
      <c r="AT1909" s="79"/>
      <c r="AU1909" s="212"/>
      <c r="AV1909" s="164"/>
      <c r="AW1909" s="164"/>
      <c r="AX1909" s="76"/>
      <c r="AY1909" s="44"/>
      <c r="AZ1909" s="275"/>
      <c r="BA1909" s="52"/>
      <c r="BB1909" s="35"/>
      <c r="BC1909" s="79"/>
      <c r="BD1909" s="230"/>
      <c r="BE1909" s="211"/>
      <c r="BF1909" s="164"/>
      <c r="BG1909" s="76"/>
      <c r="BH1909" s="44"/>
      <c r="BI1909" s="275"/>
      <c r="BJ1909" s="52"/>
      <c r="BK1909" s="35"/>
      <c r="BL1909" s="79"/>
      <c r="BM1909" s="230"/>
      <c r="BN1909" s="211"/>
      <c r="BO1909" s="164"/>
      <c r="BP1909" s="76"/>
      <c r="BQ1909" s="44"/>
      <c r="BR1909" s="299"/>
      <c r="BS1909" s="52"/>
      <c r="BT1909" s="35"/>
      <c r="BU1909" s="79"/>
      <c r="BV1909" s="212"/>
      <c r="BW1909" s="304"/>
      <c r="BX1909" s="313"/>
      <c r="BY1909" s="138"/>
    </row>
    <row r="1910" spans="1:77" ht="15" customHeight="1" x14ac:dyDescent="0.2">
      <c r="A1910" s="57" t="s">
        <v>26</v>
      </c>
      <c r="B1910" s="57"/>
      <c r="C1910" s="583" t="s">
        <v>487</v>
      </c>
      <c r="D1910" s="546">
        <v>543</v>
      </c>
      <c r="E1910" s="162" t="s">
        <v>2804</v>
      </c>
      <c r="F1910" s="358"/>
      <c r="G1910" s="65"/>
      <c r="H1910" s="73"/>
      <c r="I1910" s="90">
        <v>2003</v>
      </c>
      <c r="J1910" s="73"/>
      <c r="K1910" s="66">
        <v>1.734</v>
      </c>
      <c r="L1910" s="717"/>
      <c r="M1910" s="73"/>
      <c r="N1910" s="359">
        <v>1.499304</v>
      </c>
      <c r="O1910" s="1041">
        <v>2014</v>
      </c>
      <c r="P1910" s="73"/>
      <c r="Q1910" s="359">
        <v>1.9443299999999999</v>
      </c>
      <c r="R1910" s="1041"/>
      <c r="S1910" s="73"/>
      <c r="T1910" s="359"/>
      <c r="U1910" s="73"/>
      <c r="V1910" s="790"/>
      <c r="W1910" s="594">
        <f>AA1910*(1+AB1910)</f>
        <v>1.106486352E-3</v>
      </c>
      <c r="X1910" s="595">
        <f>AA1910*(1+AC1910)</f>
        <v>1.106486352E-3</v>
      </c>
      <c r="Y1910" s="52">
        <v>2003</v>
      </c>
      <c r="Z1910" s="52"/>
      <c r="AA1910" s="596">
        <f>+N1910/1000</f>
        <v>1.4993039999999999E-3</v>
      </c>
      <c r="AB1910" s="732">
        <v>-0.26200000000000001</v>
      </c>
      <c r="AC1910" s="733">
        <f>AB1910</f>
        <v>-0.26200000000000001</v>
      </c>
      <c r="AD1910" s="164"/>
      <c r="AE1910" s="164"/>
      <c r="AF1910" s="25"/>
      <c r="AG1910" s="26"/>
      <c r="AH1910" s="275"/>
      <c r="AI1910" s="52"/>
      <c r="AJ1910" s="35"/>
      <c r="AK1910" s="289"/>
      <c r="AL1910" s="290"/>
      <c r="AM1910" s="211"/>
      <c r="AN1910" s="164"/>
      <c r="AO1910" s="76"/>
      <c r="AP1910" s="44"/>
      <c r="AQ1910" s="275"/>
      <c r="AR1910" s="52"/>
      <c r="AS1910" s="35"/>
      <c r="AT1910" s="79"/>
      <c r="AU1910" s="212"/>
      <c r="AV1910" s="164"/>
      <c r="AW1910" s="164"/>
      <c r="AX1910" s="76"/>
      <c r="AY1910" s="44"/>
      <c r="AZ1910" s="275"/>
      <c r="BA1910" s="52"/>
      <c r="BB1910" s="35"/>
      <c r="BC1910" s="79"/>
      <c r="BD1910" s="230"/>
      <c r="BE1910" s="211"/>
      <c r="BF1910" s="164"/>
      <c r="BG1910" s="76"/>
      <c r="BH1910" s="44"/>
      <c r="BI1910" s="275"/>
      <c r="BJ1910" s="52"/>
      <c r="BK1910" s="35"/>
      <c r="BL1910" s="79"/>
      <c r="BM1910" s="230"/>
      <c r="BN1910" s="211"/>
      <c r="BO1910" s="164"/>
      <c r="BP1910" s="76"/>
      <c r="BQ1910" s="44"/>
      <c r="BR1910" s="299"/>
      <c r="BS1910" s="52"/>
      <c r="BT1910" s="35"/>
      <c r="BU1910" s="79"/>
      <c r="BV1910" s="212"/>
      <c r="BW1910" s="304"/>
      <c r="BX1910" s="313"/>
      <c r="BY1910" s="138"/>
    </row>
    <row r="1911" spans="1:77" ht="15" customHeight="1" x14ac:dyDescent="0.2">
      <c r="A1911" s="57" t="s">
        <v>132</v>
      </c>
      <c r="B1911" s="583" t="s">
        <v>1606</v>
      </c>
      <c r="C1911" s="57"/>
      <c r="D1911" s="546">
        <v>507.88499999999999</v>
      </c>
      <c r="E1911" s="1101" t="s">
        <v>2896</v>
      </c>
      <c r="F1911" s="729"/>
      <c r="G1911" s="730">
        <v>12.880929999999999</v>
      </c>
      <c r="H1911" s="723">
        <v>12.75638</v>
      </c>
      <c r="I1911" s="1282"/>
      <c r="J1911" s="1283">
        <v>12.42362</v>
      </c>
      <c r="K1911" s="1283">
        <v>13.024760000000001</v>
      </c>
      <c r="L1911" s="1282"/>
      <c r="M1911" s="1283">
        <v>12.091659999999999</v>
      </c>
      <c r="N1911" s="1283">
        <v>12.18008</v>
      </c>
      <c r="O1911" s="1284"/>
      <c r="P1911" s="1283">
        <v>9.9329900000000002</v>
      </c>
      <c r="Q1911" s="796">
        <v>10.29494</v>
      </c>
      <c r="R1911" s="1284">
        <v>2017</v>
      </c>
      <c r="S1911" s="1283">
        <v>9.8922699999999999</v>
      </c>
      <c r="T1911" s="796">
        <v>10.236079999999999</v>
      </c>
      <c r="U1911" s="73"/>
      <c r="V1911" s="66"/>
      <c r="W1911" s="592"/>
      <c r="X1911" s="593"/>
      <c r="Y1911" s="52">
        <v>1990</v>
      </c>
      <c r="Z1911" s="52"/>
      <c r="AA1911" s="596"/>
      <c r="AB1911" s="824">
        <v>-0.2</v>
      </c>
      <c r="AC1911" s="825">
        <v>-0.3</v>
      </c>
      <c r="AD1911" s="164"/>
      <c r="AE1911" s="164"/>
      <c r="AF1911" s="25"/>
      <c r="AG1911" s="26"/>
      <c r="AH1911" s="275"/>
      <c r="AI1911" s="52"/>
      <c r="AJ1911" s="35"/>
      <c r="AK1911" s="289"/>
      <c r="AL1911" s="290"/>
      <c r="AM1911" s="211"/>
      <c r="AN1911" s="164"/>
      <c r="AO1911" s="76"/>
      <c r="AP1911" s="44"/>
      <c r="AQ1911" s="275"/>
      <c r="AR1911" s="52"/>
      <c r="AS1911" s="35"/>
      <c r="AT1911" s="840">
        <v>0.55000000000000004</v>
      </c>
      <c r="AU1911" s="688">
        <v>0.55000000000000004</v>
      </c>
      <c r="AV1911" s="164"/>
      <c r="AW1911" s="164"/>
      <c r="AX1911" s="76"/>
      <c r="AY1911" s="44"/>
      <c r="AZ1911" s="275"/>
      <c r="BA1911" s="52"/>
      <c r="BB1911" s="35"/>
      <c r="BC1911" s="79"/>
      <c r="BD1911" s="230"/>
      <c r="BE1911" s="211"/>
      <c r="BF1911" s="164"/>
      <c r="BG1911" s="76"/>
      <c r="BH1911" s="44"/>
      <c r="BI1911" s="275"/>
      <c r="BJ1911" s="52"/>
      <c r="BK1911" s="35"/>
      <c r="BL1911" s="79"/>
      <c r="BM1911" s="230"/>
      <c r="BN1911" s="211"/>
      <c r="BO1911" s="164"/>
      <c r="BP1911" s="76"/>
      <c r="BQ1911" s="44"/>
      <c r="BR1911" s="299"/>
      <c r="BS1911" s="52"/>
      <c r="BT1911" s="35"/>
      <c r="BU1911" s="79">
        <v>-1</v>
      </c>
      <c r="BV1911" s="212">
        <f>BU1911</f>
        <v>-1</v>
      </c>
      <c r="BW1911" s="304"/>
      <c r="BX1911" s="313"/>
      <c r="BY1911" s="138"/>
    </row>
    <row r="1912" spans="1:77" ht="15" customHeight="1" x14ac:dyDescent="0.2">
      <c r="A1912" s="57" t="s">
        <v>132</v>
      </c>
      <c r="B1912" s="57"/>
      <c r="C1912" s="583" t="s">
        <v>885</v>
      </c>
      <c r="D1912" s="546">
        <v>2.2290000000000001</v>
      </c>
      <c r="E1912" s="162" t="s">
        <v>631</v>
      </c>
      <c r="F1912" s="358"/>
      <c r="G1912" s="65"/>
      <c r="H1912" s="73"/>
      <c r="I1912" s="90">
        <v>1997</v>
      </c>
      <c r="J1912" s="73"/>
      <c r="K1912" s="734">
        <v>1.9897999999999999E-2</v>
      </c>
      <c r="L1912" s="717"/>
      <c r="M1912" s="73"/>
      <c r="N1912" s="359"/>
      <c r="O1912" s="1041"/>
      <c r="P1912" s="73"/>
      <c r="Q1912" s="359"/>
      <c r="R1912" s="1041"/>
      <c r="S1912" s="73"/>
      <c r="T1912" s="359"/>
      <c r="U1912" s="73"/>
      <c r="V1912" s="66"/>
      <c r="W1912" s="740">
        <f>AA1912*(1+AB1912)</f>
        <v>1.3928599999999997E-5</v>
      </c>
      <c r="X1912" s="741">
        <f>AA1912*(1+AC1912)</f>
        <v>1.3928599999999997E-5</v>
      </c>
      <c r="Y1912" s="52">
        <v>1997</v>
      </c>
      <c r="Z1912" s="52"/>
      <c r="AA1912" s="739">
        <f>+K1912/1000</f>
        <v>1.9897999999999998E-5</v>
      </c>
      <c r="AB1912" s="256">
        <v>-0.3</v>
      </c>
      <c r="AC1912" s="688">
        <f>AB1912</f>
        <v>-0.3</v>
      </c>
      <c r="AD1912" s="164"/>
      <c r="AE1912" s="164"/>
      <c r="AF1912" s="25"/>
      <c r="AG1912" s="26"/>
      <c r="AH1912" s="275"/>
      <c r="AI1912" s="52"/>
      <c r="AJ1912" s="35"/>
      <c r="AK1912" s="289"/>
      <c r="AL1912" s="290"/>
      <c r="AM1912" s="211"/>
      <c r="AN1912" s="164"/>
      <c r="AO1912" s="76"/>
      <c r="AP1912" s="44"/>
      <c r="AQ1912" s="275"/>
      <c r="AR1912" s="52"/>
      <c r="AS1912" s="35"/>
      <c r="AT1912" s="79"/>
      <c r="AU1912" s="212"/>
      <c r="AV1912" s="164"/>
      <c r="AW1912" s="164"/>
      <c r="AX1912" s="76"/>
      <c r="AY1912" s="44"/>
      <c r="AZ1912" s="275"/>
      <c r="BA1912" s="52"/>
      <c r="BB1912" s="35"/>
      <c r="BC1912" s="79"/>
      <c r="BD1912" s="230"/>
      <c r="BE1912" s="211"/>
      <c r="BF1912" s="164"/>
      <c r="BG1912" s="76"/>
      <c r="BH1912" s="44"/>
      <c r="BI1912" s="275"/>
      <c r="BJ1912" s="52"/>
      <c r="BK1912" s="35"/>
      <c r="BL1912" s="79"/>
      <c r="BM1912" s="230"/>
      <c r="BN1912" s="211"/>
      <c r="BO1912" s="164"/>
      <c r="BP1912" s="76"/>
      <c r="BQ1912" s="44"/>
      <c r="BR1912" s="299"/>
      <c r="BS1912" s="52"/>
      <c r="BT1912" s="35"/>
      <c r="BU1912" s="79"/>
      <c r="BV1912" s="212"/>
      <c r="BW1912" s="304"/>
      <c r="BX1912" s="313"/>
      <c r="BY1912" s="138"/>
    </row>
    <row r="1913" spans="1:77" ht="15" customHeight="1" x14ac:dyDescent="0.2">
      <c r="A1913" s="57" t="s">
        <v>88</v>
      </c>
      <c r="B1913" s="583" t="s">
        <v>1606</v>
      </c>
      <c r="C1913" s="57"/>
      <c r="D1913" s="546">
        <v>424.738</v>
      </c>
      <c r="E1913" s="1101" t="s">
        <v>2896</v>
      </c>
      <c r="F1913" s="729"/>
      <c r="G1913" s="730">
        <v>2.1059999999999999</v>
      </c>
      <c r="H1913" s="723">
        <v>2.1030000000000002</v>
      </c>
      <c r="I1913" s="1282"/>
      <c r="J1913" s="1283">
        <v>2.911</v>
      </c>
      <c r="K1913" s="1283">
        <v>2.91</v>
      </c>
      <c r="L1913" s="1282"/>
      <c r="M1913" s="1283">
        <v>2.9119999999999999</v>
      </c>
      <c r="N1913" s="1283">
        <v>2.91</v>
      </c>
      <c r="O1913" s="1284"/>
      <c r="P1913" s="1283">
        <v>2.1913399999999998</v>
      </c>
      <c r="Q1913" s="796">
        <v>2.1881599999999999</v>
      </c>
      <c r="R1913" s="1284">
        <v>2017</v>
      </c>
      <c r="S1913" s="1283">
        <v>2.1549999999999998</v>
      </c>
      <c r="T1913" s="796">
        <v>2.1520000000000001</v>
      </c>
      <c r="U1913" s="73"/>
      <c r="V1913" s="66"/>
      <c r="W1913" s="592"/>
      <c r="X1913" s="593"/>
      <c r="Y1913" s="52">
        <v>1990</v>
      </c>
      <c r="Z1913" s="52"/>
      <c r="AA1913" s="596"/>
      <c r="AB1913" s="824">
        <v>-0.2</v>
      </c>
      <c r="AC1913" s="825">
        <v>-0.3</v>
      </c>
      <c r="AD1913" s="164"/>
      <c r="AE1913" s="164"/>
      <c r="AF1913" s="25"/>
      <c r="AG1913" s="26"/>
      <c r="AH1913" s="275"/>
      <c r="AI1913" s="52"/>
      <c r="AJ1913" s="35"/>
      <c r="AK1913" s="289"/>
      <c r="AL1913" s="290"/>
      <c r="AM1913" s="211"/>
      <c r="AN1913" s="164"/>
      <c r="AO1913" s="76"/>
      <c r="AP1913" s="44"/>
      <c r="AQ1913" s="275"/>
      <c r="AR1913" s="52"/>
      <c r="AS1913" s="35"/>
      <c r="AT1913" s="840">
        <v>0.55000000000000004</v>
      </c>
      <c r="AU1913" s="688">
        <v>0.55000000000000004</v>
      </c>
      <c r="AV1913" s="164"/>
      <c r="AW1913" s="164"/>
      <c r="AX1913" s="76"/>
      <c r="AY1913" s="44"/>
      <c r="AZ1913" s="275"/>
      <c r="BA1913" s="52"/>
      <c r="BB1913" s="35"/>
      <c r="BC1913" s="79"/>
      <c r="BD1913" s="230"/>
      <c r="BE1913" s="211"/>
      <c r="BF1913" s="164"/>
      <c r="BG1913" s="76"/>
      <c r="BH1913" s="44"/>
      <c r="BI1913" s="275"/>
      <c r="BJ1913" s="52"/>
      <c r="BK1913" s="35"/>
      <c r="BL1913" s="79"/>
      <c r="BM1913" s="230"/>
      <c r="BN1913" s="211"/>
      <c r="BO1913" s="164"/>
      <c r="BP1913" s="76"/>
      <c r="BQ1913" s="44"/>
      <c r="BR1913" s="299"/>
      <c r="BS1913" s="52"/>
      <c r="BT1913" s="35"/>
      <c r="BU1913" s="79">
        <v>-0.8</v>
      </c>
      <c r="BV1913" s="212">
        <v>-0.95</v>
      </c>
      <c r="BW1913" s="304"/>
      <c r="BX1913" s="313"/>
      <c r="BY1913" s="138"/>
    </row>
    <row r="1914" spans="1:77" ht="15" customHeight="1" x14ac:dyDescent="0.2">
      <c r="A1914" s="57" t="s">
        <v>88</v>
      </c>
      <c r="B1914" s="57"/>
      <c r="C1914" s="583" t="s">
        <v>888</v>
      </c>
      <c r="D1914" s="546">
        <v>4.375</v>
      </c>
      <c r="E1914" s="162" t="s">
        <v>631</v>
      </c>
      <c r="F1914" s="358"/>
      <c r="G1914" s="65"/>
      <c r="H1914" s="73"/>
      <c r="I1914" s="90"/>
      <c r="J1914" s="73"/>
      <c r="K1914" s="790">
        <v>2.1402999999999998E-2</v>
      </c>
      <c r="L1914" s="717"/>
      <c r="M1914" s="73"/>
      <c r="N1914" s="359"/>
      <c r="O1914" s="1041"/>
      <c r="P1914" s="73"/>
      <c r="Q1914" s="359"/>
      <c r="R1914" s="1041"/>
      <c r="S1914" s="73"/>
      <c r="T1914" s="359"/>
      <c r="U1914" s="73"/>
      <c r="V1914" s="66"/>
      <c r="W1914" s="788">
        <f t="shared" ref="W1914:W1921" si="1809">AA1914*(1+AB1914)</f>
        <v>1.5838219999999998E-5</v>
      </c>
      <c r="X1914" s="789">
        <f t="shared" ref="X1914:X1921" si="1810">AA1914*(1+AC1914)</f>
        <v>1.5838219999999998E-5</v>
      </c>
      <c r="Y1914" s="52">
        <v>2005</v>
      </c>
      <c r="Z1914" s="52"/>
      <c r="AA1914" s="739">
        <f>+K1914/1000</f>
        <v>2.1402999999999998E-5</v>
      </c>
      <c r="AB1914" s="256">
        <v>-0.26</v>
      </c>
      <c r="AC1914" s="688">
        <f t="shared" ref="AC1914:AC1921" si="1811">AB1914</f>
        <v>-0.26</v>
      </c>
      <c r="AD1914" s="164"/>
      <c r="AE1914" s="164"/>
      <c r="AF1914" s="25"/>
      <c r="AG1914" s="26"/>
      <c r="AH1914" s="275"/>
      <c r="AI1914" s="52"/>
      <c r="AJ1914" s="35"/>
      <c r="AK1914" s="289"/>
      <c r="AL1914" s="290"/>
      <c r="AM1914" s="211"/>
      <c r="AN1914" s="164"/>
      <c r="AO1914" s="76"/>
      <c r="AP1914" s="44"/>
      <c r="AQ1914" s="275"/>
      <c r="AR1914" s="52"/>
      <c r="AS1914" s="35"/>
      <c r="AT1914" s="79"/>
      <c r="AU1914" s="212"/>
      <c r="AV1914" s="164"/>
      <c r="AW1914" s="164"/>
      <c r="AX1914" s="76"/>
      <c r="AY1914" s="44"/>
      <c r="AZ1914" s="275"/>
      <c r="BA1914" s="52"/>
      <c r="BB1914" s="35"/>
      <c r="BC1914" s="79"/>
      <c r="BD1914" s="230"/>
      <c r="BE1914" s="211"/>
      <c r="BF1914" s="164"/>
      <c r="BG1914" s="76"/>
      <c r="BH1914" s="44"/>
      <c r="BI1914" s="275"/>
      <c r="BJ1914" s="52"/>
      <c r="BK1914" s="35"/>
      <c r="BL1914" s="79"/>
      <c r="BM1914" s="230"/>
      <c r="BN1914" s="211"/>
      <c r="BO1914" s="164"/>
      <c r="BP1914" s="76"/>
      <c r="BQ1914" s="44"/>
      <c r="BR1914" s="299"/>
      <c r="BS1914" s="52"/>
      <c r="BT1914" s="35"/>
      <c r="BU1914" s="79"/>
      <c r="BV1914" s="212"/>
      <c r="BW1914" s="304"/>
      <c r="BX1914" s="313"/>
      <c r="BY1914" s="138"/>
    </row>
    <row r="1915" spans="1:77" ht="15" customHeight="1" x14ac:dyDescent="0.2">
      <c r="A1915" s="57" t="s">
        <v>88</v>
      </c>
      <c r="B1915" s="57"/>
      <c r="C1915" s="583" t="s">
        <v>891</v>
      </c>
      <c r="D1915" s="546">
        <v>3</v>
      </c>
      <c r="E1915" s="162" t="s">
        <v>631</v>
      </c>
      <c r="F1915" s="358"/>
      <c r="G1915" s="65"/>
      <c r="H1915" s="73"/>
      <c r="I1915" s="90"/>
      <c r="J1915" s="73"/>
      <c r="K1915" s="790">
        <v>3.8059999999999999E-3</v>
      </c>
      <c r="L1915" s="717"/>
      <c r="M1915" s="73"/>
      <c r="N1915" s="359"/>
      <c r="O1915" s="1041"/>
      <c r="P1915" s="73"/>
      <c r="Q1915" s="359"/>
      <c r="R1915" s="1041"/>
      <c r="S1915" s="73"/>
      <c r="T1915" s="359"/>
      <c r="U1915" s="73"/>
      <c r="V1915" s="66"/>
      <c r="W1915" s="788">
        <f t="shared" si="1809"/>
        <v>2.8544999999999999E-6</v>
      </c>
      <c r="X1915" s="789">
        <f t="shared" si="1810"/>
        <v>2.8544999999999999E-6</v>
      </c>
      <c r="Y1915" s="52">
        <v>2005</v>
      </c>
      <c r="Z1915" s="52"/>
      <c r="AA1915" s="787">
        <f>+K1915/1000</f>
        <v>3.8060000000000001E-6</v>
      </c>
      <c r="AB1915" s="256">
        <v>-0.25</v>
      </c>
      <c r="AC1915" s="688">
        <f t="shared" si="1811"/>
        <v>-0.25</v>
      </c>
      <c r="AD1915" s="164"/>
      <c r="AE1915" s="164"/>
      <c r="AF1915" s="25"/>
      <c r="AG1915" s="26"/>
      <c r="AH1915" s="275"/>
      <c r="AI1915" s="52"/>
      <c r="AJ1915" s="35"/>
      <c r="AK1915" s="289"/>
      <c r="AL1915" s="290"/>
      <c r="AM1915" s="211"/>
      <c r="AN1915" s="164"/>
      <c r="AO1915" s="76"/>
      <c r="AP1915" s="44"/>
      <c r="AQ1915" s="275"/>
      <c r="AR1915" s="52"/>
      <c r="AS1915" s="35"/>
      <c r="AT1915" s="79"/>
      <c r="AU1915" s="212"/>
      <c r="AV1915" s="164"/>
      <c r="AW1915" s="164"/>
      <c r="AX1915" s="76"/>
      <c r="AY1915" s="44"/>
      <c r="AZ1915" s="275"/>
      <c r="BA1915" s="52"/>
      <c r="BB1915" s="35"/>
      <c r="BC1915" s="79"/>
      <c r="BD1915" s="230"/>
      <c r="BE1915" s="211"/>
      <c r="BF1915" s="164"/>
      <c r="BG1915" s="76"/>
      <c r="BH1915" s="44"/>
      <c r="BI1915" s="275"/>
      <c r="BJ1915" s="52"/>
      <c r="BK1915" s="35"/>
      <c r="BL1915" s="79"/>
      <c r="BM1915" s="230"/>
      <c r="BN1915" s="211"/>
      <c r="BO1915" s="164"/>
      <c r="BP1915" s="76"/>
      <c r="BQ1915" s="44"/>
      <c r="BR1915" s="299"/>
      <c r="BS1915" s="52"/>
      <c r="BT1915" s="35"/>
      <c r="BU1915" s="79"/>
      <c r="BV1915" s="212"/>
      <c r="BW1915" s="304"/>
      <c r="BX1915" s="313"/>
      <c r="BY1915" s="138"/>
    </row>
    <row r="1916" spans="1:77" ht="15" customHeight="1" x14ac:dyDescent="0.2">
      <c r="A1916" s="57" t="s">
        <v>88</v>
      </c>
      <c r="B1916" s="57"/>
      <c r="C1916" s="583" t="s">
        <v>886</v>
      </c>
      <c r="D1916" s="546">
        <v>2.1859999999999999</v>
      </c>
      <c r="E1916" s="162" t="s">
        <v>631</v>
      </c>
      <c r="F1916" s="358"/>
      <c r="G1916" s="65"/>
      <c r="H1916" s="73"/>
      <c r="I1916" s="90"/>
      <c r="J1916" s="73"/>
      <c r="K1916" s="66"/>
      <c r="L1916" s="717"/>
      <c r="M1916" s="73"/>
      <c r="N1916" s="786">
        <v>1.0806E-2</v>
      </c>
      <c r="O1916" s="1041"/>
      <c r="P1916" s="73"/>
      <c r="Q1916" s="786"/>
      <c r="R1916" s="1041"/>
      <c r="S1916" s="73"/>
      <c r="T1916" s="786"/>
      <c r="U1916" s="73"/>
      <c r="V1916" s="66"/>
      <c r="W1916" s="788">
        <f t="shared" si="1809"/>
        <v>2.4853799999999998E-6</v>
      </c>
      <c r="X1916" s="789">
        <f t="shared" si="1810"/>
        <v>2.4853799999999998E-6</v>
      </c>
      <c r="Y1916" s="52">
        <v>2010</v>
      </c>
      <c r="Z1916" s="52"/>
      <c r="AA1916" s="787">
        <f>+N1916/1000</f>
        <v>1.0806E-5</v>
      </c>
      <c r="AB1916" s="256">
        <v>-0.77</v>
      </c>
      <c r="AC1916" s="688">
        <f t="shared" si="1811"/>
        <v>-0.77</v>
      </c>
      <c r="AD1916" s="164"/>
      <c r="AE1916" s="164"/>
      <c r="AF1916" s="25"/>
      <c r="AG1916" s="26"/>
      <c r="AH1916" s="275"/>
      <c r="AI1916" s="52"/>
      <c r="AJ1916" s="35"/>
      <c r="AK1916" s="289"/>
      <c r="AL1916" s="290"/>
      <c r="AM1916" s="211"/>
      <c r="AN1916" s="164"/>
      <c r="AO1916" s="76"/>
      <c r="AP1916" s="44"/>
      <c r="AQ1916" s="275"/>
      <c r="AR1916" s="52"/>
      <c r="AS1916" s="35"/>
      <c r="AT1916" s="79"/>
      <c r="AU1916" s="212"/>
      <c r="AV1916" s="164"/>
      <c r="AW1916" s="164"/>
      <c r="AX1916" s="76"/>
      <c r="AY1916" s="44"/>
      <c r="AZ1916" s="275"/>
      <c r="BA1916" s="52"/>
      <c r="BB1916" s="35"/>
      <c r="BC1916" s="79"/>
      <c r="BD1916" s="230"/>
      <c r="BE1916" s="211"/>
      <c r="BF1916" s="164"/>
      <c r="BG1916" s="76"/>
      <c r="BH1916" s="44"/>
      <c r="BI1916" s="275"/>
      <c r="BJ1916" s="52"/>
      <c r="BK1916" s="35"/>
      <c r="BL1916" s="79"/>
      <c r="BM1916" s="230"/>
      <c r="BN1916" s="211"/>
      <c r="BO1916" s="164"/>
      <c r="BP1916" s="76"/>
      <c r="BQ1916" s="44"/>
      <c r="BR1916" s="299"/>
      <c r="BS1916" s="52"/>
      <c r="BT1916" s="35"/>
      <c r="BU1916" s="79"/>
      <c r="BV1916" s="212"/>
      <c r="BW1916" s="304"/>
      <c r="BX1916" s="313"/>
      <c r="BY1916" s="138"/>
    </row>
    <row r="1917" spans="1:77" ht="15" customHeight="1" x14ac:dyDescent="0.2">
      <c r="A1917" s="57" t="s">
        <v>88</v>
      </c>
      <c r="B1917" s="57"/>
      <c r="C1917" s="583" t="s">
        <v>887</v>
      </c>
      <c r="D1917" s="801">
        <v>0.36</v>
      </c>
      <c r="E1917" s="162" t="s">
        <v>631</v>
      </c>
      <c r="F1917" s="358"/>
      <c r="G1917" s="65"/>
      <c r="H1917" s="73"/>
      <c r="I1917" s="90"/>
      <c r="J1917" s="73"/>
      <c r="K1917" s="790">
        <v>9.5910000000000006E-3</v>
      </c>
      <c r="L1917" s="717"/>
      <c r="M1917" s="73"/>
      <c r="N1917" s="359"/>
      <c r="O1917" s="1041"/>
      <c r="P1917" s="73"/>
      <c r="Q1917" s="359"/>
      <c r="R1917" s="1041"/>
      <c r="S1917" s="73"/>
      <c r="T1917" s="359"/>
      <c r="U1917" s="73"/>
      <c r="V1917" s="66"/>
      <c r="W1917" s="788">
        <f t="shared" si="1809"/>
        <v>6.7136999999999998E-6</v>
      </c>
      <c r="X1917" s="789">
        <f t="shared" si="1810"/>
        <v>6.7136999999999998E-6</v>
      </c>
      <c r="Y1917" s="52">
        <v>2005</v>
      </c>
      <c r="Z1917" s="52"/>
      <c r="AA1917" s="739">
        <f>+K1917/1000</f>
        <v>9.5910000000000002E-6</v>
      </c>
      <c r="AB1917" s="256">
        <v>-0.3</v>
      </c>
      <c r="AC1917" s="688">
        <f t="shared" si="1811"/>
        <v>-0.3</v>
      </c>
      <c r="AD1917" s="164"/>
      <c r="AE1917" s="164"/>
      <c r="AF1917" s="25"/>
      <c r="AG1917" s="26"/>
      <c r="AH1917" s="275"/>
      <c r="AI1917" s="52"/>
      <c r="AJ1917" s="35"/>
      <c r="AK1917" s="289"/>
      <c r="AL1917" s="290"/>
      <c r="AM1917" s="211"/>
      <c r="AN1917" s="164"/>
      <c r="AO1917" s="76"/>
      <c r="AP1917" s="44"/>
      <c r="AQ1917" s="275"/>
      <c r="AR1917" s="52"/>
      <c r="AS1917" s="35"/>
      <c r="AT1917" s="79"/>
      <c r="AU1917" s="212"/>
      <c r="AV1917" s="164"/>
      <c r="AW1917" s="164"/>
      <c r="AX1917" s="76"/>
      <c r="AY1917" s="44"/>
      <c r="AZ1917" s="275"/>
      <c r="BA1917" s="52"/>
      <c r="BB1917" s="35"/>
      <c r="BC1917" s="79"/>
      <c r="BD1917" s="230"/>
      <c r="BE1917" s="211"/>
      <c r="BF1917" s="164"/>
      <c r="BG1917" s="76"/>
      <c r="BH1917" s="44"/>
      <c r="BI1917" s="275"/>
      <c r="BJ1917" s="52"/>
      <c r="BK1917" s="35"/>
      <c r="BL1917" s="79"/>
      <c r="BM1917" s="230"/>
      <c r="BN1917" s="211"/>
      <c r="BO1917" s="164"/>
      <c r="BP1917" s="76"/>
      <c r="BQ1917" s="44"/>
      <c r="BR1917" s="299"/>
      <c r="BS1917" s="52"/>
      <c r="BT1917" s="35"/>
      <c r="BU1917" s="79"/>
      <c r="BV1917" s="212"/>
      <c r="BW1917" s="304"/>
      <c r="BX1917" s="313"/>
      <c r="BY1917" s="138"/>
    </row>
    <row r="1918" spans="1:77" ht="15" customHeight="1" x14ac:dyDescent="0.2">
      <c r="A1918" s="57" t="s">
        <v>88</v>
      </c>
      <c r="B1918" s="57"/>
      <c r="C1918" s="583" t="s">
        <v>892</v>
      </c>
      <c r="D1918" s="546">
        <v>3.15</v>
      </c>
      <c r="E1918" s="162" t="s">
        <v>631</v>
      </c>
      <c r="F1918" s="358"/>
      <c r="G1918" s="65"/>
      <c r="H1918" s="73"/>
      <c r="I1918" s="90"/>
      <c r="J1918" s="73"/>
      <c r="K1918" s="790">
        <v>7.6340000000000002E-3</v>
      </c>
      <c r="L1918" s="717"/>
      <c r="M1918" s="73"/>
      <c r="N1918" s="359"/>
      <c r="O1918" s="1041"/>
      <c r="P1918" s="73"/>
      <c r="Q1918" s="359"/>
      <c r="R1918" s="1041"/>
      <c r="S1918" s="73"/>
      <c r="T1918" s="359"/>
      <c r="U1918" s="73"/>
      <c r="V1918" s="66"/>
      <c r="W1918" s="788">
        <f t="shared" si="1809"/>
        <v>5.7254999999999996E-6</v>
      </c>
      <c r="X1918" s="789">
        <f t="shared" si="1810"/>
        <v>5.7254999999999996E-6</v>
      </c>
      <c r="Y1918" s="52">
        <v>2005</v>
      </c>
      <c r="Z1918" s="52"/>
      <c r="AA1918" s="787">
        <f>+K1918/1000</f>
        <v>7.6340000000000001E-6</v>
      </c>
      <c r="AB1918" s="256">
        <v>-0.25</v>
      </c>
      <c r="AC1918" s="688">
        <f t="shared" si="1811"/>
        <v>-0.25</v>
      </c>
      <c r="AD1918" s="164"/>
      <c r="AE1918" s="164"/>
      <c r="AF1918" s="25"/>
      <c r="AG1918" s="26"/>
      <c r="AH1918" s="275"/>
      <c r="AI1918" s="52"/>
      <c r="AJ1918" s="35"/>
      <c r="AK1918" s="289"/>
      <c r="AL1918" s="290"/>
      <c r="AM1918" s="211"/>
      <c r="AN1918" s="164"/>
      <c r="AO1918" s="76"/>
      <c r="AP1918" s="44"/>
      <c r="AQ1918" s="275"/>
      <c r="AR1918" s="52"/>
      <c r="AS1918" s="35"/>
      <c r="AT1918" s="79"/>
      <c r="AU1918" s="212"/>
      <c r="AV1918" s="164"/>
      <c r="AW1918" s="164"/>
      <c r="AX1918" s="76"/>
      <c r="AY1918" s="44"/>
      <c r="AZ1918" s="275"/>
      <c r="BA1918" s="52"/>
      <c r="BB1918" s="35"/>
      <c r="BC1918" s="79"/>
      <c r="BD1918" s="230"/>
      <c r="BE1918" s="211"/>
      <c r="BF1918" s="164"/>
      <c r="BG1918" s="76"/>
      <c r="BH1918" s="44"/>
      <c r="BI1918" s="275"/>
      <c r="BJ1918" s="52"/>
      <c r="BK1918" s="35"/>
      <c r="BL1918" s="79"/>
      <c r="BM1918" s="230"/>
      <c r="BN1918" s="211"/>
      <c r="BO1918" s="164"/>
      <c r="BP1918" s="76"/>
      <c r="BQ1918" s="44"/>
      <c r="BR1918" s="299"/>
      <c r="BS1918" s="52"/>
      <c r="BT1918" s="35"/>
      <c r="BU1918" s="79"/>
      <c r="BV1918" s="212"/>
      <c r="BW1918" s="304"/>
      <c r="BX1918" s="313"/>
      <c r="BY1918" s="138"/>
    </row>
    <row r="1919" spans="1:77" ht="15" customHeight="1" x14ac:dyDescent="0.2">
      <c r="A1919" s="57" t="s">
        <v>88</v>
      </c>
      <c r="B1919" s="57"/>
      <c r="C1919" s="583" t="s">
        <v>890</v>
      </c>
      <c r="D1919" s="546">
        <v>3.2</v>
      </c>
      <c r="E1919" s="162" t="s">
        <v>631</v>
      </c>
      <c r="F1919" s="358"/>
      <c r="G1919" s="65"/>
      <c r="H1919" s="73"/>
      <c r="I1919" s="90"/>
      <c r="J1919" s="73"/>
      <c r="K1919" s="790">
        <v>2.1020000000000001E-3</v>
      </c>
      <c r="L1919" s="717"/>
      <c r="M1919" s="73"/>
      <c r="N1919" s="359"/>
      <c r="O1919" s="1041"/>
      <c r="P1919" s="73"/>
      <c r="Q1919" s="359"/>
      <c r="R1919" s="1041"/>
      <c r="S1919" s="73"/>
      <c r="T1919" s="359"/>
      <c r="U1919" s="73"/>
      <c r="V1919" s="66"/>
      <c r="W1919" s="788">
        <f t="shared" si="1809"/>
        <v>1.5765000000000001E-6</v>
      </c>
      <c r="X1919" s="789">
        <f t="shared" si="1810"/>
        <v>1.5765000000000001E-6</v>
      </c>
      <c r="Y1919" s="52">
        <v>2005</v>
      </c>
      <c r="Z1919" s="52"/>
      <c r="AA1919" s="787">
        <f>+K1919/1000</f>
        <v>2.1019999999999999E-6</v>
      </c>
      <c r="AB1919" s="256">
        <v>-0.25</v>
      </c>
      <c r="AC1919" s="688">
        <f t="shared" si="1811"/>
        <v>-0.25</v>
      </c>
      <c r="AD1919" s="164"/>
      <c r="AE1919" s="164"/>
      <c r="AF1919" s="25"/>
      <c r="AG1919" s="26"/>
      <c r="AH1919" s="275"/>
      <c r="AI1919" s="52"/>
      <c r="AJ1919" s="35"/>
      <c r="AK1919" s="289"/>
      <c r="AL1919" s="290"/>
      <c r="AM1919" s="211"/>
      <c r="AN1919" s="164"/>
      <c r="AO1919" s="76"/>
      <c r="AP1919" s="44"/>
      <c r="AQ1919" s="275"/>
      <c r="AR1919" s="52"/>
      <c r="AS1919" s="35"/>
      <c r="AT1919" s="79"/>
      <c r="AU1919" s="212"/>
      <c r="AV1919" s="164"/>
      <c r="AW1919" s="164"/>
      <c r="AX1919" s="76"/>
      <c r="AY1919" s="44"/>
      <c r="AZ1919" s="275"/>
      <c r="BA1919" s="52"/>
      <c r="BB1919" s="35"/>
      <c r="BC1919" s="79"/>
      <c r="BD1919" s="230"/>
      <c r="BE1919" s="211"/>
      <c r="BF1919" s="164"/>
      <c r="BG1919" s="76"/>
      <c r="BH1919" s="44"/>
      <c r="BI1919" s="275"/>
      <c r="BJ1919" s="52"/>
      <c r="BK1919" s="35"/>
      <c r="BL1919" s="79"/>
      <c r="BM1919" s="230"/>
      <c r="BN1919" s="211"/>
      <c r="BO1919" s="164"/>
      <c r="BP1919" s="76"/>
      <c r="BQ1919" s="44"/>
      <c r="BR1919" s="299"/>
      <c r="BS1919" s="52"/>
      <c r="BT1919" s="35"/>
      <c r="BU1919" s="79"/>
      <c r="BV1919" s="212"/>
      <c r="BW1919" s="304"/>
      <c r="BX1919" s="313"/>
      <c r="BY1919" s="138"/>
    </row>
    <row r="1920" spans="1:77" ht="15" customHeight="1" x14ac:dyDescent="0.2">
      <c r="A1920" s="57" t="s">
        <v>88</v>
      </c>
      <c r="B1920" s="57"/>
      <c r="C1920" s="583" t="s">
        <v>893</v>
      </c>
      <c r="D1920" s="546">
        <v>1.86</v>
      </c>
      <c r="E1920" s="162" t="s">
        <v>631</v>
      </c>
      <c r="F1920" s="358"/>
      <c r="G1920" s="65"/>
      <c r="H1920" s="73"/>
      <c r="I1920" s="90"/>
      <c r="J1920" s="73"/>
      <c r="K1920" s="790">
        <v>5.0140000000000002E-3</v>
      </c>
      <c r="L1920" s="717"/>
      <c r="M1920" s="73"/>
      <c r="N1920" s="359"/>
      <c r="O1920" s="1041"/>
      <c r="P1920" s="73"/>
      <c r="Q1920" s="359"/>
      <c r="R1920" s="1041"/>
      <c r="S1920" s="73"/>
      <c r="T1920" s="359"/>
      <c r="U1920" s="73"/>
      <c r="V1920" s="66"/>
      <c r="W1920" s="788">
        <f t="shared" si="1809"/>
        <v>3.7605000000000007E-6</v>
      </c>
      <c r="X1920" s="789">
        <f t="shared" si="1810"/>
        <v>3.7605000000000007E-6</v>
      </c>
      <c r="Y1920" s="52">
        <v>2005</v>
      </c>
      <c r="Z1920" s="52"/>
      <c r="AA1920" s="739">
        <f>+K1920/1000</f>
        <v>5.0140000000000006E-6</v>
      </c>
      <c r="AB1920" s="256">
        <v>-0.25</v>
      </c>
      <c r="AC1920" s="688">
        <f t="shared" si="1811"/>
        <v>-0.25</v>
      </c>
      <c r="AD1920" s="164"/>
      <c r="AE1920" s="164"/>
      <c r="AF1920" s="25"/>
      <c r="AG1920" s="26"/>
      <c r="AH1920" s="275"/>
      <c r="AI1920" s="52"/>
      <c r="AJ1920" s="35"/>
      <c r="AK1920" s="289"/>
      <c r="AL1920" s="290"/>
      <c r="AM1920" s="211"/>
      <c r="AN1920" s="164"/>
      <c r="AO1920" s="76"/>
      <c r="AP1920" s="44"/>
      <c r="AQ1920" s="275"/>
      <c r="AR1920" s="52"/>
      <c r="AS1920" s="35"/>
      <c r="AT1920" s="79"/>
      <c r="AU1920" s="212"/>
      <c r="AV1920" s="164"/>
      <c r="AW1920" s="164"/>
      <c r="AX1920" s="76"/>
      <c r="AY1920" s="44"/>
      <c r="AZ1920" s="275"/>
      <c r="BA1920" s="52"/>
      <c r="BB1920" s="35"/>
      <c r="BC1920" s="79"/>
      <c r="BD1920" s="230"/>
      <c r="BE1920" s="211"/>
      <c r="BF1920" s="164"/>
      <c r="BG1920" s="76"/>
      <c r="BH1920" s="44"/>
      <c r="BI1920" s="275"/>
      <c r="BJ1920" s="52"/>
      <c r="BK1920" s="35"/>
      <c r="BL1920" s="79"/>
      <c r="BM1920" s="230"/>
      <c r="BN1920" s="211"/>
      <c r="BO1920" s="164"/>
      <c r="BP1920" s="76"/>
      <c r="BQ1920" s="44"/>
      <c r="BR1920" s="299"/>
      <c r="BS1920" s="52"/>
      <c r="BT1920" s="35"/>
      <c r="BU1920" s="79"/>
      <c r="BV1920" s="212"/>
      <c r="BW1920" s="304"/>
      <c r="BX1920" s="313"/>
      <c r="BY1920" s="138"/>
    </row>
    <row r="1921" spans="1:77" ht="15" customHeight="1" x14ac:dyDescent="0.2">
      <c r="A1921" s="57" t="s">
        <v>88</v>
      </c>
      <c r="B1921" s="57"/>
      <c r="C1921" s="583" t="s">
        <v>889</v>
      </c>
      <c r="D1921" s="546">
        <v>3.3660000000000001</v>
      </c>
      <c r="E1921" s="162" t="s">
        <v>631</v>
      </c>
      <c r="F1921" s="358"/>
      <c r="G1921" s="65"/>
      <c r="H1921" s="73"/>
      <c r="I1921" s="90"/>
      <c r="J1921" s="73"/>
      <c r="K1921" s="790">
        <v>5.8399999999999997E-3</v>
      </c>
      <c r="L1921" s="717"/>
      <c r="M1921" s="73"/>
      <c r="N1921" s="359"/>
      <c r="O1921" s="1041"/>
      <c r="P1921" s="73"/>
      <c r="Q1921" s="359"/>
      <c r="R1921" s="1041"/>
      <c r="S1921" s="73"/>
      <c r="T1921" s="359"/>
      <c r="U1921" s="73"/>
      <c r="V1921" s="66"/>
      <c r="W1921" s="788">
        <f t="shared" si="1809"/>
        <v>4.3800000000000004E-6</v>
      </c>
      <c r="X1921" s="789">
        <f t="shared" si="1810"/>
        <v>4.3800000000000004E-6</v>
      </c>
      <c r="Y1921" s="52">
        <v>2005</v>
      </c>
      <c r="Z1921" s="52"/>
      <c r="AA1921" s="739">
        <f>+K1921/1000</f>
        <v>5.84E-6</v>
      </c>
      <c r="AB1921" s="256">
        <v>-0.25</v>
      </c>
      <c r="AC1921" s="688">
        <f t="shared" si="1811"/>
        <v>-0.25</v>
      </c>
      <c r="AD1921" s="164"/>
      <c r="AE1921" s="164"/>
      <c r="AF1921" s="25"/>
      <c r="AG1921" s="26"/>
      <c r="AH1921" s="275"/>
      <c r="AI1921" s="52"/>
      <c r="AJ1921" s="35"/>
      <c r="AK1921" s="289"/>
      <c r="AL1921" s="290"/>
      <c r="AM1921" s="211"/>
      <c r="AN1921" s="164"/>
      <c r="AO1921" s="76"/>
      <c r="AP1921" s="44"/>
      <c r="AQ1921" s="275"/>
      <c r="AR1921" s="52"/>
      <c r="AS1921" s="35"/>
      <c r="AT1921" s="79"/>
      <c r="AU1921" s="212"/>
      <c r="AV1921" s="164"/>
      <c r="AW1921" s="164"/>
      <c r="AX1921" s="76"/>
      <c r="AY1921" s="44"/>
      <c r="AZ1921" s="275"/>
      <c r="BA1921" s="52"/>
      <c r="BB1921" s="35"/>
      <c r="BC1921" s="79"/>
      <c r="BD1921" s="230"/>
      <c r="BE1921" s="211"/>
      <c r="BF1921" s="164"/>
      <c r="BG1921" s="76"/>
      <c r="BH1921" s="44"/>
      <c r="BI1921" s="275"/>
      <c r="BJ1921" s="52"/>
      <c r="BK1921" s="35"/>
      <c r="BL1921" s="79"/>
      <c r="BM1921" s="230"/>
      <c r="BN1921" s="211"/>
      <c r="BO1921" s="164"/>
      <c r="BP1921" s="76"/>
      <c r="BQ1921" s="44"/>
      <c r="BR1921" s="299"/>
      <c r="BS1921" s="52"/>
      <c r="BT1921" s="35"/>
      <c r="BU1921" s="79"/>
      <c r="BV1921" s="212"/>
      <c r="BW1921" s="304"/>
      <c r="BX1921" s="313"/>
      <c r="BY1921" s="138"/>
    </row>
    <row r="1922" spans="1:77" ht="15" customHeight="1" x14ac:dyDescent="0.2">
      <c r="A1922" s="57" t="s">
        <v>20</v>
      </c>
      <c r="B1922" s="583" t="s">
        <v>1606</v>
      </c>
      <c r="C1922" s="57"/>
      <c r="D1922" s="546">
        <v>16615.242999999999</v>
      </c>
      <c r="E1922" s="1101" t="s">
        <v>2896</v>
      </c>
      <c r="F1922" s="729"/>
      <c r="G1922" s="730">
        <v>228.202</v>
      </c>
      <c r="H1922" s="723">
        <v>221.71100000000001</v>
      </c>
      <c r="I1922" s="1282"/>
      <c r="J1922" s="1283">
        <v>220.40700000000001</v>
      </c>
      <c r="K1922" s="1283">
        <v>214.74700000000001</v>
      </c>
      <c r="L1922" s="1282"/>
      <c r="M1922" s="1283">
        <v>219.39</v>
      </c>
      <c r="N1922" s="1283">
        <v>213.821</v>
      </c>
      <c r="O1922" s="1284"/>
      <c r="P1922" s="1283">
        <v>201.20590999999999</v>
      </c>
      <c r="Q1922" s="796">
        <v>195.56040999999999</v>
      </c>
      <c r="R1922" s="1284">
        <v>2017</v>
      </c>
      <c r="S1922" s="1283">
        <v>199.31299999999999</v>
      </c>
      <c r="T1922" s="796">
        <v>193.71299999999999</v>
      </c>
      <c r="U1922" s="73"/>
      <c r="V1922" s="66"/>
      <c r="W1922" s="594"/>
      <c r="X1922" s="595"/>
      <c r="Y1922" s="52">
        <v>1990</v>
      </c>
      <c r="Z1922" s="52"/>
      <c r="AA1922" s="596"/>
      <c r="AB1922" s="824">
        <v>-0.2</v>
      </c>
      <c r="AC1922" s="825">
        <v>-0.3</v>
      </c>
      <c r="AD1922" s="164"/>
      <c r="AE1922" s="164"/>
      <c r="AF1922" s="25"/>
      <c r="AG1922" s="26"/>
      <c r="AH1922" s="275"/>
      <c r="AI1922" s="52"/>
      <c r="AJ1922" s="35"/>
      <c r="AK1922" s="289"/>
      <c r="AL1922" s="290"/>
      <c r="AM1922" s="211"/>
      <c r="AN1922" s="164"/>
      <c r="AO1922" s="76"/>
      <c r="AP1922" s="44"/>
      <c r="AQ1922" s="275"/>
      <c r="AR1922" s="52"/>
      <c r="AS1922" s="35"/>
      <c r="AT1922" s="840">
        <v>0.55000000000000004</v>
      </c>
      <c r="AU1922" s="688">
        <v>0.55000000000000004</v>
      </c>
      <c r="AV1922" s="164"/>
      <c r="AW1922" s="164"/>
      <c r="AX1922" s="76"/>
      <c r="AY1922" s="44"/>
      <c r="AZ1922" s="275"/>
      <c r="BA1922" s="52"/>
      <c r="BB1922" s="35"/>
      <c r="BC1922" s="79"/>
      <c r="BD1922" s="230"/>
      <c r="BE1922" s="211"/>
      <c r="BF1922" s="164"/>
      <c r="BG1922" s="76"/>
      <c r="BH1922" s="44"/>
      <c r="BI1922" s="275"/>
      <c r="BJ1922" s="52"/>
      <c r="BK1922" s="35"/>
      <c r="BL1922" s="79"/>
      <c r="BM1922" s="230"/>
      <c r="BN1922" s="211"/>
      <c r="BO1922" s="164"/>
      <c r="BP1922" s="76"/>
      <c r="BQ1922" s="44"/>
      <c r="BR1922" s="299"/>
      <c r="BS1922" s="52"/>
      <c r="BT1922" s="35"/>
      <c r="BU1922" s="79">
        <v>-1</v>
      </c>
      <c r="BV1922" s="212">
        <f>BU1922</f>
        <v>-1</v>
      </c>
      <c r="BW1922" s="304"/>
      <c r="BX1922" s="313"/>
      <c r="BY1922" s="138"/>
    </row>
    <row r="1923" spans="1:77" ht="15" customHeight="1" x14ac:dyDescent="0.2">
      <c r="A1923" s="57" t="s">
        <v>20</v>
      </c>
      <c r="B1923" s="583" t="s">
        <v>456</v>
      </c>
      <c r="C1923" s="57"/>
      <c r="D1923" s="546">
        <v>491</v>
      </c>
      <c r="E1923" s="162" t="s">
        <v>2916</v>
      </c>
      <c r="F1923" s="358"/>
      <c r="G1923" s="65"/>
      <c r="H1923" s="73">
        <v>3.75</v>
      </c>
      <c r="I1923" s="90"/>
      <c r="J1923" s="73"/>
      <c r="K1923" s="66"/>
      <c r="L1923" s="717"/>
      <c r="M1923" s="73"/>
      <c r="N1923" s="359"/>
      <c r="O1923" s="1041">
        <v>2013</v>
      </c>
      <c r="P1923" s="73"/>
      <c r="Q1923" s="359">
        <v>5</v>
      </c>
      <c r="R1923" s="1041">
        <v>2017</v>
      </c>
      <c r="S1923" s="73"/>
      <c r="T1923" s="359">
        <v>3.6055999999999999</v>
      </c>
      <c r="U1923" s="735"/>
      <c r="V1923" s="66"/>
      <c r="W1923" s="594">
        <f t="shared" ref="W1923:W1936" si="1812">AA1923*(1+AB1923)</f>
        <v>3.0000000000000001E-3</v>
      </c>
      <c r="X1923" s="595">
        <f t="shared" ref="X1923:X1936" si="1813">AA1923*(1+AC1923)</f>
        <v>3.0000000000000001E-3</v>
      </c>
      <c r="Y1923" s="52">
        <v>1990</v>
      </c>
      <c r="Z1923" s="52"/>
      <c r="AA1923" s="596">
        <f>+H1923/1000</f>
        <v>3.7499999999999999E-3</v>
      </c>
      <c r="AB1923" s="256">
        <v>-0.2</v>
      </c>
      <c r="AC1923" s="688">
        <v>-0.2</v>
      </c>
      <c r="AD1923" s="164"/>
      <c r="AE1923" s="164"/>
      <c r="AF1923" s="25"/>
      <c r="AG1923" s="26"/>
      <c r="AH1923" s="275"/>
      <c r="AI1923" s="52"/>
      <c r="AJ1923" s="35"/>
      <c r="AK1923" s="289"/>
      <c r="AL1923" s="290"/>
      <c r="AM1923" s="211"/>
      <c r="AN1923" s="164"/>
      <c r="AO1923" s="76"/>
      <c r="AP1923" s="44"/>
      <c r="AQ1923" s="275"/>
      <c r="AR1923" s="52"/>
      <c r="AS1923" s="35"/>
      <c r="AT1923" s="79"/>
      <c r="AU1923" s="212"/>
      <c r="AV1923" s="164"/>
      <c r="AW1923" s="164"/>
      <c r="AX1923" s="76"/>
      <c r="AY1923" s="44"/>
      <c r="AZ1923" s="275"/>
      <c r="BA1923" s="52"/>
      <c r="BB1923" s="35"/>
      <c r="BC1923" s="79"/>
      <c r="BD1923" s="230"/>
      <c r="BE1923" s="211"/>
      <c r="BF1923" s="164"/>
      <c r="BG1923" s="76"/>
      <c r="BH1923" s="44"/>
      <c r="BI1923" s="275"/>
      <c r="BJ1923" s="52"/>
      <c r="BK1923" s="35"/>
      <c r="BL1923" s="79"/>
      <c r="BM1923" s="230"/>
      <c r="BN1923" s="211"/>
      <c r="BO1923" s="164"/>
      <c r="BP1923" s="726">
        <f>+BT1923*(1+BU1923)</f>
        <v>3.749999999999999E-4</v>
      </c>
      <c r="BQ1923" s="727">
        <f>BT1923*(1+BV1923)</f>
        <v>3.749999999999999E-4</v>
      </c>
      <c r="BR1923" s="299">
        <v>1990</v>
      </c>
      <c r="BS1923" s="35"/>
      <c r="BT1923" s="596">
        <f>+AA1923</f>
        <v>3.7499999999999999E-3</v>
      </c>
      <c r="BU1923" s="79">
        <v>-0.9</v>
      </c>
      <c r="BV1923" s="212">
        <f>BU1923</f>
        <v>-0.9</v>
      </c>
      <c r="BW1923" s="304"/>
      <c r="BX1923" s="313"/>
      <c r="BY1923" s="138"/>
    </row>
    <row r="1924" spans="1:77" s="135" customFormat="1" ht="25.5" x14ac:dyDescent="0.2">
      <c r="A1924" s="1020" t="s">
        <v>20</v>
      </c>
      <c r="B1924" s="984" t="s">
        <v>457</v>
      </c>
      <c r="C1924" s="1020"/>
      <c r="D1924" s="985">
        <v>2500</v>
      </c>
      <c r="E1924" s="971" t="s">
        <v>2924</v>
      </c>
      <c r="F1924" s="986"/>
      <c r="G1924" s="987"/>
      <c r="H1924" s="988">
        <v>21.113</v>
      </c>
      <c r="I1924" s="989"/>
      <c r="J1924" s="988"/>
      <c r="K1924" s="993"/>
      <c r="L1924" s="991"/>
      <c r="M1924" s="988"/>
      <c r="N1924" s="1136"/>
      <c r="O1924" s="1046">
        <v>2014</v>
      </c>
      <c r="P1924" s="988"/>
      <c r="Q1924" s="1136">
        <v>21.829362</v>
      </c>
      <c r="R1924" s="1046">
        <v>2017</v>
      </c>
      <c r="S1924" s="988">
        <v>25.3</v>
      </c>
      <c r="T1924" s="1136"/>
      <c r="U1924" s="988"/>
      <c r="V1924" s="993"/>
      <c r="W1924" s="1021">
        <f t="shared" si="1812"/>
        <v>1.68904E-2</v>
      </c>
      <c r="X1924" s="1022">
        <f t="shared" si="1813"/>
        <v>1.68904E-2</v>
      </c>
      <c r="Y1924" s="996">
        <v>1990</v>
      </c>
      <c r="Z1924" s="996"/>
      <c r="AA1924" s="1008">
        <f>+H1924/1000</f>
        <v>2.1113E-2</v>
      </c>
      <c r="AB1924" s="998">
        <v>-0.2</v>
      </c>
      <c r="AC1924" s="999">
        <v>-0.2</v>
      </c>
      <c r="AD1924" s="1000"/>
      <c r="AE1924" s="1000"/>
      <c r="AF1924" s="1001"/>
      <c r="AG1924" s="1002"/>
      <c r="AH1924" s="1003"/>
      <c r="AI1924" s="996"/>
      <c r="AJ1924" s="1004"/>
      <c r="AK1924" s="1005"/>
      <c r="AL1924" s="1006"/>
      <c r="AM1924" s="1007"/>
      <c r="AN1924" s="1000"/>
      <c r="AO1924" s="1021">
        <f t="shared" ref="AO1924" si="1814">AS1924*(1+AT1924)</f>
        <v>1.05565E-2</v>
      </c>
      <c r="AP1924" s="1022">
        <f t="shared" ref="AP1924" si="1815">AS1924*(1+AU1924)</f>
        <v>1.05565E-2</v>
      </c>
      <c r="AQ1924" s="996">
        <v>1990</v>
      </c>
      <c r="AR1924" s="996"/>
      <c r="AS1924" s="1008">
        <f>+H1924/1000</f>
        <v>2.1113E-2</v>
      </c>
      <c r="AT1924" s="998">
        <v>-0.5</v>
      </c>
      <c r="AU1924" s="999">
        <f t="shared" ref="AU1924" si="1816">AT1924</f>
        <v>-0.5</v>
      </c>
      <c r="AV1924" s="1000"/>
      <c r="AW1924" s="1000"/>
      <c r="AX1924" s="1011"/>
      <c r="AY1924" s="1012"/>
      <c r="AZ1924" s="1003"/>
      <c r="BA1924" s="996"/>
      <c r="BB1924" s="1004"/>
      <c r="BC1924" s="1009"/>
      <c r="BD1924" s="1013"/>
      <c r="BE1924" s="1007"/>
      <c r="BF1924" s="1000"/>
      <c r="BG1924" s="1011"/>
      <c r="BH1924" s="1012"/>
      <c r="BI1924" s="1003"/>
      <c r="BJ1924" s="996"/>
      <c r="BK1924" s="1004"/>
      <c r="BL1924" s="1009"/>
      <c r="BM1924" s="1013"/>
      <c r="BN1924" s="1007"/>
      <c r="BO1924" s="1000"/>
      <c r="BP1924" s="1014">
        <f>+BT1924*(1+BU1924)</f>
        <v>0</v>
      </c>
      <c r="BQ1924" s="1015">
        <f>BT1924*(1+BV1924)</f>
        <v>0</v>
      </c>
      <c r="BR1924" s="1016">
        <v>1990</v>
      </c>
      <c r="BS1924" s="1004"/>
      <c r="BT1924" s="1008">
        <f>+AA1924</f>
        <v>2.1113E-2</v>
      </c>
      <c r="BU1924" s="1009">
        <v>-1</v>
      </c>
      <c r="BV1924" s="1010">
        <f>BU1924</f>
        <v>-1</v>
      </c>
      <c r="BW1924" s="304"/>
      <c r="BX1924" s="313"/>
      <c r="BY1924" s="1017"/>
    </row>
    <row r="1925" spans="1:77" ht="15" customHeight="1" x14ac:dyDescent="0.2">
      <c r="A1925" s="57" t="s">
        <v>20</v>
      </c>
      <c r="B1925" s="583" t="s">
        <v>2250</v>
      </c>
      <c r="C1925" s="57"/>
      <c r="D1925" s="546">
        <v>3620</v>
      </c>
      <c r="E1925" s="162" t="s">
        <v>2944</v>
      </c>
      <c r="F1925" s="358"/>
      <c r="G1925" s="65"/>
      <c r="H1925" s="73">
        <f>N1925/(1-0.2)</f>
        <v>40</v>
      </c>
      <c r="I1925" s="90"/>
      <c r="J1925" s="73"/>
      <c r="K1925" s="66"/>
      <c r="L1925" s="717"/>
      <c r="M1925" s="73"/>
      <c r="N1925" s="359">
        <v>32</v>
      </c>
      <c r="O1925" s="1041">
        <v>2013</v>
      </c>
      <c r="P1925" s="73"/>
      <c r="Q1925" s="359">
        <f>H1925*0.84</f>
        <v>33.6</v>
      </c>
      <c r="R1925" s="1041">
        <v>2017</v>
      </c>
      <c r="S1925" s="73"/>
      <c r="T1925" s="359">
        <f>H1925*1.14</f>
        <v>45.599999999999994</v>
      </c>
      <c r="U1925" s="73"/>
      <c r="V1925" s="66"/>
      <c r="W1925" s="594"/>
      <c r="X1925" s="595"/>
      <c r="Y1925" s="52"/>
      <c r="Z1925" s="52"/>
      <c r="AA1925" s="596"/>
      <c r="AB1925" s="256"/>
      <c r="AC1925" s="688"/>
      <c r="AD1925" s="164"/>
      <c r="AE1925" s="164"/>
      <c r="AF1925" s="25"/>
      <c r="AG1925" s="26"/>
      <c r="AH1925" s="275"/>
      <c r="AI1925" s="52"/>
      <c r="AJ1925" s="35"/>
      <c r="AK1925" s="289"/>
      <c r="AL1925" s="290"/>
      <c r="AM1925" s="211"/>
      <c r="AN1925" s="164"/>
      <c r="AO1925" s="76"/>
      <c r="AP1925" s="44"/>
      <c r="AQ1925" s="275"/>
      <c r="AR1925" s="52"/>
      <c r="AS1925" s="35"/>
      <c r="AT1925" s="79"/>
      <c r="AU1925" s="212"/>
      <c r="AV1925" s="164"/>
      <c r="AW1925" s="164"/>
      <c r="AX1925" s="76"/>
      <c r="AY1925" s="44"/>
      <c r="AZ1925" s="275"/>
      <c r="BA1925" s="52"/>
      <c r="BB1925" s="35"/>
      <c r="BC1925" s="79"/>
      <c r="BD1925" s="230"/>
      <c r="BE1925" s="211"/>
      <c r="BF1925" s="164"/>
      <c r="BG1925" s="76"/>
      <c r="BH1925" s="44"/>
      <c r="BI1925" s="275"/>
      <c r="BJ1925" s="52"/>
      <c r="BK1925" s="35"/>
      <c r="BL1925" s="79"/>
      <c r="BM1925" s="230"/>
      <c r="BN1925" s="211"/>
      <c r="BO1925" s="164"/>
      <c r="BP1925" s="726">
        <f>+BT1925*(1+BU1925)</f>
        <v>7.9999999999999984E-3</v>
      </c>
      <c r="BQ1925" s="727">
        <f>BT1925*(1+BV1925)</f>
        <v>2.0000000000000018E-3</v>
      </c>
      <c r="BR1925" s="299">
        <v>1990</v>
      </c>
      <c r="BS1925" s="35"/>
      <c r="BT1925" s="596">
        <f>H1925/1000</f>
        <v>0.04</v>
      </c>
      <c r="BU1925" s="79">
        <v>-0.8</v>
      </c>
      <c r="BV1925" s="212">
        <v>-0.95</v>
      </c>
      <c r="BW1925" s="304"/>
      <c r="BX1925" s="313"/>
      <c r="BY1925" s="138"/>
    </row>
    <row r="1926" spans="1:77" ht="15" customHeight="1" x14ac:dyDescent="0.2">
      <c r="A1926" s="57" t="s">
        <v>20</v>
      </c>
      <c r="B1926" s="57"/>
      <c r="C1926" s="583" t="s">
        <v>344</v>
      </c>
      <c r="D1926" s="628">
        <v>872.38</v>
      </c>
      <c r="E1926" s="162" t="s">
        <v>2264</v>
      </c>
      <c r="F1926" s="358"/>
      <c r="G1926" s="65"/>
      <c r="H1926" s="73">
        <v>3.81</v>
      </c>
      <c r="I1926" s="90">
        <v>2008</v>
      </c>
      <c r="J1926" s="73"/>
      <c r="K1926" s="66">
        <v>4.7320000000000002</v>
      </c>
      <c r="L1926" s="717">
        <v>2011</v>
      </c>
      <c r="M1926" s="73"/>
      <c r="N1926" s="359">
        <v>5.0940000000000003</v>
      </c>
      <c r="O1926" s="1041"/>
      <c r="P1926" s="73"/>
      <c r="Q1926" s="359">
        <v>4.4710000000000001</v>
      </c>
      <c r="R1926" s="1041"/>
      <c r="S1926" s="73"/>
      <c r="T1926" s="359"/>
      <c r="U1926" s="73"/>
      <c r="V1926" s="66"/>
      <c r="W1926" s="594">
        <f t="shared" si="1812"/>
        <v>2.8392000000000001E-3</v>
      </c>
      <c r="X1926" s="595">
        <f t="shared" si="1813"/>
        <v>2.8392000000000001E-3</v>
      </c>
      <c r="Y1926" s="52">
        <v>2008</v>
      </c>
      <c r="Z1926" s="52"/>
      <c r="AA1926" s="596">
        <f>+K1926/1000</f>
        <v>4.7320000000000001E-3</v>
      </c>
      <c r="AB1926" s="256">
        <v>-0.4</v>
      </c>
      <c r="AC1926" s="688">
        <f>AB1926</f>
        <v>-0.4</v>
      </c>
      <c r="AD1926" s="164"/>
      <c r="AE1926" s="164"/>
      <c r="AF1926" s="802">
        <f>AJ1926*(1+AK1926)</f>
        <v>2.2859999999999998E-3</v>
      </c>
      <c r="AG1926" s="803">
        <f>AJ1926*(1+AL1926)</f>
        <v>2.2859999999999998E-3</v>
      </c>
      <c r="AH1926" s="587">
        <v>1990</v>
      </c>
      <c r="AI1926" s="588"/>
      <c r="AJ1926" s="725">
        <f>+H1926/1000</f>
        <v>3.81E-3</v>
      </c>
      <c r="AK1926" s="590">
        <v>-0.4</v>
      </c>
      <c r="AL1926" s="591">
        <v>-0.4</v>
      </c>
      <c r="AM1926" s="211"/>
      <c r="AN1926" s="164"/>
      <c r="AO1926" s="1021">
        <f t="shared" ref="AO1926" si="1817">AS1926*(1+AT1926)</f>
        <v>1.7144999999999999E-3</v>
      </c>
      <c r="AP1926" s="1022">
        <f t="shared" ref="AP1926" si="1818">AS1926*(1+AU1926)</f>
        <v>1.7144999999999999E-3</v>
      </c>
      <c r="AQ1926" s="996">
        <v>1990</v>
      </c>
      <c r="AR1926" s="996"/>
      <c r="AS1926" s="1008">
        <f>+H1926/1000</f>
        <v>3.81E-3</v>
      </c>
      <c r="AT1926" s="998">
        <v>-0.55000000000000004</v>
      </c>
      <c r="AU1926" s="999">
        <f t="shared" ref="AU1926" si="1819">AT1926</f>
        <v>-0.55000000000000004</v>
      </c>
      <c r="AV1926" s="164"/>
      <c r="AW1926" s="164"/>
      <c r="AX1926" s="76"/>
      <c r="AY1926" s="44"/>
      <c r="AZ1926" s="275"/>
      <c r="BA1926" s="52"/>
      <c r="BB1926" s="35"/>
      <c r="BC1926" s="79"/>
      <c r="BD1926" s="230"/>
      <c r="BE1926" s="211"/>
      <c r="BF1926" s="164"/>
      <c r="BG1926" s="584">
        <f>BK1926*(1+BL1926)</f>
        <v>9.525E-4</v>
      </c>
      <c r="BH1926" s="585">
        <f>BK1926*(1+BM1926)</f>
        <v>9.525E-4</v>
      </c>
      <c r="BI1926" s="974">
        <v>1990</v>
      </c>
      <c r="BJ1926" s="975"/>
      <c r="BK1926" s="976">
        <f>+H1926/1000</f>
        <v>3.81E-3</v>
      </c>
      <c r="BL1926" s="977">
        <v>-0.75</v>
      </c>
      <c r="BM1926" s="978">
        <f>BL1926</f>
        <v>-0.75</v>
      </c>
      <c r="BN1926" s="211"/>
      <c r="BO1926" s="164"/>
      <c r="BP1926" s="584">
        <f>+BT1926*(1+BU1926)</f>
        <v>1.9050000000000016E-4</v>
      </c>
      <c r="BQ1926" s="585">
        <f>BT1926*(1+BV1926)</f>
        <v>1.9050000000000016E-4</v>
      </c>
      <c r="BR1926" s="299">
        <v>1990</v>
      </c>
      <c r="BS1926" s="35"/>
      <c r="BT1926" s="596">
        <f>H1926/1000</f>
        <v>3.81E-3</v>
      </c>
      <c r="BU1926" s="79">
        <v>-0.95</v>
      </c>
      <c r="BV1926" s="212">
        <v>-0.95</v>
      </c>
      <c r="BW1926" s="304"/>
      <c r="BX1926" s="313"/>
      <c r="BY1926" s="138"/>
    </row>
    <row r="1927" spans="1:77" ht="15" customHeight="1" x14ac:dyDescent="0.2">
      <c r="A1927" s="57" t="s">
        <v>20</v>
      </c>
      <c r="B1927" s="57"/>
      <c r="C1927" s="583" t="s">
        <v>897</v>
      </c>
      <c r="D1927" s="628">
        <v>184</v>
      </c>
      <c r="E1927" s="162" t="s">
        <v>631</v>
      </c>
      <c r="F1927" s="358"/>
      <c r="G1927" s="65"/>
      <c r="H1927" s="73"/>
      <c r="I1927" s="90"/>
      <c r="J1927" s="73"/>
      <c r="K1927" s="66"/>
      <c r="L1927" s="717">
        <v>2008</v>
      </c>
      <c r="M1927" s="73"/>
      <c r="N1927" s="359">
        <v>0.75914999999999999</v>
      </c>
      <c r="O1927" s="1041"/>
      <c r="P1927" s="73"/>
      <c r="Q1927" s="359"/>
      <c r="R1927" s="1041"/>
      <c r="S1927" s="73"/>
      <c r="T1927" s="359"/>
      <c r="U1927" s="73"/>
      <c r="V1927" s="66"/>
      <c r="W1927" s="594">
        <f t="shared" si="1812"/>
        <v>5.3140499999999999E-4</v>
      </c>
      <c r="X1927" s="595">
        <f t="shared" si="1813"/>
        <v>5.3140499999999999E-4</v>
      </c>
      <c r="Y1927" s="52">
        <v>2008</v>
      </c>
      <c r="Z1927" s="52"/>
      <c r="AA1927" s="596">
        <f>+N1927/1000</f>
        <v>7.5914999999999999E-4</v>
      </c>
      <c r="AB1927" s="256">
        <v>-0.3</v>
      </c>
      <c r="AC1927" s="688">
        <f>AB1927</f>
        <v>-0.3</v>
      </c>
      <c r="AD1927" s="164"/>
      <c r="AE1927" s="164"/>
      <c r="AF1927" s="600"/>
      <c r="AG1927" s="601"/>
      <c r="AH1927" s="587"/>
      <c r="AI1927" s="588"/>
      <c r="AJ1927" s="589"/>
      <c r="AK1927" s="590"/>
      <c r="AL1927" s="591"/>
      <c r="AM1927" s="211"/>
      <c r="AN1927" s="164"/>
      <c r="AO1927" s="76"/>
      <c r="AP1927" s="44"/>
      <c r="AQ1927" s="275"/>
      <c r="AR1927" s="52"/>
      <c r="AS1927" s="35"/>
      <c r="AT1927" s="79"/>
      <c r="AU1927" s="212"/>
      <c r="AV1927" s="164"/>
      <c r="AW1927" s="164"/>
      <c r="AX1927" s="76"/>
      <c r="AY1927" s="44"/>
      <c r="AZ1927" s="275"/>
      <c r="BA1927" s="52"/>
      <c r="BB1927" s="35"/>
      <c r="BC1927" s="79"/>
      <c r="BD1927" s="230"/>
      <c r="BE1927" s="211"/>
      <c r="BF1927" s="164"/>
      <c r="BG1927" s="584"/>
      <c r="BH1927" s="585"/>
      <c r="BI1927" s="974"/>
      <c r="BJ1927" s="975"/>
      <c r="BK1927" s="976"/>
      <c r="BL1927" s="977"/>
      <c r="BM1927" s="978"/>
      <c r="BN1927" s="211"/>
      <c r="BO1927" s="164"/>
      <c r="BP1927" s="76"/>
      <c r="BQ1927" s="44"/>
      <c r="BR1927" s="299"/>
      <c r="BS1927" s="52"/>
      <c r="BT1927" s="35"/>
      <c r="BU1927" s="79"/>
      <c r="BV1927" s="212"/>
      <c r="BW1927" s="304"/>
      <c r="BX1927" s="313"/>
      <c r="BY1927" s="138"/>
    </row>
    <row r="1928" spans="1:77" ht="15" customHeight="1" x14ac:dyDescent="0.2">
      <c r="A1928" s="57" t="s">
        <v>20</v>
      </c>
      <c r="B1928" s="57"/>
      <c r="C1928" s="583" t="s">
        <v>896</v>
      </c>
      <c r="D1928" s="628">
        <v>96.171999999999997</v>
      </c>
      <c r="E1928" s="162" t="s">
        <v>631</v>
      </c>
      <c r="F1928" s="358"/>
      <c r="G1928" s="65"/>
      <c r="H1928" s="73"/>
      <c r="I1928" s="90">
        <v>2007</v>
      </c>
      <c r="J1928" s="73"/>
      <c r="K1928" s="66">
        <v>0.40696100000000002</v>
      </c>
      <c r="L1928" s="717"/>
      <c r="M1928" s="73"/>
      <c r="N1928" s="359"/>
      <c r="O1928" s="1041"/>
      <c r="P1928" s="73"/>
      <c r="Q1928" s="359"/>
      <c r="R1928" s="1041"/>
      <c r="S1928" s="73"/>
      <c r="T1928" s="359"/>
      <c r="U1928" s="73"/>
      <c r="V1928" s="66"/>
      <c r="W1928" s="594">
        <f t="shared" si="1812"/>
        <v>2.848727E-4</v>
      </c>
      <c r="X1928" s="595">
        <f t="shared" si="1813"/>
        <v>2.848727E-4</v>
      </c>
      <c r="Y1928" s="52">
        <v>2007</v>
      </c>
      <c r="Z1928" s="52"/>
      <c r="AA1928" s="596">
        <f>+K1928/1000</f>
        <v>4.0696100000000001E-4</v>
      </c>
      <c r="AB1928" s="256">
        <v>-0.3</v>
      </c>
      <c r="AC1928" s="688">
        <f>AB1928</f>
        <v>-0.3</v>
      </c>
      <c r="AD1928" s="164"/>
      <c r="AE1928" s="164"/>
      <c r="AF1928" s="600"/>
      <c r="AG1928" s="601"/>
      <c r="AH1928" s="587"/>
      <c r="AI1928" s="588"/>
      <c r="AJ1928" s="589"/>
      <c r="AK1928" s="590"/>
      <c r="AL1928" s="591"/>
      <c r="AM1928" s="211"/>
      <c r="AN1928" s="164"/>
      <c r="AO1928" s="76"/>
      <c r="AP1928" s="44"/>
      <c r="AQ1928" s="275"/>
      <c r="AR1928" s="52"/>
      <c r="AS1928" s="35"/>
      <c r="AT1928" s="79"/>
      <c r="AU1928" s="212"/>
      <c r="AV1928" s="164"/>
      <c r="AW1928" s="164"/>
      <c r="AX1928" s="76"/>
      <c r="AY1928" s="44"/>
      <c r="AZ1928" s="275"/>
      <c r="BA1928" s="52"/>
      <c r="BB1928" s="35"/>
      <c r="BC1928" s="79"/>
      <c r="BD1928" s="230"/>
      <c r="BE1928" s="211"/>
      <c r="BF1928" s="164"/>
      <c r="BG1928" s="76"/>
      <c r="BH1928" s="44"/>
      <c r="BI1928" s="275"/>
      <c r="BJ1928" s="52"/>
      <c r="BK1928" s="35"/>
      <c r="BL1928" s="79"/>
      <c r="BM1928" s="230"/>
      <c r="BN1928" s="211"/>
      <c r="BO1928" s="164"/>
      <c r="BP1928" s="76"/>
      <c r="BQ1928" s="44"/>
      <c r="BR1928" s="299"/>
      <c r="BS1928" s="52"/>
      <c r="BT1928" s="35"/>
      <c r="BU1928" s="79"/>
      <c r="BV1928" s="212"/>
      <c r="BW1928" s="304"/>
      <c r="BX1928" s="313"/>
      <c r="BY1928" s="138"/>
    </row>
    <row r="1929" spans="1:77" ht="15" customHeight="1" x14ac:dyDescent="0.2">
      <c r="A1929" s="57" t="s">
        <v>20</v>
      </c>
      <c r="B1929" s="57"/>
      <c r="C1929" s="583" t="s">
        <v>2518</v>
      </c>
      <c r="D1929" s="628">
        <v>202.25</v>
      </c>
      <c r="E1929" s="162" t="s">
        <v>387</v>
      </c>
      <c r="F1929" s="358"/>
      <c r="G1929" s="65"/>
      <c r="H1929" s="73"/>
      <c r="I1929" s="90">
        <v>2006</v>
      </c>
      <c r="J1929" s="73"/>
      <c r="K1929" s="734">
        <v>0.9</v>
      </c>
      <c r="L1929" s="717">
        <v>2014</v>
      </c>
      <c r="M1929" s="73"/>
      <c r="N1929" s="359">
        <v>1.039976</v>
      </c>
      <c r="O1929" s="1041">
        <v>2017</v>
      </c>
      <c r="P1929" s="73"/>
      <c r="Q1929" s="738">
        <v>0.85899999999999999</v>
      </c>
      <c r="R1929" s="1041">
        <v>2017</v>
      </c>
      <c r="S1929" s="73"/>
      <c r="T1929" s="738">
        <v>0.85899999999999999</v>
      </c>
      <c r="U1929" s="73"/>
      <c r="V1929" s="66"/>
      <c r="W1929" s="594"/>
      <c r="X1929" s="595"/>
      <c r="Y1929" s="52"/>
      <c r="Z1929" s="52"/>
      <c r="AA1929" s="596"/>
      <c r="AB1929" s="256"/>
      <c r="AC1929" s="688"/>
      <c r="AD1929" s="164"/>
      <c r="AE1929" s="164"/>
      <c r="AF1929" s="600"/>
      <c r="AG1929" s="601"/>
      <c r="AH1929" s="587"/>
      <c r="AI1929" s="588"/>
      <c r="AJ1929" s="589"/>
      <c r="AK1929" s="590"/>
      <c r="AL1929" s="591"/>
      <c r="AM1929" s="211"/>
      <c r="AN1929" s="164"/>
      <c r="AO1929" s="594">
        <f t="shared" ref="AO1929" si="1820">AS1929*(1+AT1929)</f>
        <v>0</v>
      </c>
      <c r="AP1929" s="595">
        <f t="shared" ref="AP1929" si="1821">AS1929*(1+AU1929)</f>
        <v>0</v>
      </c>
      <c r="AQ1929" s="52">
        <v>2014</v>
      </c>
      <c r="AR1929" s="52"/>
      <c r="AS1929" s="596">
        <f>+N1929/1000</f>
        <v>1.039976E-3</v>
      </c>
      <c r="AT1929" s="256">
        <v>-1</v>
      </c>
      <c r="AU1929" s="688">
        <f t="shared" ref="AU1929" si="1822">AT1929</f>
        <v>-1</v>
      </c>
      <c r="AV1929" s="164"/>
      <c r="AW1929" s="164"/>
      <c r="AX1929" s="802">
        <f>BB1929*(1+BC1929)</f>
        <v>0</v>
      </c>
      <c r="AY1929" s="803">
        <f>BB1929*(1+BD1929)</f>
        <v>0</v>
      </c>
      <c r="AZ1929" s="587">
        <v>2008</v>
      </c>
      <c r="BA1929" s="588"/>
      <c r="BB1929" s="725">
        <f>+K1929/1000</f>
        <v>8.9999999999999998E-4</v>
      </c>
      <c r="BC1929" s="590">
        <v>-1</v>
      </c>
      <c r="BD1929" s="591">
        <f>BC1929</f>
        <v>-1</v>
      </c>
      <c r="BE1929" s="211"/>
      <c r="BF1929" s="164"/>
      <c r="BG1929" s="76"/>
      <c r="BH1929" s="44"/>
      <c r="BI1929" s="275"/>
      <c r="BJ1929" s="52"/>
      <c r="BK1929" s="35"/>
      <c r="BL1929" s="79"/>
      <c r="BM1929" s="230"/>
      <c r="BN1929" s="211"/>
      <c r="BO1929" s="164"/>
      <c r="BP1929" s="76"/>
      <c r="BQ1929" s="44"/>
      <c r="BR1929" s="299"/>
      <c r="BS1929" s="52"/>
      <c r="BT1929" s="35"/>
      <c r="BU1929" s="79"/>
      <c r="BV1929" s="212"/>
      <c r="BW1929" s="304"/>
      <c r="BX1929" s="313"/>
      <c r="BY1929" s="138"/>
    </row>
    <row r="1930" spans="1:77" ht="15" customHeight="1" x14ac:dyDescent="0.2">
      <c r="A1930" s="57" t="s">
        <v>20</v>
      </c>
      <c r="B1930" s="57"/>
      <c r="C1930" s="583" t="s">
        <v>898</v>
      </c>
      <c r="D1930" s="628">
        <v>150</v>
      </c>
      <c r="E1930" s="162" t="s">
        <v>631</v>
      </c>
      <c r="F1930" s="358"/>
      <c r="G1930" s="65"/>
      <c r="H1930" s="73"/>
      <c r="I1930" s="90">
        <v>2007</v>
      </c>
      <c r="J1930" s="73"/>
      <c r="K1930" s="66">
        <v>0.84605699999999995</v>
      </c>
      <c r="L1930" s="717"/>
      <c r="M1930" s="73"/>
      <c r="N1930" s="359"/>
      <c r="O1930" s="1041"/>
      <c r="P1930" s="73"/>
      <c r="Q1930" s="359"/>
      <c r="R1930" s="1041"/>
      <c r="S1930" s="73"/>
      <c r="T1930" s="359"/>
      <c r="U1930" s="73"/>
      <c r="V1930" s="66"/>
      <c r="W1930" s="594">
        <f t="shared" si="1812"/>
        <v>4.230285E-4</v>
      </c>
      <c r="X1930" s="595">
        <f t="shared" si="1813"/>
        <v>4.230285E-4</v>
      </c>
      <c r="Y1930" s="52">
        <v>2007</v>
      </c>
      <c r="Z1930" s="52"/>
      <c r="AA1930" s="596">
        <f>+K1930/1000</f>
        <v>8.4605699999999999E-4</v>
      </c>
      <c r="AB1930" s="256">
        <v>-0.5</v>
      </c>
      <c r="AC1930" s="688">
        <f>AB1930</f>
        <v>-0.5</v>
      </c>
      <c r="AD1930" s="164"/>
      <c r="AE1930" s="164"/>
      <c r="AF1930" s="600"/>
      <c r="AG1930" s="601"/>
      <c r="AH1930" s="587"/>
      <c r="AI1930" s="588"/>
      <c r="AJ1930" s="589"/>
      <c r="AK1930" s="590"/>
      <c r="AL1930" s="591"/>
      <c r="AM1930" s="211"/>
      <c r="AN1930" s="164"/>
      <c r="AO1930" s="76"/>
      <c r="AP1930" s="44"/>
      <c r="AQ1930" s="275"/>
      <c r="AR1930" s="52"/>
      <c r="AS1930" s="35"/>
      <c r="AT1930" s="79"/>
      <c r="AU1930" s="212"/>
      <c r="AV1930" s="164"/>
      <c r="AW1930" s="164"/>
      <c r="AX1930" s="76"/>
      <c r="AY1930" s="44"/>
      <c r="AZ1930" s="275"/>
      <c r="BA1930" s="52"/>
      <c r="BB1930" s="35"/>
      <c r="BC1930" s="79"/>
      <c r="BD1930" s="230"/>
      <c r="BE1930" s="211"/>
      <c r="BF1930" s="164"/>
      <c r="BG1930" s="76"/>
      <c r="BH1930" s="44"/>
      <c r="BI1930" s="275"/>
      <c r="BJ1930" s="52"/>
      <c r="BK1930" s="35"/>
      <c r="BL1930" s="79"/>
      <c r="BM1930" s="230"/>
      <c r="BN1930" s="211"/>
      <c r="BO1930" s="164"/>
      <c r="BP1930" s="76"/>
      <c r="BQ1930" s="44"/>
      <c r="BR1930" s="299"/>
      <c r="BS1930" s="52"/>
      <c r="BT1930" s="35"/>
      <c r="BU1930" s="79"/>
      <c r="BV1930" s="212"/>
      <c r="BW1930" s="304"/>
      <c r="BX1930" s="313"/>
      <c r="BY1930" s="138"/>
    </row>
    <row r="1931" spans="1:77" ht="15" customHeight="1" x14ac:dyDescent="0.2">
      <c r="A1931" s="57" t="s">
        <v>20</v>
      </c>
      <c r="B1931" s="57"/>
      <c r="C1931" s="583" t="s">
        <v>894</v>
      </c>
      <c r="D1931" s="628">
        <v>51.253</v>
      </c>
      <c r="E1931" s="162" t="s">
        <v>631</v>
      </c>
      <c r="F1931" s="358"/>
      <c r="G1931" s="65"/>
      <c r="H1931" s="73"/>
      <c r="I1931" s="90"/>
      <c r="J1931" s="73"/>
      <c r="K1931" s="66"/>
      <c r="L1931" s="717">
        <v>2011</v>
      </c>
      <c r="M1931" s="73"/>
      <c r="N1931" s="359">
        <v>0.41787299999999999</v>
      </c>
      <c r="O1931" s="1041"/>
      <c r="P1931" s="73"/>
      <c r="Q1931" s="359"/>
      <c r="R1931" s="1041"/>
      <c r="S1931" s="73"/>
      <c r="T1931" s="359"/>
      <c r="U1931" s="73"/>
      <c r="V1931" s="66"/>
      <c r="W1931" s="594">
        <f t="shared" si="1812"/>
        <v>2.0893649999999999E-4</v>
      </c>
      <c r="X1931" s="595">
        <f t="shared" si="1813"/>
        <v>3.3429839999999999E-4</v>
      </c>
      <c r="Y1931" s="52">
        <v>2011</v>
      </c>
      <c r="Z1931" s="52"/>
      <c r="AA1931" s="596">
        <f>+N1931/1000</f>
        <v>4.1787299999999997E-4</v>
      </c>
      <c r="AB1931" s="256">
        <v>-0.5</v>
      </c>
      <c r="AC1931" s="688">
        <v>-0.2</v>
      </c>
      <c r="AD1931" s="164"/>
      <c r="AE1931" s="164"/>
      <c r="AF1931" s="600"/>
      <c r="AG1931" s="601"/>
      <c r="AH1931" s="587"/>
      <c r="AI1931" s="588"/>
      <c r="AJ1931" s="589"/>
      <c r="AK1931" s="590"/>
      <c r="AL1931" s="591"/>
      <c r="AM1931" s="211"/>
      <c r="AN1931" s="164"/>
      <c r="AO1931" s="76"/>
      <c r="AP1931" s="44"/>
      <c r="AQ1931" s="275"/>
      <c r="AR1931" s="52"/>
      <c r="AS1931" s="35"/>
      <c r="AT1931" s="79"/>
      <c r="AU1931" s="212"/>
      <c r="AV1931" s="164"/>
      <c r="AW1931" s="164"/>
      <c r="AX1931" s="76"/>
      <c r="AY1931" s="44"/>
      <c r="AZ1931" s="275"/>
      <c r="BA1931" s="52"/>
      <c r="BB1931" s="35"/>
      <c r="BC1931" s="79"/>
      <c r="BD1931" s="230"/>
      <c r="BE1931" s="211"/>
      <c r="BF1931" s="164"/>
      <c r="BG1931" s="76"/>
      <c r="BH1931" s="44"/>
      <c r="BI1931" s="275"/>
      <c r="BJ1931" s="52"/>
      <c r="BK1931" s="35"/>
      <c r="BL1931" s="79"/>
      <c r="BM1931" s="230"/>
      <c r="BN1931" s="211"/>
      <c r="BO1931" s="164"/>
      <c r="BP1931" s="76"/>
      <c r="BQ1931" s="44"/>
      <c r="BR1931" s="299"/>
      <c r="BS1931" s="52"/>
      <c r="BT1931" s="35"/>
      <c r="BU1931" s="79"/>
      <c r="BV1931" s="212"/>
      <c r="BW1931" s="304"/>
      <c r="BX1931" s="313"/>
      <c r="BY1931" s="138"/>
    </row>
    <row r="1932" spans="1:77" ht="15" customHeight="1" x14ac:dyDescent="0.2">
      <c r="A1932" s="57" t="s">
        <v>20</v>
      </c>
      <c r="B1932" s="57"/>
      <c r="C1932" s="583" t="s">
        <v>895</v>
      </c>
      <c r="D1932" s="628">
        <v>45.878999999999998</v>
      </c>
      <c r="E1932" s="162" t="s">
        <v>631</v>
      </c>
      <c r="F1932" s="358"/>
      <c r="G1932" s="65"/>
      <c r="H1932" s="73">
        <v>0.27837299999999998</v>
      </c>
      <c r="I1932" s="90"/>
      <c r="J1932" s="73"/>
      <c r="K1932" s="66"/>
      <c r="L1932" s="717"/>
      <c r="M1932" s="73"/>
      <c r="N1932" s="359"/>
      <c r="O1932" s="1041"/>
      <c r="P1932" s="73"/>
      <c r="Q1932" s="359"/>
      <c r="R1932" s="1041"/>
      <c r="S1932" s="73"/>
      <c r="T1932" s="359"/>
      <c r="U1932" s="73"/>
      <c r="V1932" s="66"/>
      <c r="W1932" s="594">
        <f t="shared" si="1812"/>
        <v>1.9486109999999998E-4</v>
      </c>
      <c r="X1932" s="595">
        <f t="shared" si="1813"/>
        <v>1.9486109999999998E-4</v>
      </c>
      <c r="Y1932" s="52">
        <v>1990</v>
      </c>
      <c r="Z1932" s="52"/>
      <c r="AA1932" s="596">
        <f>+H1932/1000</f>
        <v>2.78373E-4</v>
      </c>
      <c r="AB1932" s="256">
        <v>-0.3</v>
      </c>
      <c r="AC1932" s="688">
        <f t="shared" ref="AC1932:AC1937" si="1823">AB1932</f>
        <v>-0.3</v>
      </c>
      <c r="AD1932" s="164"/>
      <c r="AE1932" s="164"/>
      <c r="AF1932" s="600"/>
      <c r="AG1932" s="601"/>
      <c r="AH1932" s="587"/>
      <c r="AI1932" s="588"/>
      <c r="AJ1932" s="589"/>
      <c r="AK1932" s="590"/>
      <c r="AL1932" s="591"/>
      <c r="AM1932" s="211"/>
      <c r="AN1932" s="164"/>
      <c r="AO1932" s="76"/>
      <c r="AP1932" s="44"/>
      <c r="AQ1932" s="275"/>
      <c r="AR1932" s="52"/>
      <c r="AS1932" s="35"/>
      <c r="AT1932" s="79"/>
      <c r="AU1932" s="212"/>
      <c r="AV1932" s="164"/>
      <c r="AW1932" s="164"/>
      <c r="AX1932" s="76"/>
      <c r="AY1932" s="44"/>
      <c r="AZ1932" s="275"/>
      <c r="BA1932" s="52"/>
      <c r="BB1932" s="35"/>
      <c r="BC1932" s="79"/>
      <c r="BD1932" s="230"/>
      <c r="BE1932" s="211"/>
      <c r="BF1932" s="164"/>
      <c r="BG1932" s="76"/>
      <c r="BH1932" s="44"/>
      <c r="BI1932" s="275"/>
      <c r="BJ1932" s="52"/>
      <c r="BK1932" s="35"/>
      <c r="BL1932" s="79"/>
      <c r="BM1932" s="230"/>
      <c r="BN1932" s="211"/>
      <c r="BO1932" s="164"/>
      <c r="BP1932" s="76"/>
      <c r="BQ1932" s="44"/>
      <c r="BR1932" s="299"/>
      <c r="BS1932" s="52"/>
      <c r="BT1932" s="35"/>
      <c r="BU1932" s="79"/>
      <c r="BV1932" s="212"/>
      <c r="BW1932" s="304"/>
      <c r="BX1932" s="313"/>
      <c r="BY1932" s="138"/>
    </row>
    <row r="1933" spans="1:77" ht="15" customHeight="1" x14ac:dyDescent="0.2">
      <c r="A1933" s="57" t="s">
        <v>20</v>
      </c>
      <c r="B1933" s="57"/>
      <c r="C1933" s="583" t="s">
        <v>900</v>
      </c>
      <c r="D1933" s="628">
        <v>18</v>
      </c>
      <c r="E1933" s="162" t="s">
        <v>631</v>
      </c>
      <c r="F1933" s="358"/>
      <c r="G1933" s="65"/>
      <c r="H1933" s="73"/>
      <c r="I1933" s="90"/>
      <c r="J1933" s="73"/>
      <c r="K1933" s="66"/>
      <c r="L1933" s="717">
        <v>2010</v>
      </c>
      <c r="M1933" s="73"/>
      <c r="N1933" s="359">
        <v>0.26430199999999998</v>
      </c>
      <c r="O1933" s="1041"/>
      <c r="P1933" s="73"/>
      <c r="Q1933" s="359"/>
      <c r="R1933" s="1041"/>
      <c r="S1933" s="73"/>
      <c r="T1933" s="359"/>
      <c r="U1933" s="73"/>
      <c r="V1933" s="66"/>
      <c r="W1933" s="594">
        <f t="shared" si="1812"/>
        <v>1.8501139999999998E-4</v>
      </c>
      <c r="X1933" s="595">
        <f t="shared" si="1813"/>
        <v>1.8501139999999998E-4</v>
      </c>
      <c r="Y1933" s="52">
        <v>2010</v>
      </c>
      <c r="Z1933" s="52"/>
      <c r="AA1933" s="596">
        <f>+N1933/1000</f>
        <v>2.64302E-4</v>
      </c>
      <c r="AB1933" s="256">
        <v>-0.3</v>
      </c>
      <c r="AC1933" s="688">
        <f t="shared" si="1823"/>
        <v>-0.3</v>
      </c>
      <c r="AD1933" s="164"/>
      <c r="AE1933" s="164"/>
      <c r="AF1933" s="600"/>
      <c r="AG1933" s="601"/>
      <c r="AH1933" s="587"/>
      <c r="AI1933" s="588"/>
      <c r="AJ1933" s="589"/>
      <c r="AK1933" s="590"/>
      <c r="AL1933" s="591"/>
      <c r="AM1933" s="211"/>
      <c r="AN1933" s="164"/>
      <c r="AO1933" s="76"/>
      <c r="AP1933" s="44"/>
      <c r="AQ1933" s="275"/>
      <c r="AR1933" s="52"/>
      <c r="AS1933" s="35"/>
      <c r="AT1933" s="79"/>
      <c r="AU1933" s="212"/>
      <c r="AV1933" s="164"/>
      <c r="AW1933" s="164"/>
      <c r="AX1933" s="76"/>
      <c r="AY1933" s="44"/>
      <c r="AZ1933" s="275"/>
      <c r="BA1933" s="52"/>
      <c r="BB1933" s="35"/>
      <c r="BC1933" s="79"/>
      <c r="BD1933" s="230"/>
      <c r="BE1933" s="211"/>
      <c r="BF1933" s="164"/>
      <c r="BG1933" s="76"/>
      <c r="BH1933" s="44"/>
      <c r="BI1933" s="275"/>
      <c r="BJ1933" s="52"/>
      <c r="BK1933" s="35"/>
      <c r="BL1933" s="79"/>
      <c r="BM1933" s="230"/>
      <c r="BN1933" s="211"/>
      <c r="BO1933" s="164"/>
      <c r="BP1933" s="76"/>
      <c r="BQ1933" s="44"/>
      <c r="BR1933" s="299"/>
      <c r="BS1933" s="52"/>
      <c r="BT1933" s="35"/>
      <c r="BU1933" s="79"/>
      <c r="BV1933" s="212"/>
      <c r="BW1933" s="304"/>
      <c r="BX1933" s="313"/>
      <c r="BY1933" s="138"/>
    </row>
    <row r="1934" spans="1:77" ht="15" customHeight="1" x14ac:dyDescent="0.2">
      <c r="A1934" s="57" t="s">
        <v>20</v>
      </c>
      <c r="B1934" s="57"/>
      <c r="C1934" s="583" t="s">
        <v>899</v>
      </c>
      <c r="D1934" s="628">
        <v>170.739</v>
      </c>
      <c r="E1934" s="162" t="s">
        <v>631</v>
      </c>
      <c r="F1934" s="358"/>
      <c r="G1934" s="65"/>
      <c r="H1934" s="73"/>
      <c r="I1934" s="90"/>
      <c r="J1934" s="73"/>
      <c r="K1934" s="66"/>
      <c r="L1934" s="717">
        <v>2008</v>
      </c>
      <c r="M1934" s="73"/>
      <c r="N1934" s="359">
        <v>1.089</v>
      </c>
      <c r="O1934" s="1041"/>
      <c r="P1934" s="73"/>
      <c r="Q1934" s="359"/>
      <c r="R1934" s="1041"/>
      <c r="S1934" s="73"/>
      <c r="T1934" s="359"/>
      <c r="U1934" s="73"/>
      <c r="V1934" s="66"/>
      <c r="W1934" s="594">
        <f t="shared" si="1812"/>
        <v>7.6229999999999994E-4</v>
      </c>
      <c r="X1934" s="595">
        <f t="shared" si="1813"/>
        <v>7.6229999999999994E-4</v>
      </c>
      <c r="Y1934" s="52">
        <v>2008</v>
      </c>
      <c r="Z1934" s="52"/>
      <c r="AA1934" s="596">
        <f>+N1934/1000</f>
        <v>1.0889999999999999E-3</v>
      </c>
      <c r="AB1934" s="256">
        <v>-0.3</v>
      </c>
      <c r="AC1934" s="688">
        <f t="shared" si="1823"/>
        <v>-0.3</v>
      </c>
      <c r="AD1934" s="164"/>
      <c r="AE1934" s="164"/>
      <c r="AF1934" s="600"/>
      <c r="AG1934" s="601"/>
      <c r="AH1934" s="587"/>
      <c r="AI1934" s="588"/>
      <c r="AJ1934" s="589"/>
      <c r="AK1934" s="590"/>
      <c r="AL1934" s="591"/>
      <c r="AM1934" s="211"/>
      <c r="AN1934" s="164"/>
      <c r="AO1934" s="76"/>
      <c r="AP1934" s="44"/>
      <c r="AQ1934" s="275"/>
      <c r="AR1934" s="52"/>
      <c r="AS1934" s="35"/>
      <c r="AT1934" s="79"/>
      <c r="AU1934" s="212"/>
      <c r="AV1934" s="164"/>
      <c r="AW1934" s="164"/>
      <c r="AX1934" s="76"/>
      <c r="AY1934" s="44"/>
      <c r="AZ1934" s="275"/>
      <c r="BA1934" s="52"/>
      <c r="BB1934" s="35"/>
      <c r="BC1934" s="79"/>
      <c r="BD1934" s="230"/>
      <c r="BE1934" s="211"/>
      <c r="BF1934" s="164"/>
      <c r="BG1934" s="76"/>
      <c r="BH1934" s="44"/>
      <c r="BI1934" s="275"/>
      <c r="BJ1934" s="52"/>
      <c r="BK1934" s="35"/>
      <c r="BL1934" s="79"/>
      <c r="BM1934" s="230"/>
      <c r="BN1934" s="211"/>
      <c r="BO1934" s="164"/>
      <c r="BP1934" s="76"/>
      <c r="BQ1934" s="44"/>
      <c r="BR1934" s="299"/>
      <c r="BS1934" s="52"/>
      <c r="BT1934" s="35"/>
      <c r="BU1934" s="79"/>
      <c r="BV1934" s="212"/>
      <c r="BW1934" s="304"/>
      <c r="BX1934" s="313"/>
      <c r="BY1934" s="138"/>
    </row>
    <row r="1935" spans="1:77" ht="15" customHeight="1" x14ac:dyDescent="0.2">
      <c r="A1935" s="57" t="s">
        <v>20</v>
      </c>
      <c r="B1935" s="57"/>
      <c r="C1935" s="583" t="s">
        <v>2100</v>
      </c>
      <c r="D1935" s="628">
        <v>638.18100000000004</v>
      </c>
      <c r="E1935" s="162" t="s">
        <v>3168</v>
      </c>
      <c r="F1935" s="800"/>
      <c r="G1935" s="65"/>
      <c r="H1935" s="73">
        <v>23.7</v>
      </c>
      <c r="I1935" s="90"/>
      <c r="J1935" s="73"/>
      <c r="K1935" s="66"/>
      <c r="L1935" s="717">
        <v>2013</v>
      </c>
      <c r="M1935" s="73"/>
      <c r="N1935" s="359">
        <v>29.524000000000001</v>
      </c>
      <c r="O1935" s="1041">
        <v>2016</v>
      </c>
      <c r="P1935" s="73"/>
      <c r="Q1935" s="359">
        <v>34.190632999999998</v>
      </c>
      <c r="R1935" s="1041">
        <v>2016</v>
      </c>
      <c r="S1935" s="73"/>
      <c r="T1935" s="359">
        <v>34.190632999999998</v>
      </c>
      <c r="U1935" s="73"/>
      <c r="V1935" s="66"/>
      <c r="W1935" s="804">
        <f t="shared" ref="W1935" si="1824">AA1935*(1+AB1935)</f>
        <v>1.7774999999999999E-2</v>
      </c>
      <c r="X1935" s="805">
        <f t="shared" ref="X1935" si="1825">AA1935*(1+AC1935)</f>
        <v>1.7774999999999999E-2</v>
      </c>
      <c r="Y1935" s="52">
        <v>1990</v>
      </c>
      <c r="Z1935" s="52"/>
      <c r="AA1935" s="35">
        <f>+H1935/1000</f>
        <v>2.3699999999999999E-2</v>
      </c>
      <c r="AB1935" s="256">
        <v>-0.25</v>
      </c>
      <c r="AC1935" s="688">
        <f t="shared" si="1823"/>
        <v>-0.25</v>
      </c>
      <c r="AD1935" s="164"/>
      <c r="AE1935" s="164"/>
      <c r="AF1935" s="802">
        <f>AJ1935*(1+AK1935)</f>
        <v>1.1849999999999999E-2</v>
      </c>
      <c r="AG1935" s="803">
        <f>AJ1935*(1+AL1935)</f>
        <v>1.1849999999999999E-2</v>
      </c>
      <c r="AH1935" s="587">
        <v>1990</v>
      </c>
      <c r="AI1935" s="588"/>
      <c r="AJ1935" s="725">
        <f>+H1935/1000</f>
        <v>2.3699999999999999E-2</v>
      </c>
      <c r="AK1935" s="590">
        <v>-0.5</v>
      </c>
      <c r="AL1935" s="591">
        <f>AK1935</f>
        <v>-0.5</v>
      </c>
      <c r="AM1935" s="211"/>
      <c r="AN1935" s="164"/>
      <c r="AO1935" s="804">
        <f t="shared" ref="AO1935" si="1826">AS1935*(1+AT1935)</f>
        <v>1.2086999999999999E-2</v>
      </c>
      <c r="AP1935" s="805">
        <f t="shared" ref="AP1935" si="1827">AS1935*(1+AU1935)</f>
        <v>1.2086999999999999E-2</v>
      </c>
      <c r="AQ1935" s="52">
        <v>1990</v>
      </c>
      <c r="AR1935" s="52"/>
      <c r="AS1935" s="35">
        <f>+H1935/1000</f>
        <v>2.3699999999999999E-2</v>
      </c>
      <c r="AT1935" s="256">
        <v>-0.49</v>
      </c>
      <c r="AU1935" s="688">
        <f t="shared" ref="AU1935" si="1828">AT1935</f>
        <v>-0.49</v>
      </c>
      <c r="AV1935" s="164"/>
      <c r="AW1935" s="164"/>
      <c r="AX1935" s="76"/>
      <c r="AY1935" s="44"/>
      <c r="AZ1935" s="275"/>
      <c r="BA1935" s="52"/>
      <c r="BB1935" s="35"/>
      <c r="BC1935" s="79"/>
      <c r="BD1935" s="230"/>
      <c r="BE1935" s="211"/>
      <c r="BF1935" s="164"/>
      <c r="BG1935" s="76"/>
      <c r="BH1935" s="44"/>
      <c r="BI1935" s="275"/>
      <c r="BJ1935" s="52"/>
      <c r="BK1935" s="35"/>
      <c r="BL1935" s="79"/>
      <c r="BM1935" s="230"/>
      <c r="BN1935" s="211"/>
      <c r="BO1935" s="164"/>
      <c r="BP1935" s="76"/>
      <c r="BQ1935" s="44"/>
      <c r="BR1935" s="299"/>
      <c r="BS1935" s="52"/>
      <c r="BT1935" s="35"/>
      <c r="BU1935" s="79"/>
      <c r="BV1935" s="212"/>
      <c r="BW1935" s="304"/>
      <c r="BX1935" s="313"/>
      <c r="BY1935" s="138"/>
    </row>
    <row r="1936" spans="1:77" ht="15" customHeight="1" x14ac:dyDescent="0.2">
      <c r="A1936" s="57" t="s">
        <v>20</v>
      </c>
      <c r="B1936" s="57"/>
      <c r="C1936" s="583" t="s">
        <v>901</v>
      </c>
      <c r="D1936" s="628">
        <v>546.84699999999998</v>
      </c>
      <c r="E1936" s="162" t="s">
        <v>631</v>
      </c>
      <c r="F1936" s="358"/>
      <c r="G1936" s="65"/>
      <c r="H1936" s="73">
        <v>2.4990000000000001</v>
      </c>
      <c r="I1936" s="90"/>
      <c r="J1936" s="73"/>
      <c r="K1936" s="66"/>
      <c r="L1936" s="717">
        <v>2009</v>
      </c>
      <c r="M1936" s="73"/>
      <c r="N1936" s="359">
        <v>3.1659999999999999</v>
      </c>
      <c r="O1936" s="1041"/>
      <c r="P1936" s="73"/>
      <c r="Q1936" s="359"/>
      <c r="R1936" s="1041"/>
      <c r="S1936" s="73"/>
      <c r="T1936" s="359"/>
      <c r="U1936" s="73"/>
      <c r="V1936" s="66"/>
      <c r="W1936" s="594">
        <f t="shared" si="1812"/>
        <v>1.7492999999999999E-3</v>
      </c>
      <c r="X1936" s="595">
        <f t="shared" si="1813"/>
        <v>1.7492999999999999E-3</v>
      </c>
      <c r="Y1936" s="52">
        <v>1990</v>
      </c>
      <c r="Z1936" s="52"/>
      <c r="AA1936" s="596">
        <f>+H1936/1000</f>
        <v>2.4989999999999999E-3</v>
      </c>
      <c r="AB1936" s="256">
        <v>-0.3</v>
      </c>
      <c r="AC1936" s="688">
        <f t="shared" si="1823"/>
        <v>-0.3</v>
      </c>
      <c r="AD1936" s="164"/>
      <c r="AE1936" s="164"/>
      <c r="AF1936" s="600"/>
      <c r="AG1936" s="601"/>
      <c r="AH1936" s="587"/>
      <c r="AI1936" s="588"/>
      <c r="AJ1936" s="589"/>
      <c r="AK1936" s="590"/>
      <c r="AL1936" s="591"/>
      <c r="AM1936" s="211"/>
      <c r="AN1936" s="164"/>
      <c r="AO1936" s="594">
        <f t="shared" ref="AO1936" si="1829">AS1936*(1+AT1936)</f>
        <v>1.2495E-3</v>
      </c>
      <c r="AP1936" s="595">
        <f t="shared" ref="AP1936" si="1830">AS1936*(1+AU1936)</f>
        <v>1.2495E-3</v>
      </c>
      <c r="AQ1936" s="52">
        <v>1990</v>
      </c>
      <c r="AR1936" s="52"/>
      <c r="AS1936" s="596">
        <f>+H1936/1000</f>
        <v>2.4989999999999999E-3</v>
      </c>
      <c r="AT1936" s="256">
        <v>-0.5</v>
      </c>
      <c r="AU1936" s="688">
        <f t="shared" ref="AU1936" si="1831">AT1936</f>
        <v>-0.5</v>
      </c>
      <c r="AV1936" s="164"/>
      <c r="AW1936" s="164"/>
      <c r="AX1936" s="76"/>
      <c r="AY1936" s="44"/>
      <c r="AZ1936" s="275"/>
      <c r="BA1936" s="52"/>
      <c r="BB1936" s="35"/>
      <c r="BC1936" s="79"/>
      <c r="BD1936" s="230"/>
      <c r="BE1936" s="211"/>
      <c r="BF1936" s="164"/>
      <c r="BG1936" s="76">
        <v>0</v>
      </c>
      <c r="BH1936" s="44">
        <v>0</v>
      </c>
      <c r="BI1936" s="275"/>
      <c r="BJ1936" s="52"/>
      <c r="BK1936" s="35"/>
      <c r="BL1936" s="79">
        <v>-1</v>
      </c>
      <c r="BM1936" s="230">
        <f>BL1936</f>
        <v>-1</v>
      </c>
      <c r="BN1936" s="211"/>
      <c r="BO1936" s="164"/>
      <c r="BP1936" s="76"/>
      <c r="BQ1936" s="44"/>
      <c r="BR1936" s="299"/>
      <c r="BS1936" s="52"/>
      <c r="BT1936" s="35"/>
      <c r="BU1936" s="79">
        <v>-1</v>
      </c>
      <c r="BV1936" s="230">
        <f>BU1936</f>
        <v>-1</v>
      </c>
      <c r="BW1936" s="304"/>
      <c r="BX1936" s="313"/>
      <c r="BY1936" s="138"/>
    </row>
    <row r="1937" spans="1:77" ht="15" customHeight="1" x14ac:dyDescent="0.2">
      <c r="A1937" s="57" t="s">
        <v>20</v>
      </c>
      <c r="B1937" s="57"/>
      <c r="C1937" s="583" t="s">
        <v>2370</v>
      </c>
      <c r="D1937" s="628">
        <v>334.29500000000002</v>
      </c>
      <c r="E1937" s="162" t="s">
        <v>631</v>
      </c>
      <c r="F1937" s="358"/>
      <c r="G1937" s="65"/>
      <c r="H1937" s="73"/>
      <c r="I1937" s="90"/>
      <c r="J1937" s="73"/>
      <c r="K1937" s="66"/>
      <c r="L1937" s="717"/>
      <c r="M1937" s="73"/>
      <c r="N1937" s="359">
        <v>1.2197070000000001</v>
      </c>
      <c r="O1937" s="1041"/>
      <c r="P1937" s="73"/>
      <c r="Q1937" s="359"/>
      <c r="R1937" s="1041"/>
      <c r="S1937" s="73"/>
      <c r="T1937" s="359"/>
      <c r="U1937" s="73"/>
      <c r="V1937" s="66"/>
      <c r="W1937" s="594">
        <f t="shared" ref="W1937" si="1832">AA1937*(1+AB1937)</f>
        <v>8.5379489999999993E-4</v>
      </c>
      <c r="X1937" s="595">
        <f t="shared" ref="X1937" si="1833">AA1937*(1+AC1937)</f>
        <v>8.5379489999999993E-4</v>
      </c>
      <c r="Y1937" s="52">
        <v>2010</v>
      </c>
      <c r="Z1937" s="52"/>
      <c r="AA1937" s="596">
        <f>+N1937/1000</f>
        <v>1.219707E-3</v>
      </c>
      <c r="AB1937" s="256">
        <v>-0.3</v>
      </c>
      <c r="AC1937" s="688">
        <f t="shared" si="1823"/>
        <v>-0.3</v>
      </c>
      <c r="AD1937" s="164"/>
      <c r="AE1937" s="164"/>
      <c r="AF1937" s="600"/>
      <c r="AG1937" s="601"/>
      <c r="AH1937" s="587"/>
      <c r="AI1937" s="588"/>
      <c r="AJ1937" s="589"/>
      <c r="AK1937" s="590"/>
      <c r="AL1937" s="591"/>
      <c r="AM1937" s="211"/>
      <c r="AN1937" s="164"/>
      <c r="AO1937" s="76"/>
      <c r="AP1937" s="44"/>
      <c r="AQ1937" s="275"/>
      <c r="AR1937" s="52"/>
      <c r="AS1937" s="35"/>
      <c r="AT1937" s="79"/>
      <c r="AU1937" s="212"/>
      <c r="AV1937" s="164"/>
      <c r="AW1937" s="164"/>
      <c r="AX1937" s="76"/>
      <c r="AY1937" s="44"/>
      <c r="AZ1937" s="275"/>
      <c r="BA1937" s="52"/>
      <c r="BB1937" s="35"/>
      <c r="BC1937" s="79"/>
      <c r="BD1937" s="230"/>
      <c r="BE1937" s="211"/>
      <c r="BF1937" s="164"/>
      <c r="BG1937" s="76"/>
      <c r="BH1937" s="44"/>
      <c r="BI1937" s="275"/>
      <c r="BJ1937" s="52"/>
      <c r="BK1937" s="35"/>
      <c r="BL1937" s="79"/>
      <c r="BM1937" s="230"/>
      <c r="BN1937" s="211"/>
      <c r="BO1937" s="164"/>
      <c r="BP1937" s="76"/>
      <c r="BQ1937" s="44"/>
      <c r="BR1937" s="299"/>
      <c r="BS1937" s="52"/>
      <c r="BT1937" s="35"/>
      <c r="BU1937" s="79"/>
      <c r="BV1937" s="212"/>
      <c r="BW1937" s="304"/>
      <c r="BX1937" s="313"/>
      <c r="BY1937" s="138"/>
    </row>
    <row r="1938" spans="1:77" ht="15" customHeight="1" x14ac:dyDescent="0.2">
      <c r="A1938" s="57" t="s">
        <v>13</v>
      </c>
      <c r="B1938" s="583" t="s">
        <v>1606</v>
      </c>
      <c r="C1938" s="57"/>
      <c r="D1938" s="546">
        <v>38198.754000000001</v>
      </c>
      <c r="E1938" s="1101" t="s">
        <v>2896</v>
      </c>
      <c r="F1938" s="761"/>
      <c r="G1938" s="730">
        <v>447.1592</v>
      </c>
      <c r="H1938" s="723">
        <v>474.35010999999997</v>
      </c>
      <c r="I1938" s="1282"/>
      <c r="J1938" s="1283">
        <v>353.28199999999998</v>
      </c>
      <c r="K1938" s="1283">
        <v>398.94200000000001</v>
      </c>
      <c r="L1938" s="1282"/>
      <c r="M1938" s="1283">
        <v>381.64818000000002</v>
      </c>
      <c r="N1938" s="1283">
        <v>411.66870999999998</v>
      </c>
      <c r="O1938" s="1284"/>
      <c r="P1938" s="1283">
        <v>359.88812999999999</v>
      </c>
      <c r="Q1938" s="796">
        <v>390.44459999999998</v>
      </c>
      <c r="R1938" s="1284">
        <v>2017</v>
      </c>
      <c r="S1938" s="1283">
        <v>379.93526000000003</v>
      </c>
      <c r="T1938" s="796">
        <v>412.78140000000002</v>
      </c>
      <c r="U1938" s="73"/>
      <c r="V1938" s="66"/>
      <c r="W1938" s="592"/>
      <c r="X1938" s="593"/>
      <c r="Y1938" s="52">
        <v>1990</v>
      </c>
      <c r="Z1938" s="52"/>
      <c r="AA1938" s="596"/>
      <c r="AB1938" s="824">
        <v>-0.2</v>
      </c>
      <c r="AC1938" s="825">
        <v>-0.3</v>
      </c>
      <c r="AD1938" s="164"/>
      <c r="AE1938" s="164"/>
      <c r="AF1938" s="25"/>
      <c r="AG1938" s="26"/>
      <c r="AH1938" s="275"/>
      <c r="AI1938" s="52"/>
      <c r="AJ1938" s="35"/>
      <c r="AK1938" s="289"/>
      <c r="AL1938" s="290"/>
      <c r="AM1938" s="211"/>
      <c r="AN1938" s="164"/>
      <c r="AO1938" s="76"/>
      <c r="AP1938" s="44"/>
      <c r="AQ1938" s="275"/>
      <c r="AR1938" s="52"/>
      <c r="AS1938" s="35"/>
      <c r="AT1938" s="840">
        <v>0.55000000000000004</v>
      </c>
      <c r="AU1938" s="688">
        <v>0.55000000000000004</v>
      </c>
      <c r="AV1938" s="164"/>
      <c r="AW1938" s="164"/>
      <c r="AX1938" s="76"/>
      <c r="AY1938" s="44"/>
      <c r="AZ1938" s="275"/>
      <c r="BA1938" s="52"/>
      <c r="BB1938" s="35"/>
      <c r="BC1938" s="79"/>
      <c r="BD1938" s="230"/>
      <c r="BE1938" s="211"/>
      <c r="BF1938" s="164"/>
      <c r="BG1938" s="76"/>
      <c r="BH1938" s="44"/>
      <c r="BI1938" s="275"/>
      <c r="BJ1938" s="52"/>
      <c r="BK1938" s="35"/>
      <c r="BL1938" s="79"/>
      <c r="BM1938" s="230"/>
      <c r="BN1938" s="211"/>
      <c r="BO1938" s="164"/>
      <c r="BP1938" s="76"/>
      <c r="BQ1938" s="44"/>
      <c r="BR1938" s="299"/>
      <c r="BS1938" s="52"/>
      <c r="BT1938" s="35"/>
      <c r="BU1938" s="79">
        <v>-0.8</v>
      </c>
      <c r="BV1938" s="212">
        <v>-0.95</v>
      </c>
      <c r="BW1938" s="304"/>
      <c r="BX1938" s="313"/>
      <c r="BY1938" s="138"/>
    </row>
    <row r="1939" spans="1:77" ht="15" customHeight="1" x14ac:dyDescent="0.2">
      <c r="A1939" s="57" t="s">
        <v>13</v>
      </c>
      <c r="B1939" s="57"/>
      <c r="C1939" s="583" t="s">
        <v>905</v>
      </c>
      <c r="D1939" s="546">
        <v>57.448999999999998</v>
      </c>
      <c r="E1939" s="162" t="s">
        <v>631</v>
      </c>
      <c r="F1939" s="358"/>
      <c r="G1939" s="65"/>
      <c r="H1939" s="73"/>
      <c r="I1939" s="90">
        <v>2006</v>
      </c>
      <c r="J1939" s="73"/>
      <c r="K1939" s="734">
        <v>8.3539000000000002E-2</v>
      </c>
      <c r="L1939" s="717"/>
      <c r="M1939" s="73"/>
      <c r="N1939" s="359"/>
      <c r="O1939" s="1041"/>
      <c r="P1939" s="73"/>
      <c r="Q1939" s="359"/>
      <c r="R1939" s="1041"/>
      <c r="S1939" s="73"/>
      <c r="T1939" s="359"/>
      <c r="U1939" s="73"/>
      <c r="V1939" s="66"/>
      <c r="W1939" s="740">
        <f t="shared" ref="W1939:W1948" si="1834">AA1939*(1+AB1939)</f>
        <v>6.2654250000000004E-5</v>
      </c>
      <c r="X1939" s="741">
        <f t="shared" ref="X1939:X1948" si="1835">AA1939*(1+AC1939)</f>
        <v>6.2654250000000004E-5</v>
      </c>
      <c r="Y1939" s="52">
        <v>2005</v>
      </c>
      <c r="Z1939" s="52"/>
      <c r="AA1939" s="739">
        <f>+K1939/1000</f>
        <v>8.3539000000000001E-5</v>
      </c>
      <c r="AB1939" s="256">
        <v>-0.25</v>
      </c>
      <c r="AC1939" s="688">
        <f t="shared" ref="AC1939:AC1945" si="1836">AB1939</f>
        <v>-0.25</v>
      </c>
      <c r="AD1939" s="164"/>
      <c r="AE1939" s="164"/>
      <c r="AF1939" s="25"/>
      <c r="AG1939" s="26"/>
      <c r="AH1939" s="275"/>
      <c r="AI1939" s="52"/>
      <c r="AJ1939" s="35"/>
      <c r="AK1939" s="289"/>
      <c r="AL1939" s="290"/>
      <c r="AM1939" s="211"/>
      <c r="AN1939" s="164"/>
      <c r="AO1939" s="76"/>
      <c r="AP1939" s="44"/>
      <c r="AQ1939" s="275"/>
      <c r="AR1939" s="52"/>
      <c r="AS1939" s="35"/>
      <c r="AT1939" s="79"/>
      <c r="AU1939" s="212"/>
      <c r="AV1939" s="164"/>
      <c r="AW1939" s="164"/>
      <c r="AX1939" s="76"/>
      <c r="AY1939" s="44"/>
      <c r="AZ1939" s="275"/>
      <c r="BA1939" s="52"/>
      <c r="BB1939" s="35"/>
      <c r="BC1939" s="79"/>
      <c r="BD1939" s="230"/>
      <c r="BE1939" s="211"/>
      <c r="BF1939" s="164"/>
      <c r="BG1939" s="76"/>
      <c r="BH1939" s="44"/>
      <c r="BI1939" s="275"/>
      <c r="BJ1939" s="52"/>
      <c r="BK1939" s="35"/>
      <c r="BL1939" s="79"/>
      <c r="BM1939" s="230"/>
      <c r="BN1939" s="211"/>
      <c r="BO1939" s="164"/>
      <c r="BP1939" s="76"/>
      <c r="BQ1939" s="44"/>
      <c r="BR1939" s="299"/>
      <c r="BS1939" s="52"/>
      <c r="BT1939" s="35"/>
      <c r="BU1939" s="79"/>
      <c r="BV1939" s="212"/>
      <c r="BW1939" s="304"/>
      <c r="BX1939" s="313"/>
      <c r="BY1939" s="138"/>
    </row>
    <row r="1940" spans="1:77" ht="15" customHeight="1" x14ac:dyDescent="0.2">
      <c r="A1940" s="57" t="s">
        <v>13</v>
      </c>
      <c r="B1940" s="57"/>
      <c r="C1940" s="583" t="s">
        <v>2269</v>
      </c>
      <c r="D1940" s="546">
        <v>462</v>
      </c>
      <c r="E1940" s="162" t="s">
        <v>387</v>
      </c>
      <c r="F1940" s="358"/>
      <c r="G1940" s="65"/>
      <c r="H1940" s="73"/>
      <c r="I1940" s="90"/>
      <c r="J1940" s="73"/>
      <c r="K1940" s="734"/>
      <c r="L1940" s="717"/>
      <c r="M1940" s="73"/>
      <c r="N1940" s="359"/>
      <c r="O1940" s="1041">
        <v>2013</v>
      </c>
      <c r="P1940" s="73"/>
      <c r="Q1940" s="359">
        <v>3.5513020000000002</v>
      </c>
      <c r="R1940" s="1041"/>
      <c r="S1940" s="73"/>
      <c r="T1940" s="359"/>
      <c r="U1940" s="73"/>
      <c r="V1940" s="66"/>
      <c r="W1940" s="594">
        <f t="shared" ref="W1940" si="1837">AA1940*(1+AB1940)</f>
        <v>2.8055285800000001E-3</v>
      </c>
      <c r="X1940" s="595">
        <f t="shared" ref="X1940" si="1838">AA1940*(1+AC1940)</f>
        <v>2.8055285800000001E-3</v>
      </c>
      <c r="Y1940" s="52">
        <v>2005</v>
      </c>
      <c r="Z1940" s="52"/>
      <c r="AA1940" s="596">
        <f>+Q1940/1000</f>
        <v>3.5513020000000001E-3</v>
      </c>
      <c r="AB1940" s="256">
        <v>-0.21</v>
      </c>
      <c r="AC1940" s="688">
        <f t="shared" si="1836"/>
        <v>-0.21</v>
      </c>
      <c r="AD1940" s="164"/>
      <c r="AE1940" s="164"/>
      <c r="AF1940" s="25"/>
      <c r="AG1940" s="26"/>
      <c r="AH1940" s="275"/>
      <c r="AI1940" s="52"/>
      <c r="AJ1940" s="35"/>
      <c r="AK1940" s="289"/>
      <c r="AL1940" s="290"/>
      <c r="AM1940" s="211"/>
      <c r="AN1940" s="164"/>
      <c r="AO1940" s="76"/>
      <c r="AP1940" s="44"/>
      <c r="AQ1940" s="275"/>
      <c r="AR1940" s="52"/>
      <c r="AS1940" s="35"/>
      <c r="AT1940" s="79"/>
      <c r="AU1940" s="212"/>
      <c r="AV1940" s="164"/>
      <c r="AW1940" s="164"/>
      <c r="AX1940" s="76"/>
      <c r="AY1940" s="44"/>
      <c r="AZ1940" s="275"/>
      <c r="BA1940" s="52"/>
      <c r="BB1940" s="35"/>
      <c r="BC1940" s="79"/>
      <c r="BD1940" s="230"/>
      <c r="BE1940" s="211"/>
      <c r="BF1940" s="164"/>
      <c r="BG1940" s="76"/>
      <c r="BH1940" s="44"/>
      <c r="BI1940" s="275"/>
      <c r="BJ1940" s="52"/>
      <c r="BK1940" s="35"/>
      <c r="BL1940" s="79"/>
      <c r="BM1940" s="230"/>
      <c r="BN1940" s="211"/>
      <c r="BO1940" s="164"/>
      <c r="BP1940" s="76"/>
      <c r="BQ1940" s="44"/>
      <c r="BR1940" s="299"/>
      <c r="BS1940" s="52"/>
      <c r="BT1940" s="35"/>
      <c r="BU1940" s="79"/>
      <c r="BV1940" s="212"/>
      <c r="BW1940" s="304"/>
      <c r="BX1940" s="313"/>
      <c r="BY1940" s="138"/>
    </row>
    <row r="1941" spans="1:77" ht="15" customHeight="1" x14ac:dyDescent="0.2">
      <c r="A1941" s="57" t="s">
        <v>13</v>
      </c>
      <c r="B1941" s="57"/>
      <c r="C1941" s="583" t="s">
        <v>903</v>
      </c>
      <c r="D1941" s="546">
        <v>12</v>
      </c>
      <c r="E1941" s="162" t="s">
        <v>631</v>
      </c>
      <c r="F1941" s="358"/>
      <c r="G1941" s="65"/>
      <c r="H1941" s="73"/>
      <c r="I1941" s="90"/>
      <c r="J1941" s="73"/>
      <c r="K1941" s="734">
        <v>3.9364999999999997E-2</v>
      </c>
      <c r="L1941" s="717"/>
      <c r="M1941" s="73"/>
      <c r="N1941" s="359"/>
      <c r="O1941" s="1041"/>
      <c r="P1941" s="73"/>
      <c r="Q1941" s="359"/>
      <c r="R1941" s="1041"/>
      <c r="S1941" s="73"/>
      <c r="T1941" s="359"/>
      <c r="U1941" s="73"/>
      <c r="V1941" s="66"/>
      <c r="W1941" s="740">
        <f t="shared" si="1834"/>
        <v>2.952375E-5</v>
      </c>
      <c r="X1941" s="741">
        <f t="shared" si="1835"/>
        <v>2.952375E-5</v>
      </c>
      <c r="Y1941" s="52">
        <v>2005</v>
      </c>
      <c r="Z1941" s="52"/>
      <c r="AA1941" s="739">
        <f>+K1941/1000</f>
        <v>3.9365E-5</v>
      </c>
      <c r="AB1941" s="256">
        <v>-0.25</v>
      </c>
      <c r="AC1941" s="688">
        <f t="shared" si="1836"/>
        <v>-0.25</v>
      </c>
      <c r="AD1941" s="164"/>
      <c r="AE1941" s="164"/>
      <c r="AF1941" s="25"/>
      <c r="AG1941" s="26"/>
      <c r="AH1941" s="275"/>
      <c r="AI1941" s="52"/>
      <c r="AJ1941" s="35"/>
      <c r="AK1941" s="289"/>
      <c r="AL1941" s="290"/>
      <c r="AM1941" s="211"/>
      <c r="AN1941" s="164"/>
      <c r="AO1941" s="76"/>
      <c r="AP1941" s="44"/>
      <c r="AQ1941" s="275"/>
      <c r="AR1941" s="52"/>
      <c r="AS1941" s="35"/>
      <c r="AT1941" s="79"/>
      <c r="AU1941" s="212"/>
      <c r="AV1941" s="164"/>
      <c r="AW1941" s="164"/>
      <c r="AX1941" s="76"/>
      <c r="AY1941" s="44"/>
      <c r="AZ1941" s="275"/>
      <c r="BA1941" s="52"/>
      <c r="BB1941" s="35"/>
      <c r="BC1941" s="79"/>
      <c r="BD1941" s="230"/>
      <c r="BE1941" s="211"/>
      <c r="BF1941" s="164"/>
      <c r="BG1941" s="76"/>
      <c r="BH1941" s="44"/>
      <c r="BI1941" s="275"/>
      <c r="BJ1941" s="52"/>
      <c r="BK1941" s="35"/>
      <c r="BL1941" s="79"/>
      <c r="BM1941" s="230"/>
      <c r="BN1941" s="211"/>
      <c r="BO1941" s="164"/>
      <c r="BP1941" s="76"/>
      <c r="BQ1941" s="44"/>
      <c r="BR1941" s="299"/>
      <c r="BS1941" s="52"/>
      <c r="BT1941" s="35"/>
      <c r="BU1941" s="79"/>
      <c r="BV1941" s="212"/>
      <c r="BW1941" s="304"/>
      <c r="BX1941" s="313"/>
      <c r="BY1941" s="138"/>
    </row>
    <row r="1942" spans="1:77" ht="15" customHeight="1" x14ac:dyDescent="0.2">
      <c r="A1942" s="57" t="s">
        <v>13</v>
      </c>
      <c r="B1942" s="57"/>
      <c r="C1942" s="583" t="s">
        <v>906</v>
      </c>
      <c r="D1942" s="546">
        <v>6.4</v>
      </c>
      <c r="E1942" s="162" t="s">
        <v>631</v>
      </c>
      <c r="F1942" s="358"/>
      <c r="G1942" s="65"/>
      <c r="H1942" s="73"/>
      <c r="I1942" s="90"/>
      <c r="J1942" s="73"/>
      <c r="K1942" s="66"/>
      <c r="L1942" s="717">
        <v>2009</v>
      </c>
      <c r="M1942" s="73"/>
      <c r="N1942" s="738">
        <v>2.4080000000000001E-2</v>
      </c>
      <c r="O1942" s="1041"/>
      <c r="P1942" s="73"/>
      <c r="Q1942" s="738"/>
      <c r="R1942" s="1041"/>
      <c r="S1942" s="73"/>
      <c r="T1942" s="738"/>
      <c r="U1942" s="73"/>
      <c r="V1942" s="66"/>
      <c r="W1942" s="740">
        <f t="shared" si="1834"/>
        <v>1.3484800000000002E-5</v>
      </c>
      <c r="X1942" s="741">
        <f t="shared" si="1835"/>
        <v>1.3484800000000002E-5</v>
      </c>
      <c r="Y1942" s="52">
        <v>2009</v>
      </c>
      <c r="Z1942" s="52"/>
      <c r="AA1942" s="739">
        <f>+N1942/1000</f>
        <v>2.408E-5</v>
      </c>
      <c r="AB1942" s="256">
        <v>-0.44</v>
      </c>
      <c r="AC1942" s="688">
        <f t="shared" si="1836"/>
        <v>-0.44</v>
      </c>
      <c r="AD1942" s="164"/>
      <c r="AE1942" s="164"/>
      <c r="AF1942" s="25"/>
      <c r="AG1942" s="26"/>
      <c r="AH1942" s="275"/>
      <c r="AI1942" s="52"/>
      <c r="AJ1942" s="35"/>
      <c r="AK1942" s="289"/>
      <c r="AL1942" s="290"/>
      <c r="AM1942" s="211"/>
      <c r="AN1942" s="164"/>
      <c r="AO1942" s="76"/>
      <c r="AP1942" s="44"/>
      <c r="AQ1942" s="275"/>
      <c r="AR1942" s="52"/>
      <c r="AS1942" s="35"/>
      <c r="AT1942" s="79"/>
      <c r="AU1942" s="212"/>
      <c r="AV1942" s="164"/>
      <c r="AW1942" s="164"/>
      <c r="AX1942" s="76"/>
      <c r="AY1942" s="44"/>
      <c r="AZ1942" s="275"/>
      <c r="BA1942" s="52"/>
      <c r="BB1942" s="35"/>
      <c r="BC1942" s="79"/>
      <c r="BD1942" s="230"/>
      <c r="BE1942" s="211"/>
      <c r="BF1942" s="164"/>
      <c r="BG1942" s="76"/>
      <c r="BH1942" s="44"/>
      <c r="BI1942" s="275"/>
      <c r="BJ1942" s="52"/>
      <c r="BK1942" s="35"/>
      <c r="BL1942" s="79"/>
      <c r="BM1942" s="230"/>
      <c r="BN1942" s="211"/>
      <c r="BO1942" s="164"/>
      <c r="BP1942" s="76"/>
      <c r="BQ1942" s="44"/>
      <c r="BR1942" s="299"/>
      <c r="BS1942" s="52"/>
      <c r="BT1942" s="35"/>
      <c r="BU1942" s="79"/>
      <c r="BV1942" s="212"/>
      <c r="BW1942" s="304"/>
      <c r="BX1942" s="313"/>
      <c r="BY1942" s="138"/>
    </row>
    <row r="1943" spans="1:77" ht="15" customHeight="1" x14ac:dyDescent="0.2">
      <c r="A1943" s="57" t="s">
        <v>13</v>
      </c>
      <c r="B1943" s="57"/>
      <c r="C1943" s="583" t="s">
        <v>902</v>
      </c>
      <c r="D1943" s="546">
        <v>6</v>
      </c>
      <c r="E1943" s="162" t="s">
        <v>631</v>
      </c>
      <c r="F1943" s="800">
        <v>1996</v>
      </c>
      <c r="G1943" s="65"/>
      <c r="H1943" s="735">
        <v>5.2483000000000002E-2</v>
      </c>
      <c r="I1943" s="90"/>
      <c r="J1943" s="73"/>
      <c r="K1943" s="66"/>
      <c r="L1943" s="717"/>
      <c r="M1943" s="73"/>
      <c r="N1943" s="359"/>
      <c r="O1943" s="1041"/>
      <c r="P1943" s="73"/>
      <c r="Q1943" s="359"/>
      <c r="R1943" s="1041"/>
      <c r="S1943" s="73"/>
      <c r="T1943" s="359"/>
      <c r="U1943" s="73"/>
      <c r="V1943" s="66"/>
      <c r="W1943" s="740">
        <f t="shared" si="1834"/>
        <v>3.7262929999999994E-5</v>
      </c>
      <c r="X1943" s="741">
        <f t="shared" si="1835"/>
        <v>3.7262929999999994E-5</v>
      </c>
      <c r="Y1943" s="52">
        <v>1996</v>
      </c>
      <c r="Z1943" s="52"/>
      <c r="AA1943" s="739">
        <f>+H1943/1000</f>
        <v>5.2482999999999999E-5</v>
      </c>
      <c r="AB1943" s="256">
        <v>-0.28999999999999998</v>
      </c>
      <c r="AC1943" s="688">
        <f t="shared" si="1836"/>
        <v>-0.28999999999999998</v>
      </c>
      <c r="AD1943" s="164"/>
      <c r="AE1943" s="164"/>
      <c r="AF1943" s="25"/>
      <c r="AG1943" s="26"/>
      <c r="AH1943" s="275"/>
      <c r="AI1943" s="52"/>
      <c r="AJ1943" s="35"/>
      <c r="AK1943" s="289"/>
      <c r="AL1943" s="290"/>
      <c r="AM1943" s="211"/>
      <c r="AN1943" s="164"/>
      <c r="AO1943" s="76"/>
      <c r="AP1943" s="44"/>
      <c r="AQ1943" s="275"/>
      <c r="AR1943" s="52"/>
      <c r="AS1943" s="35"/>
      <c r="AT1943" s="79"/>
      <c r="AU1943" s="212"/>
      <c r="AV1943" s="164"/>
      <c r="AW1943" s="164"/>
      <c r="AX1943" s="76"/>
      <c r="AY1943" s="44"/>
      <c r="AZ1943" s="275"/>
      <c r="BA1943" s="52"/>
      <c r="BB1943" s="35"/>
      <c r="BC1943" s="79"/>
      <c r="BD1943" s="230"/>
      <c r="BE1943" s="211"/>
      <c r="BF1943" s="164"/>
      <c r="BG1943" s="76"/>
      <c r="BH1943" s="44"/>
      <c r="BI1943" s="275"/>
      <c r="BJ1943" s="52"/>
      <c r="BK1943" s="35"/>
      <c r="BL1943" s="79"/>
      <c r="BM1943" s="230"/>
      <c r="BN1943" s="211"/>
      <c r="BO1943" s="164"/>
      <c r="BP1943" s="76"/>
      <c r="BQ1943" s="44"/>
      <c r="BR1943" s="299"/>
      <c r="BS1943" s="52"/>
      <c r="BT1943" s="35"/>
      <c r="BU1943" s="79"/>
      <c r="BV1943" s="212"/>
      <c r="BW1943" s="304"/>
      <c r="BX1943" s="313"/>
      <c r="BY1943" s="138"/>
    </row>
    <row r="1944" spans="1:77" ht="15" customHeight="1" x14ac:dyDescent="0.2">
      <c r="A1944" s="57" t="s">
        <v>13</v>
      </c>
      <c r="B1944" s="57"/>
      <c r="C1944" s="583" t="s">
        <v>907</v>
      </c>
      <c r="D1944" s="546">
        <v>37.549999999999997</v>
      </c>
      <c r="E1944" s="162" t="s">
        <v>631</v>
      </c>
      <c r="F1944" s="800">
        <v>1997</v>
      </c>
      <c r="G1944" s="65"/>
      <c r="H1944" s="73">
        <v>0.24040500000000001</v>
      </c>
      <c r="I1944" s="90"/>
      <c r="J1944" s="73"/>
      <c r="K1944" s="66"/>
      <c r="L1944" s="717"/>
      <c r="M1944" s="73"/>
      <c r="N1944" s="359"/>
      <c r="O1944" s="1041"/>
      <c r="P1944" s="73"/>
      <c r="Q1944" s="359"/>
      <c r="R1944" s="1041"/>
      <c r="S1944" s="73"/>
      <c r="T1944" s="359"/>
      <c r="U1944" s="73"/>
      <c r="V1944" s="66"/>
      <c r="W1944" s="594">
        <f t="shared" si="1834"/>
        <v>9.3757950000000002E-5</v>
      </c>
      <c r="X1944" s="595">
        <f t="shared" si="1835"/>
        <v>9.3757950000000002E-5</v>
      </c>
      <c r="Y1944" s="52">
        <v>1997</v>
      </c>
      <c r="Z1944" s="52"/>
      <c r="AA1944" s="596">
        <f>+H1944/1000</f>
        <v>2.4040500000000001E-4</v>
      </c>
      <c r="AB1944" s="256">
        <v>-0.61</v>
      </c>
      <c r="AC1944" s="688">
        <f t="shared" si="1836"/>
        <v>-0.61</v>
      </c>
      <c r="AD1944" s="164"/>
      <c r="AE1944" s="164"/>
      <c r="AF1944" s="25"/>
      <c r="AG1944" s="26"/>
      <c r="AH1944" s="275"/>
      <c r="AI1944" s="52"/>
      <c r="AJ1944" s="35"/>
      <c r="AK1944" s="289"/>
      <c r="AL1944" s="290"/>
      <c r="AM1944" s="211"/>
      <c r="AN1944" s="164"/>
      <c r="AO1944" s="76"/>
      <c r="AP1944" s="44"/>
      <c r="AQ1944" s="275"/>
      <c r="AR1944" s="52"/>
      <c r="AS1944" s="35"/>
      <c r="AT1944" s="79"/>
      <c r="AU1944" s="212"/>
      <c r="AV1944" s="164"/>
      <c r="AW1944" s="164"/>
      <c r="AX1944" s="76"/>
      <c r="AY1944" s="44"/>
      <c r="AZ1944" s="275"/>
      <c r="BA1944" s="52"/>
      <c r="BB1944" s="35"/>
      <c r="BC1944" s="79"/>
      <c r="BD1944" s="230"/>
      <c r="BE1944" s="211"/>
      <c r="BF1944" s="164"/>
      <c r="BG1944" s="76"/>
      <c r="BH1944" s="44"/>
      <c r="BI1944" s="275"/>
      <c r="BJ1944" s="52"/>
      <c r="BK1944" s="35"/>
      <c r="BL1944" s="79"/>
      <c r="BM1944" s="230"/>
      <c r="BN1944" s="211"/>
      <c r="BO1944" s="164"/>
      <c r="BP1944" s="76"/>
      <c r="BQ1944" s="44"/>
      <c r="BR1944" s="299"/>
      <c r="BS1944" s="52"/>
      <c r="BT1944" s="35"/>
      <c r="BU1944" s="79"/>
      <c r="BV1944" s="212"/>
      <c r="BW1944" s="304"/>
      <c r="BX1944" s="313"/>
      <c r="BY1944" s="138"/>
    </row>
    <row r="1945" spans="1:77" ht="15" customHeight="1" x14ac:dyDescent="0.2">
      <c r="A1945" s="57" t="s">
        <v>13</v>
      </c>
      <c r="B1945" s="57"/>
      <c r="C1945" s="583" t="s">
        <v>2270</v>
      </c>
      <c r="D1945" s="546">
        <v>112</v>
      </c>
      <c r="E1945" s="162" t="s">
        <v>387</v>
      </c>
      <c r="F1945" s="800"/>
      <c r="G1945" s="65"/>
      <c r="H1945" s="735"/>
      <c r="I1945" s="90"/>
      <c r="J1945" s="73"/>
      <c r="K1945" s="66"/>
      <c r="L1945" s="717"/>
      <c r="M1945" s="73"/>
      <c r="N1945" s="359"/>
      <c r="O1945" s="1041">
        <v>2013</v>
      </c>
      <c r="P1945" s="73"/>
      <c r="Q1945" s="738">
        <v>2.0232E-2</v>
      </c>
      <c r="R1945" s="1041"/>
      <c r="S1945" s="73"/>
      <c r="T1945" s="738"/>
      <c r="U1945" s="73"/>
      <c r="V1945" s="66"/>
      <c r="W1945" s="740">
        <f t="shared" ref="W1945" si="1839">AA1945*(1+AB1945)</f>
        <v>2.1943627199999998E-5</v>
      </c>
      <c r="X1945" s="741">
        <f t="shared" ref="X1945" si="1840">AA1945*(1+AC1945)</f>
        <v>2.1943627199999998E-5</v>
      </c>
      <c r="Y1945" s="52">
        <v>2009</v>
      </c>
      <c r="Z1945" s="52"/>
      <c r="AA1945" s="739">
        <f>+Q1945/1000</f>
        <v>2.0231999999999999E-5</v>
      </c>
      <c r="AB1945" s="972">
        <v>8.4599999999999995E-2</v>
      </c>
      <c r="AC1945" s="973">
        <f t="shared" si="1836"/>
        <v>8.4599999999999995E-2</v>
      </c>
      <c r="AD1945" s="164"/>
      <c r="AE1945" s="164"/>
      <c r="AF1945" s="25"/>
      <c r="AG1945" s="26"/>
      <c r="AH1945" s="275"/>
      <c r="AI1945" s="52"/>
      <c r="AJ1945" s="35"/>
      <c r="AK1945" s="289"/>
      <c r="AL1945" s="290"/>
      <c r="AM1945" s="211"/>
      <c r="AN1945" s="164"/>
      <c r="AO1945" s="76"/>
      <c r="AP1945" s="44"/>
      <c r="AQ1945" s="275"/>
      <c r="AR1945" s="52"/>
      <c r="AS1945" s="35"/>
      <c r="AT1945" s="79"/>
      <c r="AU1945" s="212"/>
      <c r="AV1945" s="164"/>
      <c r="AW1945" s="164"/>
      <c r="AX1945" s="76"/>
      <c r="AY1945" s="44"/>
      <c r="AZ1945" s="275"/>
      <c r="BA1945" s="52"/>
      <c r="BB1945" s="35"/>
      <c r="BC1945" s="79"/>
      <c r="BD1945" s="230"/>
      <c r="BE1945" s="211"/>
      <c r="BF1945" s="164"/>
      <c r="BG1945" s="76"/>
      <c r="BH1945" s="44"/>
      <c r="BI1945" s="275"/>
      <c r="BJ1945" s="52"/>
      <c r="BK1945" s="35"/>
      <c r="BL1945" s="79"/>
      <c r="BM1945" s="230"/>
      <c r="BN1945" s="211"/>
      <c r="BO1945" s="164"/>
      <c r="BP1945" s="76"/>
      <c r="BQ1945" s="44"/>
      <c r="BR1945" s="299"/>
      <c r="BS1945" s="52"/>
      <c r="BT1945" s="35"/>
      <c r="BU1945" s="79"/>
      <c r="BV1945" s="212"/>
      <c r="BW1945" s="304"/>
      <c r="BX1945" s="313"/>
      <c r="BY1945" s="138"/>
    </row>
    <row r="1946" spans="1:77" ht="15" customHeight="1" x14ac:dyDescent="0.2">
      <c r="A1946" s="57" t="s">
        <v>13</v>
      </c>
      <c r="B1946" s="57"/>
      <c r="C1946" s="583" t="s">
        <v>470</v>
      </c>
      <c r="D1946" s="546">
        <v>1710</v>
      </c>
      <c r="E1946" s="162" t="s">
        <v>467</v>
      </c>
      <c r="F1946" s="358"/>
      <c r="G1946" s="65"/>
      <c r="H1946" s="73"/>
      <c r="I1946" s="90">
        <v>2007</v>
      </c>
      <c r="J1946" s="73"/>
      <c r="K1946" s="66">
        <v>12.952984000000001</v>
      </c>
      <c r="L1946" s="717">
        <v>2013</v>
      </c>
      <c r="M1946" s="73"/>
      <c r="N1946" s="359">
        <v>13.304</v>
      </c>
      <c r="O1946" s="1041">
        <v>2014</v>
      </c>
      <c r="P1946" s="73"/>
      <c r="Q1946" s="359">
        <v>11.721774</v>
      </c>
      <c r="R1946" s="1041"/>
      <c r="S1946" s="73"/>
      <c r="T1946" s="359"/>
      <c r="U1946" s="73"/>
      <c r="V1946" s="66"/>
      <c r="W1946" s="594">
        <f t="shared" si="1834"/>
        <v>1.0362387200000002E-2</v>
      </c>
      <c r="X1946" s="595">
        <f t="shared" si="1835"/>
        <v>1.0362387200000002E-2</v>
      </c>
      <c r="Y1946" s="52">
        <v>2007</v>
      </c>
      <c r="Z1946" s="52"/>
      <c r="AA1946" s="596">
        <f>+K1946/1000</f>
        <v>1.2952984000000001E-2</v>
      </c>
      <c r="AB1946" s="256">
        <v>-0.2</v>
      </c>
      <c r="AC1946" s="688">
        <v>-0.2</v>
      </c>
      <c r="AD1946" s="164"/>
      <c r="AE1946" s="164"/>
      <c r="AF1946" s="25"/>
      <c r="AG1946" s="26"/>
      <c r="AH1946" s="275"/>
      <c r="AI1946" s="52"/>
      <c r="AJ1946" s="35"/>
      <c r="AK1946" s="289"/>
      <c r="AL1946" s="290"/>
      <c r="AM1946" s="211"/>
      <c r="AN1946" s="164"/>
      <c r="AO1946" s="76"/>
      <c r="AP1946" s="44"/>
      <c r="AQ1946" s="275"/>
      <c r="AR1946" s="52"/>
      <c r="AS1946" s="35"/>
      <c r="AT1946" s="79"/>
      <c r="AU1946" s="212"/>
      <c r="AV1946" s="164"/>
      <c r="AW1946" s="164"/>
      <c r="AX1946" s="76"/>
      <c r="AY1946" s="44"/>
      <c r="AZ1946" s="275"/>
      <c r="BA1946" s="52"/>
      <c r="BB1946" s="35"/>
      <c r="BC1946" s="79"/>
      <c r="BD1946" s="230"/>
      <c r="BE1946" s="211"/>
      <c r="BF1946" s="164"/>
      <c r="BG1946" s="76"/>
      <c r="BH1946" s="44"/>
      <c r="BI1946" s="275"/>
      <c r="BJ1946" s="52"/>
      <c r="BK1946" s="35"/>
      <c r="BL1946" s="79"/>
      <c r="BM1946" s="230"/>
      <c r="BN1946" s="211"/>
      <c r="BO1946" s="164"/>
      <c r="BP1946" s="76"/>
      <c r="BQ1946" s="44"/>
      <c r="BR1946" s="299"/>
      <c r="BS1946" s="52"/>
      <c r="BT1946" s="35"/>
      <c r="BU1946" s="79"/>
      <c r="BV1946" s="212"/>
      <c r="BW1946" s="304"/>
      <c r="BX1946" s="313"/>
      <c r="BY1946" s="138"/>
    </row>
    <row r="1947" spans="1:77" ht="15" customHeight="1" x14ac:dyDescent="0.2">
      <c r="A1947" s="57" t="s">
        <v>13</v>
      </c>
      <c r="B1947" s="57"/>
      <c r="C1947" s="583" t="s">
        <v>904</v>
      </c>
      <c r="D1947" s="546">
        <v>14.891999999999999</v>
      </c>
      <c r="E1947" s="162" t="s">
        <v>631</v>
      </c>
      <c r="F1947" s="800">
        <v>1995</v>
      </c>
      <c r="G1947" s="65"/>
      <c r="H1947" s="73">
        <v>0.17883099999999999</v>
      </c>
      <c r="I1947" s="90"/>
      <c r="J1947" s="73"/>
      <c r="K1947" s="66"/>
      <c r="L1947" s="717"/>
      <c r="M1947" s="73"/>
      <c r="N1947" s="359"/>
      <c r="O1947" s="1041"/>
      <c r="P1947" s="73"/>
      <c r="Q1947" s="359"/>
      <c r="R1947" s="1041"/>
      <c r="S1947" s="73"/>
      <c r="T1947" s="359"/>
      <c r="U1947" s="73"/>
      <c r="V1947" s="66"/>
      <c r="W1947" s="594">
        <f t="shared" si="1834"/>
        <v>1.2697000999999997E-4</v>
      </c>
      <c r="X1947" s="595">
        <f t="shared" si="1835"/>
        <v>1.2697000999999997E-4</v>
      </c>
      <c r="Y1947" s="52">
        <v>1996</v>
      </c>
      <c r="Z1947" s="52"/>
      <c r="AA1947" s="596">
        <f>+H1947/1000</f>
        <v>1.7883099999999998E-4</v>
      </c>
      <c r="AB1947" s="256">
        <v>-0.28999999999999998</v>
      </c>
      <c r="AC1947" s="688">
        <f>AB1947</f>
        <v>-0.28999999999999998</v>
      </c>
      <c r="AD1947" s="164"/>
      <c r="AE1947" s="164"/>
      <c r="AF1947" s="25"/>
      <c r="AG1947" s="26"/>
      <c r="AH1947" s="275"/>
      <c r="AI1947" s="52"/>
      <c r="AJ1947" s="35"/>
      <c r="AK1947" s="289"/>
      <c r="AL1947" s="290"/>
      <c r="AM1947" s="211"/>
      <c r="AN1947" s="164"/>
      <c r="AO1947" s="76"/>
      <c r="AP1947" s="44"/>
      <c r="AQ1947" s="275"/>
      <c r="AR1947" s="52"/>
      <c r="AS1947" s="35"/>
      <c r="AT1947" s="79"/>
      <c r="AU1947" s="212"/>
      <c r="AV1947" s="164"/>
      <c r="AW1947" s="164"/>
      <c r="AX1947" s="76"/>
      <c r="AY1947" s="44"/>
      <c r="AZ1947" s="275"/>
      <c r="BA1947" s="52"/>
      <c r="BB1947" s="35"/>
      <c r="BC1947" s="79"/>
      <c r="BD1947" s="230"/>
      <c r="BE1947" s="211"/>
      <c r="BF1947" s="164"/>
      <c r="BG1947" s="76"/>
      <c r="BH1947" s="44"/>
      <c r="BI1947" s="275"/>
      <c r="BJ1947" s="52"/>
      <c r="BK1947" s="35"/>
      <c r="BL1947" s="79"/>
      <c r="BM1947" s="230"/>
      <c r="BN1947" s="211"/>
      <c r="BO1947" s="164"/>
      <c r="BP1947" s="76"/>
      <c r="BQ1947" s="44"/>
      <c r="BR1947" s="299"/>
      <c r="BS1947" s="52"/>
      <c r="BT1947" s="35"/>
      <c r="BU1947" s="79"/>
      <c r="BV1947" s="212"/>
      <c r="BW1947" s="304"/>
      <c r="BX1947" s="313"/>
      <c r="BY1947" s="138"/>
    </row>
    <row r="1948" spans="1:77" ht="15" customHeight="1" x14ac:dyDescent="0.2">
      <c r="A1948" s="57" t="s">
        <v>13</v>
      </c>
      <c r="B1948" s="57"/>
      <c r="C1948" s="583" t="s">
        <v>2268</v>
      </c>
      <c r="D1948" s="546">
        <v>637</v>
      </c>
      <c r="E1948" s="162" t="s">
        <v>387</v>
      </c>
      <c r="F1948" s="800"/>
      <c r="G1948" s="65"/>
      <c r="H1948" s="73">
        <v>4.4226760000000001</v>
      </c>
      <c r="I1948" s="90"/>
      <c r="J1948" s="73"/>
      <c r="K1948" s="66"/>
      <c r="L1948" s="717"/>
      <c r="M1948" s="73"/>
      <c r="N1948" s="359"/>
      <c r="O1948" s="1041"/>
      <c r="P1948" s="73"/>
      <c r="Q1948" s="359">
        <v>4.0652189999999999</v>
      </c>
      <c r="R1948" s="1041"/>
      <c r="S1948" s="73"/>
      <c r="T1948" s="359"/>
      <c r="U1948" s="73"/>
      <c r="V1948" s="66"/>
      <c r="W1948" s="594">
        <f t="shared" si="1834"/>
        <v>3.4939140400000006E-3</v>
      </c>
      <c r="X1948" s="595">
        <f t="shared" si="1835"/>
        <v>3.4939140400000006E-3</v>
      </c>
      <c r="Y1948" s="52">
        <v>1990</v>
      </c>
      <c r="Z1948" s="52"/>
      <c r="AA1948" s="596">
        <f>+H1948/1000</f>
        <v>4.4226760000000004E-3</v>
      </c>
      <c r="AB1948" s="256">
        <v>-0.21</v>
      </c>
      <c r="AC1948" s="688">
        <f>AB1948</f>
        <v>-0.21</v>
      </c>
      <c r="AD1948" s="164"/>
      <c r="AE1948" s="164"/>
      <c r="AF1948" s="25"/>
      <c r="AG1948" s="26"/>
      <c r="AH1948" s="275"/>
      <c r="AI1948" s="52"/>
      <c r="AJ1948" s="35"/>
      <c r="AK1948" s="289"/>
      <c r="AL1948" s="290"/>
      <c r="AM1948" s="211"/>
      <c r="AN1948" s="164"/>
      <c r="AO1948" s="76"/>
      <c r="AP1948" s="44"/>
      <c r="AQ1948" s="275"/>
      <c r="AR1948" s="52"/>
      <c r="AS1948" s="35"/>
      <c r="AT1948" s="79"/>
      <c r="AU1948" s="212"/>
      <c r="AV1948" s="164"/>
      <c r="AW1948" s="164"/>
      <c r="AX1948" s="76"/>
      <c r="AY1948" s="44"/>
      <c r="AZ1948" s="275"/>
      <c r="BA1948" s="52"/>
      <c r="BB1948" s="35"/>
      <c r="BC1948" s="79"/>
      <c r="BD1948" s="230"/>
      <c r="BE1948" s="211"/>
      <c r="BF1948" s="164"/>
      <c r="BG1948" s="76"/>
      <c r="BH1948" s="44"/>
      <c r="BI1948" s="275"/>
      <c r="BJ1948" s="52"/>
      <c r="BK1948" s="35"/>
      <c r="BL1948" s="79"/>
      <c r="BM1948" s="230"/>
      <c r="BN1948" s="211"/>
      <c r="BO1948" s="164"/>
      <c r="BP1948" s="76"/>
      <c r="BQ1948" s="44"/>
      <c r="BR1948" s="299"/>
      <c r="BS1948" s="52"/>
      <c r="BT1948" s="35"/>
      <c r="BU1948" s="79"/>
      <c r="BV1948" s="212"/>
      <c r="BW1948" s="304"/>
      <c r="BX1948" s="313"/>
      <c r="BY1948" s="138"/>
    </row>
    <row r="1949" spans="1:77" ht="15" customHeight="1" x14ac:dyDescent="0.2">
      <c r="A1949" s="57" t="s">
        <v>34</v>
      </c>
      <c r="B1949" s="583" t="s">
        <v>1606</v>
      </c>
      <c r="C1949" s="57"/>
      <c r="D1949" s="546">
        <v>10589.791999999999</v>
      </c>
      <c r="E1949" s="1101" t="s">
        <v>2896</v>
      </c>
      <c r="F1949" s="729"/>
      <c r="G1949" s="730">
        <v>60.247</v>
      </c>
      <c r="H1949" s="723">
        <v>59.091999999999999</v>
      </c>
      <c r="I1949" s="1282"/>
      <c r="J1949" s="1283">
        <v>87.13</v>
      </c>
      <c r="K1949" s="1283">
        <v>85.61</v>
      </c>
      <c r="L1949" s="1282"/>
      <c r="M1949" s="1283">
        <v>57.89</v>
      </c>
      <c r="N1949" s="1283">
        <v>68.801000000000002</v>
      </c>
      <c r="O1949" s="1284"/>
      <c r="P1949" s="1283">
        <v>59.270069999999997</v>
      </c>
      <c r="Q1949" s="796">
        <v>67.735410000000002</v>
      </c>
      <c r="R1949" s="1284">
        <v>2017</v>
      </c>
      <c r="S1949" s="1283">
        <v>77.776730000000001</v>
      </c>
      <c r="T1949" s="796">
        <v>70.546300000000002</v>
      </c>
      <c r="U1949" s="73"/>
      <c r="V1949" s="66"/>
      <c r="W1949" s="592"/>
      <c r="X1949" s="593"/>
      <c r="Y1949" s="52">
        <v>1990</v>
      </c>
      <c r="Z1949" s="52"/>
      <c r="AA1949" s="596"/>
      <c r="AB1949" s="824">
        <v>-0.2</v>
      </c>
      <c r="AC1949" s="825">
        <v>-0.3</v>
      </c>
      <c r="AD1949" s="164"/>
      <c r="AE1949" s="164"/>
      <c r="AF1949" s="25"/>
      <c r="AG1949" s="26"/>
      <c r="AH1949" s="275"/>
      <c r="AI1949" s="52"/>
      <c r="AJ1949" s="35"/>
      <c r="AK1949" s="289"/>
      <c r="AL1949" s="290"/>
      <c r="AM1949" s="211"/>
      <c r="AN1949" s="164"/>
      <c r="AO1949" s="76"/>
      <c r="AP1949" s="44"/>
      <c r="AQ1949" s="275"/>
      <c r="AR1949" s="52"/>
      <c r="AS1949" s="35"/>
      <c r="AT1949" s="840">
        <v>0.55000000000000004</v>
      </c>
      <c r="AU1949" s="688">
        <v>0.55000000000000004</v>
      </c>
      <c r="AV1949" s="164"/>
      <c r="AW1949" s="164"/>
      <c r="AX1949" s="76"/>
      <c r="AY1949" s="44"/>
      <c r="AZ1949" s="275"/>
      <c r="BA1949" s="52"/>
      <c r="BB1949" s="35"/>
      <c r="BC1949" s="79"/>
      <c r="BD1949" s="230"/>
      <c r="BE1949" s="211"/>
      <c r="BF1949" s="164"/>
      <c r="BG1949" s="76"/>
      <c r="BH1949" s="44"/>
      <c r="BI1949" s="275"/>
      <c r="BJ1949" s="52"/>
      <c r="BK1949" s="35"/>
      <c r="BL1949" s="79"/>
      <c r="BM1949" s="230"/>
      <c r="BN1949" s="211"/>
      <c r="BO1949" s="164"/>
      <c r="BP1949" s="76"/>
      <c r="BQ1949" s="44"/>
      <c r="BR1949" s="299"/>
      <c r="BS1949" s="52"/>
      <c r="BT1949" s="35"/>
      <c r="BU1949" s="79">
        <v>-1</v>
      </c>
      <c r="BV1949" s="212">
        <f>BU1949</f>
        <v>-1</v>
      </c>
      <c r="BW1949" s="304"/>
      <c r="BX1949" s="313"/>
      <c r="BY1949" s="138"/>
    </row>
    <row r="1950" spans="1:77" ht="15" customHeight="1" x14ac:dyDescent="0.2">
      <c r="A1950" s="57" t="s">
        <v>34</v>
      </c>
      <c r="B1950" s="583" t="s">
        <v>2908</v>
      </c>
      <c r="C1950" s="57"/>
      <c r="D1950" s="546">
        <v>246.7</v>
      </c>
      <c r="E1950" s="1101" t="s">
        <v>2909</v>
      </c>
      <c r="F1950" s="729"/>
      <c r="G1950" s="730"/>
      <c r="H1950" s="1283"/>
      <c r="I1950" s="1282"/>
      <c r="J1950" s="1283"/>
      <c r="K1950" s="1283"/>
      <c r="L1950" s="1282">
        <v>2014</v>
      </c>
      <c r="M1950" s="1283"/>
      <c r="N1950" s="796">
        <v>1.72407</v>
      </c>
      <c r="O1950" s="1284"/>
      <c r="P1950" s="1283"/>
      <c r="Q1950" s="796">
        <v>1.716777</v>
      </c>
      <c r="R1950" s="1284"/>
      <c r="S1950" s="1283"/>
      <c r="T1950" s="796"/>
      <c r="U1950" s="73"/>
      <c r="V1950" s="66"/>
      <c r="W1950" s="592"/>
      <c r="X1950" s="593"/>
      <c r="Y1950" s="52"/>
      <c r="Z1950" s="52"/>
      <c r="AA1950" s="596"/>
      <c r="AB1950" s="824"/>
      <c r="AC1950" s="825"/>
      <c r="AD1950" s="164"/>
      <c r="AE1950" s="164"/>
      <c r="AF1950" s="25"/>
      <c r="AG1950" s="26"/>
      <c r="AH1950" s="275"/>
      <c r="AI1950" s="52"/>
      <c r="AJ1950" s="35"/>
      <c r="AK1950" s="289"/>
      <c r="AL1950" s="290"/>
      <c r="AM1950" s="211"/>
      <c r="AN1950" s="164"/>
      <c r="AO1950" s="594">
        <f>AS1950*(1+AT1950)</f>
        <v>1.0689234000000001</v>
      </c>
      <c r="AP1950" s="595">
        <f>AS1950*(1+AU1950)</f>
        <v>1.0689234000000001</v>
      </c>
      <c r="AQ1950" s="275">
        <v>2014</v>
      </c>
      <c r="AR1950" s="52"/>
      <c r="AS1950" s="35">
        <f>+N1950</f>
        <v>1.72407</v>
      </c>
      <c r="AT1950" s="840">
        <v>-0.38</v>
      </c>
      <c r="AU1950" s="212">
        <f>AT1950</f>
        <v>-0.38</v>
      </c>
      <c r="AV1950" s="164"/>
      <c r="AW1950" s="164"/>
      <c r="AX1950" s="76"/>
      <c r="AY1950" s="44"/>
      <c r="AZ1950" s="275"/>
      <c r="BA1950" s="52"/>
      <c r="BB1950" s="35"/>
      <c r="BC1950" s="79"/>
      <c r="BD1950" s="230"/>
      <c r="BE1950" s="211"/>
      <c r="BF1950" s="164"/>
      <c r="BG1950" s="76"/>
      <c r="BH1950" s="44"/>
      <c r="BI1950" s="275"/>
      <c r="BJ1950" s="52"/>
      <c r="BK1950" s="35"/>
      <c r="BL1950" s="79"/>
      <c r="BM1950" s="230"/>
      <c r="BN1950" s="211"/>
      <c r="BO1950" s="164"/>
      <c r="BP1950" s="76"/>
      <c r="BQ1950" s="44"/>
      <c r="BR1950" s="299"/>
      <c r="BS1950" s="52"/>
      <c r="BT1950" s="35"/>
      <c r="BU1950" s="79"/>
      <c r="BV1950" s="212"/>
      <c r="BW1950" s="304"/>
      <c r="BX1950" s="313"/>
      <c r="BY1950" s="138"/>
    </row>
    <row r="1951" spans="1:77" ht="15" customHeight="1" x14ac:dyDescent="0.2">
      <c r="A1951" s="583" t="s">
        <v>34</v>
      </c>
      <c r="B1951" s="583" t="s">
        <v>463</v>
      </c>
      <c r="C1951" s="583"/>
      <c r="D1951" s="728">
        <v>262</v>
      </c>
      <c r="E1951" s="162" t="s">
        <v>2551</v>
      </c>
      <c r="F1951" s="761"/>
      <c r="G1951" s="730"/>
      <c r="H1951" s="73"/>
      <c r="I1951" s="90"/>
      <c r="J1951" s="73"/>
      <c r="K1951" s="73">
        <f>N1951*1.33</f>
        <v>1.4071400000000001</v>
      </c>
      <c r="L1951" s="1107">
        <v>2009</v>
      </c>
      <c r="M1951" s="730"/>
      <c r="N1951" s="359">
        <v>1.0580000000000001</v>
      </c>
      <c r="O1951" s="1041"/>
      <c r="P1951" s="73"/>
      <c r="Q1951" s="359"/>
      <c r="R1951" s="1041"/>
      <c r="S1951" s="73"/>
      <c r="T1951" s="359"/>
      <c r="U1951" s="73"/>
      <c r="V1951" s="66"/>
      <c r="W1951" s="1132">
        <f t="shared" ref="W1951:W1977" si="1841">AA1951*(1+AB1951)</f>
        <v>1.1257120000000001E-3</v>
      </c>
      <c r="X1951" s="1133">
        <f t="shared" ref="X1951:X1977" si="1842">AA1951*(1+AC1951)</f>
        <v>1.1257120000000001E-3</v>
      </c>
      <c r="Y1951" s="52">
        <v>2005</v>
      </c>
      <c r="Z1951" s="52"/>
      <c r="AA1951" s="596">
        <f>+K1951/1000</f>
        <v>1.4071400000000001E-3</v>
      </c>
      <c r="AB1951" s="1109">
        <v>-0.2</v>
      </c>
      <c r="AC1951" s="1110">
        <v>-0.2</v>
      </c>
      <c r="AD1951" s="164"/>
      <c r="AE1951" s="164"/>
      <c r="AF1951" s="25"/>
      <c r="AG1951" s="26"/>
      <c r="AH1951" s="275"/>
      <c r="AI1951" s="52"/>
      <c r="AJ1951" s="35"/>
      <c r="AK1951" s="289"/>
      <c r="AL1951" s="290"/>
      <c r="AM1951" s="211"/>
      <c r="AN1951" s="164"/>
      <c r="AO1951" s="76"/>
      <c r="AP1951" s="44"/>
      <c r="AQ1951" s="275"/>
      <c r="AR1951" s="52"/>
      <c r="AS1951" s="35"/>
      <c r="AT1951" s="79"/>
      <c r="AU1951" s="212"/>
      <c r="AV1951" s="164"/>
      <c r="AW1951" s="164"/>
      <c r="AX1951" s="76"/>
      <c r="AY1951" s="44"/>
      <c r="AZ1951" s="275"/>
      <c r="BA1951" s="52"/>
      <c r="BB1951" s="35"/>
      <c r="BC1951" s="79"/>
      <c r="BD1951" s="230"/>
      <c r="BE1951" s="211"/>
      <c r="BF1951" s="164"/>
      <c r="BG1951" s="76"/>
      <c r="BH1951" s="44"/>
      <c r="BI1951" s="275"/>
      <c r="BJ1951" s="52"/>
      <c r="BK1951" s="35"/>
      <c r="BL1951" s="79"/>
      <c r="BM1951" s="230"/>
      <c r="BN1951" s="211"/>
      <c r="BO1951" s="164"/>
      <c r="BP1951" s="726">
        <f>+BT1951*(1+BU1951)</f>
        <v>1.4071399999999998E-4</v>
      </c>
      <c r="BQ1951" s="727">
        <f>BT1951*(1+BV1951)</f>
        <v>1.4071399999999998E-4</v>
      </c>
      <c r="BR1951" s="299">
        <v>1990</v>
      </c>
      <c r="BS1951" s="35"/>
      <c r="BT1951" s="596">
        <f>+AA1951</f>
        <v>1.4071400000000001E-3</v>
      </c>
      <c r="BU1951" s="79">
        <v>-0.9</v>
      </c>
      <c r="BV1951" s="212">
        <f>BU1951</f>
        <v>-0.9</v>
      </c>
      <c r="BW1951" s="304"/>
      <c r="BX1951" s="313"/>
      <c r="BY1951" s="138"/>
    </row>
    <row r="1952" spans="1:77" ht="15" customHeight="1" x14ac:dyDescent="0.2">
      <c r="A1952" s="583" t="s">
        <v>34</v>
      </c>
      <c r="B1952" s="583" t="s">
        <v>836</v>
      </c>
      <c r="C1952" s="583" t="s">
        <v>2217</v>
      </c>
      <c r="D1952" s="728">
        <v>111</v>
      </c>
      <c r="E1952" s="162" t="s">
        <v>387</v>
      </c>
      <c r="F1952" s="761"/>
      <c r="G1952" s="730"/>
      <c r="H1952" s="73"/>
      <c r="I1952" s="90"/>
      <c r="J1952" s="73"/>
      <c r="K1952" s="66"/>
      <c r="L1952" s="717"/>
      <c r="M1952" s="73"/>
      <c r="N1952" s="359">
        <v>0.51559299999999997</v>
      </c>
      <c r="O1952" s="1041"/>
      <c r="P1952" s="73"/>
      <c r="Q1952" s="359"/>
      <c r="R1952" s="1041"/>
      <c r="S1952" s="73"/>
      <c r="T1952" s="359"/>
      <c r="U1952" s="73"/>
      <c r="V1952" s="66"/>
      <c r="W1952" s="594">
        <f t="shared" ref="W1952" si="1843">AA1952*(1+AB1952)</f>
        <v>4.124744E-4</v>
      </c>
      <c r="X1952" s="595">
        <f t="shared" ref="X1952" si="1844">AA1952*(1+AC1952)</f>
        <v>4.124744E-4</v>
      </c>
      <c r="Y1952" s="52">
        <v>2010</v>
      </c>
      <c r="Z1952" s="52"/>
      <c r="AA1952" s="596">
        <f>+N1952/1000</f>
        <v>5.1559299999999995E-4</v>
      </c>
      <c r="AB1952" s="256">
        <v>-0.2</v>
      </c>
      <c r="AC1952" s="688">
        <f>AB1952</f>
        <v>-0.2</v>
      </c>
      <c r="AD1952" s="164"/>
      <c r="AE1952" s="164"/>
      <c r="AF1952" s="25"/>
      <c r="AG1952" s="26"/>
      <c r="AH1952" s="275"/>
      <c r="AI1952" s="52"/>
      <c r="AJ1952" s="35"/>
      <c r="AK1952" s="289"/>
      <c r="AL1952" s="290"/>
      <c r="AM1952" s="211"/>
      <c r="AN1952" s="164"/>
      <c r="AO1952" s="76"/>
      <c r="AP1952" s="44"/>
      <c r="AQ1952" s="275"/>
      <c r="AR1952" s="52"/>
      <c r="AS1952" s="35"/>
      <c r="AT1952" s="79"/>
      <c r="AU1952" s="212"/>
      <c r="AV1952" s="164"/>
      <c r="AW1952" s="164"/>
      <c r="AX1952" s="76"/>
      <c r="AY1952" s="44"/>
      <c r="AZ1952" s="275"/>
      <c r="BA1952" s="52"/>
      <c r="BB1952" s="35"/>
      <c r="BC1952" s="79"/>
      <c r="BD1952" s="230"/>
      <c r="BE1952" s="211"/>
      <c r="BF1952" s="164"/>
      <c r="BG1952" s="76"/>
      <c r="BH1952" s="44"/>
      <c r="BI1952" s="275"/>
      <c r="BJ1952" s="52"/>
      <c r="BK1952" s="35"/>
      <c r="BL1952" s="79"/>
      <c r="BM1952" s="230"/>
      <c r="BN1952" s="211"/>
      <c r="BO1952" s="164"/>
      <c r="BP1952" s="726"/>
      <c r="BQ1952" s="727"/>
      <c r="BR1952" s="299"/>
      <c r="BS1952" s="35"/>
      <c r="BT1952" s="596"/>
      <c r="BU1952" s="79"/>
      <c r="BV1952" s="212"/>
      <c r="BW1952" s="304"/>
      <c r="BX1952" s="313"/>
      <c r="BY1952" s="138"/>
    </row>
    <row r="1953" spans="1:77" ht="15" customHeight="1" x14ac:dyDescent="0.2">
      <c r="A1953" s="57" t="s">
        <v>34</v>
      </c>
      <c r="B1953" s="57"/>
      <c r="C1953" s="583" t="s">
        <v>921</v>
      </c>
      <c r="D1953" s="546">
        <v>49.456000000000003</v>
      </c>
      <c r="E1953" s="162" t="s">
        <v>631</v>
      </c>
      <c r="F1953" s="358"/>
      <c r="G1953" s="65"/>
      <c r="H1953" s="73"/>
      <c r="I1953" s="90">
        <v>2002</v>
      </c>
      <c r="J1953" s="73"/>
      <c r="K1953" s="813">
        <v>0.382934</v>
      </c>
      <c r="L1953" s="717"/>
      <c r="M1953" s="73"/>
      <c r="N1953" s="359"/>
      <c r="O1953" s="1041">
        <v>2016</v>
      </c>
      <c r="P1953" s="73"/>
      <c r="Q1953" s="738">
        <v>0.258882</v>
      </c>
      <c r="R1953" s="1041">
        <v>2016</v>
      </c>
      <c r="S1953" s="73"/>
      <c r="T1953" s="738">
        <v>0.258882</v>
      </c>
      <c r="U1953" s="73"/>
      <c r="V1953" s="66"/>
      <c r="W1953" s="740">
        <f t="shared" si="1841"/>
        <v>2.5656577999999997E-4</v>
      </c>
      <c r="X1953" s="741">
        <f t="shared" si="1842"/>
        <v>2.5656577999999997E-4</v>
      </c>
      <c r="Y1953" s="52">
        <v>2002</v>
      </c>
      <c r="Z1953" s="52"/>
      <c r="AA1953" s="596">
        <f>+K1953/1000</f>
        <v>3.8293399999999998E-4</v>
      </c>
      <c r="AB1953" s="256">
        <v>-0.33</v>
      </c>
      <c r="AC1953" s="688">
        <f>AB1953</f>
        <v>-0.33</v>
      </c>
      <c r="AD1953" s="164"/>
      <c r="AE1953" s="164"/>
      <c r="AF1953" s="25"/>
      <c r="AG1953" s="26"/>
      <c r="AH1953" s="275"/>
      <c r="AI1953" s="52"/>
      <c r="AJ1953" s="35"/>
      <c r="AK1953" s="289"/>
      <c r="AL1953" s="290"/>
      <c r="AM1953" s="211"/>
      <c r="AN1953" s="164"/>
      <c r="AO1953" s="76"/>
      <c r="AP1953" s="44"/>
      <c r="AQ1953" s="275"/>
      <c r="AR1953" s="52"/>
      <c r="AS1953" s="35"/>
      <c r="AT1953" s="79"/>
      <c r="AU1953" s="212"/>
      <c r="AV1953" s="164"/>
      <c r="AW1953" s="164"/>
      <c r="AX1953" s="76"/>
      <c r="AY1953" s="44"/>
      <c r="AZ1953" s="275"/>
      <c r="BA1953" s="52"/>
      <c r="BB1953" s="35"/>
      <c r="BC1953" s="79"/>
      <c r="BD1953" s="230"/>
      <c r="BE1953" s="211"/>
      <c r="BF1953" s="164"/>
      <c r="BG1953" s="76"/>
      <c r="BH1953" s="44"/>
      <c r="BI1953" s="275"/>
      <c r="BJ1953" s="52"/>
      <c r="BK1953" s="35"/>
      <c r="BL1953" s="79"/>
      <c r="BM1953" s="230"/>
      <c r="BN1953" s="211"/>
      <c r="BO1953" s="164"/>
      <c r="BP1953" s="76"/>
      <c r="BQ1953" s="44"/>
      <c r="BR1953" s="299"/>
      <c r="BS1953" s="52"/>
      <c r="BT1953" s="35"/>
      <c r="BU1953" s="79"/>
      <c r="BV1953" s="212"/>
      <c r="BW1953" s="304"/>
      <c r="BX1953" s="313"/>
      <c r="BY1953" s="138"/>
    </row>
    <row r="1954" spans="1:77" ht="15" customHeight="1" x14ac:dyDescent="0.2">
      <c r="A1954" s="583" t="s">
        <v>34</v>
      </c>
      <c r="B1954" s="583"/>
      <c r="C1954" s="583" t="s">
        <v>585</v>
      </c>
      <c r="D1954" s="728">
        <v>173</v>
      </c>
      <c r="E1954" s="162" t="s">
        <v>392</v>
      </c>
      <c r="F1954" s="761"/>
      <c r="G1954" s="730"/>
      <c r="H1954" s="73"/>
      <c r="I1954" s="90">
        <v>2006</v>
      </c>
      <c r="J1954" s="73"/>
      <c r="K1954" s="734">
        <v>0.24690000000000001</v>
      </c>
      <c r="L1954" s="717"/>
      <c r="M1954" s="73"/>
      <c r="N1954" s="359"/>
      <c r="O1954" s="1041"/>
      <c r="P1954" s="73"/>
      <c r="Q1954" s="359"/>
      <c r="R1954" s="1041"/>
      <c r="S1954" s="73"/>
      <c r="T1954" s="359"/>
      <c r="U1954" s="73"/>
      <c r="V1954" s="66"/>
      <c r="W1954" s="740">
        <f t="shared" si="1841"/>
        <v>1.9751999999999999E-4</v>
      </c>
      <c r="X1954" s="741">
        <f t="shared" si="1842"/>
        <v>1.9751999999999999E-4</v>
      </c>
      <c r="Y1954" s="52">
        <v>2006</v>
      </c>
      <c r="Z1954" s="52"/>
      <c r="AA1954" s="596">
        <f>+K1954/1000</f>
        <v>2.4689999999999998E-4</v>
      </c>
      <c r="AB1954" s="256">
        <v>-0.2</v>
      </c>
      <c r="AC1954" s="688">
        <v>-0.2</v>
      </c>
      <c r="AD1954" s="164"/>
      <c r="AE1954" s="164"/>
      <c r="AF1954" s="25"/>
      <c r="AG1954" s="26"/>
      <c r="AH1954" s="275"/>
      <c r="AI1954" s="52"/>
      <c r="AJ1954" s="35"/>
      <c r="AK1954" s="289"/>
      <c r="AL1954" s="290"/>
      <c r="AM1954" s="211"/>
      <c r="AN1954" s="164"/>
      <c r="AO1954" s="76"/>
      <c r="AP1954" s="44"/>
      <c r="AQ1954" s="275"/>
      <c r="AR1954" s="52"/>
      <c r="AS1954" s="35"/>
      <c r="AT1954" s="79"/>
      <c r="AU1954" s="212"/>
      <c r="AV1954" s="164"/>
      <c r="AW1954" s="164"/>
      <c r="AX1954" s="76"/>
      <c r="AY1954" s="44"/>
      <c r="AZ1954" s="275"/>
      <c r="BA1954" s="52"/>
      <c r="BB1954" s="35"/>
      <c r="BC1954" s="79"/>
      <c r="BD1954" s="230"/>
      <c r="BE1954" s="211"/>
      <c r="BF1954" s="164"/>
      <c r="BG1954" s="76"/>
      <c r="BH1954" s="44"/>
      <c r="BI1954" s="275"/>
      <c r="BJ1954" s="52"/>
      <c r="BK1954" s="35"/>
      <c r="BL1954" s="79"/>
      <c r="BM1954" s="230"/>
      <c r="BN1954" s="211"/>
      <c r="BO1954" s="164"/>
      <c r="BP1954" s="726"/>
      <c r="BQ1954" s="727"/>
      <c r="BR1954" s="299"/>
      <c r="BS1954" s="35"/>
      <c r="BT1954" s="596"/>
      <c r="BU1954" s="79"/>
      <c r="BV1954" s="212"/>
      <c r="BW1954" s="304"/>
      <c r="BX1954" s="313"/>
      <c r="BY1954" s="138"/>
    </row>
    <row r="1955" spans="1:77" ht="15" customHeight="1" x14ac:dyDescent="0.2">
      <c r="A1955" s="57" t="s">
        <v>34</v>
      </c>
      <c r="B1955" s="57"/>
      <c r="C1955" s="583" t="s">
        <v>915</v>
      </c>
      <c r="D1955" s="546">
        <v>3.5910000000000002</v>
      </c>
      <c r="E1955" s="162" t="s">
        <v>631</v>
      </c>
      <c r="F1955" s="358"/>
      <c r="G1955" s="65"/>
      <c r="H1955" s="73"/>
      <c r="I1955" s="90"/>
      <c r="J1955" s="73"/>
      <c r="K1955" s="723"/>
      <c r="L1955" s="717"/>
      <c r="M1955" s="73"/>
      <c r="N1955" s="738">
        <v>7.1079999999999997E-3</v>
      </c>
      <c r="O1955" s="1041"/>
      <c r="P1955" s="73"/>
      <c r="Q1955" s="738"/>
      <c r="R1955" s="1041"/>
      <c r="S1955" s="73"/>
      <c r="T1955" s="738"/>
      <c r="U1955" s="73"/>
      <c r="V1955" s="66"/>
      <c r="W1955" s="788">
        <f t="shared" si="1841"/>
        <v>4.7623599999999992E-6</v>
      </c>
      <c r="X1955" s="789">
        <f t="shared" si="1842"/>
        <v>4.7623599999999992E-6</v>
      </c>
      <c r="Y1955" s="52">
        <v>2010</v>
      </c>
      <c r="Z1955" s="52"/>
      <c r="AA1955" s="787">
        <f t="shared" ref="AA1955:AA1962" si="1845">+N1955/1000</f>
        <v>7.1079999999999995E-6</v>
      </c>
      <c r="AB1955" s="256">
        <v>-0.33</v>
      </c>
      <c r="AC1955" s="688">
        <f t="shared" ref="AC1955:AC1962" si="1846">AB1955</f>
        <v>-0.33</v>
      </c>
      <c r="AD1955" s="164"/>
      <c r="AE1955" s="164"/>
      <c r="AF1955" s="25"/>
      <c r="AG1955" s="26"/>
      <c r="AH1955" s="275"/>
      <c r="AI1955" s="52"/>
      <c r="AJ1955" s="35"/>
      <c r="AK1955" s="289"/>
      <c r="AL1955" s="290"/>
      <c r="AM1955" s="211"/>
      <c r="AN1955" s="164"/>
      <c r="AO1955" s="76"/>
      <c r="AP1955" s="44"/>
      <c r="AQ1955" s="275"/>
      <c r="AR1955" s="52"/>
      <c r="AS1955" s="35"/>
      <c r="AT1955" s="79"/>
      <c r="AU1955" s="212"/>
      <c r="AV1955" s="164"/>
      <c r="AW1955" s="164"/>
      <c r="AX1955" s="76"/>
      <c r="AY1955" s="44"/>
      <c r="AZ1955" s="275"/>
      <c r="BA1955" s="52"/>
      <c r="BB1955" s="35"/>
      <c r="BC1955" s="79"/>
      <c r="BD1955" s="230"/>
      <c r="BE1955" s="211"/>
      <c r="BF1955" s="164"/>
      <c r="BG1955" s="76"/>
      <c r="BH1955" s="44"/>
      <c r="BI1955" s="275"/>
      <c r="BJ1955" s="52"/>
      <c r="BK1955" s="35"/>
      <c r="BL1955" s="79"/>
      <c r="BM1955" s="230"/>
      <c r="BN1955" s="211"/>
      <c r="BO1955" s="164"/>
      <c r="BP1955" s="76"/>
      <c r="BQ1955" s="44"/>
      <c r="BR1955" s="299"/>
      <c r="BS1955" s="52"/>
      <c r="BT1955" s="35"/>
      <c r="BU1955" s="79"/>
      <c r="BV1955" s="212"/>
      <c r="BW1955" s="304"/>
      <c r="BX1955" s="313"/>
      <c r="BY1955" s="138"/>
    </row>
    <row r="1956" spans="1:77" ht="15" customHeight="1" x14ac:dyDescent="0.2">
      <c r="A1956" s="57" t="s">
        <v>34</v>
      </c>
      <c r="B1956" s="57"/>
      <c r="C1956" s="583" t="s">
        <v>913</v>
      </c>
      <c r="D1956" s="546">
        <v>4.5590000000000002</v>
      </c>
      <c r="E1956" s="162" t="s">
        <v>631</v>
      </c>
      <c r="F1956" s="358"/>
      <c r="G1956" s="65"/>
      <c r="H1956" s="73"/>
      <c r="I1956" s="90"/>
      <c r="J1956" s="73"/>
      <c r="K1956" s="723"/>
      <c r="L1956" s="717"/>
      <c r="M1956" s="73"/>
      <c r="N1956" s="738">
        <v>1.1837E-2</v>
      </c>
      <c r="O1956" s="1041"/>
      <c r="P1956" s="73"/>
      <c r="Q1956" s="738"/>
      <c r="R1956" s="1041"/>
      <c r="S1956" s="73"/>
      <c r="T1956" s="738"/>
      <c r="U1956" s="73"/>
      <c r="V1956" s="66"/>
      <c r="W1956" s="788">
        <f t="shared" si="1841"/>
        <v>8.5226399999999998E-6</v>
      </c>
      <c r="X1956" s="789">
        <f t="shared" si="1842"/>
        <v>8.5226399999999998E-6</v>
      </c>
      <c r="Y1956" s="52">
        <v>2010</v>
      </c>
      <c r="Z1956" s="52"/>
      <c r="AA1956" s="787">
        <f t="shared" si="1845"/>
        <v>1.1837E-5</v>
      </c>
      <c r="AB1956" s="256">
        <v>-0.28000000000000003</v>
      </c>
      <c r="AC1956" s="688">
        <f t="shared" si="1846"/>
        <v>-0.28000000000000003</v>
      </c>
      <c r="AD1956" s="164"/>
      <c r="AE1956" s="164"/>
      <c r="AF1956" s="25"/>
      <c r="AG1956" s="26"/>
      <c r="AH1956" s="275"/>
      <c r="AI1956" s="52"/>
      <c r="AJ1956" s="35"/>
      <c r="AK1956" s="289"/>
      <c r="AL1956" s="290"/>
      <c r="AM1956" s="211"/>
      <c r="AN1956" s="164"/>
      <c r="AO1956" s="76"/>
      <c r="AP1956" s="44"/>
      <c r="AQ1956" s="275"/>
      <c r="AR1956" s="52"/>
      <c r="AS1956" s="35"/>
      <c r="AT1956" s="79"/>
      <c r="AU1956" s="212"/>
      <c r="AV1956" s="164"/>
      <c r="AW1956" s="164"/>
      <c r="AX1956" s="76"/>
      <c r="AY1956" s="44"/>
      <c r="AZ1956" s="275"/>
      <c r="BA1956" s="52"/>
      <c r="BB1956" s="35"/>
      <c r="BC1956" s="79"/>
      <c r="BD1956" s="230"/>
      <c r="BE1956" s="211"/>
      <c r="BF1956" s="164"/>
      <c r="BG1956" s="76"/>
      <c r="BH1956" s="44"/>
      <c r="BI1956" s="275"/>
      <c r="BJ1956" s="52"/>
      <c r="BK1956" s="35"/>
      <c r="BL1956" s="79"/>
      <c r="BM1956" s="230"/>
      <c r="BN1956" s="211"/>
      <c r="BO1956" s="164"/>
      <c r="BP1956" s="76"/>
      <c r="BQ1956" s="44"/>
      <c r="BR1956" s="299"/>
      <c r="BS1956" s="52"/>
      <c r="BT1956" s="35"/>
      <c r="BU1956" s="79"/>
      <c r="BV1956" s="212"/>
      <c r="BW1956" s="304"/>
      <c r="BX1956" s="313"/>
      <c r="BY1956" s="138"/>
    </row>
    <row r="1957" spans="1:77" ht="15" customHeight="1" x14ac:dyDescent="0.2">
      <c r="A1957" s="57" t="s">
        <v>34</v>
      </c>
      <c r="B1957" s="57"/>
      <c r="C1957" s="583" t="s">
        <v>912</v>
      </c>
      <c r="D1957" s="546">
        <v>77.893000000000001</v>
      </c>
      <c r="E1957" s="162" t="s">
        <v>387</v>
      </c>
      <c r="F1957" s="358"/>
      <c r="G1957" s="65"/>
      <c r="H1957" s="73"/>
      <c r="I1957" s="90"/>
      <c r="J1957" s="73"/>
      <c r="K1957" s="723"/>
      <c r="L1957" s="717">
        <v>2008</v>
      </c>
      <c r="M1957" s="73"/>
      <c r="N1957" s="738">
        <v>0.34798699999999999</v>
      </c>
      <c r="O1957" s="1041">
        <v>2016</v>
      </c>
      <c r="P1957" s="73"/>
      <c r="Q1957" s="738">
        <v>0.28647699999999998</v>
      </c>
      <c r="R1957" s="1041">
        <v>2016</v>
      </c>
      <c r="S1957" s="73"/>
      <c r="T1957" s="738">
        <v>0.28647699999999998</v>
      </c>
      <c r="U1957" s="73"/>
      <c r="V1957" s="66"/>
      <c r="W1957" s="740">
        <f t="shared" si="1841"/>
        <v>2.7838960000000002E-4</v>
      </c>
      <c r="X1957" s="741">
        <f t="shared" si="1842"/>
        <v>2.7838960000000002E-4</v>
      </c>
      <c r="Y1957" s="52">
        <v>2008</v>
      </c>
      <c r="Z1957" s="52"/>
      <c r="AA1957" s="739">
        <f t="shared" si="1845"/>
        <v>3.4798700000000001E-4</v>
      </c>
      <c r="AB1957" s="256">
        <v>-0.2</v>
      </c>
      <c r="AC1957" s="688">
        <f t="shared" si="1846"/>
        <v>-0.2</v>
      </c>
      <c r="AD1957" s="164"/>
      <c r="AE1957" s="164"/>
      <c r="AF1957" s="25"/>
      <c r="AG1957" s="26"/>
      <c r="AH1957" s="275"/>
      <c r="AI1957" s="52"/>
      <c r="AJ1957" s="35"/>
      <c r="AK1957" s="289"/>
      <c r="AL1957" s="290"/>
      <c r="AM1957" s="211"/>
      <c r="AN1957" s="164"/>
      <c r="AO1957" s="76"/>
      <c r="AP1957" s="44"/>
      <c r="AQ1957" s="275"/>
      <c r="AR1957" s="52"/>
      <c r="AS1957" s="35"/>
      <c r="AT1957" s="79"/>
      <c r="AU1957" s="212"/>
      <c r="AV1957" s="164"/>
      <c r="AW1957" s="164"/>
      <c r="AX1957" s="76"/>
      <c r="AY1957" s="44"/>
      <c r="AZ1957" s="275"/>
      <c r="BA1957" s="52"/>
      <c r="BB1957" s="35"/>
      <c r="BC1957" s="79"/>
      <c r="BD1957" s="230"/>
      <c r="BE1957" s="211"/>
      <c r="BF1957" s="164"/>
      <c r="BG1957" s="76"/>
      <c r="BH1957" s="44"/>
      <c r="BI1957" s="275"/>
      <c r="BJ1957" s="52"/>
      <c r="BK1957" s="35"/>
      <c r="BL1957" s="79"/>
      <c r="BM1957" s="230"/>
      <c r="BN1957" s="211"/>
      <c r="BO1957" s="164"/>
      <c r="BP1957" s="76"/>
      <c r="BQ1957" s="44"/>
      <c r="BR1957" s="299"/>
      <c r="BS1957" s="52"/>
      <c r="BT1957" s="35"/>
      <c r="BU1957" s="79"/>
      <c r="BV1957" s="212"/>
      <c r="BW1957" s="304"/>
      <c r="BX1957" s="313"/>
      <c r="BY1957" s="138"/>
    </row>
    <row r="1958" spans="1:77" ht="15" customHeight="1" x14ac:dyDescent="0.2">
      <c r="A1958" s="57" t="s">
        <v>34</v>
      </c>
      <c r="B1958" s="57"/>
      <c r="C1958" s="583" t="s">
        <v>3171</v>
      </c>
      <c r="D1958" s="546">
        <v>189.33099999999999</v>
      </c>
      <c r="E1958" s="162" t="s">
        <v>387</v>
      </c>
      <c r="F1958" s="358"/>
      <c r="G1958" s="65"/>
      <c r="H1958" s="73"/>
      <c r="I1958" s="90"/>
      <c r="J1958" s="73"/>
      <c r="K1958" s="723"/>
      <c r="L1958" s="717"/>
      <c r="M1958" s="73"/>
      <c r="N1958" s="738"/>
      <c r="O1958" s="1041">
        <v>2014</v>
      </c>
      <c r="P1958" s="73"/>
      <c r="Q1958" s="738">
        <v>1.4372689999999999</v>
      </c>
      <c r="R1958" s="1041"/>
      <c r="S1958" s="73"/>
      <c r="T1958" s="738"/>
      <c r="U1958" s="73"/>
      <c r="V1958" s="66"/>
      <c r="W1958" s="740"/>
      <c r="X1958" s="741"/>
      <c r="Y1958" s="52"/>
      <c r="Z1958" s="52"/>
      <c r="AA1958" s="739"/>
      <c r="AB1958" s="256"/>
      <c r="AC1958" s="688"/>
      <c r="AD1958" s="164"/>
      <c r="AE1958" s="164"/>
      <c r="AF1958" s="25"/>
      <c r="AG1958" s="26"/>
      <c r="AH1958" s="275"/>
      <c r="AI1958" s="52"/>
      <c r="AJ1958" s="35"/>
      <c r="AK1958" s="289"/>
      <c r="AL1958" s="290"/>
      <c r="AM1958" s="211"/>
      <c r="AN1958" s="164"/>
      <c r="AO1958" s="76"/>
      <c r="AP1958" s="44"/>
      <c r="AQ1958" s="275"/>
      <c r="AR1958" s="52"/>
      <c r="AS1958" s="35"/>
      <c r="AT1958" s="79"/>
      <c r="AU1958" s="212"/>
      <c r="AV1958" s="164"/>
      <c r="AW1958" s="164"/>
      <c r="AX1958" s="76"/>
      <c r="AY1958" s="44"/>
      <c r="AZ1958" s="275"/>
      <c r="BA1958" s="52"/>
      <c r="BB1958" s="35"/>
      <c r="BC1958" s="79"/>
      <c r="BD1958" s="230"/>
      <c r="BE1958" s="211"/>
      <c r="BF1958" s="164"/>
      <c r="BG1958" s="76"/>
      <c r="BH1958" s="44"/>
      <c r="BI1958" s="275"/>
      <c r="BJ1958" s="52"/>
      <c r="BK1958" s="35"/>
      <c r="BL1958" s="79"/>
      <c r="BM1958" s="230"/>
      <c r="BN1958" s="211"/>
      <c r="BO1958" s="164"/>
      <c r="BP1958" s="76"/>
      <c r="BQ1958" s="44"/>
      <c r="BR1958" s="299"/>
      <c r="BS1958" s="52"/>
      <c r="BT1958" s="35"/>
      <c r="BU1958" s="79">
        <v>-1</v>
      </c>
      <c r="BV1958" s="212">
        <v>-1</v>
      </c>
      <c r="BW1958" s="304"/>
      <c r="BX1958" s="313"/>
      <c r="BY1958" s="138"/>
    </row>
    <row r="1959" spans="1:77" ht="15" customHeight="1" x14ac:dyDescent="0.2">
      <c r="A1959" s="57" t="s">
        <v>34</v>
      </c>
      <c r="B1959" s="57"/>
      <c r="C1959" s="583" t="s">
        <v>2514</v>
      </c>
      <c r="D1959" s="546">
        <v>208.12200000000001</v>
      </c>
      <c r="E1959" s="162" t="s">
        <v>2581</v>
      </c>
      <c r="F1959" s="358"/>
      <c r="G1959" s="65"/>
      <c r="H1959" s="73"/>
      <c r="I1959" s="90"/>
      <c r="J1959" s="73"/>
      <c r="K1959" s="813">
        <v>0.83067999999999997</v>
      </c>
      <c r="L1959" s="717"/>
      <c r="M1959" s="73"/>
      <c r="N1959" s="738">
        <v>0.56538200000000005</v>
      </c>
      <c r="O1959" s="1041"/>
      <c r="P1959" s="73"/>
      <c r="Q1959" s="738"/>
      <c r="R1959" s="1041"/>
      <c r="S1959" s="73"/>
      <c r="T1959" s="738"/>
      <c r="U1959" s="73"/>
      <c r="V1959" s="66"/>
      <c r="W1959" s="740">
        <f t="shared" ref="W1959" si="1847">AA1959*(1+AB1959)</f>
        <v>4.5230560000000006E-4</v>
      </c>
      <c r="X1959" s="741">
        <f t="shared" ref="X1959" si="1848">AA1959*(1+AC1959)</f>
        <v>4.5230560000000006E-4</v>
      </c>
      <c r="Y1959" s="52">
        <v>2005</v>
      </c>
      <c r="Z1959" s="52"/>
      <c r="AA1959" s="739">
        <f t="shared" si="1845"/>
        <v>5.6538200000000002E-4</v>
      </c>
      <c r="AB1959" s="256">
        <v>-0.2</v>
      </c>
      <c r="AC1959" s="688">
        <f t="shared" si="1846"/>
        <v>-0.2</v>
      </c>
      <c r="AD1959" s="164"/>
      <c r="AE1959" s="164"/>
      <c r="AF1959" s="25"/>
      <c r="AG1959" s="26"/>
      <c r="AH1959" s="275"/>
      <c r="AI1959" s="52"/>
      <c r="AJ1959" s="35"/>
      <c r="AK1959" s="289"/>
      <c r="AL1959" s="290"/>
      <c r="AM1959" s="211"/>
      <c r="AN1959" s="164"/>
      <c r="AO1959" s="76"/>
      <c r="AP1959" s="44"/>
      <c r="AQ1959" s="275"/>
      <c r="AR1959" s="52"/>
      <c r="AS1959" s="35"/>
      <c r="AT1959" s="79"/>
      <c r="AU1959" s="212"/>
      <c r="AV1959" s="164"/>
      <c r="AW1959" s="164"/>
      <c r="AX1959" s="76"/>
      <c r="AY1959" s="44"/>
      <c r="AZ1959" s="275"/>
      <c r="BA1959" s="52"/>
      <c r="BB1959" s="35"/>
      <c r="BC1959" s="79"/>
      <c r="BD1959" s="230"/>
      <c r="BE1959" s="211"/>
      <c r="BF1959" s="164"/>
      <c r="BG1959" s="76"/>
      <c r="BH1959" s="44"/>
      <c r="BI1959" s="275"/>
      <c r="BJ1959" s="52"/>
      <c r="BK1959" s="35"/>
      <c r="BL1959" s="79"/>
      <c r="BM1959" s="230"/>
      <c r="BN1959" s="211"/>
      <c r="BO1959" s="164"/>
      <c r="BP1959" s="76"/>
      <c r="BQ1959" s="44"/>
      <c r="BR1959" s="299"/>
      <c r="BS1959" s="52"/>
      <c r="BT1959" s="35"/>
      <c r="BU1959" s="79"/>
      <c r="BV1959" s="212"/>
      <c r="BW1959" s="304"/>
      <c r="BX1959" s="313"/>
      <c r="BY1959" s="138"/>
    </row>
    <row r="1960" spans="1:77" ht="15" customHeight="1" x14ac:dyDescent="0.2">
      <c r="A1960" s="57" t="s">
        <v>34</v>
      </c>
      <c r="B1960" s="57"/>
      <c r="C1960" s="583" t="s">
        <v>917</v>
      </c>
      <c r="D1960" s="546">
        <v>21.332000000000001</v>
      </c>
      <c r="E1960" s="162" t="s">
        <v>631</v>
      </c>
      <c r="F1960" s="358"/>
      <c r="G1960" s="65"/>
      <c r="H1960" s="73"/>
      <c r="I1960" s="90"/>
      <c r="J1960" s="73"/>
      <c r="K1960" s="723"/>
      <c r="L1960" s="717">
        <v>2009</v>
      </c>
      <c r="M1960" s="73"/>
      <c r="N1960" s="738">
        <v>7.4656E-2</v>
      </c>
      <c r="O1960" s="1041"/>
      <c r="P1960" s="73"/>
      <c r="Q1960" s="738"/>
      <c r="R1960" s="1041"/>
      <c r="S1960" s="73"/>
      <c r="T1960" s="738"/>
      <c r="U1960" s="73"/>
      <c r="V1960" s="66"/>
      <c r="W1960" s="788">
        <f t="shared" si="1841"/>
        <v>4.9272959999999991E-5</v>
      </c>
      <c r="X1960" s="789">
        <f t="shared" si="1842"/>
        <v>4.9272959999999991E-5</v>
      </c>
      <c r="Y1960" s="52">
        <v>2009</v>
      </c>
      <c r="Z1960" s="52"/>
      <c r="AA1960" s="787">
        <f t="shared" si="1845"/>
        <v>7.4655999999999998E-5</v>
      </c>
      <c r="AB1960" s="256">
        <v>-0.34</v>
      </c>
      <c r="AC1960" s="688">
        <f t="shared" si="1846"/>
        <v>-0.34</v>
      </c>
      <c r="AD1960" s="164"/>
      <c r="AE1960" s="164"/>
      <c r="AF1960" s="25"/>
      <c r="AG1960" s="26"/>
      <c r="AH1960" s="275"/>
      <c r="AI1960" s="52"/>
      <c r="AJ1960" s="35"/>
      <c r="AK1960" s="289"/>
      <c r="AL1960" s="290"/>
      <c r="AM1960" s="211"/>
      <c r="AN1960" s="164"/>
      <c r="AO1960" s="76"/>
      <c r="AP1960" s="44"/>
      <c r="AQ1960" s="275"/>
      <c r="AR1960" s="52"/>
      <c r="AS1960" s="35"/>
      <c r="AT1960" s="79"/>
      <c r="AU1960" s="212"/>
      <c r="AV1960" s="164"/>
      <c r="AW1960" s="164"/>
      <c r="AX1960" s="76"/>
      <c r="AY1960" s="44"/>
      <c r="AZ1960" s="275"/>
      <c r="BA1960" s="52"/>
      <c r="BB1960" s="35"/>
      <c r="BC1960" s="79"/>
      <c r="BD1960" s="230"/>
      <c r="BE1960" s="211"/>
      <c r="BF1960" s="164"/>
      <c r="BG1960" s="76"/>
      <c r="BH1960" s="44"/>
      <c r="BI1960" s="275"/>
      <c r="BJ1960" s="52"/>
      <c r="BK1960" s="35"/>
      <c r="BL1960" s="79"/>
      <c r="BM1960" s="230"/>
      <c r="BN1960" s="211"/>
      <c r="BO1960" s="164"/>
      <c r="BP1960" s="76"/>
      <c r="BQ1960" s="44"/>
      <c r="BR1960" s="299"/>
      <c r="BS1960" s="52"/>
      <c r="BT1960" s="35"/>
      <c r="BU1960" s="79"/>
      <c r="BV1960" s="212"/>
      <c r="BW1960" s="304"/>
      <c r="BX1960" s="313"/>
      <c r="BY1960" s="138"/>
    </row>
    <row r="1961" spans="1:77" ht="15" customHeight="1" x14ac:dyDescent="0.2">
      <c r="A1961" s="57" t="s">
        <v>34</v>
      </c>
      <c r="B1961" s="57"/>
      <c r="C1961" s="583" t="s">
        <v>2216</v>
      </c>
      <c r="D1961" s="546">
        <v>51</v>
      </c>
      <c r="E1961" s="162" t="s">
        <v>387</v>
      </c>
      <c r="F1961" s="358"/>
      <c r="G1961" s="65"/>
      <c r="H1961" s="73"/>
      <c r="I1961" s="90"/>
      <c r="J1961" s="73"/>
      <c r="K1961" s="723"/>
      <c r="L1961" s="717">
        <v>2008</v>
      </c>
      <c r="M1961" s="73"/>
      <c r="N1961" s="738">
        <v>0.179262</v>
      </c>
      <c r="O1961" s="1041">
        <v>2013</v>
      </c>
      <c r="P1961" s="73"/>
      <c r="Q1961" s="738">
        <v>0.16383800000000001</v>
      </c>
      <c r="R1961" s="1041"/>
      <c r="S1961" s="73"/>
      <c r="T1961" s="738"/>
      <c r="U1961" s="73"/>
      <c r="V1961" s="66"/>
      <c r="W1961" s="740">
        <f t="shared" ref="W1961:W1962" si="1849">AA1961*(1+AB1961)</f>
        <v>1.4161697999999999E-4</v>
      </c>
      <c r="X1961" s="741">
        <f t="shared" ref="X1961:X1962" si="1850">AA1961*(1+AC1961)</f>
        <v>1.4161697999999999E-4</v>
      </c>
      <c r="Y1961" s="52">
        <v>2008</v>
      </c>
      <c r="Z1961" s="52"/>
      <c r="AA1961" s="739">
        <f t="shared" si="1845"/>
        <v>1.7926199999999999E-4</v>
      </c>
      <c r="AB1961" s="256">
        <v>-0.21</v>
      </c>
      <c r="AC1961" s="688">
        <f t="shared" si="1846"/>
        <v>-0.21</v>
      </c>
      <c r="AD1961" s="164"/>
      <c r="AE1961" s="164"/>
      <c r="AF1961" s="25"/>
      <c r="AG1961" s="26"/>
      <c r="AH1961" s="275"/>
      <c r="AI1961" s="52"/>
      <c r="AJ1961" s="35"/>
      <c r="AK1961" s="289"/>
      <c r="AL1961" s="290"/>
      <c r="AM1961" s="211"/>
      <c r="AN1961" s="164"/>
      <c r="AO1961" s="76"/>
      <c r="AP1961" s="44"/>
      <c r="AQ1961" s="275"/>
      <c r="AR1961" s="52"/>
      <c r="AS1961" s="35"/>
      <c r="AT1961" s="79"/>
      <c r="AU1961" s="212"/>
      <c r="AV1961" s="164"/>
      <c r="AW1961" s="164"/>
      <c r="AX1961" s="76"/>
      <c r="AY1961" s="44"/>
      <c r="AZ1961" s="275"/>
      <c r="BA1961" s="52"/>
      <c r="BB1961" s="35"/>
      <c r="BC1961" s="79"/>
      <c r="BD1961" s="230"/>
      <c r="BE1961" s="211"/>
      <c r="BF1961" s="164"/>
      <c r="BG1961" s="76"/>
      <c r="BH1961" s="44"/>
      <c r="BI1961" s="275"/>
      <c r="BJ1961" s="52"/>
      <c r="BK1961" s="35"/>
      <c r="BL1961" s="79"/>
      <c r="BM1961" s="230"/>
      <c r="BN1961" s="211"/>
      <c r="BO1961" s="164"/>
      <c r="BP1961" s="76"/>
      <c r="BQ1961" s="44"/>
      <c r="BR1961" s="299"/>
      <c r="BS1961" s="52"/>
      <c r="BT1961" s="35"/>
      <c r="BU1961" s="79"/>
      <c r="BV1961" s="212"/>
      <c r="BW1961" s="304"/>
      <c r="BX1961" s="313"/>
      <c r="BY1961" s="138"/>
    </row>
    <row r="1962" spans="1:77" ht="15" customHeight="1" x14ac:dyDescent="0.2">
      <c r="A1962" s="57" t="s">
        <v>34</v>
      </c>
      <c r="B1962" s="57"/>
      <c r="C1962" s="583" t="s">
        <v>2516</v>
      </c>
      <c r="D1962" s="546">
        <v>154.91999999999999</v>
      </c>
      <c r="E1962" s="162" t="s">
        <v>387</v>
      </c>
      <c r="F1962" s="358"/>
      <c r="G1962" s="65"/>
      <c r="H1962" s="73"/>
      <c r="I1962" s="90"/>
      <c r="J1962" s="73"/>
      <c r="K1962" s="723"/>
      <c r="L1962" s="717">
        <v>2008</v>
      </c>
      <c r="M1962" s="73"/>
      <c r="N1962" s="738">
        <v>0.72946900000000003</v>
      </c>
      <c r="O1962" s="1041"/>
      <c r="P1962" s="73"/>
      <c r="Q1962" s="738"/>
      <c r="R1962" s="1041"/>
      <c r="S1962" s="73"/>
      <c r="T1962" s="738"/>
      <c r="U1962" s="73"/>
      <c r="V1962" s="66"/>
      <c r="W1962" s="740">
        <f t="shared" si="1849"/>
        <v>5.8357520000000009E-4</v>
      </c>
      <c r="X1962" s="741">
        <f t="shared" si="1850"/>
        <v>5.8357520000000009E-4</v>
      </c>
      <c r="Y1962" s="52">
        <v>2008</v>
      </c>
      <c r="Z1962" s="52"/>
      <c r="AA1962" s="596">
        <f t="shared" si="1845"/>
        <v>7.2946900000000006E-4</v>
      </c>
      <c r="AB1962" s="256">
        <v>-0.2</v>
      </c>
      <c r="AC1962" s="688">
        <f t="shared" si="1846"/>
        <v>-0.2</v>
      </c>
      <c r="AD1962" s="164"/>
      <c r="AE1962" s="164"/>
      <c r="AF1962" s="25"/>
      <c r="AG1962" s="26"/>
      <c r="AH1962" s="275"/>
      <c r="AI1962" s="52"/>
      <c r="AJ1962" s="35"/>
      <c r="AK1962" s="289"/>
      <c r="AL1962" s="290"/>
      <c r="AM1962" s="211"/>
      <c r="AN1962" s="164"/>
      <c r="AO1962" s="76"/>
      <c r="AP1962" s="44"/>
      <c r="AQ1962" s="275"/>
      <c r="AR1962" s="52"/>
      <c r="AS1962" s="35"/>
      <c r="AT1962" s="79"/>
      <c r="AU1962" s="212"/>
      <c r="AV1962" s="164"/>
      <c r="AW1962" s="164"/>
      <c r="AX1962" s="76"/>
      <c r="AY1962" s="44"/>
      <c r="AZ1962" s="275"/>
      <c r="BA1962" s="52"/>
      <c r="BB1962" s="35"/>
      <c r="BC1962" s="79"/>
      <c r="BD1962" s="230"/>
      <c r="BE1962" s="211"/>
      <c r="BF1962" s="164"/>
      <c r="BG1962" s="76"/>
      <c r="BH1962" s="44"/>
      <c r="BI1962" s="275"/>
      <c r="BJ1962" s="52"/>
      <c r="BK1962" s="35"/>
      <c r="BL1962" s="79"/>
      <c r="BM1962" s="230"/>
      <c r="BN1962" s="211"/>
      <c r="BO1962" s="164"/>
      <c r="BP1962" s="76"/>
      <c r="BQ1962" s="44"/>
      <c r="BR1962" s="299"/>
      <c r="BS1962" s="52"/>
      <c r="BT1962" s="35"/>
      <c r="BU1962" s="79"/>
      <c r="BV1962" s="212"/>
      <c r="BW1962" s="304"/>
      <c r="BX1962" s="313"/>
      <c r="BY1962" s="138"/>
    </row>
    <row r="1963" spans="1:77" ht="15" customHeight="1" x14ac:dyDescent="0.2">
      <c r="A1963" s="57" t="s">
        <v>34</v>
      </c>
      <c r="B1963" s="57"/>
      <c r="C1963" s="583" t="s">
        <v>347</v>
      </c>
      <c r="D1963" s="546">
        <v>2821</v>
      </c>
      <c r="E1963" s="162" t="s">
        <v>387</v>
      </c>
      <c r="F1963" s="358"/>
      <c r="G1963" s="65"/>
      <c r="H1963" s="73"/>
      <c r="I1963" s="90">
        <v>2002</v>
      </c>
      <c r="J1963" s="73"/>
      <c r="K1963" s="723">
        <v>3.7577050000000001</v>
      </c>
      <c r="L1963" s="717">
        <v>2013</v>
      </c>
      <c r="M1963" s="73"/>
      <c r="N1963" s="359">
        <v>3.189867</v>
      </c>
      <c r="O1963" s="1041">
        <v>2014</v>
      </c>
      <c r="P1963" s="73"/>
      <c r="Q1963" s="361">
        <v>1.934361</v>
      </c>
      <c r="R1963" s="1041"/>
      <c r="S1963" s="73"/>
      <c r="T1963" s="361"/>
      <c r="U1963" s="73"/>
      <c r="V1963" s="66"/>
      <c r="W1963" s="1132">
        <f t="shared" si="1841"/>
        <v>3.0061640000000004E-3</v>
      </c>
      <c r="X1963" s="1133">
        <f t="shared" si="1842"/>
        <v>3.0061640000000004E-3</v>
      </c>
      <c r="Y1963" s="52">
        <v>2002</v>
      </c>
      <c r="Z1963" s="52"/>
      <c r="AA1963" s="596">
        <f>+K1963/1000</f>
        <v>3.7577050000000001E-3</v>
      </c>
      <c r="AB1963" s="1109">
        <v>-0.2</v>
      </c>
      <c r="AC1963" s="1110">
        <v>-0.2</v>
      </c>
      <c r="AD1963" s="164"/>
      <c r="AE1963" s="164"/>
      <c r="AF1963" s="25"/>
      <c r="AG1963" s="26"/>
      <c r="AH1963" s="275"/>
      <c r="AI1963" s="52"/>
      <c r="AJ1963" s="35"/>
      <c r="AK1963" s="289"/>
      <c r="AL1963" s="290"/>
      <c r="AM1963" s="211"/>
      <c r="AN1963" s="164"/>
      <c r="AO1963" s="594">
        <f>AS1963*(1+AT1963)</f>
        <v>1.5030820000000002E-3</v>
      </c>
      <c r="AP1963" s="595">
        <f>AS1963*(1+AU1963)</f>
        <v>1.5030820000000002E-3</v>
      </c>
      <c r="AQ1963" s="275">
        <v>2005</v>
      </c>
      <c r="AR1963" s="52"/>
      <c r="AS1963" s="35">
        <f>+K1963/1000</f>
        <v>3.7577050000000001E-3</v>
      </c>
      <c r="AT1963" s="840">
        <v>-0.6</v>
      </c>
      <c r="AU1963" s="212">
        <f>AT1963</f>
        <v>-0.6</v>
      </c>
      <c r="AV1963" s="164"/>
      <c r="AW1963" s="164"/>
      <c r="AX1963" s="76"/>
      <c r="AY1963" s="44"/>
      <c r="AZ1963" s="275"/>
      <c r="BA1963" s="52"/>
      <c r="BB1963" s="35"/>
      <c r="BC1963" s="79"/>
      <c r="BD1963" s="230"/>
      <c r="BE1963" s="211"/>
      <c r="BF1963" s="164"/>
      <c r="BG1963" s="76"/>
      <c r="BH1963" s="44"/>
      <c r="BI1963" s="275"/>
      <c r="BJ1963" s="52"/>
      <c r="BK1963" s="35"/>
      <c r="BL1963" s="79"/>
      <c r="BM1963" s="230"/>
      <c r="BN1963" s="211"/>
      <c r="BO1963" s="164"/>
      <c r="BP1963" s="76"/>
      <c r="BQ1963" s="44"/>
      <c r="BR1963" s="299"/>
      <c r="BS1963" s="52"/>
      <c r="BT1963" s="35"/>
      <c r="BU1963" s="79">
        <v>-1</v>
      </c>
      <c r="BV1963" s="212">
        <v>-1</v>
      </c>
      <c r="BW1963" s="304"/>
      <c r="BX1963" s="313"/>
      <c r="BY1963" s="138"/>
    </row>
    <row r="1964" spans="1:77" ht="15" customHeight="1" x14ac:dyDescent="0.2">
      <c r="A1964" s="57" t="s">
        <v>34</v>
      </c>
      <c r="B1964" s="57"/>
      <c r="C1964" s="583" t="s">
        <v>919</v>
      </c>
      <c r="D1964" s="546">
        <v>200</v>
      </c>
      <c r="E1964" s="162" t="s">
        <v>631</v>
      </c>
      <c r="F1964" s="358"/>
      <c r="G1964" s="65"/>
      <c r="H1964" s="73"/>
      <c r="I1964" s="90"/>
      <c r="J1964" s="73"/>
      <c r="K1964" s="723"/>
      <c r="L1964" s="717">
        <v>2008</v>
      </c>
      <c r="M1964" s="73"/>
      <c r="N1964" s="359">
        <v>12.750999999999999</v>
      </c>
      <c r="O1964" s="1041"/>
      <c r="P1964" s="73"/>
      <c r="Q1964" s="359"/>
      <c r="R1964" s="1041"/>
      <c r="S1964" s="73"/>
      <c r="T1964" s="359"/>
      <c r="U1964" s="73"/>
      <c r="V1964" s="66"/>
      <c r="W1964" s="804">
        <f t="shared" si="1841"/>
        <v>8.1606400000000003E-3</v>
      </c>
      <c r="X1964" s="805">
        <f t="shared" si="1842"/>
        <v>8.1606400000000003E-3</v>
      </c>
      <c r="Y1964" s="52">
        <v>2008</v>
      </c>
      <c r="Z1964" s="52"/>
      <c r="AA1964" s="35">
        <f>+N1964/1000</f>
        <v>1.2751E-2</v>
      </c>
      <c r="AB1964" s="256">
        <v>-0.36</v>
      </c>
      <c r="AC1964" s="688">
        <f>AB1964</f>
        <v>-0.36</v>
      </c>
      <c r="AD1964" s="164"/>
      <c r="AE1964" s="164"/>
      <c r="AF1964" s="25"/>
      <c r="AG1964" s="26"/>
      <c r="AH1964" s="275"/>
      <c r="AI1964" s="52"/>
      <c r="AJ1964" s="35"/>
      <c r="AK1964" s="289"/>
      <c r="AL1964" s="290"/>
      <c r="AM1964" s="211"/>
      <c r="AN1964" s="164"/>
      <c r="AO1964" s="76"/>
      <c r="AP1964" s="44"/>
      <c r="AQ1964" s="275"/>
      <c r="AR1964" s="52"/>
      <c r="AS1964" s="35"/>
      <c r="AT1964" s="79"/>
      <c r="AU1964" s="212"/>
      <c r="AV1964" s="164"/>
      <c r="AW1964" s="164"/>
      <c r="AX1964" s="76"/>
      <c r="AY1964" s="44"/>
      <c r="AZ1964" s="275"/>
      <c r="BA1964" s="52"/>
      <c r="BB1964" s="35"/>
      <c r="BC1964" s="79"/>
      <c r="BD1964" s="230"/>
      <c r="BE1964" s="211"/>
      <c r="BF1964" s="164"/>
      <c r="BG1964" s="76"/>
      <c r="BH1964" s="44"/>
      <c r="BI1964" s="275"/>
      <c r="BJ1964" s="52"/>
      <c r="BK1964" s="35"/>
      <c r="BL1964" s="79"/>
      <c r="BM1964" s="230"/>
      <c r="BN1964" s="211"/>
      <c r="BO1964" s="164"/>
      <c r="BP1964" s="76"/>
      <c r="BQ1964" s="44"/>
      <c r="BR1964" s="299"/>
      <c r="BS1964" s="52"/>
      <c r="BT1964" s="35"/>
      <c r="BU1964" s="79"/>
      <c r="BV1964" s="212"/>
      <c r="BW1964" s="304"/>
      <c r="BX1964" s="313"/>
      <c r="BY1964" s="138"/>
    </row>
    <row r="1965" spans="1:77" ht="15" customHeight="1" x14ac:dyDescent="0.2">
      <c r="A1965" s="57" t="s">
        <v>34</v>
      </c>
      <c r="B1965" s="57"/>
      <c r="C1965" s="583" t="s">
        <v>914</v>
      </c>
      <c r="D1965" s="546">
        <v>3.5779999999999998</v>
      </c>
      <c r="E1965" s="162" t="s">
        <v>631</v>
      </c>
      <c r="F1965" s="358"/>
      <c r="G1965" s="65"/>
      <c r="H1965" s="73"/>
      <c r="I1965" s="90"/>
      <c r="J1965" s="73"/>
      <c r="K1965" s="723"/>
      <c r="L1965" s="717"/>
      <c r="M1965" s="73"/>
      <c r="N1965" s="738">
        <v>6.5240000000000003E-3</v>
      </c>
      <c r="O1965" s="1041"/>
      <c r="P1965" s="73"/>
      <c r="Q1965" s="738"/>
      <c r="R1965" s="1041"/>
      <c r="S1965" s="73"/>
      <c r="T1965" s="738"/>
      <c r="U1965" s="73"/>
      <c r="V1965" s="66"/>
      <c r="W1965" s="788">
        <f t="shared" si="1841"/>
        <v>4.5668000000000001E-6</v>
      </c>
      <c r="X1965" s="789">
        <f t="shared" si="1842"/>
        <v>4.5668000000000001E-6</v>
      </c>
      <c r="Y1965" s="52">
        <v>2010</v>
      </c>
      <c r="Z1965" s="52"/>
      <c r="AA1965" s="787">
        <f>+N1965/1000</f>
        <v>6.5240000000000006E-6</v>
      </c>
      <c r="AB1965" s="256">
        <v>-0.3</v>
      </c>
      <c r="AC1965" s="688">
        <f>AB1965</f>
        <v>-0.3</v>
      </c>
      <c r="AD1965" s="164"/>
      <c r="AE1965" s="164"/>
      <c r="AF1965" s="25"/>
      <c r="AG1965" s="26"/>
      <c r="AH1965" s="275"/>
      <c r="AI1965" s="52"/>
      <c r="AJ1965" s="35"/>
      <c r="AK1965" s="289"/>
      <c r="AL1965" s="290"/>
      <c r="AM1965" s="211"/>
      <c r="AN1965" s="164"/>
      <c r="AO1965" s="76"/>
      <c r="AP1965" s="44"/>
      <c r="AQ1965" s="275"/>
      <c r="AR1965" s="52"/>
      <c r="AS1965" s="35"/>
      <c r="AT1965" s="79"/>
      <c r="AU1965" s="212"/>
      <c r="AV1965" s="164"/>
      <c r="AW1965" s="164"/>
      <c r="AX1965" s="76"/>
      <c r="AY1965" s="44"/>
      <c r="AZ1965" s="275"/>
      <c r="BA1965" s="52"/>
      <c r="BB1965" s="35"/>
      <c r="BC1965" s="79"/>
      <c r="BD1965" s="230"/>
      <c r="BE1965" s="211"/>
      <c r="BF1965" s="164"/>
      <c r="BG1965" s="76"/>
      <c r="BH1965" s="44"/>
      <c r="BI1965" s="275"/>
      <c r="BJ1965" s="52"/>
      <c r="BK1965" s="35"/>
      <c r="BL1965" s="79"/>
      <c r="BM1965" s="230"/>
      <c r="BN1965" s="211"/>
      <c r="BO1965" s="164"/>
      <c r="BP1965" s="76"/>
      <c r="BQ1965" s="44"/>
      <c r="BR1965" s="299"/>
      <c r="BS1965" s="52"/>
      <c r="BT1965" s="35"/>
      <c r="BU1965" s="79"/>
      <c r="BV1965" s="212"/>
      <c r="BW1965" s="304"/>
      <c r="BX1965" s="313"/>
      <c r="BY1965" s="138"/>
    </row>
    <row r="1966" spans="1:77" ht="15" customHeight="1" x14ac:dyDescent="0.2">
      <c r="A1966" s="57" t="s">
        <v>34</v>
      </c>
      <c r="B1966" s="57"/>
      <c r="C1966" s="583" t="s">
        <v>2913</v>
      </c>
      <c r="D1966" s="546">
        <v>247</v>
      </c>
      <c r="E1966" s="162" t="s">
        <v>2914</v>
      </c>
      <c r="F1966" s="358"/>
      <c r="G1966" s="65"/>
      <c r="H1966" s="73"/>
      <c r="I1966" s="90"/>
      <c r="J1966" s="73"/>
      <c r="K1966" s="723"/>
      <c r="L1966" s="717">
        <v>2008</v>
      </c>
      <c r="M1966" s="73"/>
      <c r="N1966" s="738">
        <v>1.3229789999999999</v>
      </c>
      <c r="O1966" s="1041">
        <v>2014</v>
      </c>
      <c r="P1966" s="73"/>
      <c r="Q1966" s="738">
        <v>1.056111</v>
      </c>
      <c r="R1966" s="1041"/>
      <c r="S1966" s="73"/>
      <c r="T1966" s="738"/>
      <c r="U1966" s="73"/>
      <c r="V1966" s="66"/>
      <c r="W1966" s="788">
        <f t="shared" ref="W1966" si="1851">AA1966*(1+AB1966)</f>
        <v>1.0186938299999999E-3</v>
      </c>
      <c r="X1966" s="789">
        <f t="shared" ref="X1966" si="1852">AA1966*(1+AC1966)</f>
        <v>1.0186938299999999E-3</v>
      </c>
      <c r="Y1966" s="52">
        <v>2008</v>
      </c>
      <c r="Z1966" s="52"/>
      <c r="AA1966" s="787">
        <f>+N1966/1000</f>
        <v>1.322979E-3</v>
      </c>
      <c r="AB1966" s="256">
        <v>-0.23</v>
      </c>
      <c r="AC1966" s="688">
        <f>AB1966</f>
        <v>-0.23</v>
      </c>
      <c r="AD1966" s="164"/>
      <c r="AE1966" s="164"/>
      <c r="AF1966" s="25"/>
      <c r="AG1966" s="26"/>
      <c r="AH1966" s="275"/>
      <c r="AI1966" s="52"/>
      <c r="AJ1966" s="35"/>
      <c r="AK1966" s="289"/>
      <c r="AL1966" s="290"/>
      <c r="AM1966" s="211"/>
      <c r="AN1966" s="164"/>
      <c r="AO1966" s="76"/>
      <c r="AP1966" s="44"/>
      <c r="AQ1966" s="275"/>
      <c r="AR1966" s="52"/>
      <c r="AS1966" s="35"/>
      <c r="AT1966" s="79"/>
      <c r="AU1966" s="212"/>
      <c r="AV1966" s="164"/>
      <c r="AW1966" s="164"/>
      <c r="AX1966" s="76"/>
      <c r="AY1966" s="44"/>
      <c r="AZ1966" s="275"/>
      <c r="BA1966" s="52"/>
      <c r="BB1966" s="35"/>
      <c r="BC1966" s="79"/>
      <c r="BD1966" s="230"/>
      <c r="BE1966" s="211"/>
      <c r="BF1966" s="164"/>
      <c r="BG1966" s="76"/>
      <c r="BH1966" s="44"/>
      <c r="BI1966" s="275"/>
      <c r="BJ1966" s="52"/>
      <c r="BK1966" s="35"/>
      <c r="BL1966" s="79"/>
      <c r="BM1966" s="230"/>
      <c r="BN1966" s="211"/>
      <c r="BO1966" s="164"/>
      <c r="BP1966" s="76"/>
      <c r="BQ1966" s="44"/>
      <c r="BR1966" s="299"/>
      <c r="BS1966" s="52"/>
      <c r="BT1966" s="35"/>
      <c r="BU1966" s="79"/>
      <c r="BV1966" s="212"/>
      <c r="BW1966" s="304"/>
      <c r="BX1966" s="313"/>
      <c r="BY1966" s="138"/>
    </row>
    <row r="1967" spans="1:77" ht="15" customHeight="1" x14ac:dyDescent="0.2">
      <c r="A1967" s="57" t="s">
        <v>34</v>
      </c>
      <c r="B1967" s="57"/>
      <c r="C1967" s="583" t="s">
        <v>2220</v>
      </c>
      <c r="D1967" s="546">
        <v>71</v>
      </c>
      <c r="E1967" s="162" t="s">
        <v>387</v>
      </c>
      <c r="F1967" s="358"/>
      <c r="G1967" s="65"/>
      <c r="H1967" s="73"/>
      <c r="I1967" s="90"/>
      <c r="J1967" s="73"/>
      <c r="K1967" s="723"/>
      <c r="L1967" s="717">
        <v>2008</v>
      </c>
      <c r="M1967" s="73"/>
      <c r="N1967" s="786">
        <v>1.5177E-2</v>
      </c>
      <c r="O1967" s="1041">
        <v>2016</v>
      </c>
      <c r="P1967" s="73"/>
      <c r="Q1967" s="786">
        <v>9.6507999999999993E-3</v>
      </c>
      <c r="R1967" s="1041">
        <v>2016</v>
      </c>
      <c r="S1967" s="73"/>
      <c r="T1967" s="786">
        <v>9.6507999999999993E-3</v>
      </c>
      <c r="U1967" s="73"/>
      <c r="V1967" s="66"/>
      <c r="W1967" s="788">
        <f t="shared" ref="W1967" si="1853">AA1967*(1+AB1967)</f>
        <v>1.2141599999999999E-5</v>
      </c>
      <c r="X1967" s="789">
        <f t="shared" ref="X1967" si="1854">AA1967*(1+AC1967)</f>
        <v>1.2141599999999999E-5</v>
      </c>
      <c r="Y1967" s="52">
        <v>2008</v>
      </c>
      <c r="Z1967" s="52"/>
      <c r="AA1967" s="739">
        <f>+N1967/1000</f>
        <v>1.5176999999999999E-5</v>
      </c>
      <c r="AB1967" s="256">
        <v>-0.2</v>
      </c>
      <c r="AC1967" s="688">
        <v>-0.2</v>
      </c>
      <c r="AD1967" s="164"/>
      <c r="AE1967" s="164"/>
      <c r="AF1967" s="25"/>
      <c r="AG1967" s="26"/>
      <c r="AH1967" s="275"/>
      <c r="AI1967" s="52"/>
      <c r="AJ1967" s="35"/>
      <c r="AK1967" s="289"/>
      <c r="AL1967" s="290"/>
      <c r="AM1967" s="211"/>
      <c r="AN1967" s="164"/>
      <c r="AO1967" s="76"/>
      <c r="AP1967" s="44"/>
      <c r="AQ1967" s="275"/>
      <c r="AR1967" s="52"/>
      <c r="AS1967" s="35"/>
      <c r="AT1967" s="79"/>
      <c r="AU1967" s="212"/>
      <c r="AV1967" s="164"/>
      <c r="AW1967" s="164"/>
      <c r="AX1967" s="76"/>
      <c r="AY1967" s="44"/>
      <c r="AZ1967" s="275"/>
      <c r="BA1967" s="52"/>
      <c r="BB1967" s="35"/>
      <c r="BC1967" s="79"/>
      <c r="BD1967" s="230"/>
      <c r="BE1967" s="211"/>
      <c r="BF1967" s="164"/>
      <c r="BG1967" s="76"/>
      <c r="BH1967" s="44"/>
      <c r="BI1967" s="275"/>
      <c r="BJ1967" s="52"/>
      <c r="BK1967" s="35"/>
      <c r="BL1967" s="79"/>
      <c r="BM1967" s="230"/>
      <c r="BN1967" s="211"/>
      <c r="BO1967" s="164"/>
      <c r="BP1967" s="76"/>
      <c r="BQ1967" s="44"/>
      <c r="BR1967" s="299"/>
      <c r="BS1967" s="52"/>
      <c r="BT1967" s="35"/>
      <c r="BU1967" s="79"/>
      <c r="BV1967" s="212"/>
      <c r="BW1967" s="304"/>
      <c r="BX1967" s="313"/>
      <c r="BY1967" s="138"/>
    </row>
    <row r="1968" spans="1:77" ht="15" customHeight="1" x14ac:dyDescent="0.2">
      <c r="A1968" s="57" t="s">
        <v>34</v>
      </c>
      <c r="B1968" s="57"/>
      <c r="C1968" s="583" t="s">
        <v>920</v>
      </c>
      <c r="D1968" s="546">
        <v>16.411000000000001</v>
      </c>
      <c r="E1968" s="162" t="s">
        <v>631</v>
      </c>
      <c r="F1968" s="358"/>
      <c r="G1968" s="65"/>
      <c r="H1968" s="73"/>
      <c r="I1968" s="90"/>
      <c r="J1968" s="73"/>
      <c r="K1968" s="723"/>
      <c r="L1968" s="717">
        <v>2008</v>
      </c>
      <c r="M1968" s="73"/>
      <c r="N1968" s="738">
        <v>3.3156999999999999E-2</v>
      </c>
      <c r="O1968" s="1041"/>
      <c r="P1968" s="73"/>
      <c r="Q1968" s="738"/>
      <c r="R1968" s="1041"/>
      <c r="S1968" s="73"/>
      <c r="T1968" s="738"/>
      <c r="U1968" s="73"/>
      <c r="V1968" s="66"/>
      <c r="W1968" s="740">
        <f t="shared" si="1841"/>
        <v>1.724164E-5</v>
      </c>
      <c r="X1968" s="741">
        <f t="shared" si="1842"/>
        <v>1.724164E-5</v>
      </c>
      <c r="Y1968" s="52">
        <v>2008</v>
      </c>
      <c r="Z1968" s="52"/>
      <c r="AA1968" s="739">
        <f>+N1968/1000</f>
        <v>3.3157000000000001E-5</v>
      </c>
      <c r="AB1968" s="256">
        <v>-0.48</v>
      </c>
      <c r="AC1968" s="688">
        <f>AB1968</f>
        <v>-0.48</v>
      </c>
      <c r="AD1968" s="164"/>
      <c r="AE1968" s="164"/>
      <c r="AF1968" s="25"/>
      <c r="AG1968" s="26"/>
      <c r="AH1968" s="275"/>
      <c r="AI1968" s="52"/>
      <c r="AJ1968" s="35"/>
      <c r="AK1968" s="289"/>
      <c r="AL1968" s="290"/>
      <c r="AM1968" s="211"/>
      <c r="AN1968" s="164"/>
      <c r="AO1968" s="76"/>
      <c r="AP1968" s="44"/>
      <c r="AQ1968" s="275"/>
      <c r="AR1968" s="52"/>
      <c r="AS1968" s="35"/>
      <c r="AT1968" s="79"/>
      <c r="AU1968" s="212"/>
      <c r="AV1968" s="164"/>
      <c r="AW1968" s="164"/>
      <c r="AX1968" s="76"/>
      <c r="AY1968" s="44"/>
      <c r="AZ1968" s="275"/>
      <c r="BA1968" s="52"/>
      <c r="BB1968" s="35"/>
      <c r="BC1968" s="79"/>
      <c r="BD1968" s="230"/>
      <c r="BE1968" s="211"/>
      <c r="BF1968" s="164"/>
      <c r="BG1968" s="76"/>
      <c r="BH1968" s="44"/>
      <c r="BI1968" s="275"/>
      <c r="BJ1968" s="52"/>
      <c r="BK1968" s="35"/>
      <c r="BL1968" s="79"/>
      <c r="BM1968" s="230"/>
      <c r="BN1968" s="211"/>
      <c r="BO1968" s="164"/>
      <c r="BP1968" s="76"/>
      <c r="BQ1968" s="44"/>
      <c r="BR1968" s="299"/>
      <c r="BS1968" s="52"/>
      <c r="BT1968" s="35"/>
      <c r="BU1968" s="79"/>
      <c r="BV1968" s="212"/>
      <c r="BW1968" s="304"/>
      <c r="BX1968" s="313"/>
      <c r="BY1968" s="138"/>
    </row>
    <row r="1969" spans="1:77" ht="15" customHeight="1" x14ac:dyDescent="0.2">
      <c r="A1969" s="57" t="s">
        <v>34</v>
      </c>
      <c r="B1969" s="57"/>
      <c r="C1969" s="583" t="s">
        <v>584</v>
      </c>
      <c r="D1969" s="546">
        <v>172</v>
      </c>
      <c r="E1969" s="162" t="s">
        <v>392</v>
      </c>
      <c r="F1969" s="358"/>
      <c r="G1969" s="65"/>
      <c r="H1969" s="73"/>
      <c r="I1969" s="90">
        <v>2006</v>
      </c>
      <c r="J1969" s="73"/>
      <c r="K1969" s="723">
        <v>0.73699999999999999</v>
      </c>
      <c r="L1969" s="717"/>
      <c r="M1969" s="73"/>
      <c r="N1969" s="359"/>
      <c r="O1969" s="1041"/>
      <c r="P1969" s="73"/>
      <c r="Q1969" s="359"/>
      <c r="R1969" s="1041"/>
      <c r="S1969" s="73"/>
      <c r="T1969" s="359"/>
      <c r="U1969" s="73"/>
      <c r="V1969" s="66"/>
      <c r="W1969" s="594">
        <f t="shared" si="1841"/>
        <v>5.8960000000000002E-4</v>
      </c>
      <c r="X1969" s="595">
        <f t="shared" si="1842"/>
        <v>5.8960000000000002E-4</v>
      </c>
      <c r="Y1969" s="52">
        <v>2006</v>
      </c>
      <c r="Z1969" s="52"/>
      <c r="AA1969" s="596">
        <f>+K1969/1000</f>
        <v>7.3700000000000002E-4</v>
      </c>
      <c r="AB1969" s="256">
        <v>-0.2</v>
      </c>
      <c r="AC1969" s="688">
        <v>-0.2</v>
      </c>
      <c r="AD1969" s="164"/>
      <c r="AE1969" s="164"/>
      <c r="AF1969" s="25"/>
      <c r="AG1969" s="26"/>
      <c r="AH1969" s="275"/>
      <c r="AI1969" s="52"/>
      <c r="AJ1969" s="35"/>
      <c r="AK1969" s="289"/>
      <c r="AL1969" s="290"/>
      <c r="AM1969" s="211"/>
      <c r="AN1969" s="164"/>
      <c r="AO1969" s="76"/>
      <c r="AP1969" s="44"/>
      <c r="AQ1969" s="275"/>
      <c r="AR1969" s="52"/>
      <c r="AS1969" s="35"/>
      <c r="AT1969" s="79"/>
      <c r="AU1969" s="212"/>
      <c r="AV1969" s="164"/>
      <c r="AW1969" s="164"/>
      <c r="AX1969" s="76"/>
      <c r="AY1969" s="44"/>
      <c r="AZ1969" s="275"/>
      <c r="BA1969" s="52"/>
      <c r="BB1969" s="35"/>
      <c r="BC1969" s="79"/>
      <c r="BD1969" s="230"/>
      <c r="BE1969" s="211"/>
      <c r="BF1969" s="164"/>
      <c r="BG1969" s="76"/>
      <c r="BH1969" s="44"/>
      <c r="BI1969" s="275"/>
      <c r="BJ1969" s="52"/>
      <c r="BK1969" s="35"/>
      <c r="BL1969" s="79"/>
      <c r="BM1969" s="230"/>
      <c r="BN1969" s="211"/>
      <c r="BO1969" s="164"/>
      <c r="BP1969" s="76"/>
      <c r="BQ1969" s="44"/>
      <c r="BR1969" s="299"/>
      <c r="BS1969" s="52"/>
      <c r="BT1969" s="35"/>
      <c r="BU1969" s="79"/>
      <c r="BV1969" s="212"/>
      <c r="BW1969" s="304"/>
      <c r="BX1969" s="313"/>
      <c r="BY1969" s="138"/>
    </row>
    <row r="1970" spans="1:77" ht="15" customHeight="1" x14ac:dyDescent="0.2">
      <c r="A1970" s="57" t="s">
        <v>34</v>
      </c>
      <c r="B1970" s="57"/>
      <c r="C1970" s="583" t="s">
        <v>471</v>
      </c>
      <c r="D1970" s="546">
        <v>2375.91</v>
      </c>
      <c r="E1970" s="162" t="s">
        <v>387</v>
      </c>
      <c r="F1970" s="358"/>
      <c r="G1970" s="65"/>
      <c r="H1970" s="73"/>
      <c r="I1970" s="90">
        <v>2004</v>
      </c>
      <c r="J1970" s="73"/>
      <c r="K1970" s="813">
        <v>1.304</v>
      </c>
      <c r="L1970" s="717">
        <v>2009</v>
      </c>
      <c r="M1970" s="73"/>
      <c r="N1970" s="738">
        <f>K1970*0.78</f>
        <v>1.01712</v>
      </c>
      <c r="O1970" s="1041"/>
      <c r="P1970" s="735"/>
      <c r="Q1970" s="738">
        <v>0.96965599999999996</v>
      </c>
      <c r="R1970" s="1041"/>
      <c r="S1970" s="735"/>
      <c r="T1970" s="738"/>
      <c r="U1970" s="73"/>
      <c r="V1970" s="66"/>
      <c r="W1970" s="594">
        <f t="shared" si="1841"/>
        <v>7.1720000000000009E-4</v>
      </c>
      <c r="X1970" s="595">
        <f t="shared" si="1842"/>
        <v>7.1720000000000009E-4</v>
      </c>
      <c r="Y1970" s="52">
        <v>2004</v>
      </c>
      <c r="Z1970" s="52"/>
      <c r="AA1970" s="596">
        <f>+K1970/1000</f>
        <v>1.304E-3</v>
      </c>
      <c r="AB1970" s="256">
        <v>-0.45</v>
      </c>
      <c r="AC1970" s="688">
        <f t="shared" ref="AC1970:AC1977" si="1855">AB1970</f>
        <v>-0.45</v>
      </c>
      <c r="AD1970" s="164"/>
      <c r="AE1970" s="164"/>
      <c r="AF1970" s="25"/>
      <c r="AG1970" s="26"/>
      <c r="AH1970" s="275"/>
      <c r="AI1970" s="52"/>
      <c r="AJ1970" s="35"/>
      <c r="AK1970" s="289"/>
      <c r="AL1970" s="290"/>
      <c r="AM1970" s="211"/>
      <c r="AN1970" s="164"/>
      <c r="AO1970" s="76"/>
      <c r="AP1970" s="44"/>
      <c r="AQ1970" s="275"/>
      <c r="AR1970" s="52"/>
      <c r="AS1970" s="35"/>
      <c r="AT1970" s="79"/>
      <c r="AU1970" s="212"/>
      <c r="AV1970" s="164"/>
      <c r="AW1970" s="164"/>
      <c r="AX1970" s="76"/>
      <c r="AY1970" s="44"/>
      <c r="AZ1970" s="275"/>
      <c r="BA1970" s="52"/>
      <c r="BB1970" s="35"/>
      <c r="BC1970" s="79"/>
      <c r="BD1970" s="230"/>
      <c r="BE1970" s="211"/>
      <c r="BF1970" s="164"/>
      <c r="BG1970" s="76"/>
      <c r="BH1970" s="44"/>
      <c r="BI1970" s="275"/>
      <c r="BJ1970" s="52"/>
      <c r="BK1970" s="35"/>
      <c r="BL1970" s="79"/>
      <c r="BM1970" s="230"/>
      <c r="BN1970" s="211"/>
      <c r="BO1970" s="164"/>
      <c r="BP1970" s="76"/>
      <c r="BQ1970" s="44"/>
      <c r="BR1970" s="299"/>
      <c r="BS1970" s="52"/>
      <c r="BT1970" s="35"/>
      <c r="BU1970" s="79"/>
      <c r="BV1970" s="212"/>
      <c r="BW1970" s="304"/>
      <c r="BX1970" s="313"/>
      <c r="BY1970" s="138"/>
    </row>
    <row r="1971" spans="1:77" ht="15" customHeight="1" x14ac:dyDescent="0.2">
      <c r="A1971" s="57" t="s">
        <v>34</v>
      </c>
      <c r="B1971" s="57"/>
      <c r="C1971" s="583" t="s">
        <v>910</v>
      </c>
      <c r="D1971" s="546">
        <v>2.7109999999999999</v>
      </c>
      <c r="E1971" s="162" t="s">
        <v>631</v>
      </c>
      <c r="F1971" s="358"/>
      <c r="G1971" s="65"/>
      <c r="H1971" s="73"/>
      <c r="I1971" s="90"/>
      <c r="J1971" s="73"/>
      <c r="K1971" s="723"/>
      <c r="L1971" s="717"/>
      <c r="M1971" s="73"/>
      <c r="N1971" s="786">
        <v>5.3699999999999998E-3</v>
      </c>
      <c r="O1971" s="1041"/>
      <c r="P1971" s="73"/>
      <c r="Q1971" s="786"/>
      <c r="R1971" s="1041"/>
      <c r="S1971" s="73"/>
      <c r="T1971" s="786"/>
      <c r="U1971" s="73"/>
      <c r="V1971" s="66"/>
      <c r="W1971" s="788">
        <f t="shared" si="1841"/>
        <v>2.6849999999999997E-6</v>
      </c>
      <c r="X1971" s="789">
        <f t="shared" si="1842"/>
        <v>2.6849999999999997E-6</v>
      </c>
      <c r="Y1971" s="52">
        <v>2010</v>
      </c>
      <c r="Z1971" s="52"/>
      <c r="AA1971" s="787">
        <f>+N1971/1000</f>
        <v>5.3699999999999994E-6</v>
      </c>
      <c r="AB1971" s="256">
        <v>-0.5</v>
      </c>
      <c r="AC1971" s="688">
        <f t="shared" si="1855"/>
        <v>-0.5</v>
      </c>
      <c r="AD1971" s="164"/>
      <c r="AE1971" s="164"/>
      <c r="AF1971" s="25"/>
      <c r="AG1971" s="26"/>
      <c r="AH1971" s="275"/>
      <c r="AI1971" s="52"/>
      <c r="AJ1971" s="35"/>
      <c r="AK1971" s="289"/>
      <c r="AL1971" s="290"/>
      <c r="AM1971" s="211"/>
      <c r="AN1971" s="164"/>
      <c r="AO1971" s="76"/>
      <c r="AP1971" s="44"/>
      <c r="AQ1971" s="275"/>
      <c r="AR1971" s="52"/>
      <c r="AS1971" s="35"/>
      <c r="AT1971" s="79"/>
      <c r="AU1971" s="212"/>
      <c r="AV1971" s="164"/>
      <c r="AW1971" s="164"/>
      <c r="AX1971" s="76"/>
      <c r="AY1971" s="44"/>
      <c r="AZ1971" s="275"/>
      <c r="BA1971" s="52"/>
      <c r="BB1971" s="35"/>
      <c r="BC1971" s="79"/>
      <c r="BD1971" s="230"/>
      <c r="BE1971" s="211"/>
      <c r="BF1971" s="164"/>
      <c r="BG1971" s="76"/>
      <c r="BH1971" s="44"/>
      <c r="BI1971" s="275"/>
      <c r="BJ1971" s="52"/>
      <c r="BK1971" s="35"/>
      <c r="BL1971" s="79"/>
      <c r="BM1971" s="230"/>
      <c r="BN1971" s="211"/>
      <c r="BO1971" s="164"/>
      <c r="BP1971" s="76"/>
      <c r="BQ1971" s="44"/>
      <c r="BR1971" s="299"/>
      <c r="BS1971" s="52"/>
      <c r="BT1971" s="35"/>
      <c r="BU1971" s="79"/>
      <c r="BV1971" s="212"/>
      <c r="BW1971" s="304"/>
      <c r="BX1971" s="313"/>
      <c r="BY1971" s="138"/>
    </row>
    <row r="1972" spans="1:77" ht="15" customHeight="1" x14ac:dyDescent="0.2">
      <c r="A1972" s="57" t="s">
        <v>34</v>
      </c>
      <c r="B1972" s="57"/>
      <c r="C1972" s="583" t="s">
        <v>908</v>
      </c>
      <c r="D1972" s="546">
        <v>5.4829999999999997</v>
      </c>
      <c r="E1972" s="162" t="s">
        <v>631</v>
      </c>
      <c r="F1972" s="358"/>
      <c r="G1972" s="65"/>
      <c r="H1972" s="73"/>
      <c r="I1972" s="90"/>
      <c r="J1972" s="73"/>
      <c r="K1972" s="723"/>
      <c r="L1972" s="717"/>
      <c r="M1972" s="73"/>
      <c r="N1972" s="738">
        <v>2.8556999999999999E-2</v>
      </c>
      <c r="O1972" s="1041"/>
      <c r="P1972" s="73"/>
      <c r="Q1972" s="738"/>
      <c r="R1972" s="1041"/>
      <c r="S1972" s="73"/>
      <c r="T1972" s="738"/>
      <c r="U1972" s="73"/>
      <c r="V1972" s="66"/>
      <c r="W1972" s="740">
        <f t="shared" si="1841"/>
        <v>1.9989899999999996E-5</v>
      </c>
      <c r="X1972" s="741">
        <f t="shared" si="1842"/>
        <v>1.9989899999999996E-5</v>
      </c>
      <c r="Y1972" s="52">
        <v>2010</v>
      </c>
      <c r="Z1972" s="52"/>
      <c r="AA1972" s="739">
        <f>+N1972/1000</f>
        <v>2.8556999999999998E-5</v>
      </c>
      <c r="AB1972" s="256">
        <v>-0.3</v>
      </c>
      <c r="AC1972" s="688">
        <f t="shared" si="1855"/>
        <v>-0.3</v>
      </c>
      <c r="AD1972" s="164"/>
      <c r="AE1972" s="164"/>
      <c r="AF1972" s="25"/>
      <c r="AG1972" s="26"/>
      <c r="AH1972" s="275"/>
      <c r="AI1972" s="52"/>
      <c r="AJ1972" s="35"/>
      <c r="AK1972" s="289"/>
      <c r="AL1972" s="290"/>
      <c r="AM1972" s="211"/>
      <c r="AN1972" s="164"/>
      <c r="AO1972" s="76"/>
      <c r="AP1972" s="44"/>
      <c r="AQ1972" s="275"/>
      <c r="AR1972" s="52"/>
      <c r="AS1972" s="35"/>
      <c r="AT1972" s="79"/>
      <c r="AU1972" s="212"/>
      <c r="AV1972" s="164"/>
      <c r="AW1972" s="164"/>
      <c r="AX1972" s="76"/>
      <c r="AY1972" s="44"/>
      <c r="AZ1972" s="275"/>
      <c r="BA1972" s="52"/>
      <c r="BB1972" s="35"/>
      <c r="BC1972" s="79"/>
      <c r="BD1972" s="230"/>
      <c r="BE1972" s="211"/>
      <c r="BF1972" s="164"/>
      <c r="BG1972" s="76"/>
      <c r="BH1972" s="44"/>
      <c r="BI1972" s="275"/>
      <c r="BJ1972" s="52"/>
      <c r="BK1972" s="35"/>
      <c r="BL1972" s="79"/>
      <c r="BM1972" s="230"/>
      <c r="BN1972" s="211"/>
      <c r="BO1972" s="164"/>
      <c r="BP1972" s="76"/>
      <c r="BQ1972" s="44"/>
      <c r="BR1972" s="299"/>
      <c r="BS1972" s="52"/>
      <c r="BT1972" s="35"/>
      <c r="BU1972" s="79"/>
      <c r="BV1972" s="212"/>
      <c r="BW1972" s="304"/>
      <c r="BX1972" s="313"/>
      <c r="BY1972" s="138"/>
    </row>
    <row r="1973" spans="1:77" ht="15" customHeight="1" x14ac:dyDescent="0.2">
      <c r="A1973" s="57" t="s">
        <v>34</v>
      </c>
      <c r="B1973" s="57"/>
      <c r="C1973" s="583" t="s">
        <v>2515</v>
      </c>
      <c r="D1973" s="546">
        <v>61.752000000000002</v>
      </c>
      <c r="E1973" s="162" t="s">
        <v>2582</v>
      </c>
      <c r="F1973" s="358"/>
      <c r="G1973" s="65"/>
      <c r="H1973" s="73"/>
      <c r="I1973" s="90">
        <v>2006</v>
      </c>
      <c r="J1973" s="73"/>
      <c r="K1973" s="813">
        <v>0.33711200000000002</v>
      </c>
      <c r="L1973" s="717"/>
      <c r="M1973" s="73"/>
      <c r="N1973" s="738"/>
      <c r="O1973" s="1041">
        <v>2014</v>
      </c>
      <c r="P1973" s="73"/>
      <c r="Q1973" s="738">
        <v>0.24588599999999999</v>
      </c>
      <c r="R1973" s="1041"/>
      <c r="S1973" s="73"/>
      <c r="T1973" s="738"/>
      <c r="U1973" s="73"/>
      <c r="V1973" s="66"/>
      <c r="W1973" s="1134">
        <f t="shared" ref="W1973" si="1856">AA1973*(1+AB1973)</f>
        <v>2.6631848000000001E-4</v>
      </c>
      <c r="X1973" s="1135">
        <f t="shared" ref="X1973" si="1857">AA1973*(1+AC1973)</f>
        <v>2.6631848000000001E-4</v>
      </c>
      <c r="Y1973" s="52">
        <v>2006</v>
      </c>
      <c r="Z1973" s="52"/>
      <c r="AA1973" s="596">
        <f>+K1973/1000</f>
        <v>3.3711200000000003E-4</v>
      </c>
      <c r="AB1973" s="1109">
        <v>-0.21</v>
      </c>
      <c r="AC1973" s="1110">
        <f t="shared" ref="AC1973" si="1858">AB1973</f>
        <v>-0.21</v>
      </c>
      <c r="AD1973" s="164"/>
      <c r="AE1973" s="164"/>
      <c r="AF1973" s="25"/>
      <c r="AG1973" s="26"/>
      <c r="AH1973" s="275"/>
      <c r="AI1973" s="52"/>
      <c r="AJ1973" s="35"/>
      <c r="AK1973" s="289"/>
      <c r="AL1973" s="290"/>
      <c r="AM1973" s="211"/>
      <c r="AN1973" s="164"/>
      <c r="AO1973" s="76"/>
      <c r="AP1973" s="44"/>
      <c r="AQ1973" s="275"/>
      <c r="AR1973" s="52"/>
      <c r="AS1973" s="35"/>
      <c r="AT1973" s="79"/>
      <c r="AU1973" s="212"/>
      <c r="AV1973" s="164"/>
      <c r="AW1973" s="164"/>
      <c r="AX1973" s="76"/>
      <c r="AY1973" s="44"/>
      <c r="AZ1973" s="275"/>
      <c r="BA1973" s="52"/>
      <c r="BB1973" s="35"/>
      <c r="BC1973" s="79"/>
      <c r="BD1973" s="230"/>
      <c r="BE1973" s="211"/>
      <c r="BF1973" s="164"/>
      <c r="BG1973" s="76"/>
      <c r="BH1973" s="44"/>
      <c r="BI1973" s="275"/>
      <c r="BJ1973" s="52"/>
      <c r="BK1973" s="35"/>
      <c r="BL1973" s="79"/>
      <c r="BM1973" s="230"/>
      <c r="BN1973" s="211"/>
      <c r="BO1973" s="164"/>
      <c r="BP1973" s="76"/>
      <c r="BQ1973" s="44"/>
      <c r="BR1973" s="299"/>
      <c r="BS1973" s="52"/>
      <c r="BT1973" s="35"/>
      <c r="BU1973" s="79"/>
      <c r="BV1973" s="212"/>
      <c r="BW1973" s="304"/>
      <c r="BX1973" s="313"/>
      <c r="BY1973" s="138"/>
    </row>
    <row r="1974" spans="1:77" ht="15" customHeight="1" x14ac:dyDescent="0.2">
      <c r="A1974" s="57" t="s">
        <v>34</v>
      </c>
      <c r="B1974" s="57"/>
      <c r="C1974" s="583" t="s">
        <v>909</v>
      </c>
      <c r="D1974" s="546">
        <v>5.7229999999999999</v>
      </c>
      <c r="E1974" s="162" t="s">
        <v>631</v>
      </c>
      <c r="F1974" s="358"/>
      <c r="G1974" s="65"/>
      <c r="H1974" s="73"/>
      <c r="I1974" s="90"/>
      <c r="J1974" s="73"/>
      <c r="K1974" s="723"/>
      <c r="L1974" s="717"/>
      <c r="M1974" s="73"/>
      <c r="N1974" s="738">
        <v>2.3512999999999999E-2</v>
      </c>
      <c r="O1974" s="1041"/>
      <c r="P1974" s="73"/>
      <c r="Q1974" s="738"/>
      <c r="R1974" s="1041"/>
      <c r="S1974" s="73"/>
      <c r="T1974" s="738"/>
      <c r="U1974" s="73"/>
      <c r="V1974" s="66"/>
      <c r="W1974" s="740">
        <f t="shared" si="1841"/>
        <v>1.2932150000000001E-5</v>
      </c>
      <c r="X1974" s="741">
        <f t="shared" si="1842"/>
        <v>1.2932150000000001E-5</v>
      </c>
      <c r="Y1974" s="52">
        <v>2010</v>
      </c>
      <c r="Z1974" s="52"/>
      <c r="AA1974" s="739">
        <f>+N1974/1000</f>
        <v>2.3513E-5</v>
      </c>
      <c r="AB1974" s="256">
        <v>-0.45</v>
      </c>
      <c r="AC1974" s="688">
        <f t="shared" si="1855"/>
        <v>-0.45</v>
      </c>
      <c r="AD1974" s="164"/>
      <c r="AE1974" s="164"/>
      <c r="AF1974" s="25"/>
      <c r="AG1974" s="26"/>
      <c r="AH1974" s="275"/>
      <c r="AI1974" s="52"/>
      <c r="AJ1974" s="35"/>
      <c r="AK1974" s="289"/>
      <c r="AL1974" s="290"/>
      <c r="AM1974" s="211"/>
      <c r="AN1974" s="164"/>
      <c r="AO1974" s="76"/>
      <c r="AP1974" s="44"/>
      <c r="AQ1974" s="275"/>
      <c r="AR1974" s="52"/>
      <c r="AS1974" s="35" t="s">
        <v>2840</v>
      </c>
      <c r="AT1974" s="79"/>
      <c r="AU1974" s="212"/>
      <c r="AV1974" s="164"/>
      <c r="AW1974" s="164"/>
      <c r="AX1974" s="76"/>
      <c r="AY1974" s="44"/>
      <c r="AZ1974" s="275"/>
      <c r="BA1974" s="52"/>
      <c r="BB1974" s="35"/>
      <c r="BC1974" s="79"/>
      <c r="BD1974" s="230"/>
      <c r="BE1974" s="211"/>
      <c r="BF1974" s="164"/>
      <c r="BG1974" s="76"/>
      <c r="BH1974" s="44"/>
      <c r="BI1974" s="275"/>
      <c r="BJ1974" s="52"/>
      <c r="BK1974" s="35"/>
      <c r="BL1974" s="79"/>
      <c r="BM1974" s="230"/>
      <c r="BN1974" s="211"/>
      <c r="BO1974" s="164"/>
      <c r="BP1974" s="76"/>
      <c r="BQ1974" s="44"/>
      <c r="BR1974" s="299"/>
      <c r="BS1974" s="52"/>
      <c r="BT1974" s="35"/>
      <c r="BU1974" s="79"/>
      <c r="BV1974" s="212"/>
      <c r="BW1974" s="304"/>
      <c r="BX1974" s="313"/>
      <c r="BY1974" s="138"/>
    </row>
    <row r="1975" spans="1:77" ht="15" customHeight="1" x14ac:dyDescent="0.2">
      <c r="A1975" s="57" t="s">
        <v>34</v>
      </c>
      <c r="B1975" s="57"/>
      <c r="C1975" s="583" t="s">
        <v>916</v>
      </c>
      <c r="D1975" s="546">
        <v>27.574000000000002</v>
      </c>
      <c r="E1975" s="162" t="s">
        <v>631</v>
      </c>
      <c r="F1975" s="358"/>
      <c r="G1975" s="65"/>
      <c r="H1975" s="73"/>
      <c r="I1975" s="90"/>
      <c r="J1975" s="73"/>
      <c r="K1975" s="723"/>
      <c r="L1975" s="717">
        <v>2009</v>
      </c>
      <c r="M1975" s="73"/>
      <c r="N1975" s="738">
        <v>6.8127999999999994E-2</v>
      </c>
      <c r="O1975" s="1041"/>
      <c r="P1975" s="73"/>
      <c r="Q1975" s="738"/>
      <c r="R1975" s="1041"/>
      <c r="S1975" s="73"/>
      <c r="T1975" s="738"/>
      <c r="U1975" s="73"/>
      <c r="V1975" s="66"/>
      <c r="W1975" s="788">
        <f t="shared" si="1841"/>
        <v>4.9052159999999995E-5</v>
      </c>
      <c r="X1975" s="789">
        <f t="shared" si="1842"/>
        <v>4.9052159999999995E-5</v>
      </c>
      <c r="Y1975" s="52">
        <v>2009</v>
      </c>
      <c r="Z1975" s="52"/>
      <c r="AA1975" s="787">
        <f>+N1975/1000</f>
        <v>6.8127999999999996E-5</v>
      </c>
      <c r="AB1975" s="256">
        <v>-0.28000000000000003</v>
      </c>
      <c r="AC1975" s="688">
        <f t="shared" si="1855"/>
        <v>-0.28000000000000003</v>
      </c>
      <c r="AD1975" s="164"/>
      <c r="AE1975" s="164"/>
      <c r="AF1975" s="25"/>
      <c r="AG1975" s="26"/>
      <c r="AH1975" s="275"/>
      <c r="AI1975" s="52"/>
      <c r="AJ1975" s="35"/>
      <c r="AK1975" s="289"/>
      <c r="AL1975" s="290"/>
      <c r="AM1975" s="211"/>
      <c r="AN1975" s="164"/>
      <c r="AO1975" s="76"/>
      <c r="AP1975" s="44"/>
      <c r="AQ1975" s="275"/>
      <c r="AR1975" s="52"/>
      <c r="AS1975" s="35"/>
      <c r="AT1975" s="79"/>
      <c r="AU1975" s="212"/>
      <c r="AV1975" s="164"/>
      <c r="AW1975" s="164"/>
      <c r="AX1975" s="76"/>
      <c r="AY1975" s="44"/>
      <c r="AZ1975" s="275"/>
      <c r="BA1975" s="52"/>
      <c r="BB1975" s="35"/>
      <c r="BC1975" s="79"/>
      <c r="BD1975" s="230"/>
      <c r="BE1975" s="211"/>
      <c r="BF1975" s="164"/>
      <c r="BG1975" s="76"/>
      <c r="BH1975" s="44"/>
      <c r="BI1975" s="275"/>
      <c r="BJ1975" s="52"/>
      <c r="BK1975" s="35"/>
      <c r="BL1975" s="79"/>
      <c r="BM1975" s="230"/>
      <c r="BN1975" s="211"/>
      <c r="BO1975" s="164"/>
      <c r="BP1975" s="76"/>
      <c r="BQ1975" s="44"/>
      <c r="BR1975" s="299"/>
      <c r="BS1975" s="52"/>
      <c r="BT1975" s="35"/>
      <c r="BU1975" s="79"/>
      <c r="BV1975" s="212"/>
      <c r="BW1975" s="304"/>
      <c r="BX1975" s="313"/>
      <c r="BY1975" s="138"/>
    </row>
    <row r="1976" spans="1:77" ht="15" customHeight="1" x14ac:dyDescent="0.2">
      <c r="A1976" s="57" t="s">
        <v>34</v>
      </c>
      <c r="B1976" s="57"/>
      <c r="C1976" s="583" t="s">
        <v>911</v>
      </c>
      <c r="D1976" s="546">
        <v>79.465000000000003</v>
      </c>
      <c r="E1976" s="162" t="s">
        <v>631</v>
      </c>
      <c r="F1976" s="358"/>
      <c r="G1976" s="65"/>
      <c r="H1976" s="73"/>
      <c r="I1976" s="90"/>
      <c r="J1976" s="73"/>
      <c r="K1976" s="723"/>
      <c r="L1976" s="717">
        <v>2009</v>
      </c>
      <c r="M1976" s="73"/>
      <c r="N1976" s="738">
        <v>0.26806400000000002</v>
      </c>
      <c r="O1976" s="1041">
        <v>2014</v>
      </c>
      <c r="P1976" s="73"/>
      <c r="Q1976" s="738">
        <v>0.275646</v>
      </c>
      <c r="R1976" s="1041"/>
      <c r="S1976" s="73"/>
      <c r="T1976" s="738"/>
      <c r="U1976" s="73"/>
      <c r="V1976" s="66"/>
      <c r="W1976" s="740">
        <f t="shared" si="1841"/>
        <v>1.9032544000000001E-4</v>
      </c>
      <c r="X1976" s="741">
        <f t="shared" si="1842"/>
        <v>1.9032544000000001E-4</v>
      </c>
      <c r="Y1976" s="52">
        <v>2009</v>
      </c>
      <c r="Z1976" s="52"/>
      <c r="AA1976" s="739">
        <f>+N1976/1000</f>
        <v>2.6806400000000004E-4</v>
      </c>
      <c r="AB1976" s="256">
        <v>-0.28999999999999998</v>
      </c>
      <c r="AC1976" s="688">
        <f t="shared" si="1855"/>
        <v>-0.28999999999999998</v>
      </c>
      <c r="AD1976" s="164"/>
      <c r="AE1976" s="164"/>
      <c r="AF1976" s="25"/>
      <c r="AG1976" s="26"/>
      <c r="AH1976" s="275"/>
      <c r="AI1976" s="52"/>
      <c r="AJ1976" s="35"/>
      <c r="AK1976" s="289"/>
      <c r="AL1976" s="290"/>
      <c r="AM1976" s="211"/>
      <c r="AN1976" s="164"/>
      <c r="AO1976" s="76"/>
      <c r="AP1976" s="44"/>
      <c r="AQ1976" s="275"/>
      <c r="AR1976" s="52"/>
      <c r="AS1976" s="35"/>
      <c r="AT1976" s="79"/>
      <c r="AU1976" s="212"/>
      <c r="AV1976" s="164"/>
      <c r="AW1976" s="164"/>
      <c r="AX1976" s="76"/>
      <c r="AY1976" s="44"/>
      <c r="AZ1976" s="275"/>
      <c r="BA1976" s="52"/>
      <c r="BB1976" s="35"/>
      <c r="BC1976" s="79"/>
      <c r="BD1976" s="230"/>
      <c r="BE1976" s="211"/>
      <c r="BF1976" s="164"/>
      <c r="BG1976" s="76"/>
      <c r="BH1976" s="44"/>
      <c r="BI1976" s="275"/>
      <c r="BJ1976" s="52"/>
      <c r="BK1976" s="35"/>
      <c r="BL1976" s="79"/>
      <c r="BM1976" s="230"/>
      <c r="BN1976" s="211"/>
      <c r="BO1976" s="164"/>
      <c r="BP1976" s="76"/>
      <c r="BQ1976" s="44"/>
      <c r="BR1976" s="299"/>
      <c r="BS1976" s="52"/>
      <c r="BT1976" s="35"/>
      <c r="BU1976" s="79"/>
      <c r="BV1976" s="212"/>
      <c r="BW1976" s="304"/>
      <c r="BX1976" s="313"/>
      <c r="BY1976" s="138"/>
    </row>
    <row r="1977" spans="1:77" ht="15" customHeight="1" x14ac:dyDescent="0.2">
      <c r="A1977" s="57" t="s">
        <v>34</v>
      </c>
      <c r="B1977" s="57"/>
      <c r="C1977" s="583" t="s">
        <v>918</v>
      </c>
      <c r="D1977" s="546">
        <v>312.74200000000002</v>
      </c>
      <c r="E1977" s="162" t="s">
        <v>631</v>
      </c>
      <c r="F1977" s="358"/>
      <c r="G1977" s="65"/>
      <c r="H1977" s="73"/>
      <c r="I1977" s="90"/>
      <c r="J1977" s="73"/>
      <c r="K1977" s="723">
        <v>1.3220000000000001</v>
      </c>
      <c r="L1977" s="717"/>
      <c r="M1977" s="73"/>
      <c r="N1977" s="359"/>
      <c r="O1977" s="1041"/>
      <c r="P1977" s="73"/>
      <c r="Q1977" s="359"/>
      <c r="R1977" s="1041"/>
      <c r="S1977" s="73"/>
      <c r="T1977" s="359"/>
      <c r="U1977" s="73"/>
      <c r="V1977" s="66"/>
      <c r="W1977" s="594">
        <f t="shared" si="1841"/>
        <v>9.9149999999999998E-4</v>
      </c>
      <c r="X1977" s="595">
        <f t="shared" si="1842"/>
        <v>9.9149999999999998E-4</v>
      </c>
      <c r="Y1977" s="52">
        <v>2005</v>
      </c>
      <c r="Z1977" s="52"/>
      <c r="AA1977" s="596">
        <f>+K1977/1000</f>
        <v>1.322E-3</v>
      </c>
      <c r="AB1977" s="256">
        <v>-0.25</v>
      </c>
      <c r="AC1977" s="688">
        <f t="shared" si="1855"/>
        <v>-0.25</v>
      </c>
      <c r="AD1977" s="164"/>
      <c r="AE1977" s="164"/>
      <c r="AF1977" s="25"/>
      <c r="AG1977" s="26"/>
      <c r="AH1977" s="275"/>
      <c r="AI1977" s="52"/>
      <c r="AJ1977" s="35"/>
      <c r="AK1977" s="289"/>
      <c r="AL1977" s="290"/>
      <c r="AM1977" s="211"/>
      <c r="AN1977" s="164"/>
      <c r="AO1977" s="76"/>
      <c r="AP1977" s="44"/>
      <c r="AQ1977" s="275"/>
      <c r="AR1977" s="52"/>
      <c r="AS1977" s="35"/>
      <c r="AT1977" s="79"/>
      <c r="AU1977" s="212"/>
      <c r="AV1977" s="164"/>
      <c r="AW1977" s="164"/>
      <c r="AX1977" s="76"/>
      <c r="AY1977" s="44"/>
      <c r="AZ1977" s="275"/>
      <c r="BA1977" s="52"/>
      <c r="BB1977" s="35"/>
      <c r="BC1977" s="79"/>
      <c r="BD1977" s="230"/>
      <c r="BE1977" s="211"/>
      <c r="BF1977" s="164"/>
      <c r="BG1977" s="76"/>
      <c r="BH1977" s="44"/>
      <c r="BI1977" s="275"/>
      <c r="BJ1977" s="52"/>
      <c r="BK1977" s="35"/>
      <c r="BL1977" s="79"/>
      <c r="BM1977" s="230"/>
      <c r="BN1977" s="211"/>
      <c r="BO1977" s="164"/>
      <c r="BP1977" s="76"/>
      <c r="BQ1977" s="44"/>
      <c r="BR1977" s="299"/>
      <c r="BS1977" s="52"/>
      <c r="BT1977" s="35"/>
      <c r="BU1977" s="79"/>
      <c r="BV1977" s="212"/>
      <c r="BW1977" s="304"/>
      <c r="BX1977" s="313"/>
      <c r="BY1977" s="138"/>
    </row>
    <row r="1978" spans="1:77" ht="15" customHeight="1" x14ac:dyDescent="0.2">
      <c r="A1978" s="57" t="s">
        <v>31</v>
      </c>
      <c r="B1978" s="583" t="s">
        <v>1606</v>
      </c>
      <c r="C1978" s="57"/>
      <c r="D1978" s="546">
        <v>21861.475999999999</v>
      </c>
      <c r="E1978" s="1101" t="s">
        <v>2896</v>
      </c>
      <c r="F1978" s="761"/>
      <c r="G1978" s="730">
        <v>229.15100000000001</v>
      </c>
      <c r="H1978" s="723">
        <v>248.06800000000001</v>
      </c>
      <c r="I1978" s="1282"/>
      <c r="J1978" s="1283">
        <v>130.446</v>
      </c>
      <c r="K1978" s="1283">
        <v>151.35300000000001</v>
      </c>
      <c r="L1978" s="1282"/>
      <c r="M1978" s="1283">
        <v>103.187</v>
      </c>
      <c r="N1978" s="1283">
        <v>123.905</v>
      </c>
      <c r="O1978" s="1284"/>
      <c r="P1978" s="1283">
        <v>94.532769999999999</v>
      </c>
      <c r="Q1978" s="796">
        <v>116.46288</v>
      </c>
      <c r="R1978" s="1284">
        <v>2017</v>
      </c>
      <c r="S1978" s="1283">
        <v>92.116</v>
      </c>
      <c r="T1978" s="796">
        <v>113.79600000000001</v>
      </c>
      <c r="U1978" s="73"/>
      <c r="V1978" s="66"/>
      <c r="W1978" s="592"/>
      <c r="X1978" s="593"/>
      <c r="Y1978" s="52">
        <v>1990</v>
      </c>
      <c r="Z1978" s="52"/>
      <c r="AA1978" s="596"/>
      <c r="AB1978" s="824">
        <v>-0.2</v>
      </c>
      <c r="AC1978" s="825">
        <v>-0.3</v>
      </c>
      <c r="AD1978" s="164"/>
      <c r="AE1978" s="164"/>
      <c r="AF1978" s="25"/>
      <c r="AG1978" s="26"/>
      <c r="AH1978" s="275"/>
      <c r="AI1978" s="52"/>
      <c r="AJ1978" s="35"/>
      <c r="AK1978" s="289"/>
      <c r="AL1978" s="290"/>
      <c r="AM1978" s="211"/>
      <c r="AN1978" s="164"/>
      <c r="AO1978" s="76"/>
      <c r="AP1978" s="44"/>
      <c r="AQ1978" s="275"/>
      <c r="AR1978" s="52"/>
      <c r="AS1978" s="35"/>
      <c r="AT1978" s="840">
        <v>0.55000000000000004</v>
      </c>
      <c r="AU1978" s="688">
        <v>0.55000000000000004</v>
      </c>
      <c r="AV1978" s="164"/>
      <c r="AW1978" s="164"/>
      <c r="AX1978" s="76"/>
      <c r="AY1978" s="44"/>
      <c r="AZ1978" s="275"/>
      <c r="BA1978" s="52"/>
      <c r="BB1978" s="35"/>
      <c r="BC1978" s="79"/>
      <c r="BD1978" s="230"/>
      <c r="BE1978" s="211"/>
      <c r="BF1978" s="164"/>
      <c r="BG1978" s="76"/>
      <c r="BH1978" s="44"/>
      <c r="BI1978" s="275"/>
      <c r="BJ1978" s="52"/>
      <c r="BK1978" s="35"/>
      <c r="BL1978" s="79"/>
      <c r="BM1978" s="230"/>
      <c r="BN1978" s="211"/>
      <c r="BO1978" s="164"/>
      <c r="BP1978" s="76"/>
      <c r="BQ1978" s="44"/>
      <c r="BR1978" s="299"/>
      <c r="BS1978" s="52"/>
      <c r="BT1978" s="35"/>
      <c r="BU1978" s="79"/>
      <c r="BV1978" s="212"/>
      <c r="BW1978" s="304"/>
      <c r="BX1978" s="313"/>
      <c r="BY1978" s="138"/>
    </row>
    <row r="1979" spans="1:77" ht="15" customHeight="1" x14ac:dyDescent="0.2">
      <c r="A1979" s="57" t="s">
        <v>31</v>
      </c>
      <c r="B1979" s="583"/>
      <c r="C1979" s="583" t="s">
        <v>2271</v>
      </c>
      <c r="D1979" s="546">
        <v>64</v>
      </c>
      <c r="E1979" s="162" t="s">
        <v>631</v>
      </c>
      <c r="F1979" s="358"/>
      <c r="G1979" s="65"/>
      <c r="H1979" s="73"/>
      <c r="I1979" s="90"/>
      <c r="J1979" s="73"/>
      <c r="K1979" s="66"/>
      <c r="L1979" s="717">
        <v>2008</v>
      </c>
      <c r="M1979" s="73"/>
      <c r="N1979" s="359">
        <v>0.21018800000000001</v>
      </c>
      <c r="O1979" s="1041"/>
      <c r="P1979" s="73"/>
      <c r="Q1979" s="359"/>
      <c r="R1979" s="1041"/>
      <c r="S1979" s="73"/>
      <c r="T1979" s="359"/>
      <c r="U1979" s="73"/>
      <c r="V1979" s="66"/>
      <c r="W1979" s="740">
        <f t="shared" ref="W1979:W1985" si="1859">AA1979*(1+AB1979)</f>
        <v>1.5974288000000002E-4</v>
      </c>
      <c r="X1979" s="741">
        <f t="shared" ref="X1979:X1985" si="1860">AA1979*(1+AC1979)</f>
        <v>1.5974288000000002E-4</v>
      </c>
      <c r="Y1979" s="52">
        <v>2008</v>
      </c>
      <c r="Z1979" s="52"/>
      <c r="AA1979" s="739">
        <f>+N1979/1000</f>
        <v>2.1018800000000001E-4</v>
      </c>
      <c r="AB1979" s="256">
        <v>-0.24</v>
      </c>
      <c r="AC1979" s="688">
        <f t="shared" ref="AC1979:AC1985" si="1861">AB1979</f>
        <v>-0.24</v>
      </c>
      <c r="AD1979" s="164"/>
      <c r="AE1979" s="164"/>
      <c r="AF1979" s="25"/>
      <c r="AG1979" s="26"/>
      <c r="AH1979" s="275"/>
      <c r="AI1979" s="52"/>
      <c r="AJ1979" s="35"/>
      <c r="AK1979" s="289"/>
      <c r="AL1979" s="290"/>
      <c r="AM1979" s="211"/>
      <c r="AN1979" s="164"/>
      <c r="AO1979" s="76"/>
      <c r="AP1979" s="44"/>
      <c r="AQ1979" s="275"/>
      <c r="AR1979" s="52"/>
      <c r="AS1979" s="35"/>
      <c r="AT1979" s="840"/>
      <c r="AU1979" s="212"/>
      <c r="AV1979" s="164"/>
      <c r="AW1979" s="164"/>
      <c r="AX1979" s="76"/>
      <c r="AY1979" s="44"/>
      <c r="AZ1979" s="275"/>
      <c r="BA1979" s="52"/>
      <c r="BB1979" s="35"/>
      <c r="BC1979" s="79"/>
      <c r="BD1979" s="230"/>
      <c r="BE1979" s="211"/>
      <c r="BF1979" s="164"/>
      <c r="BG1979" s="76"/>
      <c r="BH1979" s="44"/>
      <c r="BI1979" s="275"/>
      <c r="BJ1979" s="52"/>
      <c r="BK1979" s="35"/>
      <c r="BL1979" s="79"/>
      <c r="BM1979" s="230"/>
      <c r="BN1979" s="211"/>
      <c r="BO1979" s="164"/>
      <c r="BP1979" s="76"/>
      <c r="BQ1979" s="44"/>
      <c r="BR1979" s="299"/>
      <c r="BS1979" s="52"/>
      <c r="BT1979" s="35"/>
      <c r="BU1979" s="79"/>
      <c r="BV1979" s="212"/>
      <c r="BW1979" s="304"/>
      <c r="BX1979" s="313"/>
      <c r="BY1979" s="138"/>
    </row>
    <row r="1980" spans="1:77" ht="15" customHeight="1" x14ac:dyDescent="0.2">
      <c r="A1980" s="57" t="s">
        <v>31</v>
      </c>
      <c r="B1980" s="57"/>
      <c r="C1980" s="583" t="s">
        <v>924</v>
      </c>
      <c r="D1980" s="546">
        <v>286</v>
      </c>
      <c r="E1980" s="162" t="s">
        <v>631</v>
      </c>
      <c r="F1980" s="358"/>
      <c r="G1980" s="65"/>
      <c r="H1980" s="73"/>
      <c r="I1980" s="90"/>
      <c r="J1980" s="73"/>
      <c r="K1980" s="66"/>
      <c r="L1980" s="717">
        <v>2008</v>
      </c>
      <c r="M1980" s="73"/>
      <c r="N1980" s="359">
        <v>0.91545399999999999</v>
      </c>
      <c r="O1980" s="1041"/>
      <c r="P1980" s="73"/>
      <c r="Q1980" s="359"/>
      <c r="R1980" s="1041"/>
      <c r="S1980" s="73"/>
      <c r="T1980" s="359"/>
      <c r="U1980" s="73"/>
      <c r="V1980" s="66"/>
      <c r="W1980" s="594">
        <f t="shared" si="1859"/>
        <v>6.2250871999999997E-4</v>
      </c>
      <c r="X1980" s="595">
        <f t="shared" si="1860"/>
        <v>6.2250871999999997E-4</v>
      </c>
      <c r="Y1980" s="52">
        <v>2008</v>
      </c>
      <c r="Z1980" s="52"/>
      <c r="AA1980" s="596">
        <f>+N1980/1000</f>
        <v>9.1545400000000001E-4</v>
      </c>
      <c r="AB1980" s="256">
        <v>-0.32</v>
      </c>
      <c r="AC1980" s="688">
        <f t="shared" si="1861"/>
        <v>-0.32</v>
      </c>
      <c r="AD1980" s="164"/>
      <c r="AE1980" s="164"/>
      <c r="AF1980" s="25"/>
      <c r="AG1980" s="26"/>
      <c r="AH1980" s="275"/>
      <c r="AI1980" s="52"/>
      <c r="AJ1980" s="35"/>
      <c r="AK1980" s="289"/>
      <c r="AL1980" s="290"/>
      <c r="AM1980" s="211"/>
      <c r="AN1980" s="164"/>
      <c r="AO1980" s="76"/>
      <c r="AP1980" s="44"/>
      <c r="AQ1980" s="275"/>
      <c r="AR1980" s="52"/>
      <c r="AS1980" s="35"/>
      <c r="AT1980" s="79"/>
      <c r="AU1980" s="212"/>
      <c r="AV1980" s="164"/>
      <c r="AW1980" s="164"/>
      <c r="AX1980" s="76"/>
      <c r="AY1980" s="44"/>
      <c r="AZ1980" s="275"/>
      <c r="BA1980" s="52"/>
      <c r="BB1980" s="35"/>
      <c r="BC1980" s="79"/>
      <c r="BD1980" s="230"/>
      <c r="BE1980" s="211"/>
      <c r="BF1980" s="164"/>
      <c r="BG1980" s="76"/>
      <c r="BH1980" s="44"/>
      <c r="BI1980" s="275"/>
      <c r="BJ1980" s="52"/>
      <c r="BK1980" s="35"/>
      <c r="BL1980" s="79"/>
      <c r="BM1980" s="230"/>
      <c r="BN1980" s="211"/>
      <c r="BO1980" s="164"/>
      <c r="BP1980" s="76"/>
      <c r="BQ1980" s="44"/>
      <c r="BR1980" s="299"/>
      <c r="BS1980" s="52"/>
      <c r="BT1980" s="35"/>
      <c r="BU1980" s="79"/>
      <c r="BV1980" s="212"/>
      <c r="BW1980" s="304"/>
      <c r="BX1980" s="313"/>
      <c r="BY1980" s="138"/>
    </row>
    <row r="1981" spans="1:77" ht="15" customHeight="1" x14ac:dyDescent="0.2">
      <c r="A1981" s="57" t="s">
        <v>31</v>
      </c>
      <c r="B1981" s="57"/>
      <c r="C1981" s="583" t="s">
        <v>665</v>
      </c>
      <c r="D1981" s="546">
        <v>73.908000000000001</v>
      </c>
      <c r="E1981" s="162" t="s">
        <v>631</v>
      </c>
      <c r="F1981" s="358"/>
      <c r="G1981" s="65"/>
      <c r="H1981" s="73"/>
      <c r="I1981" s="90"/>
      <c r="J1981" s="73"/>
      <c r="K1981" s="66"/>
      <c r="L1981" s="717">
        <v>2008</v>
      </c>
      <c r="M1981" s="73"/>
      <c r="N1981" s="359">
        <v>0.151087</v>
      </c>
      <c r="O1981" s="1041"/>
      <c r="P1981" s="73"/>
      <c r="Q1981" s="359"/>
      <c r="R1981" s="1041"/>
      <c r="S1981" s="73"/>
      <c r="T1981" s="359"/>
      <c r="U1981" s="73"/>
      <c r="V1981" s="66"/>
      <c r="W1981" s="740">
        <f t="shared" si="1859"/>
        <v>8.9141330000000015E-5</v>
      </c>
      <c r="X1981" s="741">
        <f t="shared" si="1860"/>
        <v>8.9141330000000015E-5</v>
      </c>
      <c r="Y1981" s="52">
        <v>2008</v>
      </c>
      <c r="Z1981" s="52"/>
      <c r="AA1981" s="739">
        <f>+N1981/1000</f>
        <v>1.51087E-4</v>
      </c>
      <c r="AB1981" s="256">
        <v>-0.41</v>
      </c>
      <c r="AC1981" s="688">
        <f t="shared" si="1861"/>
        <v>-0.41</v>
      </c>
      <c r="AD1981" s="164"/>
      <c r="AE1981" s="164"/>
      <c r="AF1981" s="25"/>
      <c r="AG1981" s="26"/>
      <c r="AH1981" s="275"/>
      <c r="AI1981" s="52"/>
      <c r="AJ1981" s="35"/>
      <c r="AK1981" s="289"/>
      <c r="AL1981" s="290"/>
      <c r="AM1981" s="211"/>
      <c r="AN1981" s="164"/>
      <c r="AO1981" s="76"/>
      <c r="AP1981" s="44"/>
      <c r="AQ1981" s="275"/>
      <c r="AR1981" s="52"/>
      <c r="AS1981" s="35"/>
      <c r="AT1981" s="79"/>
      <c r="AU1981" s="212"/>
      <c r="AV1981" s="164"/>
      <c r="AW1981" s="164"/>
      <c r="AX1981" s="76"/>
      <c r="AY1981" s="44"/>
      <c r="AZ1981" s="275"/>
      <c r="BA1981" s="52"/>
      <c r="BB1981" s="35"/>
      <c r="BC1981" s="79"/>
      <c r="BD1981" s="230"/>
      <c r="BE1981" s="211"/>
      <c r="BF1981" s="164"/>
      <c r="BG1981" s="76"/>
      <c r="BH1981" s="44"/>
      <c r="BI1981" s="275"/>
      <c r="BJ1981" s="52"/>
      <c r="BK1981" s="35"/>
      <c r="BL1981" s="79"/>
      <c r="BM1981" s="230"/>
      <c r="BN1981" s="211"/>
      <c r="BO1981" s="164"/>
      <c r="BP1981" s="76"/>
      <c r="BQ1981" s="44"/>
      <c r="BR1981" s="299"/>
      <c r="BS1981" s="52"/>
      <c r="BT1981" s="35"/>
      <c r="BU1981" s="79"/>
      <c r="BV1981" s="212"/>
      <c r="BW1981" s="304"/>
      <c r="BX1981" s="313"/>
      <c r="BY1981" s="138"/>
    </row>
    <row r="1982" spans="1:77" ht="15" customHeight="1" x14ac:dyDescent="0.2">
      <c r="A1982" s="57" t="s">
        <v>31</v>
      </c>
      <c r="B1982" s="57"/>
      <c r="C1982" s="583" t="s">
        <v>2811</v>
      </c>
      <c r="D1982" s="546">
        <v>363.14299999999997</v>
      </c>
      <c r="E1982" s="162" t="s">
        <v>387</v>
      </c>
      <c r="F1982" s="358"/>
      <c r="G1982" s="65"/>
      <c r="H1982" s="73"/>
      <c r="I1982" s="90"/>
      <c r="J1982" s="73"/>
      <c r="K1982" s="66"/>
      <c r="L1982" s="717">
        <v>2012</v>
      </c>
      <c r="M1982" s="73"/>
      <c r="N1982" s="359">
        <v>8.6771000000000001E-2</v>
      </c>
      <c r="O1982" s="1041"/>
      <c r="P1982" s="73"/>
      <c r="Q1982" s="359"/>
      <c r="R1982" s="1041"/>
      <c r="S1982" s="73"/>
      <c r="T1982" s="359"/>
      <c r="U1982" s="73"/>
      <c r="V1982" s="66"/>
      <c r="W1982" s="740"/>
      <c r="X1982" s="741"/>
      <c r="Y1982" s="52"/>
      <c r="Z1982" s="52"/>
      <c r="AA1982" s="739"/>
      <c r="AB1982" s="256"/>
      <c r="AC1982" s="688"/>
      <c r="AD1982" s="164"/>
      <c r="AE1982" s="164"/>
      <c r="AF1982" s="25"/>
      <c r="AG1982" s="26"/>
      <c r="AH1982" s="275"/>
      <c r="AI1982" s="52"/>
      <c r="AJ1982" s="35"/>
      <c r="AK1982" s="289"/>
      <c r="AL1982" s="290"/>
      <c r="AM1982" s="211"/>
      <c r="AN1982" s="164"/>
      <c r="AO1982" s="740">
        <f>AS1982*(1+AT1982)</f>
        <v>6.0739699999999997E-5</v>
      </c>
      <c r="AP1982" s="741">
        <f>AS1982*(1+AU1982)</f>
        <v>6.0739699999999997E-5</v>
      </c>
      <c r="AQ1982" s="275">
        <v>2005</v>
      </c>
      <c r="AR1982" s="52"/>
      <c r="AS1982" s="739">
        <f>+N1982/1000</f>
        <v>8.6771E-5</v>
      </c>
      <c r="AT1982" s="840">
        <v>-0.3</v>
      </c>
      <c r="AU1982" s="212">
        <f>AT1982</f>
        <v>-0.3</v>
      </c>
      <c r="AV1982" s="164"/>
      <c r="AW1982" s="164"/>
      <c r="AX1982" s="76"/>
      <c r="AY1982" s="44"/>
      <c r="AZ1982" s="275"/>
      <c r="BA1982" s="52"/>
      <c r="BB1982" s="35"/>
      <c r="BC1982" s="79"/>
      <c r="BD1982" s="230"/>
      <c r="BE1982" s="211"/>
      <c r="BF1982" s="164"/>
      <c r="BG1982" s="76"/>
      <c r="BH1982" s="44"/>
      <c r="BI1982" s="275"/>
      <c r="BJ1982" s="52"/>
      <c r="BK1982" s="35"/>
      <c r="BL1982" s="79"/>
      <c r="BM1982" s="230"/>
      <c r="BN1982" s="211"/>
      <c r="BO1982" s="164"/>
      <c r="BP1982" s="76"/>
      <c r="BQ1982" s="44"/>
      <c r="BR1982" s="299"/>
      <c r="BS1982" s="52"/>
      <c r="BT1982" s="35"/>
      <c r="BU1982" s="79"/>
      <c r="BV1982" s="212"/>
      <c r="BW1982" s="304"/>
      <c r="BX1982" s="313"/>
      <c r="BY1982" s="138"/>
    </row>
    <row r="1983" spans="1:77" ht="15" customHeight="1" x14ac:dyDescent="0.2">
      <c r="A1983" s="57" t="s">
        <v>31</v>
      </c>
      <c r="B1983" s="57"/>
      <c r="C1983" s="583" t="s">
        <v>923</v>
      </c>
      <c r="D1983" s="546">
        <v>23.527000000000001</v>
      </c>
      <c r="E1983" s="162" t="s">
        <v>631</v>
      </c>
      <c r="F1983" s="358"/>
      <c r="G1983" s="65"/>
      <c r="H1983" s="73"/>
      <c r="I1983" s="90"/>
      <c r="J1983" s="73"/>
      <c r="K1983" s="66"/>
      <c r="L1983" s="717"/>
      <c r="M1983" s="73"/>
      <c r="N1983" s="738">
        <v>3.4583000000000003E-2</v>
      </c>
      <c r="O1983" s="1041"/>
      <c r="P1983" s="73"/>
      <c r="Q1983" s="738"/>
      <c r="R1983" s="1041"/>
      <c r="S1983" s="73"/>
      <c r="T1983" s="738"/>
      <c r="U1983" s="73"/>
      <c r="V1983" s="66"/>
      <c r="W1983" s="740">
        <f t="shared" si="1859"/>
        <v>2.5937250000000003E-5</v>
      </c>
      <c r="X1983" s="741">
        <f t="shared" si="1860"/>
        <v>2.5937250000000003E-5</v>
      </c>
      <c r="Y1983" s="52">
        <v>2010</v>
      </c>
      <c r="Z1983" s="52"/>
      <c r="AA1983" s="739">
        <f>+N1983/1000</f>
        <v>3.4583000000000004E-5</v>
      </c>
      <c r="AB1983" s="256">
        <v>-0.25</v>
      </c>
      <c r="AC1983" s="688">
        <f t="shared" si="1861"/>
        <v>-0.25</v>
      </c>
      <c r="AD1983" s="164"/>
      <c r="AE1983" s="164"/>
      <c r="AF1983" s="25"/>
      <c r="AG1983" s="26"/>
      <c r="AH1983" s="275"/>
      <c r="AI1983" s="52"/>
      <c r="AJ1983" s="35"/>
      <c r="AK1983" s="289"/>
      <c r="AL1983" s="290"/>
      <c r="AM1983" s="211"/>
      <c r="AN1983" s="164"/>
      <c r="AO1983" s="76"/>
      <c r="AP1983" s="44"/>
      <c r="AQ1983" s="275"/>
      <c r="AR1983" s="52"/>
      <c r="AS1983" s="35"/>
      <c r="AT1983" s="79"/>
      <c r="AU1983" s="212"/>
      <c r="AV1983" s="164"/>
      <c r="AW1983" s="164"/>
      <c r="AX1983" s="76"/>
      <c r="AY1983" s="44"/>
      <c r="AZ1983" s="275"/>
      <c r="BA1983" s="52"/>
      <c r="BB1983" s="35"/>
      <c r="BC1983" s="79"/>
      <c r="BD1983" s="230"/>
      <c r="BE1983" s="211"/>
      <c r="BF1983" s="164"/>
      <c r="BG1983" s="76"/>
      <c r="BH1983" s="44"/>
      <c r="BI1983" s="275"/>
      <c r="BJ1983" s="52"/>
      <c r="BK1983" s="35"/>
      <c r="BL1983" s="79"/>
      <c r="BM1983" s="230"/>
      <c r="BN1983" s="211"/>
      <c r="BO1983" s="164"/>
      <c r="BP1983" s="76"/>
      <c r="BQ1983" s="44"/>
      <c r="BR1983" s="299"/>
      <c r="BS1983" s="52"/>
      <c r="BT1983" s="35"/>
      <c r="BU1983" s="79"/>
      <c r="BV1983" s="212"/>
      <c r="BW1983" s="304"/>
      <c r="BX1983" s="313"/>
      <c r="BY1983" s="138"/>
    </row>
    <row r="1984" spans="1:77" ht="15" customHeight="1" x14ac:dyDescent="0.2">
      <c r="A1984" s="57" t="s">
        <v>31</v>
      </c>
      <c r="B1984" s="57"/>
      <c r="C1984" s="583" t="s">
        <v>922</v>
      </c>
      <c r="D1984" s="546">
        <v>167.03200000000001</v>
      </c>
      <c r="E1984" s="162" t="s">
        <v>631</v>
      </c>
      <c r="F1984" s="358"/>
      <c r="G1984" s="65"/>
      <c r="H1984" s="73"/>
      <c r="I1984" s="90"/>
      <c r="J1984" s="73"/>
      <c r="K1984" s="66"/>
      <c r="L1984" s="717">
        <v>2008</v>
      </c>
      <c r="M1984" s="73"/>
      <c r="N1984" s="359">
        <v>0.45595000000000002</v>
      </c>
      <c r="O1984" s="1041"/>
      <c r="P1984" s="73"/>
      <c r="Q1984" s="359"/>
      <c r="R1984" s="1041"/>
      <c r="S1984" s="73"/>
      <c r="T1984" s="359"/>
      <c r="U1984" s="73"/>
      <c r="V1984" s="66"/>
      <c r="W1984" s="594">
        <f t="shared" si="1859"/>
        <v>2.9180800000000001E-4</v>
      </c>
      <c r="X1984" s="595">
        <f t="shared" si="1860"/>
        <v>2.9180800000000001E-4</v>
      </c>
      <c r="Y1984" s="52">
        <v>2008</v>
      </c>
      <c r="Z1984" s="52"/>
      <c r="AA1984" s="596">
        <f>+N1984/1000</f>
        <v>4.5595E-4</v>
      </c>
      <c r="AB1984" s="256">
        <v>-0.36</v>
      </c>
      <c r="AC1984" s="688">
        <f t="shared" si="1861"/>
        <v>-0.36</v>
      </c>
      <c r="AD1984" s="164"/>
      <c r="AE1984" s="164"/>
      <c r="AF1984" s="25"/>
      <c r="AG1984" s="26"/>
      <c r="AH1984" s="275"/>
      <c r="AI1984" s="52"/>
      <c r="AJ1984" s="35"/>
      <c r="AK1984" s="289"/>
      <c r="AL1984" s="290"/>
      <c r="AM1984" s="211"/>
      <c r="AN1984" s="164"/>
      <c r="AO1984" s="76"/>
      <c r="AP1984" s="44"/>
      <c r="AQ1984" s="275"/>
      <c r="AR1984" s="52"/>
      <c r="AS1984" s="35"/>
      <c r="AT1984" s="79"/>
      <c r="AU1984" s="212"/>
      <c r="AV1984" s="164"/>
      <c r="AW1984" s="164"/>
      <c r="AX1984" s="76"/>
      <c r="AY1984" s="44"/>
      <c r="AZ1984" s="275"/>
      <c r="BA1984" s="52"/>
      <c r="BB1984" s="35"/>
      <c r="BC1984" s="79"/>
      <c r="BD1984" s="230"/>
      <c r="BE1984" s="211"/>
      <c r="BF1984" s="164"/>
      <c r="BG1984" s="76"/>
      <c r="BH1984" s="44"/>
      <c r="BI1984" s="275"/>
      <c r="BJ1984" s="52"/>
      <c r="BK1984" s="35"/>
      <c r="BL1984" s="79"/>
      <c r="BM1984" s="230"/>
      <c r="BN1984" s="211"/>
      <c r="BO1984" s="164"/>
      <c r="BP1984" s="76"/>
      <c r="BQ1984" s="44"/>
      <c r="BR1984" s="299"/>
      <c r="BS1984" s="52"/>
      <c r="BT1984" s="35"/>
      <c r="BU1984" s="79"/>
      <c r="BV1984" s="212"/>
      <c r="BW1984" s="304"/>
      <c r="BX1984" s="313"/>
      <c r="BY1984" s="138"/>
    </row>
    <row r="1985" spans="1:77" ht="15" customHeight="1" x14ac:dyDescent="0.2">
      <c r="A1985" s="57" t="s">
        <v>31</v>
      </c>
      <c r="B1985" s="57"/>
      <c r="C1985" s="583" t="s">
        <v>2132</v>
      </c>
      <c r="D1985" s="546">
        <v>65.204999999999998</v>
      </c>
      <c r="E1985" s="162" t="s">
        <v>631</v>
      </c>
      <c r="F1985" s="358"/>
      <c r="G1985" s="65"/>
      <c r="H1985" s="73"/>
      <c r="I1985" s="90"/>
      <c r="J1985" s="73"/>
      <c r="K1985" s="66"/>
      <c r="L1985" s="717"/>
      <c r="M1985" s="73"/>
      <c r="N1985" s="359"/>
      <c r="O1985" s="1041">
        <v>2012</v>
      </c>
      <c r="P1985" s="73"/>
      <c r="Q1985" s="359">
        <v>0.62866</v>
      </c>
      <c r="R1985" s="1041"/>
      <c r="S1985" s="73"/>
      <c r="T1985" s="359"/>
      <c r="U1985" s="73"/>
      <c r="V1985" s="66"/>
      <c r="W1985" s="594">
        <f t="shared" si="1859"/>
        <v>5.0292800000000003E-4</v>
      </c>
      <c r="X1985" s="595">
        <f t="shared" si="1860"/>
        <v>5.0292800000000003E-4</v>
      </c>
      <c r="Y1985" s="52">
        <v>2012</v>
      </c>
      <c r="Z1985" s="52"/>
      <c r="AA1985" s="596">
        <f>+Q1985/1000</f>
        <v>6.2865999999999996E-4</v>
      </c>
      <c r="AB1985" s="256">
        <v>-0.2</v>
      </c>
      <c r="AC1985" s="688">
        <f t="shared" si="1861"/>
        <v>-0.2</v>
      </c>
      <c r="AD1985" s="164"/>
      <c r="AE1985" s="164"/>
      <c r="AF1985" s="25"/>
      <c r="AG1985" s="26"/>
      <c r="AH1985" s="275"/>
      <c r="AI1985" s="52"/>
      <c r="AJ1985" s="35"/>
      <c r="AK1985" s="289"/>
      <c r="AL1985" s="290"/>
      <c r="AM1985" s="211"/>
      <c r="AN1985" s="164"/>
      <c r="AO1985" s="76"/>
      <c r="AP1985" s="44"/>
      <c r="AQ1985" s="275"/>
      <c r="AR1985" s="52"/>
      <c r="AS1985" s="35"/>
      <c r="AT1985" s="79"/>
      <c r="AU1985" s="212"/>
      <c r="AV1985" s="164"/>
      <c r="AW1985" s="164"/>
      <c r="AX1985" s="76"/>
      <c r="AY1985" s="44"/>
      <c r="AZ1985" s="275"/>
      <c r="BA1985" s="52"/>
      <c r="BB1985" s="35"/>
      <c r="BC1985" s="79"/>
      <c r="BD1985" s="230"/>
      <c r="BE1985" s="211"/>
      <c r="BF1985" s="164"/>
      <c r="BG1985" s="76"/>
      <c r="BH1985" s="44"/>
      <c r="BI1985" s="275"/>
      <c r="BJ1985" s="52"/>
      <c r="BK1985" s="35"/>
      <c r="BL1985" s="79"/>
      <c r="BM1985" s="230"/>
      <c r="BN1985" s="211"/>
      <c r="BO1985" s="164"/>
      <c r="BP1985" s="76"/>
      <c r="BQ1985" s="44"/>
      <c r="BR1985" s="299"/>
      <c r="BS1985" s="52"/>
      <c r="BT1985" s="35"/>
      <c r="BU1985" s="79"/>
      <c r="BV1985" s="212"/>
      <c r="BW1985" s="304"/>
      <c r="BX1985" s="313"/>
      <c r="BY1985" s="138"/>
    </row>
    <row r="1986" spans="1:77" ht="15" customHeight="1" x14ac:dyDescent="0.2">
      <c r="A1986" s="57" t="s">
        <v>18</v>
      </c>
      <c r="B1986" s="583" t="s">
        <v>1606</v>
      </c>
      <c r="C1986" s="57"/>
      <c r="D1986" s="546">
        <v>5433.4369999999999</v>
      </c>
      <c r="E1986" s="1101" t="s">
        <v>2896</v>
      </c>
      <c r="F1986" s="729"/>
      <c r="G1986" s="730">
        <v>63.661000000000001</v>
      </c>
      <c r="H1986" s="723">
        <v>73.361999999999995</v>
      </c>
      <c r="I1986" s="1282"/>
      <c r="J1986" s="1283">
        <v>45.423000000000002</v>
      </c>
      <c r="K1986" s="1283">
        <v>51.142000000000003</v>
      </c>
      <c r="L1986" s="1282"/>
      <c r="M1986" s="1283">
        <v>40.148000000000003</v>
      </c>
      <c r="N1986" s="1283">
        <v>46.295000000000002</v>
      </c>
      <c r="O1986" s="1284"/>
      <c r="P1986" s="1283">
        <v>35.028010000000002</v>
      </c>
      <c r="Q1986" s="796">
        <v>41.644660000000002</v>
      </c>
      <c r="R1986" s="1284">
        <v>2017</v>
      </c>
      <c r="S1986" s="1283">
        <v>36.731999999999999</v>
      </c>
      <c r="T1986" s="796">
        <v>43.316000000000003</v>
      </c>
      <c r="U1986" s="73"/>
      <c r="V1986" s="66"/>
      <c r="W1986" s="592"/>
      <c r="X1986" s="593"/>
      <c r="Y1986" s="52">
        <v>1990</v>
      </c>
      <c r="Z1986" s="52"/>
      <c r="AA1986" s="596"/>
      <c r="AB1986" s="824">
        <v>-0.2</v>
      </c>
      <c r="AC1986" s="825">
        <v>-0.3</v>
      </c>
      <c r="AD1986" s="164"/>
      <c r="AE1986" s="164"/>
      <c r="AF1986" s="25"/>
      <c r="AG1986" s="26"/>
      <c r="AH1986" s="275"/>
      <c r="AI1986" s="52"/>
      <c r="AJ1986" s="35"/>
      <c r="AK1986" s="289"/>
      <c r="AL1986" s="290"/>
      <c r="AM1986" s="211"/>
      <c r="AN1986" s="164"/>
      <c r="AO1986" s="76"/>
      <c r="AP1986" s="44"/>
      <c r="AQ1986" s="275"/>
      <c r="AR1986" s="52"/>
      <c r="AS1986" s="35"/>
      <c r="AT1986" s="840">
        <v>0.55000000000000004</v>
      </c>
      <c r="AU1986" s="688">
        <v>0.55000000000000004</v>
      </c>
      <c r="AV1986" s="164"/>
      <c r="AW1986" s="164"/>
      <c r="AX1986" s="76"/>
      <c r="AY1986" s="44"/>
      <c r="AZ1986" s="275"/>
      <c r="BA1986" s="52"/>
      <c r="BB1986" s="35"/>
      <c r="BC1986" s="79"/>
      <c r="BD1986" s="230"/>
      <c r="BE1986" s="211"/>
      <c r="BF1986" s="164"/>
      <c r="BG1986" s="76"/>
      <c r="BH1986" s="44"/>
      <c r="BI1986" s="275"/>
      <c r="BJ1986" s="52"/>
      <c r="BK1986" s="35"/>
      <c r="BL1986" s="79"/>
      <c r="BM1986" s="230"/>
      <c r="BN1986" s="211"/>
      <c r="BO1986" s="164"/>
      <c r="BP1986" s="76"/>
      <c r="BQ1986" s="44"/>
      <c r="BR1986" s="299"/>
      <c r="BS1986" s="52"/>
      <c r="BT1986" s="35"/>
      <c r="BU1986" s="79"/>
      <c r="BV1986" s="212"/>
      <c r="BW1986" s="304"/>
      <c r="BX1986" s="313"/>
      <c r="BY1986" s="138"/>
    </row>
    <row r="1987" spans="1:77" ht="15" customHeight="1" x14ac:dyDescent="0.2">
      <c r="A1987" s="57" t="s">
        <v>33</v>
      </c>
      <c r="B1987" s="583" t="s">
        <v>1606</v>
      </c>
      <c r="C1987" s="57"/>
      <c r="D1987" s="546">
        <v>2054.232</v>
      </c>
      <c r="E1987" s="1101" t="s">
        <v>2896</v>
      </c>
      <c r="F1987" s="729"/>
      <c r="G1987" s="730">
        <v>15.56471</v>
      </c>
      <c r="H1987" s="723">
        <v>18.639279999999999</v>
      </c>
      <c r="I1987" s="1282"/>
      <c r="J1987" s="1283">
        <v>13.17333</v>
      </c>
      <c r="K1987" s="1283">
        <v>20.519459999999999</v>
      </c>
      <c r="L1987" s="1282"/>
      <c r="M1987" s="1283">
        <v>13.232250000000001</v>
      </c>
      <c r="N1987" s="1283">
        <v>19.625910000000001</v>
      </c>
      <c r="O1987" s="1284"/>
      <c r="P1987" s="1283">
        <v>12.90451</v>
      </c>
      <c r="Q1987" s="796">
        <v>16.819790000000001</v>
      </c>
      <c r="R1987" s="1284">
        <v>2017</v>
      </c>
      <c r="S1987" s="1283">
        <v>15.9292</v>
      </c>
      <c r="T1987" s="796">
        <v>17.453499999999998</v>
      </c>
      <c r="U1987" s="73"/>
      <c r="V1987" s="66"/>
      <c r="W1987" s="592"/>
      <c r="X1987" s="593"/>
      <c r="Y1987" s="52">
        <v>1990</v>
      </c>
      <c r="Z1987" s="52"/>
      <c r="AA1987" s="596"/>
      <c r="AB1987" s="824">
        <v>-0.2</v>
      </c>
      <c r="AC1987" s="825">
        <v>-0.3</v>
      </c>
      <c r="AD1987" s="164"/>
      <c r="AE1987" s="164"/>
      <c r="AF1987" s="25"/>
      <c r="AG1987" s="26"/>
      <c r="AH1987" s="275"/>
      <c r="AI1987" s="52"/>
      <c r="AJ1987" s="35"/>
      <c r="AK1987" s="289"/>
      <c r="AL1987" s="290"/>
      <c r="AM1987" s="211"/>
      <c r="AN1987" s="164"/>
      <c r="AO1987" s="76"/>
      <c r="AP1987" s="44"/>
      <c r="AQ1987" s="275"/>
      <c r="AR1987" s="52"/>
      <c r="AS1987" s="35"/>
      <c r="AT1987" s="840"/>
      <c r="AU1987" s="212"/>
      <c r="AV1987" s="164"/>
      <c r="AW1987" s="164"/>
      <c r="AX1987" s="76"/>
      <c r="AY1987" s="44"/>
      <c r="AZ1987" s="275"/>
      <c r="BA1987" s="52"/>
      <c r="BB1987" s="35"/>
      <c r="BC1987" s="79"/>
      <c r="BD1987" s="230"/>
      <c r="BE1987" s="211"/>
      <c r="BF1987" s="164"/>
      <c r="BG1987" s="76"/>
      <c r="BH1987" s="44"/>
      <c r="BI1987" s="275"/>
      <c r="BJ1987" s="52"/>
      <c r="BK1987" s="35"/>
      <c r="BL1987" s="79"/>
      <c r="BM1987" s="230"/>
      <c r="BN1987" s="211"/>
      <c r="BO1987" s="164"/>
      <c r="BP1987" s="76"/>
      <c r="BQ1987" s="44"/>
      <c r="BR1987" s="299"/>
      <c r="BS1987" s="52"/>
      <c r="BT1987" s="35"/>
      <c r="BU1987" s="79"/>
      <c r="BV1987" s="212"/>
      <c r="BW1987" s="304"/>
      <c r="BX1987" s="313"/>
      <c r="BY1987" s="138"/>
    </row>
    <row r="1988" spans="1:77" ht="15" customHeight="1" x14ac:dyDescent="0.2">
      <c r="A1988" s="57" t="s">
        <v>33</v>
      </c>
      <c r="B1988" s="57"/>
      <c r="C1988" s="583" t="s">
        <v>925</v>
      </c>
      <c r="D1988" s="546">
        <v>11.159000000000001</v>
      </c>
      <c r="E1988" s="162" t="s">
        <v>631</v>
      </c>
      <c r="F1988" s="358"/>
      <c r="G1988" s="65"/>
      <c r="H1988" s="73"/>
      <c r="I1988" s="90">
        <v>2001</v>
      </c>
      <c r="J1988" s="73"/>
      <c r="K1988" s="734">
        <v>1.9758000000000001E-2</v>
      </c>
      <c r="L1988" s="717"/>
      <c r="M1988" s="73"/>
      <c r="N1988" s="359"/>
      <c r="O1988" s="1041"/>
      <c r="P1988" s="73"/>
      <c r="Q1988" s="359"/>
      <c r="R1988" s="1041"/>
      <c r="S1988" s="73"/>
      <c r="T1988" s="359"/>
      <c r="U1988" s="73"/>
      <c r="V1988" s="66"/>
      <c r="W1988" s="740">
        <f>AA1988*(1+AB1988)</f>
        <v>1.2645120000000002E-5</v>
      </c>
      <c r="X1988" s="741">
        <f>AA1988*(1+AC1988)</f>
        <v>1.2645120000000002E-5</v>
      </c>
      <c r="Y1988" s="52">
        <v>2001</v>
      </c>
      <c r="Z1988" s="52"/>
      <c r="AA1988" s="739">
        <f>+K1988/1000</f>
        <v>1.9758000000000003E-5</v>
      </c>
      <c r="AB1988" s="256">
        <v>-0.36</v>
      </c>
      <c r="AC1988" s="688">
        <f>AB1988</f>
        <v>-0.36</v>
      </c>
      <c r="AD1988" s="164"/>
      <c r="AE1988" s="164"/>
      <c r="AF1988" s="25"/>
      <c r="AG1988" s="26"/>
      <c r="AH1988" s="275"/>
      <c r="AI1988" s="52"/>
      <c r="AJ1988" s="35"/>
      <c r="AK1988" s="289"/>
      <c r="AL1988" s="290"/>
      <c r="AM1988" s="211"/>
      <c r="AN1988" s="164"/>
      <c r="AO1988" s="76"/>
      <c r="AP1988" s="44"/>
      <c r="AQ1988" s="275"/>
      <c r="AR1988" s="52"/>
      <c r="AS1988" s="35"/>
      <c r="AT1988" s="79"/>
      <c r="AU1988" s="212"/>
      <c r="AV1988" s="164"/>
      <c r="AW1988" s="164"/>
      <c r="AX1988" s="76"/>
      <c r="AY1988" s="44"/>
      <c r="AZ1988" s="275"/>
      <c r="BA1988" s="52"/>
      <c r="BB1988" s="35"/>
      <c r="BC1988" s="79"/>
      <c r="BD1988" s="230"/>
      <c r="BE1988" s="211"/>
      <c r="BF1988" s="164"/>
      <c r="BG1988" s="76"/>
      <c r="BH1988" s="44"/>
      <c r="BI1988" s="275"/>
      <c r="BJ1988" s="52"/>
      <c r="BK1988" s="35"/>
      <c r="BL1988" s="79"/>
      <c r="BM1988" s="230"/>
      <c r="BN1988" s="211"/>
      <c r="BO1988" s="164"/>
      <c r="BP1988" s="76"/>
      <c r="BQ1988" s="44"/>
      <c r="BR1988" s="299"/>
      <c r="BS1988" s="52"/>
      <c r="BT1988" s="35"/>
      <c r="BU1988" s="79"/>
      <c r="BV1988" s="212"/>
      <c r="BW1988" s="304"/>
      <c r="BX1988" s="313"/>
      <c r="BY1988" s="138"/>
    </row>
    <row r="1989" spans="1:77" ht="15" customHeight="1" x14ac:dyDescent="0.2">
      <c r="A1989" s="57" t="s">
        <v>33</v>
      </c>
      <c r="B1989" s="57"/>
      <c r="C1989" s="583" t="s">
        <v>2513</v>
      </c>
      <c r="D1989" s="546">
        <v>287.21800000000002</v>
      </c>
      <c r="E1989" s="162" t="s">
        <v>387</v>
      </c>
      <c r="F1989" s="358"/>
      <c r="G1989" s="65"/>
      <c r="H1989" s="73"/>
      <c r="I1989" s="90"/>
      <c r="J1989" s="73"/>
      <c r="K1989" s="734"/>
      <c r="L1989" s="717">
        <v>2008</v>
      </c>
      <c r="M1989" s="73"/>
      <c r="N1989" s="359">
        <v>2.66</v>
      </c>
      <c r="O1989" s="1041">
        <v>2014</v>
      </c>
      <c r="P1989" s="73"/>
      <c r="Q1989" s="359">
        <v>2.0609630000000001</v>
      </c>
      <c r="R1989" s="1041"/>
      <c r="S1989" s="73"/>
      <c r="T1989" s="359"/>
      <c r="U1989" s="73"/>
      <c r="V1989" s="66"/>
      <c r="W1989" s="594">
        <f t="shared" ref="W1989" si="1862">AA1989*(1+AB1989)</f>
        <v>1.8619999999999999E-3</v>
      </c>
      <c r="X1989" s="595">
        <f t="shared" ref="X1989" si="1863">AA1989*(1+AC1989)</f>
        <v>1.8619999999999999E-3</v>
      </c>
      <c r="Y1989" s="52">
        <v>2008</v>
      </c>
      <c r="Z1989" s="52"/>
      <c r="AA1989" s="596">
        <f>+N1989/1000</f>
        <v>2.66E-3</v>
      </c>
      <c r="AB1989" s="256">
        <v>-0.3</v>
      </c>
      <c r="AC1989" s="688">
        <f t="shared" ref="AC1989" si="1864">AB1989</f>
        <v>-0.3</v>
      </c>
      <c r="AD1989" s="164"/>
      <c r="AE1989" s="164"/>
      <c r="AF1989" s="25"/>
      <c r="AG1989" s="26"/>
      <c r="AH1989" s="275"/>
      <c r="AI1989" s="52"/>
      <c r="AJ1989" s="35"/>
      <c r="AK1989" s="289"/>
      <c r="AL1989" s="290"/>
      <c r="AM1989" s="211"/>
      <c r="AN1989" s="164"/>
      <c r="AO1989" s="76"/>
      <c r="AP1989" s="44"/>
      <c r="AQ1989" s="275"/>
      <c r="AR1989" s="52"/>
      <c r="AS1989" s="35"/>
      <c r="AT1989" s="79"/>
      <c r="AU1989" s="212"/>
      <c r="AV1989" s="164"/>
      <c r="AW1989" s="164"/>
      <c r="AX1989" s="76"/>
      <c r="AY1989" s="44"/>
      <c r="AZ1989" s="275"/>
      <c r="BA1989" s="52"/>
      <c r="BB1989" s="35"/>
      <c r="BC1989" s="79"/>
      <c r="BD1989" s="230"/>
      <c r="BE1989" s="211"/>
      <c r="BF1989" s="164"/>
      <c r="BG1989" s="76"/>
      <c r="BH1989" s="44"/>
      <c r="BI1989" s="275"/>
      <c r="BJ1989" s="52"/>
      <c r="BK1989" s="35"/>
      <c r="BL1989" s="79"/>
      <c r="BM1989" s="230"/>
      <c r="BN1989" s="211"/>
      <c r="BO1989" s="164"/>
      <c r="BP1989" s="76"/>
      <c r="BQ1989" s="44"/>
      <c r="BR1989" s="299"/>
      <c r="BS1989" s="52"/>
      <c r="BT1989" s="35"/>
      <c r="BU1989" s="79"/>
      <c r="BV1989" s="212"/>
      <c r="BW1989" s="304"/>
      <c r="BX1989" s="313"/>
      <c r="BY1989" s="138"/>
    </row>
    <row r="1990" spans="1:77" ht="15" customHeight="1" x14ac:dyDescent="0.2">
      <c r="A1990" s="57" t="s">
        <v>37</v>
      </c>
      <c r="B1990" s="583" t="s">
        <v>1606</v>
      </c>
      <c r="C1990" s="57"/>
      <c r="D1990" s="546">
        <v>46182.038</v>
      </c>
      <c r="E1990" s="1101" t="s">
        <v>2896</v>
      </c>
      <c r="F1990" s="729"/>
      <c r="G1990" s="730">
        <v>252.61699999999999</v>
      </c>
      <c r="H1990" s="723">
        <v>288.49200000000002</v>
      </c>
      <c r="I1990" s="1282"/>
      <c r="J1990" s="1283">
        <v>402.83699999999999</v>
      </c>
      <c r="K1990" s="1283">
        <v>441.03800000000001</v>
      </c>
      <c r="L1990" s="1282"/>
      <c r="M1990" s="1283">
        <v>320.25700000000001</v>
      </c>
      <c r="N1990" s="1283">
        <v>357.67700000000002</v>
      </c>
      <c r="O1990" s="1284"/>
      <c r="P1990" s="1283">
        <v>298.87196999999998</v>
      </c>
      <c r="Q1990" s="796">
        <v>337.59874000000002</v>
      </c>
      <c r="R1990" s="1284">
        <v>2017</v>
      </c>
      <c r="S1990" s="1283">
        <v>301.90300000000002</v>
      </c>
      <c r="T1990" s="796">
        <v>340.23099999999999</v>
      </c>
      <c r="U1990" s="73"/>
      <c r="V1990" s="66"/>
      <c r="W1990" s="592"/>
      <c r="X1990" s="593"/>
      <c r="Y1990" s="52">
        <v>1990</v>
      </c>
      <c r="Z1990" s="52"/>
      <c r="AA1990" s="596"/>
      <c r="AB1990" s="824">
        <v>-0.2</v>
      </c>
      <c r="AC1990" s="825">
        <v>-0.3</v>
      </c>
      <c r="AD1990" s="164"/>
      <c r="AE1990" s="164"/>
      <c r="AF1990" s="25"/>
      <c r="AG1990" s="26"/>
      <c r="AH1990" s="275"/>
      <c r="AI1990" s="52"/>
      <c r="AJ1990" s="35"/>
      <c r="AK1990" s="289"/>
      <c r="AL1990" s="290"/>
      <c r="AM1990" s="211"/>
      <c r="AN1990" s="164"/>
      <c r="AO1990" s="76"/>
      <c r="AP1990" s="44"/>
      <c r="AQ1990" s="275"/>
      <c r="AR1990" s="52"/>
      <c r="AS1990" s="35"/>
      <c r="AT1990" s="840">
        <v>0.55000000000000004</v>
      </c>
      <c r="AU1990" s="688">
        <v>0.55000000000000004</v>
      </c>
      <c r="AV1990" s="164"/>
      <c r="AW1990" s="164"/>
      <c r="AX1990" s="76"/>
      <c r="AY1990" s="44"/>
      <c r="AZ1990" s="275"/>
      <c r="BA1990" s="52"/>
      <c r="BB1990" s="35"/>
      <c r="BC1990" s="79"/>
      <c r="BD1990" s="230"/>
      <c r="BE1990" s="211"/>
      <c r="BF1990" s="164"/>
      <c r="BG1990" s="76"/>
      <c r="BH1990" s="44"/>
      <c r="BI1990" s="275"/>
      <c r="BJ1990" s="52"/>
      <c r="BK1990" s="35"/>
      <c r="BL1990" s="79"/>
      <c r="BM1990" s="230"/>
      <c r="BN1990" s="211"/>
      <c r="BO1990" s="164"/>
      <c r="BP1990" s="76"/>
      <c r="BQ1990" s="44"/>
      <c r="BR1990" s="299"/>
      <c r="BS1990" s="52"/>
      <c r="BT1990" s="35"/>
      <c r="BU1990" s="79">
        <v>-1</v>
      </c>
      <c r="BV1990" s="212">
        <f>BU1990</f>
        <v>-1</v>
      </c>
      <c r="BW1990" s="304"/>
      <c r="BX1990" s="313"/>
      <c r="BY1990" s="138"/>
    </row>
    <row r="1991" spans="1:77" ht="15" customHeight="1" x14ac:dyDescent="0.2">
      <c r="A1991" s="57" t="s">
        <v>37</v>
      </c>
      <c r="B1991" s="583" t="s">
        <v>2245</v>
      </c>
      <c r="C1991" s="57"/>
      <c r="D1991" s="546">
        <v>8394.2459999999992</v>
      </c>
      <c r="E1991" s="162" t="s">
        <v>2907</v>
      </c>
      <c r="F1991" s="358"/>
      <c r="G1991" s="65"/>
      <c r="H1991" s="73"/>
      <c r="I1991" s="90"/>
      <c r="J1991" s="73"/>
      <c r="K1991" s="66">
        <v>66.160769999999999</v>
      </c>
      <c r="L1991" s="717"/>
      <c r="M1991" s="73"/>
      <c r="N1991" s="359"/>
      <c r="O1991" s="1041"/>
      <c r="P1991" s="73"/>
      <c r="Q1991" s="359">
        <v>52.31</v>
      </c>
      <c r="R1991" s="1041">
        <v>2017</v>
      </c>
      <c r="S1991" s="73"/>
      <c r="T1991" s="359">
        <v>51.759504</v>
      </c>
      <c r="U1991" s="73"/>
      <c r="V1991" s="66"/>
      <c r="W1991" s="592"/>
      <c r="X1991" s="593"/>
      <c r="Y1991" s="52"/>
      <c r="Z1991" s="52"/>
      <c r="AA1991" s="596"/>
      <c r="AB1991" s="824"/>
      <c r="AC1991" s="825"/>
      <c r="AD1991" s="164"/>
      <c r="AE1991" s="164"/>
      <c r="AF1991" s="25"/>
      <c r="AG1991" s="26"/>
      <c r="AH1991" s="275"/>
      <c r="AI1991" s="52"/>
      <c r="AJ1991" s="35"/>
      <c r="AK1991" s="289"/>
      <c r="AL1991" s="290"/>
      <c r="AM1991" s="211"/>
      <c r="AN1991" s="164"/>
      <c r="AO1991" s="804">
        <f>AS1991*(1+AT1991)</f>
        <v>4.8958969799999995E-2</v>
      </c>
      <c r="AP1991" s="805">
        <f>AS1991*(1+AU1991)</f>
        <v>4.8958969799999995E-2</v>
      </c>
      <c r="AQ1991" s="275">
        <v>2005</v>
      </c>
      <c r="AR1991" s="52"/>
      <c r="AS1991" s="35">
        <f>+K1991/1000</f>
        <v>6.6160769999999994E-2</v>
      </c>
      <c r="AT1991" s="840">
        <v>-0.26</v>
      </c>
      <c r="AU1991" s="212">
        <f>AT1991</f>
        <v>-0.26</v>
      </c>
      <c r="AV1991" s="164"/>
      <c r="AW1991" s="164"/>
      <c r="AX1991" s="76"/>
      <c r="AY1991" s="44"/>
      <c r="AZ1991" s="275"/>
      <c r="BA1991" s="52"/>
      <c r="BB1991" s="35"/>
      <c r="BC1991" s="79"/>
      <c r="BD1991" s="230"/>
      <c r="BE1991" s="211"/>
      <c r="BF1991" s="164"/>
      <c r="BG1991" s="76"/>
      <c r="BH1991" s="44"/>
      <c r="BI1991" s="275"/>
      <c r="BJ1991" s="52"/>
      <c r="BK1991" s="35"/>
      <c r="BL1991" s="79"/>
      <c r="BM1991" s="230"/>
      <c r="BN1991" s="211"/>
      <c r="BO1991" s="164"/>
      <c r="BP1991" s="76"/>
      <c r="BQ1991" s="44"/>
      <c r="BR1991" s="299"/>
      <c r="BS1991" s="52"/>
      <c r="BT1991" s="35"/>
      <c r="BU1991" s="79"/>
      <c r="BV1991" s="212"/>
      <c r="BW1991" s="304"/>
      <c r="BX1991" s="313"/>
      <c r="BY1991" s="138"/>
    </row>
    <row r="1992" spans="1:77" ht="15" customHeight="1" outlineLevel="1" x14ac:dyDescent="0.2">
      <c r="A1992" s="583" t="s">
        <v>37</v>
      </c>
      <c r="B1992" s="583" t="s">
        <v>477</v>
      </c>
      <c r="C1992" s="162" t="s">
        <v>1047</v>
      </c>
      <c r="D1992" s="812">
        <v>2.7160000000000002</v>
      </c>
      <c r="E1992" s="162" t="s">
        <v>631</v>
      </c>
      <c r="F1992" s="729"/>
      <c r="G1992" s="730"/>
      <c r="H1992" s="73"/>
      <c r="I1992" s="90">
        <v>2007</v>
      </c>
      <c r="J1992" s="73"/>
      <c r="K1992" s="734">
        <v>1.3086E-2</v>
      </c>
      <c r="L1992" s="717"/>
      <c r="M1992" s="73"/>
      <c r="N1992" s="811"/>
      <c r="O1992" s="1041"/>
      <c r="P1992" s="73"/>
      <c r="Q1992" s="811"/>
      <c r="R1992" s="1041"/>
      <c r="S1992" s="73"/>
      <c r="T1992" s="811"/>
      <c r="U1992" s="73"/>
      <c r="V1992" s="66"/>
      <c r="W1992" s="594">
        <f t="shared" ref="W1992:W2000" si="1865">AA1992*(1+AB1992)</f>
        <v>9.814499999999999E-6</v>
      </c>
      <c r="X1992" s="595">
        <f t="shared" ref="X1992:X2000" si="1866">AA1992*(1+AC1992)</f>
        <v>9.814499999999999E-6</v>
      </c>
      <c r="Y1992" s="52">
        <v>2007</v>
      </c>
      <c r="Z1992" s="52"/>
      <c r="AA1992" s="596">
        <f t="shared" ref="AA1992:AA1998" si="1867">+K1992/1000</f>
        <v>1.3086E-5</v>
      </c>
      <c r="AB1992" s="256">
        <v>-0.25</v>
      </c>
      <c r="AC1992" s="688">
        <f t="shared" ref="AC1992:AC2000" si="1868">AB1992</f>
        <v>-0.25</v>
      </c>
      <c r="AD1992" s="164"/>
      <c r="AE1992" s="164"/>
      <c r="AF1992" s="25"/>
      <c r="AG1992" s="26"/>
      <c r="AH1992" s="275"/>
      <c r="AI1992" s="52"/>
      <c r="AJ1992" s="35"/>
      <c r="AK1992" s="289"/>
      <c r="AL1992" s="290"/>
      <c r="AM1992" s="211"/>
      <c r="AN1992" s="164"/>
      <c r="AO1992" s="76"/>
      <c r="AP1992" s="44"/>
      <c r="AQ1992" s="275"/>
      <c r="AR1992" s="52"/>
      <c r="AS1992" s="35"/>
      <c r="AT1992" s="79"/>
      <c r="AU1992" s="212"/>
      <c r="AV1992" s="164"/>
      <c r="AW1992" s="164"/>
      <c r="AX1992" s="76"/>
      <c r="AY1992" s="44"/>
      <c r="AZ1992" s="275"/>
      <c r="BA1992" s="52"/>
      <c r="BB1992" s="35"/>
      <c r="BC1992" s="79"/>
      <c r="BD1992" s="230"/>
      <c r="BE1992" s="211"/>
      <c r="BF1992" s="164"/>
      <c r="BG1992" s="76"/>
      <c r="BH1992" s="44"/>
      <c r="BI1992" s="275"/>
      <c r="BJ1992" s="52"/>
      <c r="BK1992" s="35"/>
      <c r="BL1992" s="79"/>
      <c r="BM1992" s="230"/>
      <c r="BN1992" s="211"/>
      <c r="BO1992" s="164"/>
      <c r="BP1992" s="76"/>
      <c r="BQ1992" s="44"/>
      <c r="BR1992" s="299"/>
      <c r="BS1992" s="52"/>
      <c r="BT1992" s="35"/>
      <c r="BU1992" s="79"/>
      <c r="BV1992" s="212"/>
      <c r="BW1992" s="304"/>
      <c r="BX1992" s="313"/>
      <c r="BY1992" s="138"/>
    </row>
    <row r="1993" spans="1:77" ht="15" customHeight="1" outlineLevel="1" x14ac:dyDescent="0.2">
      <c r="A1993" s="583" t="s">
        <v>37</v>
      </c>
      <c r="B1993" s="583" t="s">
        <v>477</v>
      </c>
      <c r="C1993" s="162" t="s">
        <v>1170</v>
      </c>
      <c r="D1993" s="812">
        <v>0.88900000000000001</v>
      </c>
      <c r="E1993" s="162" t="s">
        <v>631</v>
      </c>
      <c r="F1993" s="729"/>
      <c r="G1993" s="730"/>
      <c r="H1993" s="73"/>
      <c r="I1993" s="90">
        <v>2007</v>
      </c>
      <c r="J1993" s="73"/>
      <c r="K1993" s="790">
        <v>4.1190000000000003E-3</v>
      </c>
      <c r="L1993" s="717"/>
      <c r="M1993" s="73"/>
      <c r="N1993" s="811"/>
      <c r="O1993" s="1041"/>
      <c r="P1993" s="73"/>
      <c r="Q1993" s="811"/>
      <c r="R1993" s="1041"/>
      <c r="S1993" s="73"/>
      <c r="T1993" s="811"/>
      <c r="U1993" s="73"/>
      <c r="V1993" s="66"/>
      <c r="W1993" s="788">
        <f t="shared" si="1865"/>
        <v>2.8421099999999997E-6</v>
      </c>
      <c r="X1993" s="789">
        <f t="shared" si="1866"/>
        <v>2.8421099999999997E-6</v>
      </c>
      <c r="Y1993" s="52">
        <v>2007</v>
      </c>
      <c r="Z1993" s="52"/>
      <c r="AA1993" s="787">
        <f t="shared" si="1867"/>
        <v>4.1189999999999999E-6</v>
      </c>
      <c r="AB1993" s="256">
        <v>-0.31</v>
      </c>
      <c r="AC1993" s="688">
        <f t="shared" si="1868"/>
        <v>-0.31</v>
      </c>
      <c r="AD1993" s="164"/>
      <c r="AE1993" s="164"/>
      <c r="AF1993" s="25"/>
      <c r="AG1993" s="26"/>
      <c r="AH1993" s="275"/>
      <c r="AI1993" s="52"/>
      <c r="AJ1993" s="35"/>
      <c r="AK1993" s="289"/>
      <c r="AL1993" s="290"/>
      <c r="AM1993" s="211"/>
      <c r="AN1993" s="164"/>
      <c r="AO1993" s="76"/>
      <c r="AP1993" s="44"/>
      <c r="AQ1993" s="275"/>
      <c r="AR1993" s="52"/>
      <c r="AS1993" s="35"/>
      <c r="AT1993" s="79"/>
      <c r="AU1993" s="212"/>
      <c r="AV1993" s="164"/>
      <c r="AW1993" s="164"/>
      <c r="AX1993" s="76"/>
      <c r="AY1993" s="44"/>
      <c r="AZ1993" s="275"/>
      <c r="BA1993" s="52"/>
      <c r="BB1993" s="35"/>
      <c r="BC1993" s="79"/>
      <c r="BD1993" s="230"/>
      <c r="BE1993" s="211"/>
      <c r="BF1993" s="164"/>
      <c r="BG1993" s="76"/>
      <c r="BH1993" s="44"/>
      <c r="BI1993" s="275"/>
      <c r="BJ1993" s="52"/>
      <c r="BK1993" s="35"/>
      <c r="BL1993" s="79"/>
      <c r="BM1993" s="230"/>
      <c r="BN1993" s="211"/>
      <c r="BO1993" s="164"/>
      <c r="BP1993" s="76"/>
      <c r="BQ1993" s="44"/>
      <c r="BR1993" s="299"/>
      <c r="BS1993" s="52"/>
      <c r="BT1993" s="35"/>
      <c r="BU1993" s="79"/>
      <c r="BV1993" s="212"/>
      <c r="BW1993" s="304"/>
      <c r="BX1993" s="313"/>
      <c r="BY1993" s="138"/>
    </row>
    <row r="1994" spans="1:77" ht="15" customHeight="1" outlineLevel="1" x14ac:dyDescent="0.2">
      <c r="A1994" s="583" t="s">
        <v>37</v>
      </c>
      <c r="B1994" s="583" t="s">
        <v>477</v>
      </c>
      <c r="C1994" s="162" t="s">
        <v>589</v>
      </c>
      <c r="D1994" s="728">
        <v>329</v>
      </c>
      <c r="E1994" s="162" t="s">
        <v>392</v>
      </c>
      <c r="F1994" s="729"/>
      <c r="G1994" s="730"/>
      <c r="H1994" s="73"/>
      <c r="I1994" s="90">
        <v>2007</v>
      </c>
      <c r="J1994" s="73"/>
      <c r="K1994" s="66">
        <v>1.2789999999999999</v>
      </c>
      <c r="L1994" s="717"/>
      <c r="M1994" s="73"/>
      <c r="N1994" s="359"/>
      <c r="O1994" s="1041"/>
      <c r="P1994" s="73"/>
      <c r="Q1994" s="359"/>
      <c r="R1994" s="1041"/>
      <c r="S1994" s="73"/>
      <c r="T1994" s="359"/>
      <c r="U1994" s="73"/>
      <c r="V1994" s="66"/>
      <c r="W1994" s="594">
        <f t="shared" si="1865"/>
        <v>1.0037592E-3</v>
      </c>
      <c r="X1994" s="595">
        <f t="shared" si="1866"/>
        <v>1.0037592E-3</v>
      </c>
      <c r="Y1994" s="52">
        <v>2007</v>
      </c>
      <c r="Z1994" s="52"/>
      <c r="AA1994" s="596">
        <f t="shared" si="1867"/>
        <v>1.279E-3</v>
      </c>
      <c r="AB1994" s="732">
        <v>-0.2152</v>
      </c>
      <c r="AC1994" s="733">
        <f t="shared" si="1868"/>
        <v>-0.2152</v>
      </c>
      <c r="AD1994" s="164"/>
      <c r="AE1994" s="164"/>
      <c r="AF1994" s="25"/>
      <c r="AG1994" s="26"/>
      <c r="AH1994" s="275"/>
      <c r="AI1994" s="52"/>
      <c r="AJ1994" s="35"/>
      <c r="AK1994" s="289"/>
      <c r="AL1994" s="290"/>
      <c r="AM1994" s="211"/>
      <c r="AN1994" s="164"/>
      <c r="AO1994" s="76"/>
      <c r="AP1994" s="44"/>
      <c r="AQ1994" s="275"/>
      <c r="AR1994" s="52"/>
      <c r="AS1994" s="35"/>
      <c r="AT1994" s="79"/>
      <c r="AU1994" s="212"/>
      <c r="AV1994" s="164"/>
      <c r="AW1994" s="164"/>
      <c r="AX1994" s="76"/>
      <c r="AY1994" s="44"/>
      <c r="AZ1994" s="275"/>
      <c r="BA1994" s="52"/>
      <c r="BB1994" s="35"/>
      <c r="BC1994" s="79"/>
      <c r="BD1994" s="230"/>
      <c r="BE1994" s="211"/>
      <c r="BF1994" s="164"/>
      <c r="BG1994" s="76"/>
      <c r="BH1994" s="44"/>
      <c r="BI1994" s="275"/>
      <c r="BJ1994" s="52"/>
      <c r="BK1994" s="35"/>
      <c r="BL1994" s="79"/>
      <c r="BM1994" s="230"/>
      <c r="BN1994" s="211"/>
      <c r="BO1994" s="164"/>
      <c r="BP1994" s="76"/>
      <c r="BQ1994" s="44"/>
      <c r="BR1994" s="299"/>
      <c r="BS1994" s="52"/>
      <c r="BT1994" s="35"/>
      <c r="BU1994" s="79"/>
      <c r="BV1994" s="212"/>
      <c r="BW1994" s="304"/>
      <c r="BX1994" s="313"/>
      <c r="BY1994" s="138"/>
    </row>
    <row r="1995" spans="1:77" ht="15" customHeight="1" outlineLevel="1" x14ac:dyDescent="0.2">
      <c r="A1995" s="583" t="s">
        <v>37</v>
      </c>
      <c r="B1995" s="583" t="s">
        <v>477</v>
      </c>
      <c r="C1995" s="162" t="s">
        <v>1172</v>
      </c>
      <c r="D1995" s="812">
        <v>16.155999999999999</v>
      </c>
      <c r="E1995" s="162" t="s">
        <v>631</v>
      </c>
      <c r="F1995" s="729"/>
      <c r="G1995" s="730"/>
      <c r="H1995" s="73"/>
      <c r="I1995" s="90">
        <v>2007</v>
      </c>
      <c r="J1995" s="73"/>
      <c r="K1995" s="734">
        <v>9.2935000000000004E-2</v>
      </c>
      <c r="L1995" s="717"/>
      <c r="M1995" s="73"/>
      <c r="N1995" s="811"/>
      <c r="O1995" s="1041"/>
      <c r="P1995" s="73"/>
      <c r="Q1995" s="811"/>
      <c r="R1995" s="1041"/>
      <c r="S1995" s="73"/>
      <c r="T1995" s="811"/>
      <c r="U1995" s="73"/>
      <c r="V1995" s="66"/>
      <c r="W1995" s="740">
        <f t="shared" si="1865"/>
        <v>6.9701250000000006E-5</v>
      </c>
      <c r="X1995" s="741">
        <f t="shared" si="1866"/>
        <v>6.9701250000000006E-5</v>
      </c>
      <c r="Y1995" s="52">
        <v>2007</v>
      </c>
      <c r="Z1995" s="52"/>
      <c r="AA1995" s="739">
        <f t="shared" si="1867"/>
        <v>9.2935000000000004E-5</v>
      </c>
      <c r="AB1995" s="256">
        <v>-0.25</v>
      </c>
      <c r="AC1995" s="688">
        <f t="shared" si="1868"/>
        <v>-0.25</v>
      </c>
      <c r="AD1995" s="164"/>
      <c r="AE1995" s="164"/>
      <c r="AF1995" s="25"/>
      <c r="AG1995" s="26"/>
      <c r="AH1995" s="275"/>
      <c r="AI1995" s="52"/>
      <c r="AJ1995" s="35"/>
      <c r="AK1995" s="289"/>
      <c r="AL1995" s="290"/>
      <c r="AM1995" s="211"/>
      <c r="AN1995" s="164"/>
      <c r="AO1995" s="76"/>
      <c r="AP1995" s="44"/>
      <c r="AQ1995" s="275"/>
      <c r="AR1995" s="52"/>
      <c r="AS1995" s="35"/>
      <c r="AT1995" s="79"/>
      <c r="AU1995" s="212"/>
      <c r="AV1995" s="164"/>
      <c r="AW1995" s="164"/>
      <c r="AX1995" s="76"/>
      <c r="AY1995" s="44"/>
      <c r="AZ1995" s="275"/>
      <c r="BA1995" s="52"/>
      <c r="BB1995" s="35"/>
      <c r="BC1995" s="79"/>
      <c r="BD1995" s="230"/>
      <c r="BE1995" s="211"/>
      <c r="BF1995" s="164"/>
      <c r="BG1995" s="76"/>
      <c r="BH1995" s="44"/>
      <c r="BI1995" s="275"/>
      <c r="BJ1995" s="52"/>
      <c r="BK1995" s="35"/>
      <c r="BL1995" s="79"/>
      <c r="BM1995" s="230"/>
      <c r="BN1995" s="211"/>
      <c r="BO1995" s="164"/>
      <c r="BP1995" s="76"/>
      <c r="BQ1995" s="44"/>
      <c r="BR1995" s="299"/>
      <c r="BS1995" s="52"/>
      <c r="BT1995" s="35"/>
      <c r="BU1995" s="79"/>
      <c r="BV1995" s="212"/>
      <c r="BW1995" s="304"/>
      <c r="BX1995" s="313"/>
      <c r="BY1995" s="138"/>
    </row>
    <row r="1996" spans="1:77" ht="15" customHeight="1" outlineLevel="1" x14ac:dyDescent="0.2">
      <c r="A1996" s="583" t="s">
        <v>37</v>
      </c>
      <c r="B1996" s="583" t="s">
        <v>477</v>
      </c>
      <c r="C1996" s="162" t="s">
        <v>1055</v>
      </c>
      <c r="D1996" s="812">
        <v>8.2260000000000009</v>
      </c>
      <c r="E1996" s="162" t="s">
        <v>631</v>
      </c>
      <c r="F1996" s="729"/>
      <c r="G1996" s="730"/>
      <c r="H1996" s="73"/>
      <c r="I1996" s="90">
        <v>2007</v>
      </c>
      <c r="J1996" s="73"/>
      <c r="K1996" s="734">
        <v>3.773E-2</v>
      </c>
      <c r="L1996" s="717"/>
      <c r="M1996" s="73"/>
      <c r="N1996" s="811"/>
      <c r="O1996" s="1041"/>
      <c r="P1996" s="73"/>
      <c r="Q1996" s="811"/>
      <c r="R1996" s="1041"/>
      <c r="S1996" s="73"/>
      <c r="T1996" s="811"/>
      <c r="U1996" s="73"/>
      <c r="V1996" s="66"/>
      <c r="W1996" s="788">
        <f t="shared" si="1865"/>
        <v>1.8865E-5</v>
      </c>
      <c r="X1996" s="789">
        <f t="shared" si="1866"/>
        <v>1.8865E-5</v>
      </c>
      <c r="Y1996" s="52">
        <v>2007</v>
      </c>
      <c r="Z1996" s="52"/>
      <c r="AA1996" s="787">
        <f t="shared" si="1867"/>
        <v>3.773E-5</v>
      </c>
      <c r="AB1996" s="256">
        <v>-0.5</v>
      </c>
      <c r="AC1996" s="688">
        <f t="shared" si="1868"/>
        <v>-0.5</v>
      </c>
      <c r="AD1996" s="164"/>
      <c r="AE1996" s="164"/>
      <c r="AF1996" s="25"/>
      <c r="AG1996" s="26"/>
      <c r="AH1996" s="275"/>
      <c r="AI1996" s="52"/>
      <c r="AJ1996" s="35"/>
      <c r="AK1996" s="289"/>
      <c r="AL1996" s="290"/>
      <c r="AM1996" s="211"/>
      <c r="AN1996" s="164"/>
      <c r="AO1996" s="76"/>
      <c r="AP1996" s="44"/>
      <c r="AQ1996" s="275"/>
      <c r="AR1996" s="52"/>
      <c r="AS1996" s="35"/>
      <c r="AT1996" s="79"/>
      <c r="AU1996" s="212"/>
      <c r="AV1996" s="164"/>
      <c r="AW1996" s="164"/>
      <c r="AX1996" s="76"/>
      <c r="AY1996" s="44"/>
      <c r="AZ1996" s="275"/>
      <c r="BA1996" s="52"/>
      <c r="BB1996" s="35"/>
      <c r="BC1996" s="79"/>
      <c r="BD1996" s="230"/>
      <c r="BE1996" s="211"/>
      <c r="BF1996" s="164"/>
      <c r="BG1996" s="76"/>
      <c r="BH1996" s="44"/>
      <c r="BI1996" s="275"/>
      <c r="BJ1996" s="52"/>
      <c r="BK1996" s="35"/>
      <c r="BL1996" s="79"/>
      <c r="BM1996" s="230"/>
      <c r="BN1996" s="211"/>
      <c r="BO1996" s="164"/>
      <c r="BP1996" s="76"/>
      <c r="BQ1996" s="44"/>
      <c r="BR1996" s="299"/>
      <c r="BS1996" s="52"/>
      <c r="BT1996" s="35"/>
      <c r="BU1996" s="79"/>
      <c r="BV1996" s="212"/>
      <c r="BW1996" s="304"/>
      <c r="BX1996" s="313"/>
      <c r="BY1996" s="138"/>
    </row>
    <row r="1997" spans="1:77" ht="15" customHeight="1" outlineLevel="1" x14ac:dyDescent="0.2">
      <c r="A1997" s="583" t="s">
        <v>37</v>
      </c>
      <c r="B1997" s="583" t="s">
        <v>477</v>
      </c>
      <c r="C1997" s="162" t="s">
        <v>1156</v>
      </c>
      <c r="D1997" s="812">
        <v>61.451999999999998</v>
      </c>
      <c r="E1997" s="162" t="s">
        <v>631</v>
      </c>
      <c r="F1997" s="729"/>
      <c r="G1997" s="730"/>
      <c r="H1997" s="73"/>
      <c r="I1997" s="90">
        <v>2007</v>
      </c>
      <c r="J1997" s="73"/>
      <c r="K1997" s="66">
        <v>0.30790400000000001</v>
      </c>
      <c r="L1997" s="717"/>
      <c r="M1997" s="73"/>
      <c r="N1997" s="811"/>
      <c r="O1997" s="1041"/>
      <c r="P1997" s="73"/>
      <c r="Q1997" s="811"/>
      <c r="R1997" s="1041"/>
      <c r="S1997" s="73"/>
      <c r="T1997" s="811"/>
      <c r="U1997" s="73"/>
      <c r="V1997" s="66"/>
      <c r="W1997" s="594">
        <f t="shared" si="1865"/>
        <v>2.2784896000000002E-4</v>
      </c>
      <c r="X1997" s="595">
        <f t="shared" si="1866"/>
        <v>2.2784896000000002E-4</v>
      </c>
      <c r="Y1997" s="52">
        <v>2007</v>
      </c>
      <c r="Z1997" s="52"/>
      <c r="AA1997" s="596">
        <f t="shared" si="1867"/>
        <v>3.0790400000000001E-4</v>
      </c>
      <c r="AB1997" s="256">
        <v>-0.26</v>
      </c>
      <c r="AC1997" s="688">
        <f t="shared" si="1868"/>
        <v>-0.26</v>
      </c>
      <c r="AD1997" s="164"/>
      <c r="AE1997" s="164"/>
      <c r="AF1997" s="25"/>
      <c r="AG1997" s="26"/>
      <c r="AH1997" s="275"/>
      <c r="AI1997" s="52"/>
      <c r="AJ1997" s="35"/>
      <c r="AK1997" s="289"/>
      <c r="AL1997" s="290"/>
      <c r="AM1997" s="211"/>
      <c r="AN1997" s="164"/>
      <c r="AO1997" s="76"/>
      <c r="AP1997" s="44"/>
      <c r="AQ1997" s="275"/>
      <c r="AR1997" s="52"/>
      <c r="AS1997" s="35"/>
      <c r="AT1997" s="79"/>
      <c r="AU1997" s="212"/>
      <c r="AV1997" s="164"/>
      <c r="AW1997" s="164"/>
      <c r="AX1997" s="76"/>
      <c r="AY1997" s="44"/>
      <c r="AZ1997" s="275"/>
      <c r="BA1997" s="52"/>
      <c r="BB1997" s="35"/>
      <c r="BC1997" s="79"/>
      <c r="BD1997" s="230"/>
      <c r="BE1997" s="211"/>
      <c r="BF1997" s="164"/>
      <c r="BG1997" s="76"/>
      <c r="BH1997" s="44"/>
      <c r="BI1997" s="275"/>
      <c r="BJ1997" s="52"/>
      <c r="BK1997" s="35"/>
      <c r="BL1997" s="79"/>
      <c r="BM1997" s="230"/>
      <c r="BN1997" s="211"/>
      <c r="BO1997" s="164"/>
      <c r="BP1997" s="76"/>
      <c r="BQ1997" s="44"/>
      <c r="BR1997" s="299"/>
      <c r="BS1997" s="52"/>
      <c r="BT1997" s="35"/>
      <c r="BU1997" s="79"/>
      <c r="BV1997" s="212"/>
      <c r="BW1997" s="304"/>
      <c r="BX1997" s="313"/>
      <c r="BY1997" s="138"/>
    </row>
    <row r="1998" spans="1:77" ht="15" customHeight="1" outlineLevel="1" x14ac:dyDescent="0.2">
      <c r="A1998" s="583" t="s">
        <v>37</v>
      </c>
      <c r="B1998" s="583" t="s">
        <v>477</v>
      </c>
      <c r="C1998" s="162" t="s">
        <v>1173</v>
      </c>
      <c r="D1998" s="812">
        <v>60</v>
      </c>
      <c r="E1998" s="162" t="s">
        <v>631</v>
      </c>
      <c r="F1998" s="729"/>
      <c r="G1998" s="730"/>
      <c r="H1998" s="73"/>
      <c r="I1998" s="90">
        <v>2007</v>
      </c>
      <c r="J1998" s="73"/>
      <c r="K1998" s="66">
        <v>0.42013800000000001</v>
      </c>
      <c r="L1998" s="717"/>
      <c r="M1998" s="73"/>
      <c r="N1998" s="811"/>
      <c r="O1998" s="1041"/>
      <c r="P1998" s="73"/>
      <c r="Q1998" s="811"/>
      <c r="R1998" s="1041"/>
      <c r="S1998" s="73"/>
      <c r="T1998" s="811"/>
      <c r="U1998" s="73"/>
      <c r="V1998" s="66"/>
      <c r="W1998" s="594">
        <f t="shared" si="1865"/>
        <v>3.1510350000000002E-4</v>
      </c>
      <c r="X1998" s="595">
        <f t="shared" si="1866"/>
        <v>3.1510350000000002E-4</v>
      </c>
      <c r="Y1998" s="52">
        <v>2007</v>
      </c>
      <c r="Z1998" s="52"/>
      <c r="AA1998" s="596">
        <f t="shared" si="1867"/>
        <v>4.2013800000000002E-4</v>
      </c>
      <c r="AB1998" s="256">
        <v>-0.25</v>
      </c>
      <c r="AC1998" s="688">
        <f t="shared" si="1868"/>
        <v>-0.25</v>
      </c>
      <c r="AD1998" s="164"/>
      <c r="AE1998" s="164"/>
      <c r="AF1998" s="25"/>
      <c r="AG1998" s="26"/>
      <c r="AH1998" s="275"/>
      <c r="AI1998" s="52"/>
      <c r="AJ1998" s="35"/>
      <c r="AK1998" s="289"/>
      <c r="AL1998" s="290"/>
      <c r="AM1998" s="211"/>
      <c r="AN1998" s="164"/>
      <c r="AO1998" s="76"/>
      <c r="AP1998" s="44"/>
      <c r="AQ1998" s="275"/>
      <c r="AR1998" s="52"/>
      <c r="AS1998" s="35"/>
      <c r="AT1998" s="79"/>
      <c r="AU1998" s="212"/>
      <c r="AV1998" s="164"/>
      <c r="AW1998" s="164"/>
      <c r="AX1998" s="76"/>
      <c r="AY1998" s="44"/>
      <c r="AZ1998" s="275"/>
      <c r="BA1998" s="52"/>
      <c r="BB1998" s="35"/>
      <c r="BC1998" s="79"/>
      <c r="BD1998" s="230"/>
      <c r="BE1998" s="211"/>
      <c r="BF1998" s="164"/>
      <c r="BG1998" s="76"/>
      <c r="BH1998" s="44"/>
      <c r="BI1998" s="275"/>
      <c r="BJ1998" s="52"/>
      <c r="BK1998" s="35"/>
      <c r="BL1998" s="79"/>
      <c r="BM1998" s="230"/>
      <c r="BN1998" s="211"/>
      <c r="BO1998" s="164"/>
      <c r="BP1998" s="76"/>
      <c r="BQ1998" s="44"/>
      <c r="BR1998" s="299"/>
      <c r="BS1998" s="52"/>
      <c r="BT1998" s="35"/>
      <c r="BU1998" s="79"/>
      <c r="BV1998" s="212"/>
      <c r="BW1998" s="304"/>
      <c r="BX1998" s="313"/>
      <c r="BY1998" s="138"/>
    </row>
    <row r="1999" spans="1:77" ht="15" customHeight="1" outlineLevel="1" x14ac:dyDescent="0.2">
      <c r="A1999" s="583" t="s">
        <v>37</v>
      </c>
      <c r="B1999" s="583" t="s">
        <v>477</v>
      </c>
      <c r="C1999" s="162" t="s">
        <v>1258</v>
      </c>
      <c r="D1999" s="812">
        <v>703.20600000000002</v>
      </c>
      <c r="E1999" s="162" t="s">
        <v>631</v>
      </c>
      <c r="F1999" s="729"/>
      <c r="G1999" s="730"/>
      <c r="H1999" s="73">
        <v>2.91</v>
      </c>
      <c r="I1999" s="90"/>
      <c r="J1999" s="73"/>
      <c r="K1999" s="734"/>
      <c r="L1999" s="717"/>
      <c r="M1999" s="73"/>
      <c r="N1999" s="811"/>
      <c r="O1999" s="1041"/>
      <c r="P1999" s="73"/>
      <c r="Q1999" s="811"/>
      <c r="R1999" s="1041"/>
      <c r="S1999" s="73"/>
      <c r="T1999" s="811"/>
      <c r="U1999" s="73"/>
      <c r="V1999" s="66"/>
      <c r="W1999" s="804">
        <f t="shared" si="1865"/>
        <v>2.0661E-3</v>
      </c>
      <c r="X1999" s="805">
        <f t="shared" si="1866"/>
        <v>2.0661E-3</v>
      </c>
      <c r="Y1999" s="52">
        <v>1990</v>
      </c>
      <c r="Z1999" s="52"/>
      <c r="AA1999" s="35">
        <f>+H1999/1000</f>
        <v>2.9100000000000003E-3</v>
      </c>
      <c r="AB1999" s="256">
        <v>-0.28999999999999998</v>
      </c>
      <c r="AC1999" s="688">
        <f t="shared" si="1868"/>
        <v>-0.28999999999999998</v>
      </c>
      <c r="AD1999" s="164"/>
      <c r="AE1999" s="164"/>
      <c r="AF1999" s="25"/>
      <c r="AG1999" s="26"/>
      <c r="AH1999" s="275"/>
      <c r="AI1999" s="52"/>
      <c r="AJ1999" s="35"/>
      <c r="AK1999" s="289"/>
      <c r="AL1999" s="290"/>
      <c r="AM1999" s="211"/>
      <c r="AN1999" s="164"/>
      <c r="AO1999" s="76"/>
      <c r="AP1999" s="44"/>
      <c r="AQ1999" s="275"/>
      <c r="AR1999" s="52"/>
      <c r="AS1999" s="35"/>
      <c r="AT1999" s="79"/>
      <c r="AU1999" s="212"/>
      <c r="AV1999" s="164"/>
      <c r="AW1999" s="164"/>
      <c r="AX1999" s="76"/>
      <c r="AY1999" s="44"/>
      <c r="AZ1999" s="275"/>
      <c r="BA1999" s="52"/>
      <c r="BB1999" s="35"/>
      <c r="BC1999" s="79"/>
      <c r="BD1999" s="230"/>
      <c r="BE1999" s="211"/>
      <c r="BF1999" s="164"/>
      <c r="BG1999" s="76"/>
      <c r="BH1999" s="44"/>
      <c r="BI1999" s="275"/>
      <c r="BJ1999" s="52"/>
      <c r="BK1999" s="35"/>
      <c r="BL1999" s="79"/>
      <c r="BM1999" s="230"/>
      <c r="BN1999" s="211"/>
      <c r="BO1999" s="164"/>
      <c r="BP1999" s="76"/>
      <c r="BQ1999" s="44"/>
      <c r="BR1999" s="299"/>
      <c r="BS1999" s="52"/>
      <c r="BT1999" s="35"/>
      <c r="BU1999" s="79"/>
      <c r="BV1999" s="212"/>
      <c r="BW1999" s="304"/>
      <c r="BX1999" s="313"/>
      <c r="BY1999" s="138"/>
    </row>
    <row r="2000" spans="1:77" ht="15" customHeight="1" outlineLevel="1" x14ac:dyDescent="0.2">
      <c r="A2000" s="583" t="s">
        <v>37</v>
      </c>
      <c r="B2000" s="583" t="s">
        <v>477</v>
      </c>
      <c r="C2000" s="162" t="s">
        <v>1076</v>
      </c>
      <c r="D2000" s="812">
        <v>17.792999999999999</v>
      </c>
      <c r="E2000" s="162" t="s">
        <v>631</v>
      </c>
      <c r="F2000" s="729"/>
      <c r="G2000" s="730"/>
      <c r="H2000" s="73"/>
      <c r="I2000" s="90">
        <v>2007</v>
      </c>
      <c r="J2000" s="73"/>
      <c r="K2000" s="723">
        <v>0.149593</v>
      </c>
      <c r="L2000" s="717"/>
      <c r="M2000" s="73"/>
      <c r="N2000" s="811"/>
      <c r="O2000" s="1041"/>
      <c r="P2000" s="73"/>
      <c r="Q2000" s="811"/>
      <c r="R2000" s="1041"/>
      <c r="S2000" s="73"/>
      <c r="T2000" s="811"/>
      <c r="U2000" s="73"/>
      <c r="V2000" s="66"/>
      <c r="W2000" s="740">
        <f t="shared" si="1865"/>
        <v>1.1219475E-4</v>
      </c>
      <c r="X2000" s="741">
        <f t="shared" si="1866"/>
        <v>1.1219475E-4</v>
      </c>
      <c r="Y2000" s="52">
        <v>2010</v>
      </c>
      <c r="Z2000" s="52"/>
      <c r="AA2000" s="739">
        <f>+K2000/1000</f>
        <v>1.49593E-4</v>
      </c>
      <c r="AB2000" s="256">
        <v>-0.25</v>
      </c>
      <c r="AC2000" s="688">
        <f t="shared" si="1868"/>
        <v>-0.25</v>
      </c>
      <c r="AD2000" s="164"/>
      <c r="AE2000" s="164"/>
      <c r="AF2000" s="25"/>
      <c r="AG2000" s="26"/>
      <c r="AH2000" s="275"/>
      <c r="AI2000" s="52"/>
      <c r="AJ2000" s="35"/>
      <c r="AK2000" s="289"/>
      <c r="AL2000" s="290"/>
      <c r="AM2000" s="211"/>
      <c r="AN2000" s="164"/>
      <c r="AO2000" s="76"/>
      <c r="AP2000" s="44"/>
      <c r="AQ2000" s="275"/>
      <c r="AR2000" s="52"/>
      <c r="AS2000" s="35"/>
      <c r="AT2000" s="79"/>
      <c r="AU2000" s="212"/>
      <c r="AV2000" s="164"/>
      <c r="AW2000" s="164"/>
      <c r="AX2000" s="76"/>
      <c r="AY2000" s="44"/>
      <c r="AZ2000" s="275"/>
      <c r="BA2000" s="52"/>
      <c r="BB2000" s="35"/>
      <c r="BC2000" s="79"/>
      <c r="BD2000" s="230"/>
      <c r="BE2000" s="211"/>
      <c r="BF2000" s="164"/>
      <c r="BG2000" s="76"/>
      <c r="BH2000" s="44"/>
      <c r="BI2000" s="275"/>
      <c r="BJ2000" s="52"/>
      <c r="BK2000" s="35"/>
      <c r="BL2000" s="79"/>
      <c r="BM2000" s="230"/>
      <c r="BN2000" s="211"/>
      <c r="BO2000" s="164"/>
      <c r="BP2000" s="76"/>
      <c r="BQ2000" s="44"/>
      <c r="BR2000" s="299"/>
      <c r="BS2000" s="52"/>
      <c r="BT2000" s="35"/>
      <c r="BU2000" s="79"/>
      <c r="BV2000" s="212"/>
      <c r="BW2000" s="304"/>
      <c r="BX2000" s="313"/>
      <c r="BY2000" s="138"/>
    </row>
    <row r="2001" spans="1:77" ht="15" customHeight="1" outlineLevel="1" x14ac:dyDescent="0.2">
      <c r="A2001" s="583" t="s">
        <v>37</v>
      </c>
      <c r="B2001" s="583" t="s">
        <v>2898</v>
      </c>
      <c r="C2001" s="162"/>
      <c r="D2001" s="812"/>
      <c r="E2001" s="162" t="s">
        <v>2899</v>
      </c>
      <c r="F2001" s="729"/>
      <c r="G2001" s="730"/>
      <c r="H2001" s="73"/>
      <c r="I2001" s="90"/>
      <c r="J2001" s="73"/>
      <c r="K2001" s="723"/>
      <c r="L2001" s="717"/>
      <c r="M2001" s="73"/>
      <c r="N2001" s="811"/>
      <c r="O2001" s="1041"/>
      <c r="P2001" s="73"/>
      <c r="Q2001" s="811"/>
      <c r="R2001" s="1041"/>
      <c r="S2001" s="73"/>
      <c r="T2001" s="811"/>
      <c r="U2001" s="73"/>
      <c r="V2001" s="66"/>
      <c r="W2001" s="740"/>
      <c r="X2001" s="741"/>
      <c r="Y2001" s="52"/>
      <c r="Z2001" s="52"/>
      <c r="AA2001" s="739"/>
      <c r="AB2001" s="256"/>
      <c r="AC2001" s="688"/>
      <c r="AD2001" s="164"/>
      <c r="AE2001" s="164"/>
      <c r="AF2001" s="25"/>
      <c r="AG2001" s="26"/>
      <c r="AH2001" s="275"/>
      <c r="AI2001" s="52"/>
      <c r="AJ2001" s="35"/>
      <c r="AK2001" s="289"/>
      <c r="AL2001" s="290"/>
      <c r="AM2001" s="211"/>
      <c r="AN2001" s="164"/>
      <c r="AO2001" s="76"/>
      <c r="AP2001" s="44"/>
      <c r="AQ2001" s="275"/>
      <c r="AR2001" s="52"/>
      <c r="AS2001" s="35"/>
      <c r="AT2001" s="79"/>
      <c r="AU2001" s="212"/>
      <c r="AV2001" s="164"/>
      <c r="AW2001" s="164"/>
      <c r="AX2001" s="76"/>
      <c r="AY2001" s="44"/>
      <c r="AZ2001" s="275"/>
      <c r="BA2001" s="52"/>
      <c r="BB2001" s="35"/>
      <c r="BC2001" s="79"/>
      <c r="BD2001" s="230"/>
      <c r="BE2001" s="211"/>
      <c r="BF2001" s="164"/>
      <c r="BG2001" s="76"/>
      <c r="BH2001" s="44"/>
      <c r="BI2001" s="275"/>
      <c r="BJ2001" s="52"/>
      <c r="BK2001" s="35"/>
      <c r="BL2001" s="79"/>
      <c r="BM2001" s="230"/>
      <c r="BN2001" s="211"/>
      <c r="BO2001" s="164"/>
      <c r="BP2001" s="76">
        <v>0</v>
      </c>
      <c r="BQ2001" s="44">
        <v>0</v>
      </c>
      <c r="BR2001" s="299"/>
      <c r="BS2001" s="52"/>
      <c r="BT2001" s="35"/>
      <c r="BU2001" s="79">
        <v>-1</v>
      </c>
      <c r="BV2001" s="212">
        <v>-1</v>
      </c>
      <c r="BW2001" s="304"/>
      <c r="BX2001" s="313"/>
      <c r="BY2001" s="138"/>
    </row>
    <row r="2002" spans="1:77" ht="15" customHeight="1" outlineLevel="1" x14ac:dyDescent="0.2">
      <c r="A2002" s="583" t="s">
        <v>37</v>
      </c>
      <c r="B2002" s="583" t="s">
        <v>442</v>
      </c>
      <c r="C2002" s="583"/>
      <c r="D2002" s="546">
        <v>2178</v>
      </c>
      <c r="E2002" s="162" t="s">
        <v>2910</v>
      </c>
      <c r="F2002" s="729"/>
      <c r="G2002" s="730"/>
      <c r="H2002" s="73">
        <v>20.553999999999998</v>
      </c>
      <c r="I2002" s="90"/>
      <c r="J2002" s="73"/>
      <c r="K2002" s="66">
        <v>25.505208</v>
      </c>
      <c r="L2002" s="717">
        <v>2013</v>
      </c>
      <c r="M2002" s="73"/>
      <c r="N2002" s="359">
        <f>K2002*0.75</f>
        <v>19.128906000000001</v>
      </c>
      <c r="O2002" s="1041"/>
      <c r="P2002" s="73"/>
      <c r="Q2002" s="359">
        <f>K2002*0.76</f>
        <v>19.383958079999999</v>
      </c>
      <c r="R2002" s="1041">
        <v>2017</v>
      </c>
      <c r="S2002" s="73"/>
      <c r="T2002" s="359">
        <v>19.646519000000001</v>
      </c>
      <c r="U2002" s="73"/>
      <c r="V2002" s="66"/>
      <c r="W2002" s="594"/>
      <c r="X2002" s="595"/>
      <c r="Y2002" s="52"/>
      <c r="Z2002" s="52"/>
      <c r="AA2002" s="596"/>
      <c r="AB2002" s="256"/>
      <c r="AC2002" s="731"/>
      <c r="AD2002" s="164"/>
      <c r="AE2002" s="164"/>
      <c r="AF2002" s="25"/>
      <c r="AG2002" s="26"/>
      <c r="AH2002" s="275"/>
      <c r="AI2002" s="52"/>
      <c r="AJ2002" s="35"/>
      <c r="AK2002" s="289"/>
      <c r="AL2002" s="290"/>
      <c r="AM2002" s="211"/>
      <c r="AN2002" s="164"/>
      <c r="AO2002" s="594">
        <f>AS2002*(1+AT2002)</f>
        <v>1.7853645599999999E-2</v>
      </c>
      <c r="AP2002" s="595">
        <f>AS2002*(1+AU2002)</f>
        <v>1.7853645599999999E-2</v>
      </c>
      <c r="AQ2002" s="275">
        <v>1990</v>
      </c>
      <c r="AR2002" s="52"/>
      <c r="AS2002" s="596">
        <f>+K2002/1000</f>
        <v>2.5505207999999998E-2</v>
      </c>
      <c r="AT2002" s="79">
        <v>-0.3</v>
      </c>
      <c r="AU2002" s="212">
        <f>AT2002</f>
        <v>-0.3</v>
      </c>
      <c r="AV2002" s="164"/>
      <c r="AW2002" s="164"/>
      <c r="AX2002" s="76"/>
      <c r="AY2002" s="44"/>
      <c r="AZ2002" s="275"/>
      <c r="BA2002" s="52"/>
      <c r="BB2002" s="35"/>
      <c r="BC2002" s="79"/>
      <c r="BD2002" s="230"/>
      <c r="BE2002" s="211"/>
      <c r="BF2002" s="164"/>
      <c r="BG2002" s="76"/>
      <c r="BH2002" s="44"/>
      <c r="BI2002" s="275"/>
      <c r="BJ2002" s="52"/>
      <c r="BK2002" s="35"/>
      <c r="BL2002" s="79"/>
      <c r="BM2002" s="230"/>
      <c r="BN2002" s="211"/>
      <c r="BO2002" s="164"/>
      <c r="BP2002" s="584">
        <f>+BT2002*(1+BU2002)</f>
        <v>5.1010415999999982E-3</v>
      </c>
      <c r="BQ2002" s="585">
        <f>BT2002*(1+BV2002)</f>
        <v>5.1010415999999982E-3</v>
      </c>
      <c r="BR2002" s="299">
        <v>2005</v>
      </c>
      <c r="BS2002" s="35"/>
      <c r="BT2002" s="35">
        <f>+K2002/1000</f>
        <v>2.5505207999999998E-2</v>
      </c>
      <c r="BU2002" s="79">
        <v>-0.8</v>
      </c>
      <c r="BV2002" s="212">
        <v>-0.8</v>
      </c>
      <c r="BW2002" s="304"/>
      <c r="BX2002" s="339"/>
      <c r="BY2002" s="138"/>
    </row>
    <row r="2003" spans="1:77" ht="15" customHeight="1" outlineLevel="1" x14ac:dyDescent="0.2">
      <c r="A2003" s="583" t="s">
        <v>37</v>
      </c>
      <c r="B2003" s="583" t="s">
        <v>477</v>
      </c>
      <c r="C2003" s="162" t="s">
        <v>1194</v>
      </c>
      <c r="D2003" s="812">
        <v>353.34</v>
      </c>
      <c r="E2003" s="162" t="s">
        <v>631</v>
      </c>
      <c r="F2003" s="729"/>
      <c r="G2003" s="730"/>
      <c r="H2003" s="73"/>
      <c r="I2003" s="90"/>
      <c r="J2003" s="73"/>
      <c r="K2003" s="66">
        <v>1.6180000000000001</v>
      </c>
      <c r="L2003" s="717"/>
      <c r="M2003" s="73"/>
      <c r="N2003" s="811"/>
      <c r="O2003" s="1041"/>
      <c r="P2003" s="73"/>
      <c r="Q2003" s="811"/>
      <c r="R2003" s="1041"/>
      <c r="S2003" s="73"/>
      <c r="T2003" s="811"/>
      <c r="U2003" s="73"/>
      <c r="V2003" s="66"/>
      <c r="W2003" s="594">
        <f>AA2003*(1+AB2003)</f>
        <v>1.1164199999999999E-3</v>
      </c>
      <c r="X2003" s="595">
        <f>AA2003*(1+AC2003)</f>
        <v>1.1164199999999999E-3</v>
      </c>
      <c r="Y2003" s="52">
        <v>2005</v>
      </c>
      <c r="Z2003" s="52"/>
      <c r="AA2003" s="596">
        <f t="shared" ref="AA2003:AA2035" si="1869">+K2003/1000</f>
        <v>1.6180000000000001E-3</v>
      </c>
      <c r="AB2003" s="256">
        <v>-0.31</v>
      </c>
      <c r="AC2003" s="688">
        <f>AB2003</f>
        <v>-0.31</v>
      </c>
      <c r="AD2003" s="164"/>
      <c r="AE2003" s="164"/>
      <c r="AF2003" s="25"/>
      <c r="AG2003" s="26"/>
      <c r="AH2003" s="275"/>
      <c r="AI2003" s="52"/>
      <c r="AJ2003" s="35"/>
      <c r="AK2003" s="289"/>
      <c r="AL2003" s="290"/>
      <c r="AM2003" s="211"/>
      <c r="AN2003" s="164"/>
      <c r="AO2003" s="76"/>
      <c r="AP2003" s="44"/>
      <c r="AQ2003" s="275"/>
      <c r="AR2003" s="52"/>
      <c r="AS2003" s="35"/>
      <c r="AT2003" s="79"/>
      <c r="AU2003" s="212"/>
      <c r="AV2003" s="164"/>
      <c r="AW2003" s="164"/>
      <c r="AX2003" s="76"/>
      <c r="AY2003" s="44"/>
      <c r="AZ2003" s="275"/>
      <c r="BA2003" s="52"/>
      <c r="BB2003" s="35"/>
      <c r="BC2003" s="79"/>
      <c r="BD2003" s="230"/>
      <c r="BE2003" s="211"/>
      <c r="BF2003" s="164"/>
      <c r="BG2003" s="76"/>
      <c r="BH2003" s="44"/>
      <c r="BI2003" s="275"/>
      <c r="BJ2003" s="52"/>
      <c r="BK2003" s="35"/>
      <c r="BL2003" s="79"/>
      <c r="BM2003" s="230"/>
      <c r="BN2003" s="211"/>
      <c r="BO2003" s="164"/>
      <c r="BP2003" s="76"/>
      <c r="BQ2003" s="44"/>
      <c r="BR2003" s="299"/>
      <c r="BS2003" s="52"/>
      <c r="BT2003" s="35"/>
      <c r="BU2003" s="79"/>
      <c r="BV2003" s="212"/>
      <c r="BW2003" s="304"/>
      <c r="BX2003" s="313"/>
      <c r="BY2003" s="138"/>
    </row>
    <row r="2004" spans="1:77" ht="15" customHeight="1" outlineLevel="1" x14ac:dyDescent="0.2">
      <c r="A2004" s="583" t="s">
        <v>37</v>
      </c>
      <c r="B2004" s="583" t="s">
        <v>477</v>
      </c>
      <c r="C2004" s="162" t="s">
        <v>1046</v>
      </c>
      <c r="D2004" s="812">
        <v>62</v>
      </c>
      <c r="E2004" s="162" t="s">
        <v>631</v>
      </c>
      <c r="F2004" s="729"/>
      <c r="G2004" s="730"/>
      <c r="H2004" s="73"/>
      <c r="I2004" s="90">
        <v>2007</v>
      </c>
      <c r="J2004" s="73"/>
      <c r="K2004" s="66">
        <v>0.37179099999999998</v>
      </c>
      <c r="L2004" s="717"/>
      <c r="M2004" s="73"/>
      <c r="N2004" s="811"/>
      <c r="O2004" s="1041"/>
      <c r="P2004" s="73"/>
      <c r="Q2004" s="811"/>
      <c r="R2004" s="1041"/>
      <c r="S2004" s="73"/>
      <c r="T2004" s="811"/>
      <c r="U2004" s="73"/>
      <c r="V2004" s="66"/>
      <c r="W2004" s="594">
        <f>AA2004*(1+AB2004)</f>
        <v>2.6025369999999997E-4</v>
      </c>
      <c r="X2004" s="595">
        <f>AA2004*(1+AC2004)</f>
        <v>2.6025369999999997E-4</v>
      </c>
      <c r="Y2004" s="52">
        <v>2007</v>
      </c>
      <c r="Z2004" s="52"/>
      <c r="AA2004" s="596">
        <f t="shared" si="1869"/>
        <v>3.7179100000000001E-4</v>
      </c>
      <c r="AB2004" s="256">
        <v>-0.3</v>
      </c>
      <c r="AC2004" s="688">
        <f>AB2004</f>
        <v>-0.3</v>
      </c>
      <c r="AD2004" s="164"/>
      <c r="AE2004" s="164"/>
      <c r="AF2004" s="25"/>
      <c r="AG2004" s="26"/>
      <c r="AH2004" s="275"/>
      <c r="AI2004" s="52"/>
      <c r="AJ2004" s="35"/>
      <c r="AK2004" s="289"/>
      <c r="AL2004" s="290"/>
      <c r="AM2004" s="211"/>
      <c r="AN2004" s="164"/>
      <c r="AO2004" s="76"/>
      <c r="AP2004" s="44"/>
      <c r="AQ2004" s="275"/>
      <c r="AR2004" s="52"/>
      <c r="AS2004" s="35"/>
      <c r="AT2004" s="79"/>
      <c r="AU2004" s="212"/>
      <c r="AV2004" s="164"/>
      <c r="AW2004" s="164"/>
      <c r="AX2004" s="76"/>
      <c r="AY2004" s="44"/>
      <c r="AZ2004" s="275"/>
      <c r="BA2004" s="52"/>
      <c r="BB2004" s="35"/>
      <c r="BC2004" s="79"/>
      <c r="BD2004" s="230"/>
      <c r="BE2004" s="211"/>
      <c r="BF2004" s="164"/>
      <c r="BG2004" s="76"/>
      <c r="BH2004" s="44"/>
      <c r="BI2004" s="275"/>
      <c r="BJ2004" s="52"/>
      <c r="BK2004" s="35"/>
      <c r="BL2004" s="79"/>
      <c r="BM2004" s="230"/>
      <c r="BN2004" s="211"/>
      <c r="BO2004" s="164"/>
      <c r="BP2004" s="76"/>
      <c r="BQ2004" s="44"/>
      <c r="BR2004" s="299"/>
      <c r="BS2004" s="52"/>
      <c r="BT2004" s="35"/>
      <c r="BU2004" s="79"/>
      <c r="BV2004" s="212"/>
      <c r="BW2004" s="304"/>
      <c r="BX2004" s="313"/>
      <c r="BY2004" s="138"/>
    </row>
    <row r="2005" spans="1:77" ht="15" customHeight="1" outlineLevel="1" x14ac:dyDescent="0.2">
      <c r="A2005" s="583" t="s">
        <v>37</v>
      </c>
      <c r="B2005" s="583" t="s">
        <v>477</v>
      </c>
      <c r="C2005" s="162" t="s">
        <v>1192</v>
      </c>
      <c r="D2005" s="812">
        <v>239.36099999999999</v>
      </c>
      <c r="E2005" s="162" t="s">
        <v>631</v>
      </c>
      <c r="F2005" s="729"/>
      <c r="G2005" s="730"/>
      <c r="H2005" s="73"/>
      <c r="I2005" s="90">
        <v>2006</v>
      </c>
      <c r="J2005" s="73"/>
      <c r="K2005" s="66">
        <v>0.76164699999999996</v>
      </c>
      <c r="L2005" s="717"/>
      <c r="M2005" s="73"/>
      <c r="N2005" s="811"/>
      <c r="O2005" s="1041"/>
      <c r="P2005" s="73"/>
      <c r="Q2005" s="811"/>
      <c r="R2005" s="1041"/>
      <c r="S2005" s="73"/>
      <c r="T2005" s="811"/>
      <c r="U2005" s="73"/>
      <c r="V2005" s="66"/>
      <c r="W2005" s="594">
        <f>AA2005*(1+AB2005)</f>
        <v>5.6361877999999992E-4</v>
      </c>
      <c r="X2005" s="595">
        <f>AA2005*(1+AC2005)</f>
        <v>5.6361877999999992E-4</v>
      </c>
      <c r="Y2005" s="52">
        <v>2006</v>
      </c>
      <c r="Z2005" s="52"/>
      <c r="AA2005" s="596">
        <f t="shared" si="1869"/>
        <v>7.6164699999999995E-4</v>
      </c>
      <c r="AB2005" s="256">
        <v>-0.26</v>
      </c>
      <c r="AC2005" s="688">
        <f>AB2005</f>
        <v>-0.26</v>
      </c>
      <c r="AD2005" s="164"/>
      <c r="AE2005" s="164"/>
      <c r="AF2005" s="25"/>
      <c r="AG2005" s="26"/>
      <c r="AH2005" s="275"/>
      <c r="AI2005" s="52"/>
      <c r="AJ2005" s="35"/>
      <c r="AK2005" s="289"/>
      <c r="AL2005" s="290"/>
      <c r="AM2005" s="211"/>
      <c r="AN2005" s="164"/>
      <c r="AO2005" s="76"/>
      <c r="AP2005" s="44"/>
      <c r="AQ2005" s="275"/>
      <c r="AR2005" s="52"/>
      <c r="AS2005" s="35"/>
      <c r="AT2005" s="79"/>
      <c r="AU2005" s="212"/>
      <c r="AV2005" s="164"/>
      <c r="AW2005" s="164"/>
      <c r="AX2005" s="76"/>
      <c r="AY2005" s="44"/>
      <c r="AZ2005" s="275"/>
      <c r="BA2005" s="52"/>
      <c r="BB2005" s="35"/>
      <c r="BC2005" s="79"/>
      <c r="BD2005" s="230"/>
      <c r="BE2005" s="211"/>
      <c r="BF2005" s="164"/>
      <c r="BG2005" s="76"/>
      <c r="BH2005" s="44"/>
      <c r="BI2005" s="275"/>
      <c r="BJ2005" s="52"/>
      <c r="BK2005" s="35"/>
      <c r="BL2005" s="79"/>
      <c r="BM2005" s="230"/>
      <c r="BN2005" s="211"/>
      <c r="BO2005" s="164"/>
      <c r="BP2005" s="76"/>
      <c r="BQ2005" s="44"/>
      <c r="BR2005" s="299"/>
      <c r="BS2005" s="52"/>
      <c r="BT2005" s="35"/>
      <c r="BU2005" s="79"/>
      <c r="BV2005" s="212"/>
      <c r="BW2005" s="304"/>
      <c r="BX2005" s="313"/>
      <c r="BY2005" s="138"/>
    </row>
    <row r="2006" spans="1:77" ht="15" customHeight="1" outlineLevel="1" x14ac:dyDescent="0.2">
      <c r="A2006" s="583" t="s">
        <v>37</v>
      </c>
      <c r="B2006" s="583" t="s">
        <v>443</v>
      </c>
      <c r="C2006" s="583"/>
      <c r="D2006" s="728">
        <v>7512</v>
      </c>
      <c r="E2006" s="162" t="s">
        <v>2912</v>
      </c>
      <c r="F2006" s="729"/>
      <c r="G2006" s="730"/>
      <c r="H2006" s="73">
        <v>41.577731</v>
      </c>
      <c r="I2006" s="90"/>
      <c r="J2006" s="73"/>
      <c r="K2006" s="66">
        <v>58.434373999999998</v>
      </c>
      <c r="L2006" s="717"/>
      <c r="M2006" s="73"/>
      <c r="N2006" s="359"/>
      <c r="O2006" s="1041"/>
      <c r="P2006" s="73"/>
      <c r="Q2006" s="359"/>
      <c r="R2006" s="1041">
        <v>2017</v>
      </c>
      <c r="S2006" s="73"/>
      <c r="T2006" s="359">
        <v>45.072920000000003</v>
      </c>
      <c r="U2006" s="73"/>
      <c r="V2006" s="66"/>
      <c r="W2006" s="594">
        <f>AA2006*(1+AB2006)</f>
        <v>4.3650477377999999E-2</v>
      </c>
      <c r="X2006" s="595">
        <f>AA2006*(1+AC2006)</f>
        <v>4.3650477377999999E-2</v>
      </c>
      <c r="Y2006" s="52">
        <v>2005</v>
      </c>
      <c r="Z2006" s="52"/>
      <c r="AA2006" s="596">
        <f t="shared" si="1869"/>
        <v>5.8434373999999997E-2</v>
      </c>
      <c r="AB2006" s="1303">
        <v>-0.253</v>
      </c>
      <c r="AC2006" s="1304">
        <f>AB2006</f>
        <v>-0.253</v>
      </c>
      <c r="AD2006" s="164"/>
      <c r="AE2006" s="164"/>
      <c r="AF2006" s="25"/>
      <c r="AG2006" s="26"/>
      <c r="AH2006" s="275"/>
      <c r="AI2006" s="52"/>
      <c r="AJ2006" s="35"/>
      <c r="AK2006" s="289"/>
      <c r="AL2006" s="290"/>
      <c r="AM2006" s="211"/>
      <c r="AN2006" s="164"/>
      <c r="AO2006" s="594">
        <f>AS2006*(1+AT2006)</f>
        <v>3.5060624399999997E-2</v>
      </c>
      <c r="AP2006" s="595">
        <f>AS2006*(1+AU2006)</f>
        <v>3.5060624399999997E-2</v>
      </c>
      <c r="AQ2006" s="275">
        <v>1990</v>
      </c>
      <c r="AR2006" s="52"/>
      <c r="AS2006" s="596">
        <f>+K2006/1000</f>
        <v>5.8434373999999997E-2</v>
      </c>
      <c r="AT2006" s="79">
        <v>-0.4</v>
      </c>
      <c r="AU2006" s="212">
        <f>AT2006</f>
        <v>-0.4</v>
      </c>
      <c r="AV2006" s="164"/>
      <c r="AW2006" s="164"/>
      <c r="AX2006" s="76"/>
      <c r="AY2006" s="44"/>
      <c r="AZ2006" s="275"/>
      <c r="BA2006" s="52"/>
      <c r="BB2006" s="35"/>
      <c r="BC2006" s="79"/>
      <c r="BD2006" s="230"/>
      <c r="BE2006" s="211"/>
      <c r="BF2006" s="164"/>
      <c r="BG2006" s="76"/>
      <c r="BH2006" s="44"/>
      <c r="BI2006" s="275"/>
      <c r="BJ2006" s="52"/>
      <c r="BK2006" s="35"/>
      <c r="BL2006" s="79"/>
      <c r="BM2006" s="230"/>
      <c r="BN2006" s="211"/>
      <c r="BO2006" s="164"/>
      <c r="BP2006" s="76"/>
      <c r="BQ2006" s="44"/>
      <c r="BR2006" s="299"/>
      <c r="BS2006" s="52"/>
      <c r="BT2006" s="35"/>
      <c r="BU2006" s="79"/>
      <c r="BV2006" s="212"/>
      <c r="BW2006" s="304"/>
      <c r="BX2006" s="313"/>
      <c r="BY2006" s="138"/>
    </row>
    <row r="2007" spans="1:77" ht="15" customHeight="1" outlineLevel="1" x14ac:dyDescent="0.2">
      <c r="A2007" s="583" t="s">
        <v>37</v>
      </c>
      <c r="B2007" s="583" t="s">
        <v>477</v>
      </c>
      <c r="C2007" s="162" t="s">
        <v>1253</v>
      </c>
      <c r="D2007" s="812">
        <v>0.76800000000000002</v>
      </c>
      <c r="E2007" s="162" t="s">
        <v>631</v>
      </c>
      <c r="F2007" s="729"/>
      <c r="G2007" s="730"/>
      <c r="H2007" s="73"/>
      <c r="I2007" s="90"/>
      <c r="J2007" s="73"/>
      <c r="K2007" s="790">
        <v>4.9589999999999999E-3</v>
      </c>
      <c r="L2007" s="717"/>
      <c r="M2007" s="73"/>
      <c r="N2007" s="811"/>
      <c r="O2007" s="1041"/>
      <c r="P2007" s="73"/>
      <c r="Q2007" s="811"/>
      <c r="R2007" s="1041"/>
      <c r="S2007" s="73"/>
      <c r="T2007" s="811"/>
      <c r="U2007" s="73"/>
      <c r="V2007" s="66"/>
      <c r="W2007" s="788">
        <f t="shared" ref="W2007" si="1870">AA2007*(1+AB2007)</f>
        <v>3.6200699999999995E-6</v>
      </c>
      <c r="X2007" s="789">
        <f t="shared" ref="X2007" si="1871">AA2007*(1+AC2007)</f>
        <v>3.6200699999999995E-6</v>
      </c>
      <c r="Y2007" s="52">
        <v>2005</v>
      </c>
      <c r="Z2007" s="52"/>
      <c r="AA2007" s="787">
        <f t="shared" si="1869"/>
        <v>4.9589999999999994E-6</v>
      </c>
      <c r="AB2007" s="256">
        <v>-0.27</v>
      </c>
      <c r="AC2007" s="688">
        <f t="shared" ref="AC2007" si="1872">AB2007</f>
        <v>-0.27</v>
      </c>
      <c r="AD2007" s="164"/>
      <c r="AE2007" s="164"/>
      <c r="AF2007" s="25"/>
      <c r="AG2007" s="26"/>
      <c r="AH2007" s="275"/>
      <c r="AI2007" s="52"/>
      <c r="AJ2007" s="35"/>
      <c r="AK2007" s="289"/>
      <c r="AL2007" s="290"/>
      <c r="AM2007" s="211"/>
      <c r="AN2007" s="164"/>
      <c r="AO2007" s="76"/>
      <c r="AP2007" s="44"/>
      <c r="AQ2007" s="275"/>
      <c r="AR2007" s="52"/>
      <c r="AS2007" s="35"/>
      <c r="AT2007" s="79"/>
      <c r="AU2007" s="212"/>
      <c r="AV2007" s="164"/>
      <c r="AW2007" s="164"/>
      <c r="AX2007" s="76"/>
      <c r="AY2007" s="44"/>
      <c r="AZ2007" s="275"/>
      <c r="BA2007" s="52"/>
      <c r="BB2007" s="35"/>
      <c r="BC2007" s="79"/>
      <c r="BD2007" s="230"/>
      <c r="BE2007" s="211"/>
      <c r="BF2007" s="164"/>
      <c r="BG2007" s="76"/>
      <c r="BH2007" s="44"/>
      <c r="BI2007" s="275"/>
      <c r="BJ2007" s="52"/>
      <c r="BK2007" s="35"/>
      <c r="BL2007" s="79"/>
      <c r="BM2007" s="230"/>
      <c r="BN2007" s="211"/>
      <c r="BO2007" s="164"/>
      <c r="BP2007" s="76"/>
      <c r="BQ2007" s="44"/>
      <c r="BR2007" s="299"/>
      <c r="BS2007" s="52"/>
      <c r="BT2007" s="35"/>
      <c r="BU2007" s="79"/>
      <c r="BV2007" s="212"/>
      <c r="BW2007" s="304"/>
      <c r="BX2007" s="313"/>
      <c r="BY2007" s="138"/>
    </row>
    <row r="2008" spans="1:77" ht="15" customHeight="1" outlineLevel="1" x14ac:dyDescent="0.2">
      <c r="A2008" s="583" t="s">
        <v>37</v>
      </c>
      <c r="B2008" s="583" t="s">
        <v>477</v>
      </c>
      <c r="C2008" s="162" t="s">
        <v>1067</v>
      </c>
      <c r="D2008" s="806">
        <v>0.59</v>
      </c>
      <c r="E2008" s="162" t="s">
        <v>631</v>
      </c>
      <c r="F2008" s="729"/>
      <c r="G2008" s="730"/>
      <c r="H2008" s="73"/>
      <c r="I2008" s="90"/>
      <c r="J2008" s="73"/>
      <c r="K2008" s="814">
        <v>2.764E-3</v>
      </c>
      <c r="L2008" s="717"/>
      <c r="M2008" s="73"/>
      <c r="N2008" s="811"/>
      <c r="O2008" s="1041"/>
      <c r="P2008" s="73"/>
      <c r="Q2008" s="811"/>
      <c r="R2008" s="1041"/>
      <c r="S2008" s="73"/>
      <c r="T2008" s="811"/>
      <c r="U2008" s="73"/>
      <c r="V2008" s="66"/>
      <c r="W2008" s="788">
        <f t="shared" ref="W2008:W2074" si="1873">AA2008*(1+AB2008)</f>
        <v>2.0730000000000003E-6</v>
      </c>
      <c r="X2008" s="789">
        <f t="shared" ref="X2008:X2074" si="1874">AA2008*(1+AC2008)</f>
        <v>2.0730000000000003E-6</v>
      </c>
      <c r="Y2008" s="52">
        <v>2005</v>
      </c>
      <c r="Z2008" s="52"/>
      <c r="AA2008" s="787">
        <f t="shared" si="1869"/>
        <v>2.7640000000000001E-6</v>
      </c>
      <c r="AB2008" s="256">
        <v>-0.25</v>
      </c>
      <c r="AC2008" s="688">
        <f t="shared" ref="AC2008:AC2074" si="1875">AB2008</f>
        <v>-0.25</v>
      </c>
      <c r="AD2008" s="164"/>
      <c r="AE2008" s="164"/>
      <c r="AF2008" s="25"/>
      <c r="AG2008" s="26"/>
      <c r="AH2008" s="275"/>
      <c r="AI2008" s="52"/>
      <c r="AJ2008" s="35"/>
      <c r="AK2008" s="289"/>
      <c r="AL2008" s="290"/>
      <c r="AM2008" s="211"/>
      <c r="AN2008" s="164"/>
      <c r="AO2008" s="76"/>
      <c r="AP2008" s="44"/>
      <c r="AQ2008" s="275"/>
      <c r="AR2008" s="52"/>
      <c r="AS2008" s="35"/>
      <c r="AT2008" s="79"/>
      <c r="AU2008" s="212"/>
      <c r="AV2008" s="164"/>
      <c r="AW2008" s="164"/>
      <c r="AX2008" s="76"/>
      <c r="AY2008" s="44"/>
      <c r="AZ2008" s="275"/>
      <c r="BA2008" s="52"/>
      <c r="BB2008" s="35"/>
      <c r="BC2008" s="79"/>
      <c r="BD2008" s="230"/>
      <c r="BE2008" s="211"/>
      <c r="BF2008" s="164"/>
      <c r="BG2008" s="76"/>
      <c r="BH2008" s="44"/>
      <c r="BI2008" s="275"/>
      <c r="BJ2008" s="52"/>
      <c r="BK2008" s="35"/>
      <c r="BL2008" s="79"/>
      <c r="BM2008" s="230"/>
      <c r="BN2008" s="211"/>
      <c r="BO2008" s="164"/>
      <c r="BP2008" s="76"/>
      <c r="BQ2008" s="44"/>
      <c r="BR2008" s="299"/>
      <c r="BS2008" s="52"/>
      <c r="BT2008" s="35"/>
      <c r="BU2008" s="79"/>
      <c r="BV2008" s="212"/>
      <c r="BW2008" s="304"/>
      <c r="BX2008" s="313"/>
      <c r="BY2008" s="138"/>
    </row>
    <row r="2009" spans="1:77" ht="15" customHeight="1" outlineLevel="1" x14ac:dyDescent="0.2">
      <c r="A2009" s="583" t="s">
        <v>37</v>
      </c>
      <c r="B2009" s="583" t="s">
        <v>477</v>
      </c>
      <c r="C2009" s="162" t="s">
        <v>1239</v>
      </c>
      <c r="D2009" s="812">
        <v>1.6519999999999999</v>
      </c>
      <c r="E2009" s="162" t="s">
        <v>631</v>
      </c>
      <c r="F2009" s="729"/>
      <c r="G2009" s="730"/>
      <c r="H2009" s="73"/>
      <c r="I2009" s="90"/>
      <c r="J2009" s="73"/>
      <c r="K2009" s="734">
        <v>6.4359999999999999E-3</v>
      </c>
      <c r="L2009" s="717"/>
      <c r="M2009" s="73"/>
      <c r="N2009" s="811"/>
      <c r="O2009" s="1041"/>
      <c r="P2009" s="73"/>
      <c r="Q2009" s="811"/>
      <c r="R2009" s="1041"/>
      <c r="S2009" s="73"/>
      <c r="T2009" s="811"/>
      <c r="U2009" s="73"/>
      <c r="V2009" s="66"/>
      <c r="W2009" s="788">
        <f t="shared" si="1873"/>
        <v>2.9605599999999998E-6</v>
      </c>
      <c r="X2009" s="789">
        <f t="shared" si="1874"/>
        <v>2.9605599999999998E-6</v>
      </c>
      <c r="Y2009" s="52">
        <v>2005</v>
      </c>
      <c r="Z2009" s="52"/>
      <c r="AA2009" s="787">
        <f t="shared" si="1869"/>
        <v>6.4359999999999999E-6</v>
      </c>
      <c r="AB2009" s="256">
        <v>-0.54</v>
      </c>
      <c r="AC2009" s="688">
        <f t="shared" si="1875"/>
        <v>-0.54</v>
      </c>
      <c r="AD2009" s="164"/>
      <c r="AE2009" s="164"/>
      <c r="AF2009" s="25"/>
      <c r="AG2009" s="26"/>
      <c r="AH2009" s="275"/>
      <c r="AI2009" s="52"/>
      <c r="AJ2009" s="35"/>
      <c r="AK2009" s="289"/>
      <c r="AL2009" s="290"/>
      <c r="AM2009" s="211"/>
      <c r="AN2009" s="164"/>
      <c r="AO2009" s="76"/>
      <c r="AP2009" s="44"/>
      <c r="AQ2009" s="275"/>
      <c r="AR2009" s="52"/>
      <c r="AS2009" s="35"/>
      <c r="AT2009" s="79"/>
      <c r="AU2009" s="212"/>
      <c r="AV2009" s="164"/>
      <c r="AW2009" s="164"/>
      <c r="AX2009" s="76"/>
      <c r="AY2009" s="44"/>
      <c r="AZ2009" s="275"/>
      <c r="BA2009" s="52"/>
      <c r="BB2009" s="35"/>
      <c r="BC2009" s="79"/>
      <c r="BD2009" s="230"/>
      <c r="BE2009" s="211"/>
      <c r="BF2009" s="164"/>
      <c r="BG2009" s="76"/>
      <c r="BH2009" s="44"/>
      <c r="BI2009" s="275"/>
      <c r="BJ2009" s="52"/>
      <c r="BK2009" s="35"/>
      <c r="BL2009" s="79"/>
      <c r="BM2009" s="230"/>
      <c r="BN2009" s="211"/>
      <c r="BO2009" s="164"/>
      <c r="BP2009" s="76"/>
      <c r="BQ2009" s="44"/>
      <c r="BR2009" s="299"/>
      <c r="BS2009" s="52"/>
      <c r="BT2009" s="35"/>
      <c r="BU2009" s="79"/>
      <c r="BV2009" s="212"/>
      <c r="BW2009" s="304"/>
      <c r="BX2009" s="313"/>
      <c r="BY2009" s="138"/>
    </row>
    <row r="2010" spans="1:77" ht="15" customHeight="1" outlineLevel="1" x14ac:dyDescent="0.2">
      <c r="A2010" s="583" t="s">
        <v>37</v>
      </c>
      <c r="B2010" s="583" t="s">
        <v>477</v>
      </c>
      <c r="C2010" s="162" t="s">
        <v>1207</v>
      </c>
      <c r="D2010" s="812">
        <v>5.5</v>
      </c>
      <c r="E2010" s="162" t="s">
        <v>631</v>
      </c>
      <c r="F2010" s="729"/>
      <c r="G2010" s="730"/>
      <c r="H2010" s="73"/>
      <c r="I2010" s="90"/>
      <c r="J2010" s="73"/>
      <c r="K2010" s="734">
        <v>2.2985999999999999E-2</v>
      </c>
      <c r="L2010" s="717"/>
      <c r="M2010" s="73"/>
      <c r="N2010" s="811"/>
      <c r="O2010" s="1041"/>
      <c r="P2010" s="73"/>
      <c r="Q2010" s="811"/>
      <c r="R2010" s="1041"/>
      <c r="S2010" s="73"/>
      <c r="T2010" s="811"/>
      <c r="U2010" s="73"/>
      <c r="V2010" s="66"/>
      <c r="W2010" s="788">
        <f t="shared" si="1873"/>
        <v>1.654992E-5</v>
      </c>
      <c r="X2010" s="789">
        <f t="shared" si="1874"/>
        <v>1.654992E-5</v>
      </c>
      <c r="Y2010" s="52">
        <v>2005</v>
      </c>
      <c r="Z2010" s="52"/>
      <c r="AA2010" s="787">
        <f t="shared" si="1869"/>
        <v>2.2986E-5</v>
      </c>
      <c r="AB2010" s="256">
        <v>-0.28000000000000003</v>
      </c>
      <c r="AC2010" s="688">
        <f t="shared" si="1875"/>
        <v>-0.28000000000000003</v>
      </c>
      <c r="AD2010" s="164"/>
      <c r="AE2010" s="164"/>
      <c r="AF2010" s="25"/>
      <c r="AG2010" s="26"/>
      <c r="AH2010" s="275"/>
      <c r="AI2010" s="52"/>
      <c r="AJ2010" s="35"/>
      <c r="AK2010" s="289"/>
      <c r="AL2010" s="290"/>
      <c r="AM2010" s="211"/>
      <c r="AN2010" s="164"/>
      <c r="AO2010" s="76"/>
      <c r="AP2010" s="44"/>
      <c r="AQ2010" s="275"/>
      <c r="AR2010" s="52"/>
      <c r="AS2010" s="35"/>
      <c r="AT2010" s="79"/>
      <c r="AU2010" s="212"/>
      <c r="AV2010" s="164"/>
      <c r="AW2010" s="164"/>
      <c r="AX2010" s="76"/>
      <c r="AY2010" s="44"/>
      <c r="AZ2010" s="275"/>
      <c r="BA2010" s="52"/>
      <c r="BB2010" s="35"/>
      <c r="BC2010" s="79"/>
      <c r="BD2010" s="230"/>
      <c r="BE2010" s="211"/>
      <c r="BF2010" s="164"/>
      <c r="BG2010" s="76"/>
      <c r="BH2010" s="44"/>
      <c r="BI2010" s="275"/>
      <c r="BJ2010" s="52"/>
      <c r="BK2010" s="35"/>
      <c r="BL2010" s="79"/>
      <c r="BM2010" s="230"/>
      <c r="BN2010" s="211"/>
      <c r="BO2010" s="164"/>
      <c r="BP2010" s="76"/>
      <c r="BQ2010" s="44"/>
      <c r="BR2010" s="299"/>
      <c r="BS2010" s="52"/>
      <c r="BT2010" s="35"/>
      <c r="BU2010" s="79"/>
      <c r="BV2010" s="212"/>
      <c r="BW2010" s="304"/>
      <c r="BX2010" s="313"/>
      <c r="BY2010" s="138"/>
    </row>
    <row r="2011" spans="1:77" ht="15" customHeight="1" outlineLevel="1" x14ac:dyDescent="0.2">
      <c r="A2011" s="583" t="s">
        <v>37</v>
      </c>
      <c r="B2011" s="583" t="s">
        <v>477</v>
      </c>
      <c r="C2011" s="162" t="s">
        <v>1091</v>
      </c>
      <c r="D2011" s="812">
        <v>5.4329999999999998</v>
      </c>
      <c r="E2011" s="162" t="s">
        <v>631</v>
      </c>
      <c r="F2011" s="729"/>
      <c r="G2011" s="730"/>
      <c r="H2011" s="73"/>
      <c r="I2011" s="90"/>
      <c r="J2011" s="73"/>
      <c r="K2011" s="790">
        <v>4.8040000000000001E-3</v>
      </c>
      <c r="L2011" s="717"/>
      <c r="M2011" s="73"/>
      <c r="N2011" s="811"/>
      <c r="O2011" s="1041"/>
      <c r="P2011" s="73"/>
      <c r="Q2011" s="811"/>
      <c r="R2011" s="1041"/>
      <c r="S2011" s="73"/>
      <c r="T2011" s="811"/>
      <c r="U2011" s="73"/>
      <c r="V2011" s="66"/>
      <c r="W2011" s="788">
        <f t="shared" si="1873"/>
        <v>3.6030000000000001E-6</v>
      </c>
      <c r="X2011" s="789">
        <f t="shared" si="1874"/>
        <v>3.6030000000000001E-6</v>
      </c>
      <c r="Y2011" s="52">
        <v>2005</v>
      </c>
      <c r="Z2011" s="52"/>
      <c r="AA2011" s="787">
        <f t="shared" si="1869"/>
        <v>4.8040000000000001E-6</v>
      </c>
      <c r="AB2011" s="256">
        <v>-0.25</v>
      </c>
      <c r="AC2011" s="688">
        <f t="shared" si="1875"/>
        <v>-0.25</v>
      </c>
      <c r="AD2011" s="164"/>
      <c r="AE2011" s="164"/>
      <c r="AF2011" s="25"/>
      <c r="AG2011" s="26"/>
      <c r="AH2011" s="275"/>
      <c r="AI2011" s="52"/>
      <c r="AJ2011" s="35"/>
      <c r="AK2011" s="289"/>
      <c r="AL2011" s="290"/>
      <c r="AM2011" s="211"/>
      <c r="AN2011" s="164"/>
      <c r="AO2011" s="76"/>
      <c r="AP2011" s="44"/>
      <c r="AQ2011" s="275"/>
      <c r="AR2011" s="52"/>
      <c r="AS2011" s="35"/>
      <c r="AT2011" s="79"/>
      <c r="AU2011" s="212"/>
      <c r="AV2011" s="164"/>
      <c r="AW2011" s="164"/>
      <c r="AX2011" s="76"/>
      <c r="AY2011" s="44"/>
      <c r="AZ2011" s="275"/>
      <c r="BA2011" s="52"/>
      <c r="BB2011" s="35"/>
      <c r="BC2011" s="79"/>
      <c r="BD2011" s="230"/>
      <c r="BE2011" s="211"/>
      <c r="BF2011" s="164"/>
      <c r="BG2011" s="76"/>
      <c r="BH2011" s="44"/>
      <c r="BI2011" s="275"/>
      <c r="BJ2011" s="52"/>
      <c r="BK2011" s="35"/>
      <c r="BL2011" s="79"/>
      <c r="BM2011" s="230"/>
      <c r="BN2011" s="211"/>
      <c r="BO2011" s="164"/>
      <c r="BP2011" s="76"/>
      <c r="BQ2011" s="44"/>
      <c r="BR2011" s="299"/>
      <c r="BS2011" s="52"/>
      <c r="BT2011" s="35"/>
      <c r="BU2011" s="79"/>
      <c r="BV2011" s="212"/>
      <c r="BW2011" s="304"/>
      <c r="BX2011" s="313"/>
      <c r="BY2011" s="138"/>
    </row>
    <row r="2012" spans="1:77" ht="15" customHeight="1" outlineLevel="1" x14ac:dyDescent="0.2">
      <c r="A2012" s="583" t="s">
        <v>37</v>
      </c>
      <c r="B2012" s="583" t="s">
        <v>477</v>
      </c>
      <c r="C2012" s="162" t="s">
        <v>2584</v>
      </c>
      <c r="D2012" s="812">
        <v>1636.7619999999999</v>
      </c>
      <c r="E2012" s="162" t="s">
        <v>2812</v>
      </c>
      <c r="F2012" s="761">
        <v>1992</v>
      </c>
      <c r="G2012" s="730"/>
      <c r="H2012" s="792">
        <v>4.7433800000000002</v>
      </c>
      <c r="I2012" s="90"/>
      <c r="J2012" s="73"/>
      <c r="K2012" s="790"/>
      <c r="L2012" s="717">
        <v>2008</v>
      </c>
      <c r="M2012" s="73"/>
      <c r="N2012" s="359">
        <v>3.5259999999999998</v>
      </c>
      <c r="O2012" s="1041">
        <v>2014</v>
      </c>
      <c r="P2012" s="73"/>
      <c r="Q2012" s="359">
        <v>3.32911</v>
      </c>
      <c r="R2012" s="1041"/>
      <c r="S2012" s="73"/>
      <c r="T2012" s="359"/>
      <c r="U2012" s="73"/>
      <c r="V2012" s="66"/>
      <c r="W2012" s="594">
        <f t="shared" ref="W2012" si="1876">AA2012*(1+AB2012)</f>
        <v>2.7150199999999998E-3</v>
      </c>
      <c r="X2012" s="595">
        <f t="shared" ref="X2012" si="1877">AA2012*(1+AC2012)</f>
        <v>2.7150199999999998E-3</v>
      </c>
      <c r="Y2012" s="52">
        <v>2008</v>
      </c>
      <c r="Z2012" s="52"/>
      <c r="AA2012" s="596">
        <f>+N2012/1000</f>
        <v>3.5259999999999996E-3</v>
      </c>
      <c r="AB2012" s="256">
        <v>-0.23</v>
      </c>
      <c r="AC2012" s="688">
        <f t="shared" ref="AC2012" si="1878">AB2012</f>
        <v>-0.23</v>
      </c>
      <c r="AD2012" s="164"/>
      <c r="AE2012" s="164"/>
      <c r="AF2012" s="25"/>
      <c r="AG2012" s="26"/>
      <c r="AH2012" s="275"/>
      <c r="AI2012" s="52"/>
      <c r="AJ2012" s="35"/>
      <c r="AK2012" s="289"/>
      <c r="AL2012" s="290"/>
      <c r="AM2012" s="211"/>
      <c r="AN2012" s="164"/>
      <c r="AO2012" s="594">
        <f>AS2012*(1+AT2012)</f>
        <v>2.3716900000000001E-3</v>
      </c>
      <c r="AP2012" s="595">
        <f>AS2012*(1+AU2012)</f>
        <v>2.3716900000000001E-3</v>
      </c>
      <c r="AQ2012" s="275">
        <v>2005</v>
      </c>
      <c r="AR2012" s="52"/>
      <c r="AS2012" s="596">
        <f>+H2012/1000</f>
        <v>4.7433800000000002E-3</v>
      </c>
      <c r="AT2012" s="79">
        <v>-0.5</v>
      </c>
      <c r="AU2012" s="212">
        <f>AT2012</f>
        <v>-0.5</v>
      </c>
      <c r="AV2012" s="164"/>
      <c r="AW2012" s="164"/>
      <c r="AX2012" s="76"/>
      <c r="AY2012" s="44"/>
      <c r="AZ2012" s="275"/>
      <c r="BA2012" s="52"/>
      <c r="BB2012" s="35"/>
      <c r="BC2012" s="79"/>
      <c r="BD2012" s="230"/>
      <c r="BE2012" s="211"/>
      <c r="BF2012" s="164"/>
      <c r="BG2012" s="76"/>
      <c r="BH2012" s="44"/>
      <c r="BI2012" s="275"/>
      <c r="BJ2012" s="52"/>
      <c r="BK2012" s="35"/>
      <c r="BL2012" s="79"/>
      <c r="BM2012" s="230"/>
      <c r="BN2012" s="211"/>
      <c r="BO2012" s="164"/>
      <c r="BP2012" s="76">
        <v>0</v>
      </c>
      <c r="BQ2012" s="44">
        <v>0</v>
      </c>
      <c r="BR2012" s="299"/>
      <c r="BS2012" s="52"/>
      <c r="BT2012" s="35"/>
      <c r="BU2012" s="977">
        <v>-1</v>
      </c>
      <c r="BV2012" s="1253">
        <f t="shared" ref="BV2012" si="1879">BU2012</f>
        <v>-1</v>
      </c>
      <c r="BW2012" s="304"/>
      <c r="BX2012" s="313"/>
      <c r="BY2012" s="138"/>
    </row>
    <row r="2013" spans="1:77" ht="15" customHeight="1" outlineLevel="1" x14ac:dyDescent="0.2">
      <c r="A2013" s="583" t="s">
        <v>37</v>
      </c>
      <c r="B2013" s="583" t="s">
        <v>477</v>
      </c>
      <c r="C2013" s="162" t="s">
        <v>1241</v>
      </c>
      <c r="D2013" s="812">
        <v>0.56399999999999995</v>
      </c>
      <c r="E2013" s="162" t="s">
        <v>631</v>
      </c>
      <c r="F2013" s="729"/>
      <c r="G2013" s="730"/>
      <c r="H2013" s="73"/>
      <c r="I2013" s="90"/>
      <c r="J2013" s="73"/>
      <c r="K2013" s="790">
        <v>2.5660000000000001E-3</v>
      </c>
      <c r="L2013" s="717"/>
      <c r="M2013" s="73"/>
      <c r="N2013" s="811"/>
      <c r="O2013" s="1041"/>
      <c r="P2013" s="73"/>
      <c r="Q2013" s="811"/>
      <c r="R2013" s="1041"/>
      <c r="S2013" s="73"/>
      <c r="T2013" s="811"/>
      <c r="U2013" s="73"/>
      <c r="V2013" s="66"/>
      <c r="W2013" s="788">
        <f t="shared" si="1873"/>
        <v>1.89884E-6</v>
      </c>
      <c r="X2013" s="789">
        <f t="shared" si="1874"/>
        <v>1.89884E-6</v>
      </c>
      <c r="Y2013" s="52">
        <v>2005</v>
      </c>
      <c r="Z2013" s="52"/>
      <c r="AA2013" s="787">
        <f t="shared" si="1869"/>
        <v>2.5660000000000001E-6</v>
      </c>
      <c r="AB2013" s="256">
        <v>-0.26</v>
      </c>
      <c r="AC2013" s="688">
        <f t="shared" si="1875"/>
        <v>-0.26</v>
      </c>
      <c r="AD2013" s="164"/>
      <c r="AE2013" s="164"/>
      <c r="AF2013" s="25"/>
      <c r="AG2013" s="26"/>
      <c r="AH2013" s="275"/>
      <c r="AI2013" s="52"/>
      <c r="AJ2013" s="35"/>
      <c r="AK2013" s="289"/>
      <c r="AL2013" s="290"/>
      <c r="AM2013" s="211"/>
      <c r="AN2013" s="164"/>
      <c r="AO2013" s="76"/>
      <c r="AP2013" s="44"/>
      <c r="AQ2013" s="275"/>
      <c r="AR2013" s="52"/>
      <c r="AS2013" s="35"/>
      <c r="AT2013" s="79"/>
      <c r="AU2013" s="212"/>
      <c r="AV2013" s="164"/>
      <c r="AW2013" s="164"/>
      <c r="AX2013" s="76"/>
      <c r="AY2013" s="44"/>
      <c r="AZ2013" s="275"/>
      <c r="BA2013" s="52"/>
      <c r="BB2013" s="35"/>
      <c r="BC2013" s="79"/>
      <c r="BD2013" s="230"/>
      <c r="BE2013" s="211"/>
      <c r="BF2013" s="164"/>
      <c r="BG2013" s="76"/>
      <c r="BH2013" s="44"/>
      <c r="BI2013" s="275"/>
      <c r="BJ2013" s="52"/>
      <c r="BK2013" s="35"/>
      <c r="BL2013" s="79"/>
      <c r="BM2013" s="230"/>
      <c r="BN2013" s="211"/>
      <c r="BO2013" s="164"/>
      <c r="BP2013" s="76"/>
      <c r="BQ2013" s="44"/>
      <c r="BR2013" s="299"/>
      <c r="BS2013" s="52"/>
      <c r="BT2013" s="35"/>
      <c r="BU2013" s="79"/>
      <c r="BV2013" s="212"/>
      <c r="BW2013" s="304"/>
      <c r="BX2013" s="313"/>
      <c r="BY2013" s="138"/>
    </row>
    <row r="2014" spans="1:77" ht="15" customHeight="1" outlineLevel="1" x14ac:dyDescent="0.2">
      <c r="A2014" s="583" t="s">
        <v>37</v>
      </c>
      <c r="B2014" s="583" t="s">
        <v>477</v>
      </c>
      <c r="C2014" s="162" t="s">
        <v>1246</v>
      </c>
      <c r="D2014" s="806">
        <v>0.248</v>
      </c>
      <c r="E2014" s="162" t="s">
        <v>631</v>
      </c>
      <c r="F2014" s="729"/>
      <c r="G2014" s="730"/>
      <c r="H2014" s="73"/>
      <c r="I2014" s="90"/>
      <c r="J2014" s="73"/>
      <c r="K2014" s="815">
        <v>2.4800000000000001E-4</v>
      </c>
      <c r="L2014" s="717"/>
      <c r="M2014" s="73"/>
      <c r="N2014" s="811"/>
      <c r="O2014" s="1041"/>
      <c r="P2014" s="73"/>
      <c r="Q2014" s="811"/>
      <c r="R2014" s="1041"/>
      <c r="S2014" s="73"/>
      <c r="T2014" s="811"/>
      <c r="U2014" s="73"/>
      <c r="V2014" s="66"/>
      <c r="W2014" s="808">
        <f t="shared" si="1873"/>
        <v>1.8351999999999999E-7</v>
      </c>
      <c r="X2014" s="809">
        <f t="shared" si="1874"/>
        <v>1.8351999999999999E-7</v>
      </c>
      <c r="Y2014" s="52">
        <v>2005</v>
      </c>
      <c r="Z2014" s="52"/>
      <c r="AA2014" s="807">
        <f t="shared" si="1869"/>
        <v>2.48E-7</v>
      </c>
      <c r="AB2014" s="256">
        <v>-0.26</v>
      </c>
      <c r="AC2014" s="688">
        <f t="shared" si="1875"/>
        <v>-0.26</v>
      </c>
      <c r="AD2014" s="164"/>
      <c r="AE2014" s="164"/>
      <c r="AF2014" s="25"/>
      <c r="AG2014" s="26"/>
      <c r="AH2014" s="275"/>
      <c r="AI2014" s="52"/>
      <c r="AJ2014" s="35"/>
      <c r="AK2014" s="289"/>
      <c r="AL2014" s="290"/>
      <c r="AM2014" s="211"/>
      <c r="AN2014" s="164"/>
      <c r="AO2014" s="76"/>
      <c r="AP2014" s="44"/>
      <c r="AQ2014" s="275"/>
      <c r="AR2014" s="52"/>
      <c r="AS2014" s="35"/>
      <c r="AT2014" s="79"/>
      <c r="AU2014" s="212"/>
      <c r="AV2014" s="164"/>
      <c r="AW2014" s="164"/>
      <c r="AX2014" s="76"/>
      <c r="AY2014" s="44"/>
      <c r="AZ2014" s="275"/>
      <c r="BA2014" s="52"/>
      <c r="BB2014" s="35"/>
      <c r="BC2014" s="79"/>
      <c r="BD2014" s="230"/>
      <c r="BE2014" s="211"/>
      <c r="BF2014" s="164"/>
      <c r="BG2014" s="76"/>
      <c r="BH2014" s="44"/>
      <c r="BI2014" s="275"/>
      <c r="BJ2014" s="52"/>
      <c r="BK2014" s="35"/>
      <c r="BL2014" s="79"/>
      <c r="BM2014" s="230"/>
      <c r="BN2014" s="211"/>
      <c r="BO2014" s="164"/>
      <c r="BP2014" s="76"/>
      <c r="BQ2014" s="44"/>
      <c r="BR2014" s="299"/>
      <c r="BS2014" s="52"/>
      <c r="BT2014" s="35"/>
      <c r="BU2014" s="79"/>
      <c r="BV2014" s="212"/>
      <c r="BW2014" s="304"/>
      <c r="BX2014" s="313"/>
      <c r="BY2014" s="138"/>
    </row>
    <row r="2015" spans="1:77" ht="15" customHeight="1" outlineLevel="1" x14ac:dyDescent="0.2">
      <c r="A2015" s="583" t="s">
        <v>37</v>
      </c>
      <c r="B2015" s="583" t="s">
        <v>477</v>
      </c>
      <c r="C2015" s="162" t="s">
        <v>1245</v>
      </c>
      <c r="D2015" s="812">
        <v>39.906999999999996</v>
      </c>
      <c r="E2015" s="162" t="s">
        <v>631</v>
      </c>
      <c r="F2015" s="729"/>
      <c r="G2015" s="730"/>
      <c r="H2015" s="73"/>
      <c r="I2015" s="90"/>
      <c r="J2015" s="73"/>
      <c r="K2015" s="66">
        <v>0.21793000000000001</v>
      </c>
      <c r="L2015" s="717"/>
      <c r="M2015" s="73"/>
      <c r="N2015" s="811"/>
      <c r="O2015" s="1041"/>
      <c r="P2015" s="73"/>
      <c r="Q2015" s="811"/>
      <c r="R2015" s="1041"/>
      <c r="S2015" s="73"/>
      <c r="T2015" s="811"/>
      <c r="U2015" s="73"/>
      <c r="V2015" s="66"/>
      <c r="W2015" s="594">
        <f t="shared" si="1873"/>
        <v>1.6126820000000002E-4</v>
      </c>
      <c r="X2015" s="595">
        <f t="shared" si="1874"/>
        <v>1.6126820000000002E-4</v>
      </c>
      <c r="Y2015" s="52">
        <v>2005</v>
      </c>
      <c r="Z2015" s="52"/>
      <c r="AA2015" s="596">
        <f t="shared" si="1869"/>
        <v>2.1793000000000002E-4</v>
      </c>
      <c r="AB2015" s="256">
        <v>-0.26</v>
      </c>
      <c r="AC2015" s="688">
        <f t="shared" si="1875"/>
        <v>-0.26</v>
      </c>
      <c r="AD2015" s="164"/>
      <c r="AE2015" s="164"/>
      <c r="AF2015" s="25"/>
      <c r="AG2015" s="26"/>
      <c r="AH2015" s="275"/>
      <c r="AI2015" s="52"/>
      <c r="AJ2015" s="35"/>
      <c r="AK2015" s="289"/>
      <c r="AL2015" s="290"/>
      <c r="AM2015" s="211"/>
      <c r="AN2015" s="164"/>
      <c r="AO2015" s="76"/>
      <c r="AP2015" s="44"/>
      <c r="AQ2015" s="275"/>
      <c r="AR2015" s="52"/>
      <c r="AS2015" s="35"/>
      <c r="AT2015" s="79"/>
      <c r="AU2015" s="212"/>
      <c r="AV2015" s="164"/>
      <c r="AW2015" s="164"/>
      <c r="AX2015" s="76"/>
      <c r="AY2015" s="44"/>
      <c r="AZ2015" s="275"/>
      <c r="BA2015" s="52"/>
      <c r="BB2015" s="35"/>
      <c r="BC2015" s="79"/>
      <c r="BD2015" s="230"/>
      <c r="BE2015" s="211"/>
      <c r="BF2015" s="164"/>
      <c r="BG2015" s="76"/>
      <c r="BH2015" s="44"/>
      <c r="BI2015" s="275"/>
      <c r="BJ2015" s="52"/>
      <c r="BK2015" s="35"/>
      <c r="BL2015" s="79"/>
      <c r="BM2015" s="230"/>
      <c r="BN2015" s="211"/>
      <c r="BO2015" s="164"/>
      <c r="BP2015" s="76"/>
      <c r="BQ2015" s="44"/>
      <c r="BR2015" s="299"/>
      <c r="BS2015" s="52"/>
      <c r="BT2015" s="35"/>
      <c r="BU2015" s="79"/>
      <c r="BV2015" s="212"/>
      <c r="BW2015" s="304"/>
      <c r="BX2015" s="313"/>
      <c r="BY2015" s="138"/>
    </row>
    <row r="2016" spans="1:77" ht="15" customHeight="1" outlineLevel="1" x14ac:dyDescent="0.2">
      <c r="A2016" s="583" t="s">
        <v>37</v>
      </c>
      <c r="B2016" s="583" t="s">
        <v>477</v>
      </c>
      <c r="C2016" s="162" t="s">
        <v>1034</v>
      </c>
      <c r="D2016" s="812">
        <v>2.4359999999999999</v>
      </c>
      <c r="E2016" s="162" t="s">
        <v>631</v>
      </c>
      <c r="F2016" s="729"/>
      <c r="G2016" s="730"/>
      <c r="H2016" s="73"/>
      <c r="I2016" s="90"/>
      <c r="J2016" s="73"/>
      <c r="K2016" s="790">
        <v>4.4619999999999998E-3</v>
      </c>
      <c r="L2016" s="717"/>
      <c r="M2016" s="73"/>
      <c r="N2016" s="811"/>
      <c r="O2016" s="1041"/>
      <c r="P2016" s="73"/>
      <c r="Q2016" s="811"/>
      <c r="R2016" s="1041"/>
      <c r="S2016" s="73"/>
      <c r="T2016" s="811"/>
      <c r="U2016" s="73"/>
      <c r="V2016" s="66"/>
      <c r="W2016" s="788">
        <f t="shared" si="1873"/>
        <v>3.2126399999999998E-6</v>
      </c>
      <c r="X2016" s="789">
        <f t="shared" si="1874"/>
        <v>3.2126399999999998E-6</v>
      </c>
      <c r="Y2016" s="52">
        <v>2005</v>
      </c>
      <c r="Z2016" s="52"/>
      <c r="AA2016" s="787">
        <f t="shared" si="1869"/>
        <v>4.4619999999999998E-6</v>
      </c>
      <c r="AB2016" s="256">
        <v>-0.28000000000000003</v>
      </c>
      <c r="AC2016" s="688">
        <f t="shared" si="1875"/>
        <v>-0.28000000000000003</v>
      </c>
      <c r="AD2016" s="164"/>
      <c r="AE2016" s="164"/>
      <c r="AF2016" s="25"/>
      <c r="AG2016" s="26"/>
      <c r="AH2016" s="275"/>
      <c r="AI2016" s="52"/>
      <c r="AJ2016" s="35"/>
      <c r="AK2016" s="289"/>
      <c r="AL2016" s="290"/>
      <c r="AM2016" s="211"/>
      <c r="AN2016" s="164"/>
      <c r="AO2016" s="76"/>
      <c r="AP2016" s="44"/>
      <c r="AQ2016" s="275"/>
      <c r="AR2016" s="52"/>
      <c r="AS2016" s="35"/>
      <c r="AT2016" s="79"/>
      <c r="AU2016" s="212"/>
      <c r="AV2016" s="164"/>
      <c r="AW2016" s="164"/>
      <c r="AX2016" s="76"/>
      <c r="AY2016" s="44"/>
      <c r="AZ2016" s="275"/>
      <c r="BA2016" s="52"/>
      <c r="BB2016" s="35"/>
      <c r="BC2016" s="79"/>
      <c r="BD2016" s="230"/>
      <c r="BE2016" s="211"/>
      <c r="BF2016" s="164"/>
      <c r="BG2016" s="76"/>
      <c r="BH2016" s="44"/>
      <c r="BI2016" s="275"/>
      <c r="BJ2016" s="52"/>
      <c r="BK2016" s="35"/>
      <c r="BL2016" s="79"/>
      <c r="BM2016" s="230"/>
      <c r="BN2016" s="211"/>
      <c r="BO2016" s="164"/>
      <c r="BP2016" s="76"/>
      <c r="BQ2016" s="44"/>
      <c r="BR2016" s="299"/>
      <c r="BS2016" s="52"/>
      <c r="BT2016" s="35"/>
      <c r="BU2016" s="79"/>
      <c r="BV2016" s="212"/>
      <c r="BW2016" s="304"/>
      <c r="BX2016" s="313"/>
      <c r="BY2016" s="138"/>
    </row>
    <row r="2017" spans="1:77" ht="15" customHeight="1" outlineLevel="1" x14ac:dyDescent="0.2">
      <c r="A2017" s="583" t="s">
        <v>37</v>
      </c>
      <c r="B2017" s="583" t="s">
        <v>477</v>
      </c>
      <c r="C2017" s="162" t="s">
        <v>1165</v>
      </c>
      <c r="D2017" s="812">
        <v>1.7589999999999999</v>
      </c>
      <c r="E2017" s="162" t="s">
        <v>631</v>
      </c>
      <c r="F2017" s="729"/>
      <c r="G2017" s="730"/>
      <c r="H2017" s="73"/>
      <c r="I2017" s="90"/>
      <c r="J2017" s="73"/>
      <c r="K2017" s="734">
        <v>7.7340000000000004E-3</v>
      </c>
      <c r="L2017" s="717"/>
      <c r="M2017" s="73"/>
      <c r="N2017" s="811"/>
      <c r="O2017" s="1041"/>
      <c r="P2017" s="73"/>
      <c r="Q2017" s="811"/>
      <c r="R2017" s="1041"/>
      <c r="S2017" s="73"/>
      <c r="T2017" s="811"/>
      <c r="U2017" s="73"/>
      <c r="V2017" s="66"/>
      <c r="W2017" s="740">
        <f t="shared" si="1873"/>
        <v>5.7231600000000003E-6</v>
      </c>
      <c r="X2017" s="741">
        <f t="shared" si="1874"/>
        <v>5.7231600000000003E-6</v>
      </c>
      <c r="Y2017" s="52">
        <v>2005</v>
      </c>
      <c r="Z2017" s="52"/>
      <c r="AA2017" s="739">
        <f t="shared" si="1869"/>
        <v>7.7340000000000008E-6</v>
      </c>
      <c r="AB2017" s="256">
        <v>-0.26</v>
      </c>
      <c r="AC2017" s="688">
        <f t="shared" si="1875"/>
        <v>-0.26</v>
      </c>
      <c r="AD2017" s="164"/>
      <c r="AE2017" s="164"/>
      <c r="AF2017" s="25"/>
      <c r="AG2017" s="26"/>
      <c r="AH2017" s="275"/>
      <c r="AI2017" s="52"/>
      <c r="AJ2017" s="35"/>
      <c r="AK2017" s="289"/>
      <c r="AL2017" s="290"/>
      <c r="AM2017" s="211"/>
      <c r="AN2017" s="164"/>
      <c r="AO2017" s="76"/>
      <c r="AP2017" s="44"/>
      <c r="AQ2017" s="275"/>
      <c r="AR2017" s="52"/>
      <c r="AS2017" s="35"/>
      <c r="AT2017" s="79"/>
      <c r="AU2017" s="212"/>
      <c r="AV2017" s="164"/>
      <c r="AW2017" s="164"/>
      <c r="AX2017" s="76"/>
      <c r="AY2017" s="44"/>
      <c r="AZ2017" s="275"/>
      <c r="BA2017" s="52"/>
      <c r="BB2017" s="35"/>
      <c r="BC2017" s="79"/>
      <c r="BD2017" s="230"/>
      <c r="BE2017" s="211"/>
      <c r="BF2017" s="164"/>
      <c r="BG2017" s="76"/>
      <c r="BH2017" s="44"/>
      <c r="BI2017" s="275"/>
      <c r="BJ2017" s="52"/>
      <c r="BK2017" s="35"/>
      <c r="BL2017" s="79"/>
      <c r="BM2017" s="230"/>
      <c r="BN2017" s="211"/>
      <c r="BO2017" s="164"/>
      <c r="BP2017" s="76"/>
      <c r="BQ2017" s="44"/>
      <c r="BR2017" s="299"/>
      <c r="BS2017" s="52"/>
      <c r="BT2017" s="35"/>
      <c r="BU2017" s="79"/>
      <c r="BV2017" s="212"/>
      <c r="BW2017" s="304"/>
      <c r="BX2017" s="313"/>
      <c r="BY2017" s="138"/>
    </row>
    <row r="2018" spans="1:77" ht="15" customHeight="1" outlineLevel="1" x14ac:dyDescent="0.2">
      <c r="A2018" s="583" t="s">
        <v>37</v>
      </c>
      <c r="B2018" s="583" t="s">
        <v>477</v>
      </c>
      <c r="C2018" s="162" t="s">
        <v>1021</v>
      </c>
      <c r="D2018" s="806">
        <v>0.94499999999999995</v>
      </c>
      <c r="E2018" s="162" t="s">
        <v>631</v>
      </c>
      <c r="F2018" s="729"/>
      <c r="G2018" s="730"/>
      <c r="H2018" s="73"/>
      <c r="I2018" s="90"/>
      <c r="J2018" s="73"/>
      <c r="K2018" s="790">
        <v>2.947E-3</v>
      </c>
      <c r="L2018" s="717"/>
      <c r="M2018" s="73"/>
      <c r="N2018" s="811"/>
      <c r="O2018" s="1041"/>
      <c r="P2018" s="73"/>
      <c r="Q2018" s="811"/>
      <c r="R2018" s="1041"/>
      <c r="S2018" s="73"/>
      <c r="T2018" s="811"/>
      <c r="U2018" s="73"/>
      <c r="V2018" s="66"/>
      <c r="W2018" s="788">
        <f t="shared" si="1873"/>
        <v>2.2102499999999997E-6</v>
      </c>
      <c r="X2018" s="789">
        <f t="shared" si="1874"/>
        <v>2.2102499999999997E-6</v>
      </c>
      <c r="Y2018" s="52">
        <v>2005</v>
      </c>
      <c r="Z2018" s="52"/>
      <c r="AA2018" s="787">
        <f t="shared" si="1869"/>
        <v>2.9469999999999999E-6</v>
      </c>
      <c r="AB2018" s="256">
        <v>-0.25</v>
      </c>
      <c r="AC2018" s="688">
        <f t="shared" si="1875"/>
        <v>-0.25</v>
      </c>
      <c r="AD2018" s="164"/>
      <c r="AE2018" s="164"/>
      <c r="AF2018" s="25"/>
      <c r="AG2018" s="26"/>
      <c r="AH2018" s="275"/>
      <c r="AI2018" s="52"/>
      <c r="AJ2018" s="35"/>
      <c r="AK2018" s="289"/>
      <c r="AL2018" s="290"/>
      <c r="AM2018" s="211"/>
      <c r="AN2018" s="164"/>
      <c r="AO2018" s="76"/>
      <c r="AP2018" s="44"/>
      <c r="AQ2018" s="275"/>
      <c r="AR2018" s="52"/>
      <c r="AS2018" s="35"/>
      <c r="AT2018" s="79"/>
      <c r="AU2018" s="212"/>
      <c r="AV2018" s="164"/>
      <c r="AW2018" s="164"/>
      <c r="AX2018" s="76"/>
      <c r="AY2018" s="44"/>
      <c r="AZ2018" s="275"/>
      <c r="BA2018" s="52"/>
      <c r="BB2018" s="35"/>
      <c r="BC2018" s="79"/>
      <c r="BD2018" s="230"/>
      <c r="BE2018" s="211"/>
      <c r="BF2018" s="164"/>
      <c r="BG2018" s="76"/>
      <c r="BH2018" s="44"/>
      <c r="BI2018" s="275"/>
      <c r="BJ2018" s="52"/>
      <c r="BK2018" s="35"/>
      <c r="BL2018" s="79"/>
      <c r="BM2018" s="230"/>
      <c r="BN2018" s="211"/>
      <c r="BO2018" s="164"/>
      <c r="BP2018" s="76"/>
      <c r="BQ2018" s="44"/>
      <c r="BR2018" s="299"/>
      <c r="BS2018" s="52"/>
      <c r="BT2018" s="35"/>
      <c r="BU2018" s="79"/>
      <c r="BV2018" s="212"/>
      <c r="BW2018" s="304"/>
      <c r="BX2018" s="313"/>
      <c r="BY2018" s="138"/>
    </row>
    <row r="2019" spans="1:77" ht="15" customHeight="1" outlineLevel="1" x14ac:dyDescent="0.2">
      <c r="A2019" s="583" t="s">
        <v>37</v>
      </c>
      <c r="B2019" s="583" t="s">
        <v>477</v>
      </c>
      <c r="C2019" s="162" t="s">
        <v>1006</v>
      </c>
      <c r="D2019" s="812">
        <v>3.4769999999999999</v>
      </c>
      <c r="E2019" s="162" t="s">
        <v>631</v>
      </c>
      <c r="F2019" s="729"/>
      <c r="G2019" s="730"/>
      <c r="H2019" s="73"/>
      <c r="I2019" s="90"/>
      <c r="J2019" s="73"/>
      <c r="K2019" s="734">
        <v>1.6032999999999999E-2</v>
      </c>
      <c r="L2019" s="717"/>
      <c r="M2019" s="73"/>
      <c r="N2019" s="811"/>
      <c r="O2019" s="1041"/>
      <c r="P2019" s="73"/>
      <c r="Q2019" s="811"/>
      <c r="R2019" s="1041"/>
      <c r="S2019" s="73"/>
      <c r="T2019" s="811"/>
      <c r="U2019" s="73"/>
      <c r="V2019" s="66"/>
      <c r="W2019" s="788">
        <f t="shared" si="1873"/>
        <v>1.1864419999999997E-5</v>
      </c>
      <c r="X2019" s="789">
        <f t="shared" si="1874"/>
        <v>1.1864419999999997E-5</v>
      </c>
      <c r="Y2019" s="52">
        <v>2005</v>
      </c>
      <c r="Z2019" s="52"/>
      <c r="AA2019" s="787">
        <f t="shared" si="1869"/>
        <v>1.6032999999999997E-5</v>
      </c>
      <c r="AB2019" s="256">
        <v>-0.26</v>
      </c>
      <c r="AC2019" s="688">
        <f t="shared" si="1875"/>
        <v>-0.26</v>
      </c>
      <c r="AD2019" s="164"/>
      <c r="AE2019" s="164"/>
      <c r="AF2019" s="25"/>
      <c r="AG2019" s="26"/>
      <c r="AH2019" s="275"/>
      <c r="AI2019" s="52"/>
      <c r="AJ2019" s="35"/>
      <c r="AK2019" s="289"/>
      <c r="AL2019" s="290"/>
      <c r="AM2019" s="211"/>
      <c r="AN2019" s="164"/>
      <c r="AO2019" s="76"/>
      <c r="AP2019" s="44"/>
      <c r="AQ2019" s="275"/>
      <c r="AR2019" s="52"/>
      <c r="AS2019" s="35"/>
      <c r="AT2019" s="79"/>
      <c r="AU2019" s="212"/>
      <c r="AV2019" s="164"/>
      <c r="AW2019" s="164"/>
      <c r="AX2019" s="76"/>
      <c r="AY2019" s="44"/>
      <c r="AZ2019" s="275"/>
      <c r="BA2019" s="52"/>
      <c r="BB2019" s="35"/>
      <c r="BC2019" s="79"/>
      <c r="BD2019" s="230"/>
      <c r="BE2019" s="211"/>
      <c r="BF2019" s="164"/>
      <c r="BG2019" s="76"/>
      <c r="BH2019" s="44"/>
      <c r="BI2019" s="275"/>
      <c r="BJ2019" s="52"/>
      <c r="BK2019" s="35"/>
      <c r="BL2019" s="79"/>
      <c r="BM2019" s="230"/>
      <c r="BN2019" s="211"/>
      <c r="BO2019" s="164"/>
      <c r="BP2019" s="76"/>
      <c r="BQ2019" s="44"/>
      <c r="BR2019" s="299"/>
      <c r="BS2019" s="52"/>
      <c r="BT2019" s="35"/>
      <c r="BU2019" s="79"/>
      <c r="BV2019" s="212"/>
      <c r="BW2019" s="304"/>
      <c r="BX2019" s="313"/>
      <c r="BY2019" s="138"/>
    </row>
    <row r="2020" spans="1:77" ht="15" customHeight="1" outlineLevel="1" x14ac:dyDescent="0.2">
      <c r="A2020" s="583" t="s">
        <v>37</v>
      </c>
      <c r="B2020" s="583" t="s">
        <v>477</v>
      </c>
      <c r="C2020" s="162" t="s">
        <v>1208</v>
      </c>
      <c r="D2020" s="806">
        <v>0.13600000000000001</v>
      </c>
      <c r="E2020" s="162" t="s">
        <v>631</v>
      </c>
      <c r="F2020" s="729"/>
      <c r="G2020" s="730"/>
      <c r="H2020" s="73"/>
      <c r="I2020" s="90"/>
      <c r="J2020" s="73"/>
      <c r="K2020" s="790">
        <v>7.3026000000000005E-4</v>
      </c>
      <c r="L2020" s="717"/>
      <c r="M2020" s="73"/>
      <c r="N2020" s="811"/>
      <c r="O2020" s="1041"/>
      <c r="P2020" s="73"/>
      <c r="Q2020" s="811"/>
      <c r="R2020" s="1041"/>
      <c r="S2020" s="73"/>
      <c r="T2020" s="811"/>
      <c r="U2020" s="73"/>
      <c r="V2020" s="66"/>
      <c r="W2020" s="808">
        <f t="shared" si="1873"/>
        <v>4.5276120000000005E-7</v>
      </c>
      <c r="X2020" s="809">
        <f t="shared" si="1874"/>
        <v>4.5276120000000005E-7</v>
      </c>
      <c r="Y2020" s="52">
        <v>2005</v>
      </c>
      <c r="Z2020" s="52"/>
      <c r="AA2020" s="807">
        <f t="shared" si="1869"/>
        <v>7.3026000000000008E-7</v>
      </c>
      <c r="AB2020" s="256">
        <v>-0.38</v>
      </c>
      <c r="AC2020" s="688">
        <f t="shared" si="1875"/>
        <v>-0.38</v>
      </c>
      <c r="AD2020" s="164"/>
      <c r="AE2020" s="164"/>
      <c r="AF2020" s="25"/>
      <c r="AG2020" s="26"/>
      <c r="AH2020" s="275"/>
      <c r="AI2020" s="52"/>
      <c r="AJ2020" s="35"/>
      <c r="AK2020" s="289"/>
      <c r="AL2020" s="290"/>
      <c r="AM2020" s="211"/>
      <c r="AN2020" s="164"/>
      <c r="AO2020" s="76"/>
      <c r="AP2020" s="44"/>
      <c r="AQ2020" s="275"/>
      <c r="AR2020" s="52"/>
      <c r="AS2020" s="35"/>
      <c r="AT2020" s="79"/>
      <c r="AU2020" s="212"/>
      <c r="AV2020" s="164"/>
      <c r="AW2020" s="164"/>
      <c r="AX2020" s="76"/>
      <c r="AY2020" s="44"/>
      <c r="AZ2020" s="275"/>
      <c r="BA2020" s="52"/>
      <c r="BB2020" s="35"/>
      <c r="BC2020" s="79"/>
      <c r="BD2020" s="230"/>
      <c r="BE2020" s="211"/>
      <c r="BF2020" s="164"/>
      <c r="BG2020" s="76"/>
      <c r="BH2020" s="44"/>
      <c r="BI2020" s="275"/>
      <c r="BJ2020" s="52"/>
      <c r="BK2020" s="35"/>
      <c r="BL2020" s="79"/>
      <c r="BM2020" s="230"/>
      <c r="BN2020" s="211"/>
      <c r="BO2020" s="164"/>
      <c r="BP2020" s="76"/>
      <c r="BQ2020" s="44"/>
      <c r="BR2020" s="299"/>
      <c r="BS2020" s="52"/>
      <c r="BT2020" s="35"/>
      <c r="BU2020" s="79"/>
      <c r="BV2020" s="212"/>
      <c r="BW2020" s="304"/>
      <c r="BX2020" s="313"/>
      <c r="BY2020" s="138"/>
    </row>
    <row r="2021" spans="1:77" ht="15" customHeight="1" outlineLevel="1" x14ac:dyDescent="0.2">
      <c r="A2021" s="583" t="s">
        <v>37</v>
      </c>
      <c r="B2021" s="583" t="s">
        <v>477</v>
      </c>
      <c r="C2021" s="162" t="s">
        <v>1202</v>
      </c>
      <c r="D2021" s="812">
        <v>16.596</v>
      </c>
      <c r="E2021" s="162" t="s">
        <v>631</v>
      </c>
      <c r="F2021" s="729"/>
      <c r="G2021" s="730"/>
      <c r="H2021" s="73"/>
      <c r="I2021" s="90"/>
      <c r="J2021" s="73"/>
      <c r="K2021" s="734">
        <v>7.1805999999999995E-2</v>
      </c>
      <c r="L2021" s="717"/>
      <c r="M2021" s="73"/>
      <c r="N2021" s="811"/>
      <c r="O2021" s="1041"/>
      <c r="P2021" s="73"/>
      <c r="Q2021" s="811"/>
      <c r="R2021" s="1041"/>
      <c r="S2021" s="73"/>
      <c r="T2021" s="811"/>
      <c r="U2021" s="73"/>
      <c r="V2021" s="66"/>
      <c r="W2021" s="740">
        <f t="shared" si="1873"/>
        <v>4.9546139999999992E-5</v>
      </c>
      <c r="X2021" s="741">
        <f t="shared" si="1874"/>
        <v>4.9546139999999992E-5</v>
      </c>
      <c r="Y2021" s="52">
        <v>2005</v>
      </c>
      <c r="Z2021" s="52"/>
      <c r="AA2021" s="739">
        <f t="shared" si="1869"/>
        <v>7.1805999999999997E-5</v>
      </c>
      <c r="AB2021" s="256">
        <v>-0.31</v>
      </c>
      <c r="AC2021" s="688">
        <f t="shared" si="1875"/>
        <v>-0.31</v>
      </c>
      <c r="AD2021" s="164"/>
      <c r="AE2021" s="164"/>
      <c r="AF2021" s="25"/>
      <c r="AG2021" s="26"/>
      <c r="AH2021" s="275"/>
      <c r="AI2021" s="52"/>
      <c r="AJ2021" s="35"/>
      <c r="AK2021" s="289"/>
      <c r="AL2021" s="290"/>
      <c r="AM2021" s="211"/>
      <c r="AN2021" s="164"/>
      <c r="AO2021" s="76"/>
      <c r="AP2021" s="44"/>
      <c r="AQ2021" s="275"/>
      <c r="AR2021" s="52"/>
      <c r="AS2021" s="35"/>
      <c r="AT2021" s="79"/>
      <c r="AU2021" s="212"/>
      <c r="AV2021" s="164"/>
      <c r="AW2021" s="164"/>
      <c r="AX2021" s="76"/>
      <c r="AY2021" s="44"/>
      <c r="AZ2021" s="275"/>
      <c r="BA2021" s="52"/>
      <c r="BB2021" s="35"/>
      <c r="BC2021" s="79"/>
      <c r="BD2021" s="230"/>
      <c r="BE2021" s="211"/>
      <c r="BF2021" s="164"/>
      <c r="BG2021" s="76"/>
      <c r="BH2021" s="44"/>
      <c r="BI2021" s="275"/>
      <c r="BJ2021" s="52"/>
      <c r="BK2021" s="35"/>
      <c r="BL2021" s="79"/>
      <c r="BM2021" s="230"/>
      <c r="BN2021" s="211"/>
      <c r="BO2021" s="164"/>
      <c r="BP2021" s="76"/>
      <c r="BQ2021" s="44"/>
      <c r="BR2021" s="299"/>
      <c r="BS2021" s="52"/>
      <c r="BT2021" s="35"/>
      <c r="BU2021" s="79"/>
      <c r="BV2021" s="212"/>
      <c r="BW2021" s="304"/>
      <c r="BX2021" s="313"/>
      <c r="BY2021" s="138"/>
    </row>
    <row r="2022" spans="1:77" ht="15" customHeight="1" outlineLevel="1" x14ac:dyDescent="0.2">
      <c r="A2022" s="583" t="s">
        <v>37</v>
      </c>
      <c r="B2022" s="583" t="s">
        <v>477</v>
      </c>
      <c r="C2022" s="162" t="s">
        <v>1188</v>
      </c>
      <c r="D2022" s="812">
        <v>0.83199999999999996</v>
      </c>
      <c r="E2022" s="162" t="s">
        <v>631</v>
      </c>
      <c r="F2022" s="729"/>
      <c r="G2022" s="730"/>
      <c r="H2022" s="73"/>
      <c r="I2022" s="90"/>
      <c r="J2022" s="73"/>
      <c r="K2022" s="790">
        <v>4.9719999999999999E-3</v>
      </c>
      <c r="L2022" s="717"/>
      <c r="M2022" s="73"/>
      <c r="N2022" s="811"/>
      <c r="O2022" s="1041"/>
      <c r="P2022" s="73"/>
      <c r="Q2022" s="811"/>
      <c r="R2022" s="1041"/>
      <c r="S2022" s="73"/>
      <c r="T2022" s="811"/>
      <c r="U2022" s="73"/>
      <c r="V2022" s="66"/>
      <c r="W2022" s="788">
        <f t="shared" si="1873"/>
        <v>3.4803999999999997E-6</v>
      </c>
      <c r="X2022" s="789">
        <f t="shared" si="1874"/>
        <v>3.4803999999999997E-6</v>
      </c>
      <c r="Y2022" s="52">
        <v>2005</v>
      </c>
      <c r="Z2022" s="52"/>
      <c r="AA2022" s="787">
        <f t="shared" si="1869"/>
        <v>4.972E-6</v>
      </c>
      <c r="AB2022" s="256">
        <v>-0.3</v>
      </c>
      <c r="AC2022" s="688">
        <f t="shared" si="1875"/>
        <v>-0.3</v>
      </c>
      <c r="AD2022" s="164"/>
      <c r="AE2022" s="164"/>
      <c r="AF2022" s="25"/>
      <c r="AG2022" s="26"/>
      <c r="AH2022" s="275"/>
      <c r="AI2022" s="52"/>
      <c r="AJ2022" s="35"/>
      <c r="AK2022" s="289"/>
      <c r="AL2022" s="290"/>
      <c r="AM2022" s="211"/>
      <c r="AN2022" s="164"/>
      <c r="AO2022" s="76"/>
      <c r="AP2022" s="44"/>
      <c r="AQ2022" s="275"/>
      <c r="AR2022" s="52"/>
      <c r="AS2022" s="35"/>
      <c r="AT2022" s="79"/>
      <c r="AU2022" s="212"/>
      <c r="AV2022" s="164"/>
      <c r="AW2022" s="164"/>
      <c r="AX2022" s="76"/>
      <c r="AY2022" s="44"/>
      <c r="AZ2022" s="275"/>
      <c r="BA2022" s="52"/>
      <c r="BB2022" s="35"/>
      <c r="BC2022" s="79"/>
      <c r="BD2022" s="230"/>
      <c r="BE2022" s="211"/>
      <c r="BF2022" s="164"/>
      <c r="BG2022" s="76"/>
      <c r="BH2022" s="44"/>
      <c r="BI2022" s="275"/>
      <c r="BJ2022" s="52"/>
      <c r="BK2022" s="35"/>
      <c r="BL2022" s="79"/>
      <c r="BM2022" s="230"/>
      <c r="BN2022" s="211"/>
      <c r="BO2022" s="164"/>
      <c r="BP2022" s="76"/>
      <c r="BQ2022" s="44"/>
      <c r="BR2022" s="299"/>
      <c r="BS2022" s="52"/>
      <c r="BT2022" s="35"/>
      <c r="BU2022" s="79"/>
      <c r="BV2022" s="212"/>
      <c r="BW2022" s="304"/>
      <c r="BX2022" s="313"/>
      <c r="BY2022" s="138"/>
    </row>
    <row r="2023" spans="1:77" ht="15" customHeight="1" outlineLevel="1" x14ac:dyDescent="0.2">
      <c r="A2023" s="583" t="s">
        <v>37</v>
      </c>
      <c r="B2023" s="583" t="s">
        <v>477</v>
      </c>
      <c r="C2023" s="162" t="s">
        <v>1264</v>
      </c>
      <c r="D2023" s="812">
        <v>1.649</v>
      </c>
      <c r="E2023" s="162" t="s">
        <v>631</v>
      </c>
      <c r="F2023" s="729"/>
      <c r="G2023" s="730"/>
      <c r="H2023" s="73"/>
      <c r="I2023" s="90"/>
      <c r="J2023" s="73"/>
      <c r="K2023" s="814">
        <v>7.7010000000000004E-3</v>
      </c>
      <c r="L2023" s="717"/>
      <c r="M2023" s="73"/>
      <c r="N2023" s="811"/>
      <c r="O2023" s="1041"/>
      <c r="P2023" s="73"/>
      <c r="Q2023" s="811"/>
      <c r="R2023" s="1041"/>
      <c r="S2023" s="73"/>
      <c r="T2023" s="811"/>
      <c r="U2023" s="73"/>
      <c r="V2023" s="66"/>
      <c r="W2023" s="788">
        <f t="shared" si="1873"/>
        <v>5.7757499999999997E-6</v>
      </c>
      <c r="X2023" s="789">
        <f t="shared" si="1874"/>
        <v>5.7757499999999997E-6</v>
      </c>
      <c r="Y2023" s="52">
        <v>2005</v>
      </c>
      <c r="Z2023" s="52"/>
      <c r="AA2023" s="787">
        <f t="shared" si="1869"/>
        <v>7.7009999999999996E-6</v>
      </c>
      <c r="AB2023" s="256">
        <v>-0.25</v>
      </c>
      <c r="AC2023" s="688">
        <f t="shared" si="1875"/>
        <v>-0.25</v>
      </c>
      <c r="AD2023" s="164"/>
      <c r="AE2023" s="164"/>
      <c r="AF2023" s="25"/>
      <c r="AG2023" s="26"/>
      <c r="AH2023" s="275"/>
      <c r="AI2023" s="52"/>
      <c r="AJ2023" s="35"/>
      <c r="AK2023" s="289"/>
      <c r="AL2023" s="290"/>
      <c r="AM2023" s="211"/>
      <c r="AN2023" s="164"/>
      <c r="AO2023" s="76"/>
      <c r="AP2023" s="44"/>
      <c r="AQ2023" s="275"/>
      <c r="AR2023" s="52"/>
      <c r="AS2023" s="35"/>
      <c r="AT2023" s="79"/>
      <c r="AU2023" s="212"/>
      <c r="AV2023" s="164"/>
      <c r="AW2023" s="164"/>
      <c r="AX2023" s="76"/>
      <c r="AY2023" s="44"/>
      <c r="AZ2023" s="275"/>
      <c r="BA2023" s="52"/>
      <c r="BB2023" s="35"/>
      <c r="BC2023" s="79"/>
      <c r="BD2023" s="230"/>
      <c r="BE2023" s="211"/>
      <c r="BF2023" s="164"/>
      <c r="BG2023" s="76"/>
      <c r="BH2023" s="44"/>
      <c r="BI2023" s="275"/>
      <c r="BJ2023" s="52"/>
      <c r="BK2023" s="35"/>
      <c r="BL2023" s="79"/>
      <c r="BM2023" s="230"/>
      <c r="BN2023" s="211"/>
      <c r="BO2023" s="164"/>
      <c r="BP2023" s="76"/>
      <c r="BQ2023" s="44"/>
      <c r="BR2023" s="299"/>
      <c r="BS2023" s="52"/>
      <c r="BT2023" s="35"/>
      <c r="BU2023" s="79"/>
      <c r="BV2023" s="212"/>
      <c r="BW2023" s="304"/>
      <c r="BX2023" s="313"/>
      <c r="BY2023" s="138"/>
    </row>
    <row r="2024" spans="1:77" ht="15" customHeight="1" outlineLevel="1" x14ac:dyDescent="0.2">
      <c r="A2024" s="583" t="s">
        <v>37</v>
      </c>
      <c r="B2024" s="583" t="s">
        <v>477</v>
      </c>
      <c r="C2024" s="162" t="s">
        <v>1009</v>
      </c>
      <c r="D2024" s="806">
        <v>0.746</v>
      </c>
      <c r="E2024" s="162" t="s">
        <v>631</v>
      </c>
      <c r="F2024" s="729"/>
      <c r="G2024" s="730"/>
      <c r="H2024" s="73"/>
      <c r="I2024" s="90"/>
      <c r="J2024" s="73"/>
      <c r="K2024" s="790">
        <v>3.3760000000000001E-3</v>
      </c>
      <c r="L2024" s="717"/>
      <c r="M2024" s="73"/>
      <c r="N2024" s="811"/>
      <c r="O2024" s="1041"/>
      <c r="P2024" s="73"/>
      <c r="Q2024" s="811"/>
      <c r="R2024" s="1041"/>
      <c r="S2024" s="73"/>
      <c r="T2024" s="811"/>
      <c r="U2024" s="73"/>
      <c r="V2024" s="66"/>
      <c r="W2024" s="808">
        <f t="shared" si="1873"/>
        <v>2.43072E-6</v>
      </c>
      <c r="X2024" s="809">
        <f t="shared" si="1874"/>
        <v>2.43072E-6</v>
      </c>
      <c r="Y2024" s="52">
        <v>2005</v>
      </c>
      <c r="Z2024" s="52"/>
      <c r="AA2024" s="807">
        <f t="shared" si="1869"/>
        <v>3.3759999999999999E-6</v>
      </c>
      <c r="AB2024" s="256">
        <v>-0.28000000000000003</v>
      </c>
      <c r="AC2024" s="688">
        <f t="shared" si="1875"/>
        <v>-0.28000000000000003</v>
      </c>
      <c r="AD2024" s="164"/>
      <c r="AE2024" s="164"/>
      <c r="AF2024" s="25"/>
      <c r="AG2024" s="26"/>
      <c r="AH2024" s="275"/>
      <c r="AI2024" s="52"/>
      <c r="AJ2024" s="35"/>
      <c r="AK2024" s="289"/>
      <c r="AL2024" s="290"/>
      <c r="AM2024" s="211"/>
      <c r="AN2024" s="164"/>
      <c r="AO2024" s="76"/>
      <c r="AP2024" s="44"/>
      <c r="AQ2024" s="275"/>
      <c r="AR2024" s="52"/>
      <c r="AS2024" s="35"/>
      <c r="AT2024" s="79"/>
      <c r="AU2024" s="212"/>
      <c r="AV2024" s="164"/>
      <c r="AW2024" s="164"/>
      <c r="AX2024" s="76"/>
      <c r="AY2024" s="44"/>
      <c r="AZ2024" s="275"/>
      <c r="BA2024" s="52"/>
      <c r="BB2024" s="35"/>
      <c r="BC2024" s="79"/>
      <c r="BD2024" s="230"/>
      <c r="BE2024" s="211"/>
      <c r="BF2024" s="164"/>
      <c r="BG2024" s="76"/>
      <c r="BH2024" s="44"/>
      <c r="BI2024" s="275"/>
      <c r="BJ2024" s="52"/>
      <c r="BK2024" s="35"/>
      <c r="BL2024" s="79"/>
      <c r="BM2024" s="230"/>
      <c r="BN2024" s="211"/>
      <c r="BO2024" s="164"/>
      <c r="BP2024" s="76"/>
      <c r="BQ2024" s="44"/>
      <c r="BR2024" s="299"/>
      <c r="BS2024" s="52"/>
      <c r="BT2024" s="35"/>
      <c r="BU2024" s="79"/>
      <c r="BV2024" s="212"/>
      <c r="BW2024" s="304"/>
      <c r="BX2024" s="313"/>
      <c r="BY2024" s="138"/>
    </row>
    <row r="2025" spans="1:77" ht="15" customHeight="1" outlineLevel="1" x14ac:dyDescent="0.2">
      <c r="A2025" s="583" t="s">
        <v>37</v>
      </c>
      <c r="B2025" s="583" t="s">
        <v>477</v>
      </c>
      <c r="C2025" s="162" t="s">
        <v>992</v>
      </c>
      <c r="D2025" s="812">
        <v>4.04</v>
      </c>
      <c r="E2025" s="162" t="s">
        <v>631</v>
      </c>
      <c r="F2025" s="729"/>
      <c r="G2025" s="730"/>
      <c r="H2025" s="73"/>
      <c r="I2025" s="90"/>
      <c r="J2025" s="73"/>
      <c r="K2025" s="734">
        <v>1.7426000000000001E-2</v>
      </c>
      <c r="L2025" s="717"/>
      <c r="M2025" s="73"/>
      <c r="N2025" s="811"/>
      <c r="O2025" s="1041"/>
      <c r="P2025" s="73"/>
      <c r="Q2025" s="811"/>
      <c r="R2025" s="1041"/>
      <c r="S2025" s="73"/>
      <c r="T2025" s="811"/>
      <c r="U2025" s="73"/>
      <c r="V2025" s="66"/>
      <c r="W2025" s="740">
        <f t="shared" si="1873"/>
        <v>1.2720979999999999E-5</v>
      </c>
      <c r="X2025" s="741">
        <f t="shared" si="1874"/>
        <v>1.2720979999999999E-5</v>
      </c>
      <c r="Y2025" s="52">
        <v>2005</v>
      </c>
      <c r="Z2025" s="52"/>
      <c r="AA2025" s="739">
        <f t="shared" si="1869"/>
        <v>1.7425999999999999E-5</v>
      </c>
      <c r="AB2025" s="256">
        <v>-0.27</v>
      </c>
      <c r="AC2025" s="688">
        <f t="shared" si="1875"/>
        <v>-0.27</v>
      </c>
      <c r="AD2025" s="164"/>
      <c r="AE2025" s="164"/>
      <c r="AF2025" s="25"/>
      <c r="AG2025" s="26"/>
      <c r="AH2025" s="275"/>
      <c r="AI2025" s="52"/>
      <c r="AJ2025" s="35"/>
      <c r="AK2025" s="289"/>
      <c r="AL2025" s="290"/>
      <c r="AM2025" s="211"/>
      <c r="AN2025" s="164"/>
      <c r="AO2025" s="76"/>
      <c r="AP2025" s="44"/>
      <c r="AQ2025" s="275"/>
      <c r="AR2025" s="52"/>
      <c r="AS2025" s="35"/>
      <c r="AT2025" s="79"/>
      <c r="AU2025" s="212"/>
      <c r="AV2025" s="164"/>
      <c r="AW2025" s="164"/>
      <c r="AX2025" s="76"/>
      <c r="AY2025" s="44"/>
      <c r="AZ2025" s="275"/>
      <c r="BA2025" s="52"/>
      <c r="BB2025" s="35"/>
      <c r="BC2025" s="79"/>
      <c r="BD2025" s="230"/>
      <c r="BE2025" s="211"/>
      <c r="BF2025" s="164"/>
      <c r="BG2025" s="76"/>
      <c r="BH2025" s="44"/>
      <c r="BI2025" s="275"/>
      <c r="BJ2025" s="52"/>
      <c r="BK2025" s="35"/>
      <c r="BL2025" s="79"/>
      <c r="BM2025" s="230"/>
      <c r="BN2025" s="211"/>
      <c r="BO2025" s="164"/>
      <c r="BP2025" s="76"/>
      <c r="BQ2025" s="44"/>
      <c r="BR2025" s="299"/>
      <c r="BS2025" s="52"/>
      <c r="BT2025" s="35"/>
      <c r="BU2025" s="79"/>
      <c r="BV2025" s="212"/>
      <c r="BW2025" s="304"/>
      <c r="BX2025" s="313"/>
      <c r="BY2025" s="138"/>
    </row>
    <row r="2026" spans="1:77" ht="15" customHeight="1" outlineLevel="1" x14ac:dyDescent="0.2">
      <c r="A2026" s="583" t="s">
        <v>37</v>
      </c>
      <c r="B2026" s="583" t="s">
        <v>477</v>
      </c>
      <c r="C2026" s="162" t="s">
        <v>1247</v>
      </c>
      <c r="D2026" s="812">
        <v>0.9</v>
      </c>
      <c r="E2026" s="162" t="s">
        <v>631</v>
      </c>
      <c r="F2026" s="729"/>
      <c r="G2026" s="730"/>
      <c r="H2026" s="73"/>
      <c r="I2026" s="90"/>
      <c r="J2026" s="73"/>
      <c r="K2026" s="790">
        <v>5.6169999999999996E-3</v>
      </c>
      <c r="L2026" s="717"/>
      <c r="M2026" s="73"/>
      <c r="N2026" s="811"/>
      <c r="O2026" s="1041"/>
      <c r="P2026" s="73"/>
      <c r="Q2026" s="811"/>
      <c r="R2026" s="1041"/>
      <c r="S2026" s="73"/>
      <c r="T2026" s="811"/>
      <c r="U2026" s="73"/>
      <c r="V2026" s="66"/>
      <c r="W2026" s="788">
        <f t="shared" si="1873"/>
        <v>4.1004099999999996E-6</v>
      </c>
      <c r="X2026" s="789">
        <f t="shared" si="1874"/>
        <v>4.1004099999999996E-6</v>
      </c>
      <c r="Y2026" s="52">
        <v>2005</v>
      </c>
      <c r="Z2026" s="52"/>
      <c r="AA2026" s="787">
        <f t="shared" si="1869"/>
        <v>5.6169999999999998E-6</v>
      </c>
      <c r="AB2026" s="256">
        <v>-0.27</v>
      </c>
      <c r="AC2026" s="688">
        <f t="shared" si="1875"/>
        <v>-0.27</v>
      </c>
      <c r="AD2026" s="164"/>
      <c r="AE2026" s="164"/>
      <c r="AF2026" s="25"/>
      <c r="AG2026" s="26"/>
      <c r="AH2026" s="275"/>
      <c r="AI2026" s="52"/>
      <c r="AJ2026" s="35"/>
      <c r="AK2026" s="289"/>
      <c r="AL2026" s="290"/>
      <c r="AM2026" s="211"/>
      <c r="AN2026" s="164"/>
      <c r="AO2026" s="76"/>
      <c r="AP2026" s="44"/>
      <c r="AQ2026" s="275"/>
      <c r="AR2026" s="52"/>
      <c r="AS2026" s="35"/>
      <c r="AT2026" s="79"/>
      <c r="AU2026" s="212"/>
      <c r="AV2026" s="164"/>
      <c r="AW2026" s="164"/>
      <c r="AX2026" s="76"/>
      <c r="AY2026" s="44"/>
      <c r="AZ2026" s="275"/>
      <c r="BA2026" s="52"/>
      <c r="BB2026" s="35"/>
      <c r="BC2026" s="79"/>
      <c r="BD2026" s="230"/>
      <c r="BE2026" s="211"/>
      <c r="BF2026" s="164"/>
      <c r="BG2026" s="76"/>
      <c r="BH2026" s="44"/>
      <c r="BI2026" s="275"/>
      <c r="BJ2026" s="52"/>
      <c r="BK2026" s="35"/>
      <c r="BL2026" s="79"/>
      <c r="BM2026" s="230"/>
      <c r="BN2026" s="211"/>
      <c r="BO2026" s="164"/>
      <c r="BP2026" s="76"/>
      <c r="BQ2026" s="44"/>
      <c r="BR2026" s="299"/>
      <c r="BS2026" s="52"/>
      <c r="BT2026" s="35"/>
      <c r="BU2026" s="79"/>
      <c r="BV2026" s="212"/>
      <c r="BW2026" s="304"/>
      <c r="BX2026" s="313"/>
      <c r="BY2026" s="138"/>
    </row>
    <row r="2027" spans="1:77" ht="15" customHeight="1" outlineLevel="1" x14ac:dyDescent="0.2">
      <c r="A2027" s="583" t="s">
        <v>37</v>
      </c>
      <c r="B2027" s="583" t="s">
        <v>477</v>
      </c>
      <c r="C2027" s="162" t="s">
        <v>1240</v>
      </c>
      <c r="D2027" s="806">
        <v>0.106</v>
      </c>
      <c r="E2027" s="162" t="s">
        <v>631</v>
      </c>
      <c r="F2027" s="729"/>
      <c r="G2027" s="730"/>
      <c r="H2027" s="73"/>
      <c r="I2027" s="90"/>
      <c r="J2027" s="73"/>
      <c r="K2027" s="790">
        <v>5.0721200000000005E-4</v>
      </c>
      <c r="L2027" s="717"/>
      <c r="M2027" s="73"/>
      <c r="N2027" s="811"/>
      <c r="O2027" s="1041"/>
      <c r="P2027" s="73"/>
      <c r="Q2027" s="811"/>
      <c r="R2027" s="1041"/>
      <c r="S2027" s="73"/>
      <c r="T2027" s="811"/>
      <c r="U2027" s="73"/>
      <c r="V2027" s="66"/>
      <c r="W2027" s="808">
        <f t="shared" si="1873"/>
        <v>3.4997627999999997E-7</v>
      </c>
      <c r="X2027" s="809">
        <f t="shared" si="1874"/>
        <v>3.4997627999999997E-7</v>
      </c>
      <c r="Y2027" s="52">
        <v>2005</v>
      </c>
      <c r="Z2027" s="52"/>
      <c r="AA2027" s="787">
        <f t="shared" si="1869"/>
        <v>5.07212E-7</v>
      </c>
      <c r="AB2027" s="256">
        <v>-0.31</v>
      </c>
      <c r="AC2027" s="688">
        <f t="shared" si="1875"/>
        <v>-0.31</v>
      </c>
      <c r="AD2027" s="164"/>
      <c r="AE2027" s="164"/>
      <c r="AF2027" s="25"/>
      <c r="AG2027" s="26"/>
      <c r="AH2027" s="275"/>
      <c r="AI2027" s="52"/>
      <c r="AJ2027" s="35"/>
      <c r="AK2027" s="289"/>
      <c r="AL2027" s="290"/>
      <c r="AM2027" s="211"/>
      <c r="AN2027" s="164"/>
      <c r="AO2027" s="76"/>
      <c r="AP2027" s="44"/>
      <c r="AQ2027" s="275"/>
      <c r="AR2027" s="52"/>
      <c r="AS2027" s="35"/>
      <c r="AT2027" s="79"/>
      <c r="AU2027" s="212"/>
      <c r="AV2027" s="164"/>
      <c r="AW2027" s="164"/>
      <c r="AX2027" s="76"/>
      <c r="AY2027" s="44"/>
      <c r="AZ2027" s="275"/>
      <c r="BA2027" s="52"/>
      <c r="BB2027" s="35"/>
      <c r="BC2027" s="79"/>
      <c r="BD2027" s="230"/>
      <c r="BE2027" s="211"/>
      <c r="BF2027" s="164"/>
      <c r="BG2027" s="76"/>
      <c r="BH2027" s="44"/>
      <c r="BI2027" s="275"/>
      <c r="BJ2027" s="52"/>
      <c r="BK2027" s="35"/>
      <c r="BL2027" s="79"/>
      <c r="BM2027" s="230"/>
      <c r="BN2027" s="211"/>
      <c r="BO2027" s="164"/>
      <c r="BP2027" s="76"/>
      <c r="BQ2027" s="44"/>
      <c r="BR2027" s="299"/>
      <c r="BS2027" s="52"/>
      <c r="BT2027" s="35"/>
      <c r="BU2027" s="79"/>
      <c r="BV2027" s="212"/>
      <c r="BW2027" s="304"/>
      <c r="BX2027" s="313"/>
      <c r="BY2027" s="138"/>
    </row>
    <row r="2028" spans="1:77" ht="15" customHeight="1" outlineLevel="1" x14ac:dyDescent="0.2">
      <c r="A2028" s="583" t="s">
        <v>37</v>
      </c>
      <c r="B2028" s="583" t="s">
        <v>477</v>
      </c>
      <c r="C2028" s="162" t="s">
        <v>990</v>
      </c>
      <c r="D2028" s="806">
        <v>0.42099999999999999</v>
      </c>
      <c r="E2028" s="162" t="s">
        <v>631</v>
      </c>
      <c r="F2028" s="729"/>
      <c r="G2028" s="730"/>
      <c r="H2028" s="73"/>
      <c r="I2028" s="90"/>
      <c r="J2028" s="73"/>
      <c r="K2028" s="790">
        <v>2.637E-3</v>
      </c>
      <c r="L2028" s="717"/>
      <c r="M2028" s="73"/>
      <c r="N2028" s="811"/>
      <c r="O2028" s="1041"/>
      <c r="P2028" s="73"/>
      <c r="Q2028" s="811"/>
      <c r="R2028" s="1041"/>
      <c r="S2028" s="73"/>
      <c r="T2028" s="811"/>
      <c r="U2028" s="73"/>
      <c r="V2028" s="66"/>
      <c r="W2028" s="788">
        <f t="shared" si="1873"/>
        <v>1.8458999999999998E-6</v>
      </c>
      <c r="X2028" s="789">
        <f t="shared" si="1874"/>
        <v>1.8458999999999998E-6</v>
      </c>
      <c r="Y2028" s="52">
        <v>2005</v>
      </c>
      <c r="Z2028" s="52"/>
      <c r="AA2028" s="787">
        <f t="shared" si="1869"/>
        <v>2.6369999999999999E-6</v>
      </c>
      <c r="AB2028" s="256">
        <v>-0.3</v>
      </c>
      <c r="AC2028" s="688">
        <f t="shared" si="1875"/>
        <v>-0.3</v>
      </c>
      <c r="AD2028" s="164"/>
      <c r="AE2028" s="164"/>
      <c r="AF2028" s="25"/>
      <c r="AG2028" s="26"/>
      <c r="AH2028" s="275"/>
      <c r="AI2028" s="52"/>
      <c r="AJ2028" s="35"/>
      <c r="AK2028" s="289"/>
      <c r="AL2028" s="290"/>
      <c r="AM2028" s="211"/>
      <c r="AN2028" s="164"/>
      <c r="AO2028" s="76"/>
      <c r="AP2028" s="44"/>
      <c r="AQ2028" s="275"/>
      <c r="AR2028" s="52"/>
      <c r="AS2028" s="35"/>
      <c r="AT2028" s="79"/>
      <c r="AU2028" s="212"/>
      <c r="AV2028" s="164"/>
      <c r="AW2028" s="164"/>
      <c r="AX2028" s="76"/>
      <c r="AY2028" s="44"/>
      <c r="AZ2028" s="275"/>
      <c r="BA2028" s="52"/>
      <c r="BB2028" s="35"/>
      <c r="BC2028" s="79"/>
      <c r="BD2028" s="230"/>
      <c r="BE2028" s="211"/>
      <c r="BF2028" s="164"/>
      <c r="BG2028" s="76"/>
      <c r="BH2028" s="44"/>
      <c r="BI2028" s="275"/>
      <c r="BJ2028" s="52"/>
      <c r="BK2028" s="35"/>
      <c r="BL2028" s="79"/>
      <c r="BM2028" s="230"/>
      <c r="BN2028" s="211"/>
      <c r="BO2028" s="164"/>
      <c r="BP2028" s="76"/>
      <c r="BQ2028" s="44"/>
      <c r="BR2028" s="299"/>
      <c r="BS2028" s="52"/>
      <c r="BT2028" s="35"/>
      <c r="BU2028" s="79"/>
      <c r="BV2028" s="212"/>
      <c r="BW2028" s="304"/>
      <c r="BX2028" s="313"/>
      <c r="BY2028" s="138"/>
    </row>
    <row r="2029" spans="1:77" ht="15" customHeight="1" outlineLevel="1" x14ac:dyDescent="0.2">
      <c r="A2029" s="583" t="s">
        <v>37</v>
      </c>
      <c r="B2029" s="583" t="s">
        <v>477</v>
      </c>
      <c r="C2029" s="162" t="s">
        <v>1182</v>
      </c>
      <c r="D2029" s="812">
        <v>94.483999999999995</v>
      </c>
      <c r="E2029" s="162" t="s">
        <v>631</v>
      </c>
      <c r="F2029" s="729"/>
      <c r="G2029" s="730"/>
      <c r="H2029" s="73"/>
      <c r="I2029" s="90">
        <v>2001</v>
      </c>
      <c r="J2029" s="73"/>
      <c r="K2029" s="66">
        <v>0.59189499999999995</v>
      </c>
      <c r="L2029" s="717"/>
      <c r="M2029" s="73"/>
      <c r="N2029" s="811"/>
      <c r="O2029" s="1041"/>
      <c r="P2029" s="73"/>
      <c r="Q2029" s="811"/>
      <c r="R2029" s="1041"/>
      <c r="S2029" s="73"/>
      <c r="T2029" s="811"/>
      <c r="U2029" s="73"/>
      <c r="V2029" s="66"/>
      <c r="W2029" s="594">
        <f t="shared" si="1873"/>
        <v>3.5513699999999994E-4</v>
      </c>
      <c r="X2029" s="595">
        <f t="shared" si="1874"/>
        <v>3.5513699999999994E-4</v>
      </c>
      <c r="Y2029" s="52">
        <v>2001</v>
      </c>
      <c r="Z2029" s="52"/>
      <c r="AA2029" s="596">
        <f t="shared" si="1869"/>
        <v>5.9189499999999994E-4</v>
      </c>
      <c r="AB2029" s="256">
        <v>-0.4</v>
      </c>
      <c r="AC2029" s="688">
        <f t="shared" si="1875"/>
        <v>-0.4</v>
      </c>
      <c r="AD2029" s="164"/>
      <c r="AE2029" s="164"/>
      <c r="AF2029" s="25"/>
      <c r="AG2029" s="26"/>
      <c r="AH2029" s="275"/>
      <c r="AI2029" s="52"/>
      <c r="AJ2029" s="35"/>
      <c r="AK2029" s="289"/>
      <c r="AL2029" s="290"/>
      <c r="AM2029" s="211"/>
      <c r="AN2029" s="164"/>
      <c r="AO2029" s="76"/>
      <c r="AP2029" s="44"/>
      <c r="AQ2029" s="275"/>
      <c r="AR2029" s="52"/>
      <c r="AS2029" s="35"/>
      <c r="AT2029" s="79"/>
      <c r="AU2029" s="212"/>
      <c r="AV2029" s="164"/>
      <c r="AW2029" s="164"/>
      <c r="AX2029" s="76"/>
      <c r="AY2029" s="44"/>
      <c r="AZ2029" s="275"/>
      <c r="BA2029" s="52"/>
      <c r="BB2029" s="35"/>
      <c r="BC2029" s="79"/>
      <c r="BD2029" s="230"/>
      <c r="BE2029" s="211"/>
      <c r="BF2029" s="164"/>
      <c r="BG2029" s="76"/>
      <c r="BH2029" s="44"/>
      <c r="BI2029" s="275"/>
      <c r="BJ2029" s="52"/>
      <c r="BK2029" s="35"/>
      <c r="BL2029" s="79"/>
      <c r="BM2029" s="230"/>
      <c r="BN2029" s="211"/>
      <c r="BO2029" s="164"/>
      <c r="BP2029" s="76"/>
      <c r="BQ2029" s="44"/>
      <c r="BR2029" s="299"/>
      <c r="BS2029" s="52"/>
      <c r="BT2029" s="35"/>
      <c r="BU2029" s="79"/>
      <c r="BV2029" s="212"/>
      <c r="BW2029" s="304"/>
      <c r="BX2029" s="313"/>
      <c r="BY2029" s="138"/>
    </row>
    <row r="2030" spans="1:77" ht="15" customHeight="1" outlineLevel="1" x14ac:dyDescent="0.2">
      <c r="A2030" s="583" t="s">
        <v>37</v>
      </c>
      <c r="B2030" s="583" t="s">
        <v>477</v>
      </c>
      <c r="C2030" s="162" t="s">
        <v>1243</v>
      </c>
      <c r="D2030" s="806">
        <v>0.14000000000000001</v>
      </c>
      <c r="E2030" s="162" t="s">
        <v>631</v>
      </c>
      <c r="F2030" s="729"/>
      <c r="G2030" s="730"/>
      <c r="H2030" s="73"/>
      <c r="I2030" s="90"/>
      <c r="J2030" s="73"/>
      <c r="K2030" s="790">
        <v>9.2651300000000001E-4</v>
      </c>
      <c r="L2030" s="717"/>
      <c r="M2030" s="73"/>
      <c r="N2030" s="811"/>
      <c r="O2030" s="1041"/>
      <c r="P2030" s="73"/>
      <c r="Q2030" s="811"/>
      <c r="R2030" s="1041"/>
      <c r="S2030" s="73"/>
      <c r="T2030" s="811"/>
      <c r="U2030" s="73"/>
      <c r="V2030" s="66"/>
      <c r="W2030" s="788">
        <f t="shared" si="1873"/>
        <v>6.485591E-7</v>
      </c>
      <c r="X2030" s="789">
        <f t="shared" si="1874"/>
        <v>6.485591E-7</v>
      </c>
      <c r="Y2030" s="52">
        <v>2005</v>
      </c>
      <c r="Z2030" s="52"/>
      <c r="AA2030" s="787">
        <f t="shared" si="1869"/>
        <v>9.2651299999999998E-7</v>
      </c>
      <c r="AB2030" s="256">
        <v>-0.3</v>
      </c>
      <c r="AC2030" s="688">
        <f t="shared" si="1875"/>
        <v>-0.3</v>
      </c>
      <c r="AD2030" s="164"/>
      <c r="AE2030" s="164"/>
      <c r="AF2030" s="25"/>
      <c r="AG2030" s="26"/>
      <c r="AH2030" s="275"/>
      <c r="AI2030" s="52"/>
      <c r="AJ2030" s="35"/>
      <c r="AK2030" s="289"/>
      <c r="AL2030" s="290"/>
      <c r="AM2030" s="211"/>
      <c r="AN2030" s="164"/>
      <c r="AO2030" s="76"/>
      <c r="AP2030" s="44"/>
      <c r="AQ2030" s="275"/>
      <c r="AR2030" s="52"/>
      <c r="AS2030" s="35"/>
      <c r="AT2030" s="79"/>
      <c r="AU2030" s="212"/>
      <c r="AV2030" s="164"/>
      <c r="AW2030" s="164"/>
      <c r="AX2030" s="76"/>
      <c r="AY2030" s="44"/>
      <c r="AZ2030" s="275"/>
      <c r="BA2030" s="52"/>
      <c r="BB2030" s="35"/>
      <c r="BC2030" s="79"/>
      <c r="BD2030" s="230"/>
      <c r="BE2030" s="211"/>
      <c r="BF2030" s="164"/>
      <c r="BG2030" s="76"/>
      <c r="BH2030" s="44"/>
      <c r="BI2030" s="275"/>
      <c r="BJ2030" s="52"/>
      <c r="BK2030" s="35"/>
      <c r="BL2030" s="79"/>
      <c r="BM2030" s="230"/>
      <c r="BN2030" s="211"/>
      <c r="BO2030" s="164"/>
      <c r="BP2030" s="76"/>
      <c r="BQ2030" s="44"/>
      <c r="BR2030" s="299"/>
      <c r="BS2030" s="52"/>
      <c r="BT2030" s="35"/>
      <c r="BU2030" s="79"/>
      <c r="BV2030" s="212"/>
      <c r="BW2030" s="304"/>
      <c r="BX2030" s="313"/>
      <c r="BY2030" s="138"/>
    </row>
    <row r="2031" spans="1:77" ht="15" customHeight="1" outlineLevel="1" x14ac:dyDescent="0.2">
      <c r="A2031" s="583" t="s">
        <v>37</v>
      </c>
      <c r="B2031" s="583" t="s">
        <v>477</v>
      </c>
      <c r="C2031" s="162" t="s">
        <v>1033</v>
      </c>
      <c r="D2031" s="812">
        <v>3.4820000000000002</v>
      </c>
      <c r="E2031" s="162" t="s">
        <v>631</v>
      </c>
      <c r="F2031" s="729"/>
      <c r="G2031" s="730"/>
      <c r="H2031" s="73"/>
      <c r="I2031" s="90"/>
      <c r="J2031" s="73"/>
      <c r="K2031" s="790">
        <v>1.4760999999999999E-3</v>
      </c>
      <c r="L2031" s="717"/>
      <c r="M2031" s="73"/>
      <c r="N2031" s="811"/>
      <c r="O2031" s="1041"/>
      <c r="P2031" s="73"/>
      <c r="Q2031" s="811"/>
      <c r="R2031" s="1041"/>
      <c r="S2031" s="73"/>
      <c r="T2031" s="811"/>
      <c r="U2031" s="73"/>
      <c r="V2031" s="66"/>
      <c r="W2031" s="788">
        <f t="shared" si="1873"/>
        <v>1.0775529999999998E-6</v>
      </c>
      <c r="X2031" s="789">
        <f t="shared" si="1874"/>
        <v>1.0775529999999998E-6</v>
      </c>
      <c r="Y2031" s="52">
        <v>2005</v>
      </c>
      <c r="Z2031" s="52"/>
      <c r="AA2031" s="787">
        <f t="shared" si="1869"/>
        <v>1.4760999999999999E-6</v>
      </c>
      <c r="AB2031" s="256">
        <v>-0.27</v>
      </c>
      <c r="AC2031" s="688">
        <f t="shared" si="1875"/>
        <v>-0.27</v>
      </c>
      <c r="AD2031" s="164"/>
      <c r="AE2031" s="164"/>
      <c r="AF2031" s="25"/>
      <c r="AG2031" s="26"/>
      <c r="AH2031" s="275"/>
      <c r="AI2031" s="52"/>
      <c r="AJ2031" s="35"/>
      <c r="AK2031" s="289"/>
      <c r="AL2031" s="290"/>
      <c r="AM2031" s="211"/>
      <c r="AN2031" s="164"/>
      <c r="AO2031" s="76"/>
      <c r="AP2031" s="44"/>
      <c r="AQ2031" s="275"/>
      <c r="AR2031" s="52"/>
      <c r="AS2031" s="35"/>
      <c r="AT2031" s="79"/>
      <c r="AU2031" s="212"/>
      <c r="AV2031" s="164"/>
      <c r="AW2031" s="164"/>
      <c r="AX2031" s="76"/>
      <c r="AY2031" s="44"/>
      <c r="AZ2031" s="275"/>
      <c r="BA2031" s="52"/>
      <c r="BB2031" s="35"/>
      <c r="BC2031" s="79"/>
      <c r="BD2031" s="230"/>
      <c r="BE2031" s="211"/>
      <c r="BF2031" s="164"/>
      <c r="BG2031" s="76"/>
      <c r="BH2031" s="44"/>
      <c r="BI2031" s="275"/>
      <c r="BJ2031" s="52"/>
      <c r="BK2031" s="35"/>
      <c r="BL2031" s="79"/>
      <c r="BM2031" s="230"/>
      <c r="BN2031" s="211"/>
      <c r="BO2031" s="164"/>
      <c r="BP2031" s="76"/>
      <c r="BQ2031" s="44"/>
      <c r="BR2031" s="299"/>
      <c r="BS2031" s="52"/>
      <c r="BT2031" s="35"/>
      <c r="BU2031" s="79"/>
      <c r="BV2031" s="212"/>
      <c r="BW2031" s="304"/>
      <c r="BX2031" s="313"/>
      <c r="BY2031" s="138"/>
    </row>
    <row r="2032" spans="1:77" ht="15" customHeight="1" outlineLevel="1" x14ac:dyDescent="0.2">
      <c r="A2032" s="583" t="s">
        <v>37</v>
      </c>
      <c r="B2032" s="583" t="s">
        <v>477</v>
      </c>
      <c r="C2032" s="162" t="s">
        <v>1010</v>
      </c>
      <c r="D2032" s="806">
        <v>0.27</v>
      </c>
      <c r="E2032" s="162" t="s">
        <v>631</v>
      </c>
      <c r="F2032" s="729"/>
      <c r="G2032" s="730"/>
      <c r="H2032" s="73"/>
      <c r="I2032" s="90"/>
      <c r="J2032" s="73"/>
      <c r="K2032" s="790">
        <v>1.2849999999999999E-3</v>
      </c>
      <c r="L2032" s="717"/>
      <c r="M2032" s="73"/>
      <c r="N2032" s="811"/>
      <c r="O2032" s="1041"/>
      <c r="P2032" s="73"/>
      <c r="Q2032" s="811"/>
      <c r="R2032" s="1041"/>
      <c r="S2032" s="73"/>
      <c r="T2032" s="811"/>
      <c r="U2032" s="73"/>
      <c r="V2032" s="66"/>
      <c r="W2032" s="808">
        <f t="shared" si="1873"/>
        <v>9.2519999999999995E-7</v>
      </c>
      <c r="X2032" s="809">
        <f t="shared" si="1874"/>
        <v>9.2519999999999995E-7</v>
      </c>
      <c r="Y2032" s="52">
        <v>2005</v>
      </c>
      <c r="Z2032" s="52"/>
      <c r="AA2032" s="807">
        <f t="shared" si="1869"/>
        <v>1.285E-6</v>
      </c>
      <c r="AB2032" s="256">
        <v>-0.28000000000000003</v>
      </c>
      <c r="AC2032" s="688">
        <f t="shared" si="1875"/>
        <v>-0.28000000000000003</v>
      </c>
      <c r="AD2032" s="164"/>
      <c r="AE2032" s="164"/>
      <c r="AF2032" s="25"/>
      <c r="AG2032" s="26"/>
      <c r="AH2032" s="275"/>
      <c r="AI2032" s="52"/>
      <c r="AJ2032" s="35"/>
      <c r="AK2032" s="289"/>
      <c r="AL2032" s="290"/>
      <c r="AM2032" s="211"/>
      <c r="AN2032" s="164"/>
      <c r="AO2032" s="76"/>
      <c r="AP2032" s="44"/>
      <c r="AQ2032" s="275"/>
      <c r="AR2032" s="52"/>
      <c r="AS2032" s="35"/>
      <c r="AT2032" s="79"/>
      <c r="AU2032" s="212"/>
      <c r="AV2032" s="164"/>
      <c r="AW2032" s="164"/>
      <c r="AX2032" s="76"/>
      <c r="AY2032" s="44"/>
      <c r="AZ2032" s="275"/>
      <c r="BA2032" s="52"/>
      <c r="BB2032" s="35"/>
      <c r="BC2032" s="79"/>
      <c r="BD2032" s="230"/>
      <c r="BE2032" s="211"/>
      <c r="BF2032" s="164"/>
      <c r="BG2032" s="76"/>
      <c r="BH2032" s="44"/>
      <c r="BI2032" s="275"/>
      <c r="BJ2032" s="52"/>
      <c r="BK2032" s="35"/>
      <c r="BL2032" s="79"/>
      <c r="BM2032" s="230"/>
      <c r="BN2032" s="211"/>
      <c r="BO2032" s="164"/>
      <c r="BP2032" s="76"/>
      <c r="BQ2032" s="44"/>
      <c r="BR2032" s="299"/>
      <c r="BS2032" s="52"/>
      <c r="BT2032" s="35"/>
      <c r="BU2032" s="79"/>
      <c r="BV2032" s="212"/>
      <c r="BW2032" s="304"/>
      <c r="BX2032" s="313"/>
      <c r="BY2032" s="138"/>
    </row>
    <row r="2033" spans="1:77" ht="15" customHeight="1" outlineLevel="1" x14ac:dyDescent="0.2">
      <c r="A2033" s="583" t="s">
        <v>37</v>
      </c>
      <c r="B2033" s="583" t="s">
        <v>477</v>
      </c>
      <c r="C2033" s="162" t="s">
        <v>1191</v>
      </c>
      <c r="D2033" s="812">
        <v>4.9219999999999997</v>
      </c>
      <c r="E2033" s="162" t="s">
        <v>631</v>
      </c>
      <c r="F2033" s="729"/>
      <c r="G2033" s="730"/>
      <c r="H2033" s="73"/>
      <c r="I2033" s="90"/>
      <c r="J2033" s="73"/>
      <c r="K2033" s="734">
        <v>2.7465E-2</v>
      </c>
      <c r="L2033" s="717"/>
      <c r="M2033" s="73"/>
      <c r="N2033" s="811"/>
      <c r="O2033" s="1041"/>
      <c r="P2033" s="73"/>
      <c r="Q2033" s="811"/>
      <c r="R2033" s="1041"/>
      <c r="S2033" s="73"/>
      <c r="T2033" s="811"/>
      <c r="U2033" s="73"/>
      <c r="V2033" s="66"/>
      <c r="W2033" s="740">
        <f t="shared" si="1873"/>
        <v>1.8950849999999998E-5</v>
      </c>
      <c r="X2033" s="741">
        <f t="shared" si="1874"/>
        <v>1.8950849999999998E-5</v>
      </c>
      <c r="Y2033" s="52">
        <v>2005</v>
      </c>
      <c r="Z2033" s="52"/>
      <c r="AA2033" s="739">
        <f t="shared" si="1869"/>
        <v>2.7464999999999999E-5</v>
      </c>
      <c r="AB2033" s="256">
        <v>-0.31</v>
      </c>
      <c r="AC2033" s="688">
        <f t="shared" si="1875"/>
        <v>-0.31</v>
      </c>
      <c r="AD2033" s="164"/>
      <c r="AE2033" s="164"/>
      <c r="AF2033" s="25"/>
      <c r="AG2033" s="26"/>
      <c r="AH2033" s="275"/>
      <c r="AI2033" s="52"/>
      <c r="AJ2033" s="35"/>
      <c r="AK2033" s="289"/>
      <c r="AL2033" s="290"/>
      <c r="AM2033" s="211"/>
      <c r="AN2033" s="164"/>
      <c r="AO2033" s="76"/>
      <c r="AP2033" s="44"/>
      <c r="AQ2033" s="275"/>
      <c r="AR2033" s="52"/>
      <c r="AS2033" s="35"/>
      <c r="AT2033" s="79"/>
      <c r="AU2033" s="212"/>
      <c r="AV2033" s="164"/>
      <c r="AW2033" s="164"/>
      <c r="AX2033" s="76"/>
      <c r="AY2033" s="44"/>
      <c r="AZ2033" s="275"/>
      <c r="BA2033" s="52"/>
      <c r="BB2033" s="35"/>
      <c r="BC2033" s="79"/>
      <c r="BD2033" s="230"/>
      <c r="BE2033" s="211"/>
      <c r="BF2033" s="164"/>
      <c r="BG2033" s="76"/>
      <c r="BH2033" s="44"/>
      <c r="BI2033" s="275"/>
      <c r="BJ2033" s="52"/>
      <c r="BK2033" s="35"/>
      <c r="BL2033" s="79"/>
      <c r="BM2033" s="230"/>
      <c r="BN2033" s="211"/>
      <c r="BO2033" s="164"/>
      <c r="BP2033" s="76"/>
      <c r="BQ2033" s="44"/>
      <c r="BR2033" s="299"/>
      <c r="BS2033" s="52"/>
      <c r="BT2033" s="35"/>
      <c r="BU2033" s="79"/>
      <c r="BV2033" s="212"/>
      <c r="BW2033" s="304"/>
      <c r="BX2033" s="313"/>
      <c r="BY2033" s="138"/>
    </row>
    <row r="2034" spans="1:77" ht="15" customHeight="1" outlineLevel="1" x14ac:dyDescent="0.2">
      <c r="A2034" s="583" t="s">
        <v>37</v>
      </c>
      <c r="B2034" s="583" t="s">
        <v>477</v>
      </c>
      <c r="C2034" s="162" t="s">
        <v>1209</v>
      </c>
      <c r="D2034" s="806">
        <v>0.29199999999999998</v>
      </c>
      <c r="E2034" s="162" t="s">
        <v>631</v>
      </c>
      <c r="F2034" s="729"/>
      <c r="G2034" s="730"/>
      <c r="H2034" s="73"/>
      <c r="I2034" s="90"/>
      <c r="J2034" s="73"/>
      <c r="K2034" s="814">
        <v>1.6299999999999999E-3</v>
      </c>
      <c r="L2034" s="717"/>
      <c r="M2034" s="73"/>
      <c r="N2034" s="811"/>
      <c r="O2034" s="1041"/>
      <c r="P2034" s="73"/>
      <c r="Q2034" s="811"/>
      <c r="R2034" s="1041"/>
      <c r="S2034" s="73"/>
      <c r="T2034" s="811"/>
      <c r="U2034" s="73"/>
      <c r="V2034" s="66"/>
      <c r="W2034" s="808">
        <f t="shared" si="1873"/>
        <v>1.1735999999999999E-6</v>
      </c>
      <c r="X2034" s="809">
        <f t="shared" si="1874"/>
        <v>1.1735999999999999E-6</v>
      </c>
      <c r="Y2034" s="52">
        <v>2005</v>
      </c>
      <c r="Z2034" s="52"/>
      <c r="AA2034" s="807">
        <f t="shared" si="1869"/>
        <v>1.6299999999999999E-6</v>
      </c>
      <c r="AB2034" s="256">
        <v>-0.28000000000000003</v>
      </c>
      <c r="AC2034" s="688">
        <f t="shared" si="1875"/>
        <v>-0.28000000000000003</v>
      </c>
      <c r="AD2034" s="164"/>
      <c r="AE2034" s="164"/>
      <c r="AF2034" s="25"/>
      <c r="AG2034" s="26"/>
      <c r="AH2034" s="275"/>
      <c r="AI2034" s="52"/>
      <c r="AJ2034" s="35"/>
      <c r="AK2034" s="289"/>
      <c r="AL2034" s="290"/>
      <c r="AM2034" s="211"/>
      <c r="AN2034" s="164"/>
      <c r="AO2034" s="76"/>
      <c r="AP2034" s="44"/>
      <c r="AQ2034" s="275"/>
      <c r="AR2034" s="52"/>
      <c r="AS2034" s="35"/>
      <c r="AT2034" s="79"/>
      <c r="AU2034" s="212"/>
      <c r="AV2034" s="164"/>
      <c r="AW2034" s="164"/>
      <c r="AX2034" s="76"/>
      <c r="AY2034" s="44"/>
      <c r="AZ2034" s="275"/>
      <c r="BA2034" s="52"/>
      <c r="BB2034" s="35"/>
      <c r="BC2034" s="79"/>
      <c r="BD2034" s="230"/>
      <c r="BE2034" s="211"/>
      <c r="BF2034" s="164"/>
      <c r="BG2034" s="76"/>
      <c r="BH2034" s="44"/>
      <c r="BI2034" s="275"/>
      <c r="BJ2034" s="52"/>
      <c r="BK2034" s="35"/>
      <c r="BL2034" s="79"/>
      <c r="BM2034" s="230"/>
      <c r="BN2034" s="211"/>
      <c r="BO2034" s="164"/>
      <c r="BP2034" s="76"/>
      <c r="BQ2034" s="44"/>
      <c r="BR2034" s="299"/>
      <c r="BS2034" s="52"/>
      <c r="BT2034" s="35"/>
      <c r="BU2034" s="79"/>
      <c r="BV2034" s="212"/>
      <c r="BW2034" s="304"/>
      <c r="BX2034" s="313"/>
      <c r="BY2034" s="138"/>
    </row>
    <row r="2035" spans="1:77" ht="15" customHeight="1" outlineLevel="1" x14ac:dyDescent="0.2">
      <c r="A2035" s="583" t="s">
        <v>37</v>
      </c>
      <c r="B2035" s="583" t="s">
        <v>477</v>
      </c>
      <c r="C2035" s="162" t="s">
        <v>1203</v>
      </c>
      <c r="D2035" s="812">
        <v>2.36</v>
      </c>
      <c r="E2035" s="162" t="s">
        <v>631</v>
      </c>
      <c r="F2035" s="729"/>
      <c r="G2035" s="730"/>
      <c r="H2035" s="73"/>
      <c r="I2035" s="90"/>
      <c r="J2035" s="73"/>
      <c r="K2035" s="734">
        <v>9.4070000000000004E-3</v>
      </c>
      <c r="L2035" s="717"/>
      <c r="M2035" s="73"/>
      <c r="N2035" s="811"/>
      <c r="O2035" s="1041"/>
      <c r="P2035" s="73"/>
      <c r="Q2035" s="811"/>
      <c r="R2035" s="1041"/>
      <c r="S2035" s="73"/>
      <c r="T2035" s="811"/>
      <c r="U2035" s="73"/>
      <c r="V2035" s="66"/>
      <c r="W2035" s="740">
        <f t="shared" si="1873"/>
        <v>6.3967599999999992E-6</v>
      </c>
      <c r="X2035" s="741">
        <f t="shared" si="1874"/>
        <v>6.3967599999999992E-6</v>
      </c>
      <c r="Y2035" s="52">
        <v>2005</v>
      </c>
      <c r="Z2035" s="52"/>
      <c r="AA2035" s="739">
        <f t="shared" si="1869"/>
        <v>9.4069999999999999E-6</v>
      </c>
      <c r="AB2035" s="256">
        <v>-0.32</v>
      </c>
      <c r="AC2035" s="688">
        <f t="shared" si="1875"/>
        <v>-0.32</v>
      </c>
      <c r="AD2035" s="164"/>
      <c r="AE2035" s="164"/>
      <c r="AF2035" s="25"/>
      <c r="AG2035" s="26"/>
      <c r="AH2035" s="275"/>
      <c r="AI2035" s="52"/>
      <c r="AJ2035" s="35"/>
      <c r="AK2035" s="289"/>
      <c r="AL2035" s="290"/>
      <c r="AM2035" s="211"/>
      <c r="AN2035" s="164"/>
      <c r="AO2035" s="76"/>
      <c r="AP2035" s="44"/>
      <c r="AQ2035" s="275"/>
      <c r="AR2035" s="52"/>
      <c r="AS2035" s="35"/>
      <c r="AT2035" s="79"/>
      <c r="AU2035" s="212"/>
      <c r="AV2035" s="164"/>
      <c r="AW2035" s="164"/>
      <c r="AX2035" s="76"/>
      <c r="AY2035" s="44"/>
      <c r="AZ2035" s="275"/>
      <c r="BA2035" s="52"/>
      <c r="BB2035" s="35"/>
      <c r="BC2035" s="79"/>
      <c r="BD2035" s="230"/>
      <c r="BE2035" s="211"/>
      <c r="BF2035" s="164"/>
      <c r="BG2035" s="76"/>
      <c r="BH2035" s="44"/>
      <c r="BI2035" s="275"/>
      <c r="BJ2035" s="52"/>
      <c r="BK2035" s="35"/>
      <c r="BL2035" s="79"/>
      <c r="BM2035" s="230"/>
      <c r="BN2035" s="211"/>
      <c r="BO2035" s="164"/>
      <c r="BP2035" s="76"/>
      <c r="BQ2035" s="44"/>
      <c r="BR2035" s="299"/>
      <c r="BS2035" s="52"/>
      <c r="BT2035" s="35"/>
      <c r="BU2035" s="79"/>
      <c r="BV2035" s="212"/>
      <c r="BW2035" s="304"/>
      <c r="BX2035" s="313"/>
      <c r="BY2035" s="138"/>
    </row>
    <row r="2036" spans="1:77" ht="15" customHeight="1" outlineLevel="1" x14ac:dyDescent="0.2">
      <c r="A2036" s="583" t="s">
        <v>37</v>
      </c>
      <c r="B2036" s="583" t="s">
        <v>477</v>
      </c>
      <c r="C2036" s="162" t="s">
        <v>1036</v>
      </c>
      <c r="D2036" s="806">
        <v>0.35399999999999998</v>
      </c>
      <c r="E2036" s="162" t="s">
        <v>631</v>
      </c>
      <c r="F2036" s="729"/>
      <c r="G2036" s="730"/>
      <c r="H2036" s="73"/>
      <c r="I2036" s="90"/>
      <c r="J2036" s="73"/>
      <c r="K2036" s="790">
        <v>2.647E-3</v>
      </c>
      <c r="L2036" s="717"/>
      <c r="M2036" s="73"/>
      <c r="N2036" s="811"/>
      <c r="O2036" s="1041"/>
      <c r="P2036" s="73"/>
      <c r="Q2036" s="811"/>
      <c r="R2036" s="1041"/>
      <c r="S2036" s="73"/>
      <c r="T2036" s="811"/>
      <c r="U2036" s="73"/>
      <c r="V2036" s="66"/>
      <c r="W2036" s="788">
        <f t="shared" si="1873"/>
        <v>1.6940800000000001E-6</v>
      </c>
      <c r="X2036" s="789">
        <f t="shared" si="1874"/>
        <v>1.6940800000000001E-6</v>
      </c>
      <c r="Y2036" s="52">
        <v>2005</v>
      </c>
      <c r="Z2036" s="52"/>
      <c r="AA2036" s="787">
        <f t="shared" ref="AA2036:AA2053" si="1880">+K2036/1000</f>
        <v>2.6470000000000002E-6</v>
      </c>
      <c r="AB2036" s="256">
        <v>-0.36</v>
      </c>
      <c r="AC2036" s="688">
        <f t="shared" si="1875"/>
        <v>-0.36</v>
      </c>
      <c r="AD2036" s="164"/>
      <c r="AE2036" s="164"/>
      <c r="AF2036" s="25"/>
      <c r="AG2036" s="26"/>
      <c r="AH2036" s="275"/>
      <c r="AI2036" s="52"/>
      <c r="AJ2036" s="35"/>
      <c r="AK2036" s="289"/>
      <c r="AL2036" s="290"/>
      <c r="AM2036" s="211"/>
      <c r="AN2036" s="164"/>
      <c r="AO2036" s="76"/>
      <c r="AP2036" s="44"/>
      <c r="AQ2036" s="275"/>
      <c r="AR2036" s="52"/>
      <c r="AS2036" s="35"/>
      <c r="AT2036" s="79"/>
      <c r="AU2036" s="212"/>
      <c r="AV2036" s="164"/>
      <c r="AW2036" s="164"/>
      <c r="AX2036" s="76"/>
      <c r="AY2036" s="44"/>
      <c r="AZ2036" s="275"/>
      <c r="BA2036" s="52"/>
      <c r="BB2036" s="35"/>
      <c r="BC2036" s="79"/>
      <c r="BD2036" s="230"/>
      <c r="BE2036" s="211"/>
      <c r="BF2036" s="164"/>
      <c r="BG2036" s="76"/>
      <c r="BH2036" s="44"/>
      <c r="BI2036" s="275"/>
      <c r="BJ2036" s="52"/>
      <c r="BK2036" s="35"/>
      <c r="BL2036" s="79"/>
      <c r="BM2036" s="230"/>
      <c r="BN2036" s="211"/>
      <c r="BO2036" s="164"/>
      <c r="BP2036" s="76"/>
      <c r="BQ2036" s="44"/>
      <c r="BR2036" s="299"/>
      <c r="BS2036" s="52"/>
      <c r="BT2036" s="35"/>
      <c r="BU2036" s="79"/>
      <c r="BV2036" s="212"/>
      <c r="BW2036" s="304"/>
      <c r="BX2036" s="313"/>
      <c r="BY2036" s="138"/>
    </row>
    <row r="2037" spans="1:77" ht="15" customHeight="1" outlineLevel="1" x14ac:dyDescent="0.2">
      <c r="A2037" s="583" t="s">
        <v>37</v>
      </c>
      <c r="B2037" s="583" t="s">
        <v>477</v>
      </c>
      <c r="C2037" s="162" t="s">
        <v>1200</v>
      </c>
      <c r="D2037" s="812">
        <v>8.9550000000000001</v>
      </c>
      <c r="E2037" s="162" t="s">
        <v>631</v>
      </c>
      <c r="F2037" s="729"/>
      <c r="G2037" s="730"/>
      <c r="H2037" s="73"/>
      <c r="I2037" s="90"/>
      <c r="J2037" s="73"/>
      <c r="K2037" s="734">
        <v>3.9050000000000001E-2</v>
      </c>
      <c r="L2037" s="717"/>
      <c r="M2037" s="73"/>
      <c r="N2037" s="811"/>
      <c r="O2037" s="1041"/>
      <c r="P2037" s="73"/>
      <c r="Q2037" s="811"/>
      <c r="R2037" s="1041"/>
      <c r="S2037" s="73"/>
      <c r="T2037" s="811"/>
      <c r="U2037" s="73"/>
      <c r="V2037" s="66"/>
      <c r="W2037" s="740">
        <f t="shared" si="1873"/>
        <v>2.5772999999999999E-5</v>
      </c>
      <c r="X2037" s="741">
        <f t="shared" si="1874"/>
        <v>2.5772999999999999E-5</v>
      </c>
      <c r="Y2037" s="52">
        <v>2005</v>
      </c>
      <c r="Z2037" s="52"/>
      <c r="AA2037" s="739">
        <f t="shared" si="1880"/>
        <v>3.9050000000000001E-5</v>
      </c>
      <c r="AB2037" s="256">
        <v>-0.34</v>
      </c>
      <c r="AC2037" s="688">
        <f t="shared" si="1875"/>
        <v>-0.34</v>
      </c>
      <c r="AD2037" s="164"/>
      <c r="AE2037" s="164"/>
      <c r="AF2037" s="25"/>
      <c r="AG2037" s="26"/>
      <c r="AH2037" s="275"/>
      <c r="AI2037" s="52"/>
      <c r="AJ2037" s="35"/>
      <c r="AK2037" s="289"/>
      <c r="AL2037" s="290"/>
      <c r="AM2037" s="211"/>
      <c r="AN2037" s="164"/>
      <c r="AO2037" s="76"/>
      <c r="AP2037" s="44"/>
      <c r="AQ2037" s="275"/>
      <c r="AR2037" s="52"/>
      <c r="AS2037" s="35"/>
      <c r="AT2037" s="79"/>
      <c r="AU2037" s="212"/>
      <c r="AV2037" s="164"/>
      <c r="AW2037" s="164"/>
      <c r="AX2037" s="76"/>
      <c r="AY2037" s="44"/>
      <c r="AZ2037" s="275"/>
      <c r="BA2037" s="52"/>
      <c r="BB2037" s="35"/>
      <c r="BC2037" s="79"/>
      <c r="BD2037" s="230"/>
      <c r="BE2037" s="211"/>
      <c r="BF2037" s="164"/>
      <c r="BG2037" s="76"/>
      <c r="BH2037" s="44"/>
      <c r="BI2037" s="275"/>
      <c r="BJ2037" s="52"/>
      <c r="BK2037" s="35"/>
      <c r="BL2037" s="79"/>
      <c r="BM2037" s="230"/>
      <c r="BN2037" s="211"/>
      <c r="BO2037" s="164"/>
      <c r="BP2037" s="76"/>
      <c r="BQ2037" s="44"/>
      <c r="BR2037" s="299"/>
      <c r="BS2037" s="52"/>
      <c r="BT2037" s="35"/>
      <c r="BU2037" s="79"/>
      <c r="BV2037" s="212"/>
      <c r="BW2037" s="304"/>
      <c r="BX2037" s="313"/>
      <c r="BY2037" s="138"/>
    </row>
    <row r="2038" spans="1:77" ht="15" customHeight="1" outlineLevel="1" x14ac:dyDescent="0.2">
      <c r="A2038" s="583" t="s">
        <v>37</v>
      </c>
      <c r="B2038" s="583" t="s">
        <v>477</v>
      </c>
      <c r="C2038" s="162" t="s">
        <v>1054</v>
      </c>
      <c r="D2038" s="812">
        <v>3.4420000000000002</v>
      </c>
      <c r="E2038" s="162" t="s">
        <v>631</v>
      </c>
      <c r="F2038" s="729"/>
      <c r="G2038" s="730"/>
      <c r="H2038" s="73"/>
      <c r="I2038" s="90"/>
      <c r="J2038" s="73"/>
      <c r="K2038" s="790">
        <v>4.8069999999999996E-3</v>
      </c>
      <c r="L2038" s="717"/>
      <c r="M2038" s="73"/>
      <c r="N2038" s="811"/>
      <c r="O2038" s="1041"/>
      <c r="P2038" s="73"/>
      <c r="Q2038" s="811"/>
      <c r="R2038" s="1041"/>
      <c r="S2038" s="73"/>
      <c r="T2038" s="811"/>
      <c r="U2038" s="73"/>
      <c r="V2038" s="66"/>
      <c r="W2038" s="788">
        <f t="shared" si="1873"/>
        <v>3.5571799999999999E-6</v>
      </c>
      <c r="X2038" s="789">
        <f t="shared" si="1874"/>
        <v>3.5571799999999999E-6</v>
      </c>
      <c r="Y2038" s="52">
        <v>2007</v>
      </c>
      <c r="Z2038" s="52"/>
      <c r="AA2038" s="787">
        <f t="shared" si="1880"/>
        <v>4.8069999999999999E-6</v>
      </c>
      <c r="AB2038" s="256">
        <v>-0.26</v>
      </c>
      <c r="AC2038" s="688">
        <f t="shared" si="1875"/>
        <v>-0.26</v>
      </c>
      <c r="AD2038" s="164"/>
      <c r="AE2038" s="164"/>
      <c r="AF2038" s="25"/>
      <c r="AG2038" s="26"/>
      <c r="AH2038" s="275"/>
      <c r="AI2038" s="52"/>
      <c r="AJ2038" s="35"/>
      <c r="AK2038" s="289"/>
      <c r="AL2038" s="290"/>
      <c r="AM2038" s="211"/>
      <c r="AN2038" s="164"/>
      <c r="AO2038" s="76"/>
      <c r="AP2038" s="44"/>
      <c r="AQ2038" s="275"/>
      <c r="AR2038" s="52"/>
      <c r="AS2038" s="35"/>
      <c r="AT2038" s="79"/>
      <c r="AU2038" s="212"/>
      <c r="AV2038" s="164"/>
      <c r="AW2038" s="164"/>
      <c r="AX2038" s="76"/>
      <c r="AY2038" s="44"/>
      <c r="AZ2038" s="275"/>
      <c r="BA2038" s="52"/>
      <c r="BB2038" s="35"/>
      <c r="BC2038" s="79"/>
      <c r="BD2038" s="230"/>
      <c r="BE2038" s="211"/>
      <c r="BF2038" s="164"/>
      <c r="BG2038" s="76"/>
      <c r="BH2038" s="44"/>
      <c r="BI2038" s="275"/>
      <c r="BJ2038" s="52"/>
      <c r="BK2038" s="35"/>
      <c r="BL2038" s="79"/>
      <c r="BM2038" s="230"/>
      <c r="BN2038" s="211"/>
      <c r="BO2038" s="164"/>
      <c r="BP2038" s="76"/>
      <c r="BQ2038" s="44"/>
      <c r="BR2038" s="299"/>
      <c r="BS2038" s="52"/>
      <c r="BT2038" s="35"/>
      <c r="BU2038" s="79"/>
      <c r="BV2038" s="212"/>
      <c r="BW2038" s="304"/>
      <c r="BX2038" s="313"/>
      <c r="BY2038" s="138"/>
    </row>
    <row r="2039" spans="1:77" ht="15" customHeight="1" outlineLevel="1" x14ac:dyDescent="0.2">
      <c r="A2039" s="583" t="s">
        <v>37</v>
      </c>
      <c r="B2039" s="583" t="s">
        <v>477</v>
      </c>
      <c r="C2039" s="162" t="s">
        <v>1032</v>
      </c>
      <c r="D2039" s="806">
        <v>0.372</v>
      </c>
      <c r="E2039" s="162" t="s">
        <v>631</v>
      </c>
      <c r="F2039" s="729"/>
      <c r="G2039" s="730"/>
      <c r="H2039" s="73"/>
      <c r="I2039" s="90"/>
      <c r="J2039" s="73"/>
      <c r="K2039" s="790">
        <v>1.7080000000000001E-3</v>
      </c>
      <c r="L2039" s="717"/>
      <c r="M2039" s="73"/>
      <c r="N2039" s="811"/>
      <c r="O2039" s="1041"/>
      <c r="P2039" s="73"/>
      <c r="Q2039" s="811"/>
      <c r="R2039" s="1041"/>
      <c r="S2039" s="73"/>
      <c r="T2039" s="811"/>
      <c r="U2039" s="73"/>
      <c r="V2039" s="66"/>
      <c r="W2039" s="788">
        <f t="shared" si="1873"/>
        <v>9.9064000000000014E-7</v>
      </c>
      <c r="X2039" s="789">
        <f t="shared" si="1874"/>
        <v>9.9064000000000014E-7</v>
      </c>
      <c r="Y2039" s="52">
        <v>2005</v>
      </c>
      <c r="Z2039" s="52"/>
      <c r="AA2039" s="787">
        <f t="shared" si="1880"/>
        <v>1.708E-6</v>
      </c>
      <c r="AB2039" s="256">
        <v>-0.42</v>
      </c>
      <c r="AC2039" s="688">
        <f t="shared" si="1875"/>
        <v>-0.42</v>
      </c>
      <c r="AD2039" s="164"/>
      <c r="AE2039" s="164"/>
      <c r="AF2039" s="25"/>
      <c r="AG2039" s="26"/>
      <c r="AH2039" s="275"/>
      <c r="AI2039" s="52"/>
      <c r="AJ2039" s="35"/>
      <c r="AK2039" s="289"/>
      <c r="AL2039" s="290"/>
      <c r="AM2039" s="211"/>
      <c r="AN2039" s="164"/>
      <c r="AO2039" s="76"/>
      <c r="AP2039" s="44"/>
      <c r="AQ2039" s="275"/>
      <c r="AR2039" s="52"/>
      <c r="AS2039" s="35"/>
      <c r="AT2039" s="79"/>
      <c r="AU2039" s="212"/>
      <c r="AV2039" s="164"/>
      <c r="AW2039" s="164"/>
      <c r="AX2039" s="76"/>
      <c r="AY2039" s="44"/>
      <c r="AZ2039" s="275"/>
      <c r="BA2039" s="52"/>
      <c r="BB2039" s="35"/>
      <c r="BC2039" s="79"/>
      <c r="BD2039" s="230"/>
      <c r="BE2039" s="211"/>
      <c r="BF2039" s="164"/>
      <c r="BG2039" s="76"/>
      <c r="BH2039" s="44"/>
      <c r="BI2039" s="275"/>
      <c r="BJ2039" s="52"/>
      <c r="BK2039" s="35"/>
      <c r="BL2039" s="79"/>
      <c r="BM2039" s="230"/>
      <c r="BN2039" s="211"/>
      <c r="BO2039" s="164"/>
      <c r="BP2039" s="76"/>
      <c r="BQ2039" s="44"/>
      <c r="BR2039" s="299"/>
      <c r="BS2039" s="52"/>
      <c r="BT2039" s="35"/>
      <c r="BU2039" s="79"/>
      <c r="BV2039" s="212"/>
      <c r="BW2039" s="304"/>
      <c r="BX2039" s="313"/>
      <c r="BY2039" s="138"/>
    </row>
    <row r="2040" spans="1:77" ht="15" customHeight="1" outlineLevel="1" x14ac:dyDescent="0.2">
      <c r="A2040" s="583" t="s">
        <v>37</v>
      </c>
      <c r="B2040" s="583" t="s">
        <v>477</v>
      </c>
      <c r="C2040" s="162" t="s">
        <v>1265</v>
      </c>
      <c r="D2040" s="812">
        <v>0.996</v>
      </c>
      <c r="E2040" s="162" t="s">
        <v>631</v>
      </c>
      <c r="F2040" s="729"/>
      <c r="G2040" s="730"/>
      <c r="H2040" s="73"/>
      <c r="I2040" s="90">
        <v>2005</v>
      </c>
      <c r="J2040" s="73"/>
      <c r="K2040" s="790">
        <v>3.9029999999999998E-3</v>
      </c>
      <c r="L2040" s="717"/>
      <c r="M2040" s="73"/>
      <c r="N2040" s="811"/>
      <c r="O2040" s="1041"/>
      <c r="P2040" s="73"/>
      <c r="Q2040" s="811"/>
      <c r="R2040" s="1041"/>
      <c r="S2040" s="73"/>
      <c r="T2040" s="811"/>
      <c r="U2040" s="73"/>
      <c r="V2040" s="66"/>
      <c r="W2040" s="788">
        <f t="shared" si="1873"/>
        <v>2.8491899999999999E-6</v>
      </c>
      <c r="X2040" s="789">
        <f t="shared" si="1874"/>
        <v>2.8491899999999999E-6</v>
      </c>
      <c r="Y2040" s="52">
        <v>2005</v>
      </c>
      <c r="Z2040" s="52"/>
      <c r="AA2040" s="787">
        <f t="shared" si="1880"/>
        <v>3.9029999999999997E-6</v>
      </c>
      <c r="AB2040" s="256">
        <v>-0.27</v>
      </c>
      <c r="AC2040" s="688">
        <f t="shared" si="1875"/>
        <v>-0.27</v>
      </c>
      <c r="AD2040" s="164"/>
      <c r="AE2040" s="164"/>
      <c r="AF2040" s="25"/>
      <c r="AG2040" s="26"/>
      <c r="AH2040" s="275"/>
      <c r="AI2040" s="52"/>
      <c r="AJ2040" s="35"/>
      <c r="AK2040" s="289"/>
      <c r="AL2040" s="290"/>
      <c r="AM2040" s="211"/>
      <c r="AN2040" s="164"/>
      <c r="AO2040" s="76"/>
      <c r="AP2040" s="44"/>
      <c r="AQ2040" s="275"/>
      <c r="AR2040" s="52"/>
      <c r="AS2040" s="35"/>
      <c r="AT2040" s="79"/>
      <c r="AU2040" s="212"/>
      <c r="AV2040" s="164"/>
      <c r="AW2040" s="164"/>
      <c r="AX2040" s="76"/>
      <c r="AY2040" s="44"/>
      <c r="AZ2040" s="275"/>
      <c r="BA2040" s="52"/>
      <c r="BB2040" s="35"/>
      <c r="BC2040" s="79"/>
      <c r="BD2040" s="230"/>
      <c r="BE2040" s="211"/>
      <c r="BF2040" s="164"/>
      <c r="BG2040" s="76"/>
      <c r="BH2040" s="44"/>
      <c r="BI2040" s="275"/>
      <c r="BJ2040" s="52"/>
      <c r="BK2040" s="35"/>
      <c r="BL2040" s="79"/>
      <c r="BM2040" s="230"/>
      <c r="BN2040" s="211"/>
      <c r="BO2040" s="164"/>
      <c r="BP2040" s="76"/>
      <c r="BQ2040" s="44"/>
      <c r="BR2040" s="299"/>
      <c r="BS2040" s="52"/>
      <c r="BT2040" s="35"/>
      <c r="BU2040" s="79"/>
      <c r="BV2040" s="212"/>
      <c r="BW2040" s="304"/>
      <c r="BX2040" s="313"/>
      <c r="BY2040" s="138"/>
    </row>
    <row r="2041" spans="1:77" ht="15" customHeight="1" outlineLevel="1" x14ac:dyDescent="0.2">
      <c r="A2041" s="583" t="s">
        <v>37</v>
      </c>
      <c r="B2041" s="583" t="s">
        <v>477</v>
      </c>
      <c r="C2041" s="162" t="s">
        <v>1025</v>
      </c>
      <c r="D2041" s="812">
        <v>8.9</v>
      </c>
      <c r="E2041" s="162" t="s">
        <v>631</v>
      </c>
      <c r="F2041" s="729"/>
      <c r="G2041" s="730"/>
      <c r="H2041" s="73"/>
      <c r="I2041" s="90"/>
      <c r="J2041" s="73"/>
      <c r="K2041" s="734">
        <v>5.8370000000000002E-3</v>
      </c>
      <c r="L2041" s="717"/>
      <c r="M2041" s="73"/>
      <c r="N2041" s="811"/>
      <c r="O2041" s="1041"/>
      <c r="P2041" s="73"/>
      <c r="Q2041" s="811"/>
      <c r="R2041" s="1041"/>
      <c r="S2041" s="73"/>
      <c r="T2041" s="811"/>
      <c r="U2041" s="73"/>
      <c r="V2041" s="66"/>
      <c r="W2041" s="788">
        <f t="shared" si="1873"/>
        <v>3.6773100000000002E-6</v>
      </c>
      <c r="X2041" s="789">
        <f t="shared" si="1874"/>
        <v>3.6773100000000002E-6</v>
      </c>
      <c r="Y2041" s="52">
        <v>2005</v>
      </c>
      <c r="Z2041" s="52"/>
      <c r="AA2041" s="787">
        <f t="shared" si="1880"/>
        <v>5.8370000000000002E-6</v>
      </c>
      <c r="AB2041" s="256">
        <v>-0.37</v>
      </c>
      <c r="AC2041" s="688">
        <f t="shared" si="1875"/>
        <v>-0.37</v>
      </c>
      <c r="AD2041" s="164"/>
      <c r="AE2041" s="164"/>
      <c r="AF2041" s="25"/>
      <c r="AG2041" s="26"/>
      <c r="AH2041" s="275"/>
      <c r="AI2041" s="52"/>
      <c r="AJ2041" s="35"/>
      <c r="AK2041" s="289"/>
      <c r="AL2041" s="290"/>
      <c r="AM2041" s="211"/>
      <c r="AN2041" s="164"/>
      <c r="AO2041" s="76"/>
      <c r="AP2041" s="44"/>
      <c r="AQ2041" s="275"/>
      <c r="AR2041" s="52"/>
      <c r="AS2041" s="35"/>
      <c r="AT2041" s="79"/>
      <c r="AU2041" s="212"/>
      <c r="AV2041" s="164"/>
      <c r="AW2041" s="164"/>
      <c r="AX2041" s="76"/>
      <c r="AY2041" s="44"/>
      <c r="AZ2041" s="275"/>
      <c r="BA2041" s="52"/>
      <c r="BB2041" s="35"/>
      <c r="BC2041" s="79"/>
      <c r="BD2041" s="230"/>
      <c r="BE2041" s="211"/>
      <c r="BF2041" s="164"/>
      <c r="BG2041" s="76"/>
      <c r="BH2041" s="44"/>
      <c r="BI2041" s="275"/>
      <c r="BJ2041" s="52"/>
      <c r="BK2041" s="35"/>
      <c r="BL2041" s="79"/>
      <c r="BM2041" s="230"/>
      <c r="BN2041" s="211"/>
      <c r="BO2041" s="164"/>
      <c r="BP2041" s="76"/>
      <c r="BQ2041" s="44"/>
      <c r="BR2041" s="299"/>
      <c r="BS2041" s="52"/>
      <c r="BT2041" s="35"/>
      <c r="BU2041" s="79"/>
      <c r="BV2041" s="212"/>
      <c r="BW2041" s="304"/>
      <c r="BX2041" s="313"/>
      <c r="BY2041" s="138"/>
    </row>
    <row r="2042" spans="1:77" ht="15" customHeight="1" outlineLevel="1" x14ac:dyDescent="0.2">
      <c r="A2042" s="583" t="s">
        <v>37</v>
      </c>
      <c r="B2042" s="583" t="s">
        <v>477</v>
      </c>
      <c r="C2042" s="162" t="s">
        <v>1040</v>
      </c>
      <c r="D2042" s="806">
        <v>0.2</v>
      </c>
      <c r="E2042" s="162" t="s">
        <v>631</v>
      </c>
      <c r="F2042" s="729"/>
      <c r="G2042" s="730"/>
      <c r="H2042" s="73"/>
      <c r="I2042" s="90"/>
      <c r="J2042" s="73"/>
      <c r="K2042" s="790">
        <v>1.392E-3</v>
      </c>
      <c r="L2042" s="717"/>
      <c r="M2042" s="73"/>
      <c r="N2042" s="811"/>
      <c r="O2042" s="1041"/>
      <c r="P2042" s="73"/>
      <c r="Q2042" s="811"/>
      <c r="R2042" s="1041"/>
      <c r="S2042" s="73"/>
      <c r="T2042" s="811"/>
      <c r="U2042" s="73"/>
      <c r="V2042" s="66"/>
      <c r="W2042" s="788">
        <f t="shared" si="1873"/>
        <v>1.00224E-6</v>
      </c>
      <c r="X2042" s="789">
        <f t="shared" si="1874"/>
        <v>1.00224E-6</v>
      </c>
      <c r="Y2042" s="52">
        <v>2005</v>
      </c>
      <c r="Z2042" s="52"/>
      <c r="AA2042" s="787">
        <f t="shared" si="1880"/>
        <v>1.392E-6</v>
      </c>
      <c r="AB2042" s="256">
        <v>-0.28000000000000003</v>
      </c>
      <c r="AC2042" s="688">
        <f t="shared" si="1875"/>
        <v>-0.28000000000000003</v>
      </c>
      <c r="AD2042" s="164"/>
      <c r="AE2042" s="164"/>
      <c r="AF2042" s="25"/>
      <c r="AG2042" s="26"/>
      <c r="AH2042" s="275"/>
      <c r="AI2042" s="52"/>
      <c r="AJ2042" s="35"/>
      <c r="AK2042" s="289"/>
      <c r="AL2042" s="290"/>
      <c r="AM2042" s="211"/>
      <c r="AN2042" s="164"/>
      <c r="AO2042" s="76"/>
      <c r="AP2042" s="44"/>
      <c r="AQ2042" s="275"/>
      <c r="AR2042" s="52"/>
      <c r="AS2042" s="35"/>
      <c r="AT2042" s="79"/>
      <c r="AU2042" s="212"/>
      <c r="AV2042" s="164"/>
      <c r="AW2042" s="164"/>
      <c r="AX2042" s="76"/>
      <c r="AY2042" s="44"/>
      <c r="AZ2042" s="275"/>
      <c r="BA2042" s="52"/>
      <c r="BB2042" s="35"/>
      <c r="BC2042" s="79"/>
      <c r="BD2042" s="230"/>
      <c r="BE2042" s="211"/>
      <c r="BF2042" s="164"/>
      <c r="BG2042" s="76"/>
      <c r="BH2042" s="44"/>
      <c r="BI2042" s="275"/>
      <c r="BJ2042" s="52"/>
      <c r="BK2042" s="35"/>
      <c r="BL2042" s="79"/>
      <c r="BM2042" s="230"/>
      <c r="BN2042" s="211"/>
      <c r="BO2042" s="164"/>
      <c r="BP2042" s="76"/>
      <c r="BQ2042" s="44"/>
      <c r="BR2042" s="299"/>
      <c r="BS2042" s="52"/>
      <c r="BT2042" s="35"/>
      <c r="BU2042" s="79"/>
      <c r="BV2042" s="212"/>
      <c r="BW2042" s="304"/>
      <c r="BX2042" s="313"/>
      <c r="BY2042" s="138"/>
    </row>
    <row r="2043" spans="1:77" ht="15" customHeight="1" outlineLevel="1" x14ac:dyDescent="0.2">
      <c r="A2043" s="583" t="s">
        <v>37</v>
      </c>
      <c r="B2043" s="583" t="s">
        <v>477</v>
      </c>
      <c r="C2043" s="162" t="s">
        <v>991</v>
      </c>
      <c r="D2043" s="812">
        <v>207.33799999999999</v>
      </c>
      <c r="E2043" s="162" t="s">
        <v>631</v>
      </c>
      <c r="F2043" s="729"/>
      <c r="G2043" s="730"/>
      <c r="H2043" s="73"/>
      <c r="I2043" s="90"/>
      <c r="J2043" s="73"/>
      <c r="K2043" s="66">
        <v>0.804253</v>
      </c>
      <c r="L2043" s="717"/>
      <c r="M2043" s="73"/>
      <c r="N2043" s="811"/>
      <c r="O2043" s="1041"/>
      <c r="P2043" s="73"/>
      <c r="Q2043" s="811"/>
      <c r="R2043" s="1041"/>
      <c r="S2043" s="73"/>
      <c r="T2043" s="811"/>
      <c r="U2043" s="73"/>
      <c r="V2043" s="66"/>
      <c r="W2043" s="594">
        <f t="shared" si="1873"/>
        <v>5.8710469000000003E-4</v>
      </c>
      <c r="X2043" s="595">
        <f t="shared" si="1874"/>
        <v>5.8710469000000003E-4</v>
      </c>
      <c r="Y2043" s="52">
        <v>2005</v>
      </c>
      <c r="Z2043" s="52"/>
      <c r="AA2043" s="596">
        <f t="shared" si="1880"/>
        <v>8.04253E-4</v>
      </c>
      <c r="AB2043" s="256">
        <v>-0.27</v>
      </c>
      <c r="AC2043" s="688">
        <f t="shared" si="1875"/>
        <v>-0.27</v>
      </c>
      <c r="AD2043" s="164"/>
      <c r="AE2043" s="164"/>
      <c r="AF2043" s="25"/>
      <c r="AG2043" s="26"/>
      <c r="AH2043" s="275"/>
      <c r="AI2043" s="52"/>
      <c r="AJ2043" s="35"/>
      <c r="AK2043" s="289"/>
      <c r="AL2043" s="290"/>
      <c r="AM2043" s="211"/>
      <c r="AN2043" s="164"/>
      <c r="AO2043" s="76"/>
      <c r="AP2043" s="44"/>
      <c r="AQ2043" s="275"/>
      <c r="AR2043" s="52"/>
      <c r="AS2043" s="35"/>
      <c r="AT2043" s="79"/>
      <c r="AU2043" s="212"/>
      <c r="AV2043" s="164"/>
      <c r="AW2043" s="164"/>
      <c r="AX2043" s="76"/>
      <c r="AY2043" s="44"/>
      <c r="AZ2043" s="275"/>
      <c r="BA2043" s="52"/>
      <c r="BB2043" s="35"/>
      <c r="BC2043" s="79"/>
      <c r="BD2043" s="230"/>
      <c r="BE2043" s="211"/>
      <c r="BF2043" s="164"/>
      <c r="BG2043" s="76"/>
      <c r="BH2043" s="44"/>
      <c r="BI2043" s="275"/>
      <c r="BJ2043" s="52"/>
      <c r="BK2043" s="35"/>
      <c r="BL2043" s="79"/>
      <c r="BM2043" s="230"/>
      <c r="BN2043" s="211"/>
      <c r="BO2043" s="164"/>
      <c r="BP2043" s="76"/>
      <c r="BQ2043" s="44"/>
      <c r="BR2043" s="299"/>
      <c r="BS2043" s="52"/>
      <c r="BT2043" s="35"/>
      <c r="BU2043" s="79"/>
      <c r="BV2043" s="212"/>
      <c r="BW2043" s="304"/>
      <c r="BX2043" s="313"/>
      <c r="BY2043" s="138"/>
    </row>
    <row r="2044" spans="1:77" ht="15" customHeight="1" outlineLevel="1" x14ac:dyDescent="0.2">
      <c r="A2044" s="583" t="s">
        <v>37</v>
      </c>
      <c r="B2044" s="583" t="s">
        <v>477</v>
      </c>
      <c r="C2044" s="162" t="s">
        <v>1012</v>
      </c>
      <c r="D2044" s="806">
        <v>0.76800000000000002</v>
      </c>
      <c r="E2044" s="162" t="s">
        <v>631</v>
      </c>
      <c r="F2044" s="729"/>
      <c r="G2044" s="730"/>
      <c r="H2044" s="73"/>
      <c r="I2044" s="90"/>
      <c r="J2044" s="73"/>
      <c r="K2044" s="734">
        <v>6.2700000000000004E-3</v>
      </c>
      <c r="L2044" s="717"/>
      <c r="M2044" s="73"/>
      <c r="N2044" s="811"/>
      <c r="O2044" s="1041"/>
      <c r="P2044" s="73"/>
      <c r="Q2044" s="811"/>
      <c r="R2044" s="1041"/>
      <c r="S2044" s="73"/>
      <c r="T2044" s="811"/>
      <c r="U2044" s="73"/>
      <c r="V2044" s="66"/>
      <c r="W2044" s="788">
        <f t="shared" si="1873"/>
        <v>4.5143999999999995E-6</v>
      </c>
      <c r="X2044" s="789">
        <f t="shared" si="1874"/>
        <v>4.5143999999999995E-6</v>
      </c>
      <c r="Y2044" s="52">
        <v>2005</v>
      </c>
      <c r="Z2044" s="52"/>
      <c r="AA2044" s="787">
        <f t="shared" si="1880"/>
        <v>6.2700000000000001E-6</v>
      </c>
      <c r="AB2044" s="256">
        <v>-0.28000000000000003</v>
      </c>
      <c r="AC2044" s="688">
        <f t="shared" si="1875"/>
        <v>-0.28000000000000003</v>
      </c>
      <c r="AD2044" s="164"/>
      <c r="AE2044" s="164"/>
      <c r="AF2044" s="25"/>
      <c r="AG2044" s="26"/>
      <c r="AH2044" s="275"/>
      <c r="AI2044" s="52"/>
      <c r="AJ2044" s="35"/>
      <c r="AK2044" s="289"/>
      <c r="AL2044" s="290"/>
      <c r="AM2044" s="211"/>
      <c r="AN2044" s="164"/>
      <c r="AO2044" s="76"/>
      <c r="AP2044" s="44"/>
      <c r="AQ2044" s="275"/>
      <c r="AR2044" s="52"/>
      <c r="AS2044" s="35"/>
      <c r="AT2044" s="79"/>
      <c r="AU2044" s="212"/>
      <c r="AV2044" s="164"/>
      <c r="AW2044" s="164"/>
      <c r="AX2044" s="76"/>
      <c r="AY2044" s="44"/>
      <c r="AZ2044" s="275"/>
      <c r="BA2044" s="52"/>
      <c r="BB2044" s="35"/>
      <c r="BC2044" s="79"/>
      <c r="BD2044" s="230"/>
      <c r="BE2044" s="211"/>
      <c r="BF2044" s="164"/>
      <c r="BG2044" s="76"/>
      <c r="BH2044" s="44"/>
      <c r="BI2044" s="275"/>
      <c r="BJ2044" s="52"/>
      <c r="BK2044" s="35"/>
      <c r="BL2044" s="79"/>
      <c r="BM2044" s="230"/>
      <c r="BN2044" s="211"/>
      <c r="BO2044" s="164"/>
      <c r="BP2044" s="76"/>
      <c r="BQ2044" s="44"/>
      <c r="BR2044" s="299"/>
      <c r="BS2044" s="52"/>
      <c r="BT2044" s="35"/>
      <c r="BU2044" s="79"/>
      <c r="BV2044" s="212"/>
      <c r="BW2044" s="304"/>
      <c r="BX2044" s="313"/>
      <c r="BY2044" s="138"/>
    </row>
    <row r="2045" spans="1:77" ht="15" customHeight="1" outlineLevel="1" x14ac:dyDescent="0.2">
      <c r="A2045" s="583" t="s">
        <v>37</v>
      </c>
      <c r="B2045" s="583" t="s">
        <v>477</v>
      </c>
      <c r="C2045" s="162" t="s">
        <v>994</v>
      </c>
      <c r="D2045" s="812">
        <v>3.4470000000000001</v>
      </c>
      <c r="E2045" s="162" t="s">
        <v>631</v>
      </c>
      <c r="F2045" s="729"/>
      <c r="G2045" s="730"/>
      <c r="H2045" s="73"/>
      <c r="I2045" s="90"/>
      <c r="J2045" s="73"/>
      <c r="K2045" s="734">
        <v>1.3103999999999999E-2</v>
      </c>
      <c r="L2045" s="717"/>
      <c r="M2045" s="73"/>
      <c r="N2045" s="811"/>
      <c r="O2045" s="1041"/>
      <c r="P2045" s="73"/>
      <c r="Q2045" s="811"/>
      <c r="R2045" s="1041"/>
      <c r="S2045" s="73"/>
      <c r="T2045" s="811"/>
      <c r="U2045" s="73"/>
      <c r="V2045" s="66"/>
      <c r="W2045" s="740">
        <f t="shared" si="1873"/>
        <v>9.6969599999999994E-6</v>
      </c>
      <c r="X2045" s="741">
        <f t="shared" si="1874"/>
        <v>9.6969599999999994E-6</v>
      </c>
      <c r="Y2045" s="52">
        <v>2005</v>
      </c>
      <c r="Z2045" s="52"/>
      <c r="AA2045" s="739">
        <f t="shared" si="1880"/>
        <v>1.3103999999999999E-5</v>
      </c>
      <c r="AB2045" s="256">
        <v>-0.26</v>
      </c>
      <c r="AC2045" s="688">
        <f t="shared" si="1875"/>
        <v>-0.26</v>
      </c>
      <c r="AD2045" s="164"/>
      <c r="AE2045" s="164"/>
      <c r="AF2045" s="25"/>
      <c r="AG2045" s="26"/>
      <c r="AH2045" s="275"/>
      <c r="AI2045" s="52"/>
      <c r="AJ2045" s="35"/>
      <c r="AK2045" s="289"/>
      <c r="AL2045" s="290"/>
      <c r="AM2045" s="211"/>
      <c r="AN2045" s="164"/>
      <c r="AO2045" s="76"/>
      <c r="AP2045" s="44"/>
      <c r="AQ2045" s="275"/>
      <c r="AR2045" s="52"/>
      <c r="AS2045" s="35"/>
      <c r="AT2045" s="79"/>
      <c r="AU2045" s="212"/>
      <c r="AV2045" s="164"/>
      <c r="AW2045" s="164"/>
      <c r="AX2045" s="76"/>
      <c r="AY2045" s="44"/>
      <c r="AZ2045" s="275"/>
      <c r="BA2045" s="52"/>
      <c r="BB2045" s="35"/>
      <c r="BC2045" s="79"/>
      <c r="BD2045" s="230"/>
      <c r="BE2045" s="211"/>
      <c r="BF2045" s="164"/>
      <c r="BG2045" s="76"/>
      <c r="BH2045" s="44"/>
      <c r="BI2045" s="275"/>
      <c r="BJ2045" s="52"/>
      <c r="BK2045" s="35"/>
      <c r="BL2045" s="79"/>
      <c r="BM2045" s="230"/>
      <c r="BN2045" s="211"/>
      <c r="BO2045" s="164"/>
      <c r="BP2045" s="76"/>
      <c r="BQ2045" s="44"/>
      <c r="BR2045" s="299"/>
      <c r="BS2045" s="52"/>
      <c r="BT2045" s="35"/>
      <c r="BU2045" s="79"/>
      <c r="BV2045" s="212"/>
      <c r="BW2045" s="304"/>
      <c r="BX2045" s="313"/>
      <c r="BY2045" s="138"/>
    </row>
    <row r="2046" spans="1:77" ht="15" customHeight="1" outlineLevel="1" x14ac:dyDescent="0.2">
      <c r="A2046" s="583" t="s">
        <v>37</v>
      </c>
      <c r="B2046" s="583" t="s">
        <v>477</v>
      </c>
      <c r="C2046" s="162" t="s">
        <v>1013</v>
      </c>
      <c r="D2046" s="806">
        <v>1</v>
      </c>
      <c r="E2046" s="162" t="s">
        <v>631</v>
      </c>
      <c r="F2046" s="729"/>
      <c r="G2046" s="730"/>
      <c r="H2046" s="73"/>
      <c r="I2046" s="90"/>
      <c r="J2046" s="73"/>
      <c r="K2046" s="734">
        <v>8.6669999999999994E-3</v>
      </c>
      <c r="L2046" s="717"/>
      <c r="M2046" s="73"/>
      <c r="N2046" s="811"/>
      <c r="O2046" s="1041"/>
      <c r="P2046" s="73"/>
      <c r="Q2046" s="811"/>
      <c r="R2046" s="1041"/>
      <c r="S2046" s="73"/>
      <c r="T2046" s="811"/>
      <c r="U2046" s="73"/>
      <c r="V2046" s="66"/>
      <c r="W2046" s="788">
        <f t="shared" si="1873"/>
        <v>6.5002500000000001E-6</v>
      </c>
      <c r="X2046" s="789">
        <f t="shared" si="1874"/>
        <v>6.5002500000000001E-6</v>
      </c>
      <c r="Y2046" s="52">
        <v>2005</v>
      </c>
      <c r="Z2046" s="52"/>
      <c r="AA2046" s="787">
        <f t="shared" si="1880"/>
        <v>8.6670000000000002E-6</v>
      </c>
      <c r="AB2046" s="256">
        <v>-0.25</v>
      </c>
      <c r="AC2046" s="688">
        <f t="shared" si="1875"/>
        <v>-0.25</v>
      </c>
      <c r="AD2046" s="164"/>
      <c r="AE2046" s="164"/>
      <c r="AF2046" s="25"/>
      <c r="AG2046" s="26"/>
      <c r="AH2046" s="275"/>
      <c r="AI2046" s="52"/>
      <c r="AJ2046" s="35"/>
      <c r="AK2046" s="289"/>
      <c r="AL2046" s="290"/>
      <c r="AM2046" s="211"/>
      <c r="AN2046" s="164"/>
      <c r="AO2046" s="76"/>
      <c r="AP2046" s="44"/>
      <c r="AQ2046" s="275"/>
      <c r="AR2046" s="52"/>
      <c r="AS2046" s="35"/>
      <c r="AT2046" s="79"/>
      <c r="AU2046" s="212"/>
      <c r="AV2046" s="164"/>
      <c r="AW2046" s="164"/>
      <c r="AX2046" s="76"/>
      <c r="AY2046" s="44"/>
      <c r="AZ2046" s="275"/>
      <c r="BA2046" s="52"/>
      <c r="BB2046" s="35"/>
      <c r="BC2046" s="79"/>
      <c r="BD2046" s="230"/>
      <c r="BE2046" s="211"/>
      <c r="BF2046" s="164"/>
      <c r="BG2046" s="76"/>
      <c r="BH2046" s="44"/>
      <c r="BI2046" s="275"/>
      <c r="BJ2046" s="52"/>
      <c r="BK2046" s="35"/>
      <c r="BL2046" s="79"/>
      <c r="BM2046" s="230"/>
      <c r="BN2046" s="211"/>
      <c r="BO2046" s="164"/>
      <c r="BP2046" s="76"/>
      <c r="BQ2046" s="44"/>
      <c r="BR2046" s="299"/>
      <c r="BS2046" s="52"/>
      <c r="BT2046" s="35"/>
      <c r="BU2046" s="79"/>
      <c r="BV2046" s="212"/>
      <c r="BW2046" s="304"/>
      <c r="BX2046" s="313"/>
      <c r="BY2046" s="138"/>
    </row>
    <row r="2047" spans="1:77" ht="15" customHeight="1" outlineLevel="1" x14ac:dyDescent="0.2">
      <c r="A2047" s="583" t="s">
        <v>37</v>
      </c>
      <c r="B2047" s="583" t="s">
        <v>477</v>
      </c>
      <c r="C2047" s="162" t="s">
        <v>1043</v>
      </c>
      <c r="D2047" s="812">
        <v>2.5</v>
      </c>
      <c r="E2047" s="162" t="s">
        <v>631</v>
      </c>
      <c r="F2047" s="729"/>
      <c r="G2047" s="730"/>
      <c r="H2047" s="73"/>
      <c r="I2047" s="90"/>
      <c r="J2047" s="73"/>
      <c r="K2047" s="734">
        <v>1.2878000000000001E-2</v>
      </c>
      <c r="L2047" s="717"/>
      <c r="M2047" s="73"/>
      <c r="N2047" s="811"/>
      <c r="O2047" s="1041"/>
      <c r="P2047" s="73"/>
      <c r="Q2047" s="811"/>
      <c r="R2047" s="1041"/>
      <c r="S2047" s="73"/>
      <c r="T2047" s="811"/>
      <c r="U2047" s="73"/>
      <c r="V2047" s="66"/>
      <c r="W2047" s="788">
        <f t="shared" si="1873"/>
        <v>9.529720000000001E-6</v>
      </c>
      <c r="X2047" s="789">
        <f t="shared" si="1874"/>
        <v>9.529720000000001E-6</v>
      </c>
      <c r="Y2047" s="52">
        <v>2005</v>
      </c>
      <c r="Z2047" s="52"/>
      <c r="AA2047" s="787">
        <f t="shared" si="1880"/>
        <v>1.2878000000000001E-5</v>
      </c>
      <c r="AB2047" s="256">
        <v>-0.26</v>
      </c>
      <c r="AC2047" s="688">
        <f t="shared" si="1875"/>
        <v>-0.26</v>
      </c>
      <c r="AD2047" s="164"/>
      <c r="AE2047" s="164"/>
      <c r="AF2047" s="25"/>
      <c r="AG2047" s="26"/>
      <c r="AH2047" s="275"/>
      <c r="AI2047" s="52"/>
      <c r="AJ2047" s="35"/>
      <c r="AK2047" s="289"/>
      <c r="AL2047" s="290"/>
      <c r="AM2047" s="211"/>
      <c r="AN2047" s="164"/>
      <c r="AO2047" s="76"/>
      <c r="AP2047" s="44"/>
      <c r="AQ2047" s="275"/>
      <c r="AR2047" s="52"/>
      <c r="AS2047" s="35"/>
      <c r="AT2047" s="79"/>
      <c r="AU2047" s="212"/>
      <c r="AV2047" s="164"/>
      <c r="AW2047" s="164"/>
      <c r="AX2047" s="76"/>
      <c r="AY2047" s="44"/>
      <c r="AZ2047" s="275"/>
      <c r="BA2047" s="52"/>
      <c r="BB2047" s="35"/>
      <c r="BC2047" s="79"/>
      <c r="BD2047" s="230"/>
      <c r="BE2047" s="211"/>
      <c r="BF2047" s="164"/>
      <c r="BG2047" s="76"/>
      <c r="BH2047" s="44"/>
      <c r="BI2047" s="275"/>
      <c r="BJ2047" s="52"/>
      <c r="BK2047" s="35"/>
      <c r="BL2047" s="79"/>
      <c r="BM2047" s="230"/>
      <c r="BN2047" s="211"/>
      <c r="BO2047" s="164"/>
      <c r="BP2047" s="76"/>
      <c r="BQ2047" s="44"/>
      <c r="BR2047" s="299"/>
      <c r="BS2047" s="52"/>
      <c r="BT2047" s="35"/>
      <c r="BU2047" s="79"/>
      <c r="BV2047" s="212"/>
      <c r="BW2047" s="304"/>
      <c r="BX2047" s="313"/>
      <c r="BY2047" s="138"/>
    </row>
    <row r="2048" spans="1:77" ht="15" customHeight="1" outlineLevel="1" x14ac:dyDescent="0.2">
      <c r="A2048" s="583" t="s">
        <v>37</v>
      </c>
      <c r="B2048" s="583" t="s">
        <v>477</v>
      </c>
      <c r="C2048" s="162" t="s">
        <v>1254</v>
      </c>
      <c r="D2048" s="806">
        <v>0.16800000000000001</v>
      </c>
      <c r="E2048" s="162" t="s">
        <v>631</v>
      </c>
      <c r="F2048" s="729"/>
      <c r="G2048" s="730"/>
      <c r="H2048" s="73"/>
      <c r="I2048" s="90"/>
      <c r="J2048" s="73"/>
      <c r="K2048" s="790">
        <v>1.013E-3</v>
      </c>
      <c r="L2048" s="717"/>
      <c r="M2048" s="73"/>
      <c r="N2048" s="811"/>
      <c r="O2048" s="1041"/>
      <c r="P2048" s="73"/>
      <c r="Q2048" s="811"/>
      <c r="R2048" s="1041"/>
      <c r="S2048" s="73"/>
      <c r="T2048" s="811"/>
      <c r="U2048" s="73"/>
      <c r="V2048" s="66"/>
      <c r="W2048" s="788">
        <f t="shared" si="1873"/>
        <v>6.7871000000000002E-7</v>
      </c>
      <c r="X2048" s="789">
        <f t="shared" si="1874"/>
        <v>6.7871000000000002E-7</v>
      </c>
      <c r="Y2048" s="52">
        <v>2005</v>
      </c>
      <c r="Z2048" s="52"/>
      <c r="AA2048" s="787">
        <f t="shared" si="1880"/>
        <v>1.0130000000000001E-6</v>
      </c>
      <c r="AB2048" s="256">
        <v>-0.33</v>
      </c>
      <c r="AC2048" s="688">
        <f t="shared" si="1875"/>
        <v>-0.33</v>
      </c>
      <c r="AD2048" s="164"/>
      <c r="AE2048" s="164"/>
      <c r="AF2048" s="25"/>
      <c r="AG2048" s="26"/>
      <c r="AH2048" s="275"/>
      <c r="AI2048" s="52"/>
      <c r="AJ2048" s="35"/>
      <c r="AK2048" s="289"/>
      <c r="AL2048" s="290"/>
      <c r="AM2048" s="211"/>
      <c r="AN2048" s="164"/>
      <c r="AO2048" s="76"/>
      <c r="AP2048" s="44"/>
      <c r="AQ2048" s="275"/>
      <c r="AR2048" s="52"/>
      <c r="AS2048" s="35"/>
      <c r="AT2048" s="79"/>
      <c r="AU2048" s="212"/>
      <c r="AV2048" s="164"/>
      <c r="AW2048" s="164"/>
      <c r="AX2048" s="76"/>
      <c r="AY2048" s="44"/>
      <c r="AZ2048" s="275"/>
      <c r="BA2048" s="52"/>
      <c r="BB2048" s="35"/>
      <c r="BC2048" s="79"/>
      <c r="BD2048" s="230"/>
      <c r="BE2048" s="211"/>
      <c r="BF2048" s="164"/>
      <c r="BG2048" s="76"/>
      <c r="BH2048" s="44"/>
      <c r="BI2048" s="275"/>
      <c r="BJ2048" s="52"/>
      <c r="BK2048" s="35"/>
      <c r="BL2048" s="79"/>
      <c r="BM2048" s="230"/>
      <c r="BN2048" s="211"/>
      <c r="BO2048" s="164"/>
      <c r="BP2048" s="76"/>
      <c r="BQ2048" s="44"/>
      <c r="BR2048" s="299"/>
      <c r="BS2048" s="52"/>
      <c r="BT2048" s="35"/>
      <c r="BU2048" s="79"/>
      <c r="BV2048" s="212"/>
      <c r="BW2048" s="304"/>
      <c r="BX2048" s="313"/>
      <c r="BY2048" s="138"/>
    </row>
    <row r="2049" spans="1:77" ht="15" customHeight="1" outlineLevel="1" x14ac:dyDescent="0.2">
      <c r="A2049" s="583" t="s">
        <v>37</v>
      </c>
      <c r="B2049" s="583" t="s">
        <v>477</v>
      </c>
      <c r="C2049" s="162" t="s">
        <v>1039</v>
      </c>
      <c r="D2049" s="812">
        <v>5.2409999999999997</v>
      </c>
      <c r="E2049" s="162" t="s">
        <v>631</v>
      </c>
      <c r="F2049" s="729"/>
      <c r="G2049" s="730"/>
      <c r="H2049" s="73"/>
      <c r="I2049" s="90"/>
      <c r="J2049" s="73"/>
      <c r="K2049" s="790">
        <v>4.8780000000000004E-3</v>
      </c>
      <c r="L2049" s="717"/>
      <c r="M2049" s="73"/>
      <c r="N2049" s="811"/>
      <c r="O2049" s="1041"/>
      <c r="P2049" s="73"/>
      <c r="Q2049" s="811"/>
      <c r="R2049" s="1041"/>
      <c r="S2049" s="73"/>
      <c r="T2049" s="811"/>
      <c r="U2049" s="73"/>
      <c r="V2049" s="66"/>
      <c r="W2049" s="788">
        <f t="shared" si="1873"/>
        <v>3.2194800000000001E-6</v>
      </c>
      <c r="X2049" s="789">
        <f t="shared" si="1874"/>
        <v>3.2194800000000001E-6</v>
      </c>
      <c r="Y2049" s="52">
        <v>2005</v>
      </c>
      <c r="Z2049" s="52"/>
      <c r="AA2049" s="787">
        <f t="shared" si="1880"/>
        <v>4.8780000000000006E-6</v>
      </c>
      <c r="AB2049" s="256">
        <v>-0.34</v>
      </c>
      <c r="AC2049" s="688">
        <f t="shared" si="1875"/>
        <v>-0.34</v>
      </c>
      <c r="AD2049" s="164"/>
      <c r="AE2049" s="164"/>
      <c r="AF2049" s="25"/>
      <c r="AG2049" s="26"/>
      <c r="AH2049" s="275"/>
      <c r="AI2049" s="52"/>
      <c r="AJ2049" s="35"/>
      <c r="AK2049" s="289"/>
      <c r="AL2049" s="290"/>
      <c r="AM2049" s="211"/>
      <c r="AN2049" s="164"/>
      <c r="AO2049" s="76"/>
      <c r="AP2049" s="44"/>
      <c r="AQ2049" s="275"/>
      <c r="AR2049" s="52"/>
      <c r="AS2049" s="35"/>
      <c r="AT2049" s="79"/>
      <c r="AU2049" s="212"/>
      <c r="AV2049" s="164"/>
      <c r="AW2049" s="164"/>
      <c r="AX2049" s="76"/>
      <c r="AY2049" s="44"/>
      <c r="AZ2049" s="275"/>
      <c r="BA2049" s="52"/>
      <c r="BB2049" s="35"/>
      <c r="BC2049" s="79"/>
      <c r="BD2049" s="230"/>
      <c r="BE2049" s="211"/>
      <c r="BF2049" s="164"/>
      <c r="BG2049" s="76"/>
      <c r="BH2049" s="44"/>
      <c r="BI2049" s="275"/>
      <c r="BJ2049" s="52"/>
      <c r="BK2049" s="35"/>
      <c r="BL2049" s="79"/>
      <c r="BM2049" s="230"/>
      <c r="BN2049" s="211"/>
      <c r="BO2049" s="164"/>
      <c r="BP2049" s="76"/>
      <c r="BQ2049" s="44"/>
      <c r="BR2049" s="299"/>
      <c r="BS2049" s="52"/>
      <c r="BT2049" s="35"/>
      <c r="BU2049" s="79"/>
      <c r="BV2049" s="212"/>
      <c r="BW2049" s="304"/>
      <c r="BX2049" s="313"/>
      <c r="BY2049" s="138"/>
    </row>
    <row r="2050" spans="1:77" ht="15" customHeight="1" outlineLevel="1" x14ac:dyDescent="0.2">
      <c r="A2050" s="583" t="s">
        <v>37</v>
      </c>
      <c r="B2050" s="583" t="s">
        <v>477</v>
      </c>
      <c r="C2050" s="162" t="s">
        <v>1100</v>
      </c>
      <c r="D2050" s="812">
        <v>7.9960000000000004</v>
      </c>
      <c r="E2050" s="162" t="s">
        <v>631</v>
      </c>
      <c r="F2050" s="729"/>
      <c r="G2050" s="730"/>
      <c r="H2050" s="73"/>
      <c r="I2050" s="90"/>
      <c r="J2050" s="73"/>
      <c r="K2050" s="790">
        <v>4.2079999999999999E-3</v>
      </c>
      <c r="L2050" s="717"/>
      <c r="M2050" s="73"/>
      <c r="N2050" s="811"/>
      <c r="O2050" s="1041"/>
      <c r="P2050" s="73"/>
      <c r="Q2050" s="811"/>
      <c r="R2050" s="1041"/>
      <c r="S2050" s="73"/>
      <c r="T2050" s="811"/>
      <c r="U2050" s="73"/>
      <c r="V2050" s="66"/>
      <c r="W2050" s="788">
        <f t="shared" si="1873"/>
        <v>2.3985600000000004E-6</v>
      </c>
      <c r="X2050" s="789">
        <f t="shared" si="1874"/>
        <v>2.3985600000000004E-6</v>
      </c>
      <c r="Y2050" s="52">
        <v>2005</v>
      </c>
      <c r="Z2050" s="52"/>
      <c r="AA2050" s="787">
        <f t="shared" si="1880"/>
        <v>4.2080000000000002E-6</v>
      </c>
      <c r="AB2050" s="256">
        <v>-0.43</v>
      </c>
      <c r="AC2050" s="688">
        <f t="shared" si="1875"/>
        <v>-0.43</v>
      </c>
      <c r="AD2050" s="164"/>
      <c r="AE2050" s="164"/>
      <c r="AF2050" s="25"/>
      <c r="AG2050" s="26"/>
      <c r="AH2050" s="275"/>
      <c r="AI2050" s="52"/>
      <c r="AJ2050" s="35"/>
      <c r="AK2050" s="289"/>
      <c r="AL2050" s="290"/>
      <c r="AM2050" s="211"/>
      <c r="AN2050" s="164"/>
      <c r="AO2050" s="76"/>
      <c r="AP2050" s="44"/>
      <c r="AQ2050" s="275"/>
      <c r="AR2050" s="52"/>
      <c r="AS2050" s="35"/>
      <c r="AT2050" s="79"/>
      <c r="AU2050" s="212"/>
      <c r="AV2050" s="164"/>
      <c r="AW2050" s="164"/>
      <c r="AX2050" s="76"/>
      <c r="AY2050" s="44"/>
      <c r="AZ2050" s="275"/>
      <c r="BA2050" s="52"/>
      <c r="BB2050" s="35"/>
      <c r="BC2050" s="79"/>
      <c r="BD2050" s="230"/>
      <c r="BE2050" s="211"/>
      <c r="BF2050" s="164"/>
      <c r="BG2050" s="76"/>
      <c r="BH2050" s="44"/>
      <c r="BI2050" s="275"/>
      <c r="BJ2050" s="52"/>
      <c r="BK2050" s="35"/>
      <c r="BL2050" s="79"/>
      <c r="BM2050" s="230"/>
      <c r="BN2050" s="211"/>
      <c r="BO2050" s="164"/>
      <c r="BP2050" s="76"/>
      <c r="BQ2050" s="44"/>
      <c r="BR2050" s="299"/>
      <c r="BS2050" s="52"/>
      <c r="BT2050" s="35"/>
      <c r="BU2050" s="79"/>
      <c r="BV2050" s="212"/>
      <c r="BW2050" s="304"/>
      <c r="BX2050" s="313"/>
      <c r="BY2050" s="138"/>
    </row>
    <row r="2051" spans="1:77" ht="15" customHeight="1" outlineLevel="1" x14ac:dyDescent="0.2">
      <c r="A2051" s="583" t="s">
        <v>37</v>
      </c>
      <c r="B2051" s="583" t="s">
        <v>477</v>
      </c>
      <c r="C2051" s="162" t="s">
        <v>1199</v>
      </c>
      <c r="D2051" s="812">
        <v>119.717</v>
      </c>
      <c r="E2051" s="162" t="s">
        <v>631</v>
      </c>
      <c r="F2051" s="729"/>
      <c r="G2051" s="730"/>
      <c r="H2051" s="73"/>
      <c r="I2051" s="90"/>
      <c r="J2051" s="73"/>
      <c r="K2051" s="66">
        <v>0.33812199999999998</v>
      </c>
      <c r="L2051" s="717"/>
      <c r="M2051" s="73"/>
      <c r="N2051" s="811"/>
      <c r="O2051" s="1041"/>
      <c r="P2051" s="73"/>
      <c r="Q2051" s="811"/>
      <c r="R2051" s="1041"/>
      <c r="S2051" s="73"/>
      <c r="T2051" s="811"/>
      <c r="U2051" s="73"/>
      <c r="V2051" s="66"/>
      <c r="W2051" s="594">
        <f t="shared" si="1873"/>
        <v>2.1639808E-4</v>
      </c>
      <c r="X2051" s="595">
        <f t="shared" si="1874"/>
        <v>2.1639808E-4</v>
      </c>
      <c r="Y2051" s="52">
        <v>2005</v>
      </c>
      <c r="Z2051" s="52"/>
      <c r="AA2051" s="596">
        <f t="shared" si="1880"/>
        <v>3.38122E-4</v>
      </c>
      <c r="AB2051" s="256">
        <v>-0.36</v>
      </c>
      <c r="AC2051" s="688">
        <f t="shared" si="1875"/>
        <v>-0.36</v>
      </c>
      <c r="AD2051" s="164"/>
      <c r="AE2051" s="164"/>
      <c r="AF2051" s="25"/>
      <c r="AG2051" s="26"/>
      <c r="AH2051" s="275"/>
      <c r="AI2051" s="52"/>
      <c r="AJ2051" s="35"/>
      <c r="AK2051" s="289"/>
      <c r="AL2051" s="290"/>
      <c r="AM2051" s="211"/>
      <c r="AN2051" s="164"/>
      <c r="AO2051" s="76"/>
      <c r="AP2051" s="44"/>
      <c r="AQ2051" s="275"/>
      <c r="AR2051" s="52"/>
      <c r="AS2051" s="35"/>
      <c r="AT2051" s="79"/>
      <c r="AU2051" s="212"/>
      <c r="AV2051" s="164"/>
      <c r="AW2051" s="164"/>
      <c r="AX2051" s="76"/>
      <c r="AY2051" s="44"/>
      <c r="AZ2051" s="275"/>
      <c r="BA2051" s="52"/>
      <c r="BB2051" s="35"/>
      <c r="BC2051" s="79"/>
      <c r="BD2051" s="230"/>
      <c r="BE2051" s="211"/>
      <c r="BF2051" s="164"/>
      <c r="BG2051" s="76"/>
      <c r="BH2051" s="44"/>
      <c r="BI2051" s="275"/>
      <c r="BJ2051" s="52"/>
      <c r="BK2051" s="35"/>
      <c r="BL2051" s="79"/>
      <c r="BM2051" s="230"/>
      <c r="BN2051" s="211"/>
      <c r="BO2051" s="164"/>
      <c r="BP2051" s="76"/>
      <c r="BQ2051" s="44"/>
      <c r="BR2051" s="299"/>
      <c r="BS2051" s="52"/>
      <c r="BT2051" s="35"/>
      <c r="BU2051" s="79"/>
      <c r="BV2051" s="212"/>
      <c r="BW2051" s="304"/>
      <c r="BX2051" s="313"/>
      <c r="BY2051" s="138"/>
    </row>
    <row r="2052" spans="1:77" ht="15" customHeight="1" outlineLevel="1" x14ac:dyDescent="0.2">
      <c r="A2052" s="583" t="s">
        <v>37</v>
      </c>
      <c r="B2052" s="583" t="s">
        <v>477</v>
      </c>
      <c r="C2052" s="162" t="s">
        <v>1249</v>
      </c>
      <c r="D2052" s="812">
        <v>1.125</v>
      </c>
      <c r="E2052" s="162" t="s">
        <v>631</v>
      </c>
      <c r="F2052" s="729"/>
      <c r="G2052" s="730"/>
      <c r="H2052" s="73"/>
      <c r="I2052" s="90"/>
      <c r="J2052" s="73"/>
      <c r="K2052" s="790">
        <v>4.1190000000000003E-3</v>
      </c>
      <c r="L2052" s="717"/>
      <c r="M2052" s="73"/>
      <c r="N2052" s="811"/>
      <c r="O2052" s="1041"/>
      <c r="P2052" s="73"/>
      <c r="Q2052" s="811"/>
      <c r="R2052" s="1041"/>
      <c r="S2052" s="73"/>
      <c r="T2052" s="811"/>
      <c r="U2052" s="73"/>
      <c r="V2052" s="66"/>
      <c r="W2052" s="788">
        <f t="shared" si="1873"/>
        <v>2.8832999999999996E-6</v>
      </c>
      <c r="X2052" s="789">
        <f t="shared" si="1874"/>
        <v>2.8832999999999996E-6</v>
      </c>
      <c r="Y2052" s="52">
        <v>2005</v>
      </c>
      <c r="Z2052" s="52"/>
      <c r="AA2052" s="787">
        <f t="shared" si="1880"/>
        <v>4.1189999999999999E-6</v>
      </c>
      <c r="AB2052" s="256">
        <v>-0.3</v>
      </c>
      <c r="AC2052" s="688">
        <f t="shared" si="1875"/>
        <v>-0.3</v>
      </c>
      <c r="AD2052" s="164"/>
      <c r="AE2052" s="164"/>
      <c r="AF2052" s="25"/>
      <c r="AG2052" s="26"/>
      <c r="AH2052" s="275"/>
      <c r="AI2052" s="52"/>
      <c r="AJ2052" s="35"/>
      <c r="AK2052" s="289"/>
      <c r="AL2052" s="290"/>
      <c r="AM2052" s="211"/>
      <c r="AN2052" s="164"/>
      <c r="AO2052" s="76"/>
      <c r="AP2052" s="44"/>
      <c r="AQ2052" s="275"/>
      <c r="AR2052" s="52"/>
      <c r="AS2052" s="35"/>
      <c r="AT2052" s="79"/>
      <c r="AU2052" s="212"/>
      <c r="AV2052" s="164"/>
      <c r="AW2052" s="164"/>
      <c r="AX2052" s="76"/>
      <c r="AY2052" s="44"/>
      <c r="AZ2052" s="275"/>
      <c r="BA2052" s="52"/>
      <c r="BB2052" s="35"/>
      <c r="BC2052" s="79"/>
      <c r="BD2052" s="230"/>
      <c r="BE2052" s="211"/>
      <c r="BF2052" s="164"/>
      <c r="BG2052" s="76"/>
      <c r="BH2052" s="44"/>
      <c r="BI2052" s="275"/>
      <c r="BJ2052" s="52"/>
      <c r="BK2052" s="35"/>
      <c r="BL2052" s="79"/>
      <c r="BM2052" s="230"/>
      <c r="BN2052" s="211"/>
      <c r="BO2052" s="164"/>
      <c r="BP2052" s="76"/>
      <c r="BQ2052" s="44"/>
      <c r="BR2052" s="299"/>
      <c r="BS2052" s="52"/>
      <c r="BT2052" s="35"/>
      <c r="BU2052" s="79"/>
      <c r="BV2052" s="212"/>
      <c r="BW2052" s="304"/>
      <c r="BX2052" s="313"/>
      <c r="BY2052" s="138"/>
    </row>
    <row r="2053" spans="1:77" ht="15" customHeight="1" outlineLevel="1" x14ac:dyDescent="0.2">
      <c r="A2053" s="583" t="s">
        <v>37</v>
      </c>
      <c r="B2053" s="583" t="s">
        <v>477</v>
      </c>
      <c r="C2053" s="162" t="s">
        <v>971</v>
      </c>
      <c r="D2053" s="806">
        <v>0.186</v>
      </c>
      <c r="E2053" s="162" t="s">
        <v>631</v>
      </c>
      <c r="F2053" s="729"/>
      <c r="G2053" s="730"/>
      <c r="H2053" s="73"/>
      <c r="I2053" s="90"/>
      <c r="J2053" s="73"/>
      <c r="K2053" s="790">
        <v>3.1449999999999998E-3</v>
      </c>
      <c r="L2053" s="717"/>
      <c r="M2053" s="73"/>
      <c r="N2053" s="359"/>
      <c r="O2053" s="1041"/>
      <c r="P2053" s="73"/>
      <c r="Q2053" s="359"/>
      <c r="R2053" s="1041"/>
      <c r="S2053" s="73"/>
      <c r="T2053" s="359"/>
      <c r="U2053" s="73"/>
      <c r="V2053" s="66"/>
      <c r="W2053" s="788">
        <f t="shared" si="1873"/>
        <v>2.3273000000000001E-6</v>
      </c>
      <c r="X2053" s="789">
        <f t="shared" si="1874"/>
        <v>2.3273000000000001E-6</v>
      </c>
      <c r="Y2053" s="52">
        <v>2005</v>
      </c>
      <c r="Z2053" s="52"/>
      <c r="AA2053" s="739">
        <f t="shared" si="1880"/>
        <v>3.145E-6</v>
      </c>
      <c r="AB2053" s="256">
        <v>-0.26</v>
      </c>
      <c r="AC2053" s="688">
        <f t="shared" si="1875"/>
        <v>-0.26</v>
      </c>
      <c r="AD2053" s="164"/>
      <c r="AE2053" s="164"/>
      <c r="AF2053" s="25"/>
      <c r="AG2053" s="26"/>
      <c r="AH2053" s="275"/>
      <c r="AI2053" s="52"/>
      <c r="AJ2053" s="35"/>
      <c r="AK2053" s="289"/>
      <c r="AL2053" s="290"/>
      <c r="AM2053" s="211"/>
      <c r="AN2053" s="164"/>
      <c r="AO2053" s="76"/>
      <c r="AP2053" s="44"/>
      <c r="AQ2053" s="275"/>
      <c r="AR2053" s="52"/>
      <c r="AS2053" s="35"/>
      <c r="AT2053" s="79"/>
      <c r="AU2053" s="212"/>
      <c r="AV2053" s="164"/>
      <c r="AW2053" s="164"/>
      <c r="AX2053" s="76"/>
      <c r="AY2053" s="44"/>
      <c r="AZ2053" s="275"/>
      <c r="BA2053" s="52"/>
      <c r="BB2053" s="35"/>
      <c r="BC2053" s="79"/>
      <c r="BD2053" s="230"/>
      <c r="BE2053" s="211"/>
      <c r="BF2053" s="164"/>
      <c r="BG2053" s="76"/>
      <c r="BH2053" s="44"/>
      <c r="BI2053" s="275"/>
      <c r="BJ2053" s="52"/>
      <c r="BK2053" s="35"/>
      <c r="BL2053" s="79"/>
      <c r="BM2053" s="230"/>
      <c r="BN2053" s="211"/>
      <c r="BO2053" s="164"/>
      <c r="BP2053" s="76"/>
      <c r="BQ2053" s="44"/>
      <c r="BR2053" s="299"/>
      <c r="BS2053" s="52"/>
      <c r="BT2053" s="35"/>
      <c r="BU2053" s="79"/>
      <c r="BV2053" s="212"/>
      <c r="BW2053" s="304"/>
      <c r="BX2053" s="313"/>
      <c r="BY2053" s="138"/>
    </row>
    <row r="2054" spans="1:77" ht="15" customHeight="1" outlineLevel="1" x14ac:dyDescent="0.2">
      <c r="A2054" s="583" t="s">
        <v>37</v>
      </c>
      <c r="B2054" s="583" t="s">
        <v>477</v>
      </c>
      <c r="C2054" s="162" t="s">
        <v>1017</v>
      </c>
      <c r="D2054" s="806">
        <v>0.752</v>
      </c>
      <c r="E2054" s="162" t="s">
        <v>631</v>
      </c>
      <c r="F2054" s="729"/>
      <c r="G2054" s="730"/>
      <c r="H2054" s="73"/>
      <c r="I2054" s="90"/>
      <c r="J2054" s="73"/>
      <c r="K2054" s="790"/>
      <c r="L2054" s="717">
        <v>2012</v>
      </c>
      <c r="M2054" s="73"/>
      <c r="N2054" s="359">
        <v>0.30380000000000001</v>
      </c>
      <c r="O2054" s="1041"/>
      <c r="P2054" s="73"/>
      <c r="Q2054" s="359"/>
      <c r="R2054" s="1041"/>
      <c r="S2054" s="73"/>
      <c r="T2054" s="359"/>
      <c r="U2054" s="73"/>
      <c r="V2054" s="66"/>
      <c r="W2054" s="788">
        <f t="shared" si="1873"/>
        <v>2.2177399999999999E-4</v>
      </c>
      <c r="X2054" s="789">
        <f t="shared" si="1874"/>
        <v>2.2177399999999999E-4</v>
      </c>
      <c r="Y2054" s="52">
        <v>2012</v>
      </c>
      <c r="Z2054" s="52"/>
      <c r="AA2054" s="787">
        <f>+N2054/1000</f>
        <v>3.0380000000000001E-4</v>
      </c>
      <c r="AB2054" s="256">
        <v>-0.27</v>
      </c>
      <c r="AC2054" s="688">
        <f t="shared" si="1875"/>
        <v>-0.27</v>
      </c>
      <c r="AD2054" s="164"/>
      <c r="AE2054" s="164"/>
      <c r="AF2054" s="25"/>
      <c r="AG2054" s="26"/>
      <c r="AH2054" s="275"/>
      <c r="AI2054" s="52"/>
      <c r="AJ2054" s="35"/>
      <c r="AK2054" s="289"/>
      <c r="AL2054" s="290"/>
      <c r="AM2054" s="211"/>
      <c r="AN2054" s="164"/>
      <c r="AO2054" s="76"/>
      <c r="AP2054" s="44"/>
      <c r="AQ2054" s="275"/>
      <c r="AR2054" s="52"/>
      <c r="AS2054" s="35"/>
      <c r="AT2054" s="79"/>
      <c r="AU2054" s="212"/>
      <c r="AV2054" s="164"/>
      <c r="AW2054" s="164"/>
      <c r="AX2054" s="76"/>
      <c r="AY2054" s="44"/>
      <c r="AZ2054" s="275"/>
      <c r="BA2054" s="52"/>
      <c r="BB2054" s="35"/>
      <c r="BC2054" s="79"/>
      <c r="BD2054" s="230"/>
      <c r="BE2054" s="211"/>
      <c r="BF2054" s="164"/>
      <c r="BG2054" s="76"/>
      <c r="BH2054" s="44"/>
      <c r="BI2054" s="275"/>
      <c r="BJ2054" s="52"/>
      <c r="BK2054" s="35"/>
      <c r="BL2054" s="79"/>
      <c r="BM2054" s="230"/>
      <c r="BN2054" s="211"/>
      <c r="BO2054" s="164"/>
      <c r="BP2054" s="76"/>
      <c r="BQ2054" s="44"/>
      <c r="BR2054" s="299"/>
      <c r="BS2054" s="52"/>
      <c r="BT2054" s="35"/>
      <c r="BU2054" s="79"/>
      <c r="BV2054" s="212"/>
      <c r="BW2054" s="304"/>
      <c r="BX2054" s="313"/>
      <c r="BY2054" s="138"/>
    </row>
    <row r="2055" spans="1:77" ht="15" customHeight="1" outlineLevel="1" x14ac:dyDescent="0.2">
      <c r="A2055" s="583" t="s">
        <v>37</v>
      </c>
      <c r="B2055" s="583" t="s">
        <v>477</v>
      </c>
      <c r="C2055" s="162" t="s">
        <v>1051</v>
      </c>
      <c r="D2055" s="812">
        <v>9.3010000000000002</v>
      </c>
      <c r="E2055" s="162" t="s">
        <v>631</v>
      </c>
      <c r="F2055" s="729"/>
      <c r="G2055" s="730"/>
      <c r="H2055" s="73"/>
      <c r="I2055" s="90"/>
      <c r="J2055" s="73"/>
      <c r="K2055" s="734">
        <v>3.8538999999999997E-2</v>
      </c>
      <c r="L2055" s="717"/>
      <c r="M2055" s="73"/>
      <c r="N2055" s="811"/>
      <c r="O2055" s="1041"/>
      <c r="P2055" s="73"/>
      <c r="Q2055" s="811"/>
      <c r="R2055" s="1041"/>
      <c r="S2055" s="73"/>
      <c r="T2055" s="811"/>
      <c r="U2055" s="73"/>
      <c r="V2055" s="66"/>
      <c r="W2055" s="788">
        <f t="shared" si="1873"/>
        <v>2.8904249999999997E-5</v>
      </c>
      <c r="X2055" s="789">
        <f t="shared" si="1874"/>
        <v>2.8904249999999997E-5</v>
      </c>
      <c r="Y2055" s="52">
        <v>2005</v>
      </c>
      <c r="Z2055" s="52"/>
      <c r="AA2055" s="787">
        <f>+K2055/1000</f>
        <v>3.8538999999999998E-5</v>
      </c>
      <c r="AB2055" s="256">
        <v>-0.25</v>
      </c>
      <c r="AC2055" s="688">
        <f t="shared" si="1875"/>
        <v>-0.25</v>
      </c>
      <c r="AD2055" s="164"/>
      <c r="AE2055" s="164"/>
      <c r="AF2055" s="25"/>
      <c r="AG2055" s="26"/>
      <c r="AH2055" s="275"/>
      <c r="AI2055" s="52"/>
      <c r="AJ2055" s="35"/>
      <c r="AK2055" s="289"/>
      <c r="AL2055" s="290"/>
      <c r="AM2055" s="211"/>
      <c r="AN2055" s="164"/>
      <c r="AO2055" s="76"/>
      <c r="AP2055" s="44"/>
      <c r="AQ2055" s="275"/>
      <c r="AR2055" s="52"/>
      <c r="AS2055" s="35"/>
      <c r="AT2055" s="79"/>
      <c r="AU2055" s="212"/>
      <c r="AV2055" s="164"/>
      <c r="AW2055" s="164"/>
      <c r="AX2055" s="76"/>
      <c r="AY2055" s="44"/>
      <c r="AZ2055" s="275"/>
      <c r="BA2055" s="52"/>
      <c r="BB2055" s="35"/>
      <c r="BC2055" s="79"/>
      <c r="BD2055" s="230"/>
      <c r="BE2055" s="211"/>
      <c r="BF2055" s="164"/>
      <c r="BG2055" s="76"/>
      <c r="BH2055" s="44"/>
      <c r="BI2055" s="275"/>
      <c r="BJ2055" s="52"/>
      <c r="BK2055" s="35"/>
      <c r="BL2055" s="79"/>
      <c r="BM2055" s="230"/>
      <c r="BN2055" s="211"/>
      <c r="BO2055" s="164"/>
      <c r="BP2055" s="76"/>
      <c r="BQ2055" s="44"/>
      <c r="BR2055" s="299"/>
      <c r="BS2055" s="52"/>
      <c r="BT2055" s="35"/>
      <c r="BU2055" s="79"/>
      <c r="BV2055" s="212"/>
      <c r="BW2055" s="304"/>
      <c r="BX2055" s="313"/>
      <c r="BY2055" s="138"/>
    </row>
    <row r="2056" spans="1:77" ht="15" customHeight="1" outlineLevel="1" x14ac:dyDescent="0.2">
      <c r="A2056" s="583" t="s">
        <v>37</v>
      </c>
      <c r="B2056" s="583" t="s">
        <v>477</v>
      </c>
      <c r="C2056" s="162" t="s">
        <v>998</v>
      </c>
      <c r="D2056" s="806">
        <v>0.17299999999999999</v>
      </c>
      <c r="E2056" s="162" t="s">
        <v>631</v>
      </c>
      <c r="F2056" s="729"/>
      <c r="G2056" s="730"/>
      <c r="H2056" s="73"/>
      <c r="I2056" s="90"/>
      <c r="J2056" s="73"/>
      <c r="K2056" s="790">
        <v>1.1429999999999999E-3</v>
      </c>
      <c r="L2056" s="717"/>
      <c r="M2056" s="73"/>
      <c r="N2056" s="811"/>
      <c r="O2056" s="1041"/>
      <c r="P2056" s="73"/>
      <c r="Q2056" s="811"/>
      <c r="R2056" s="1041"/>
      <c r="S2056" s="73"/>
      <c r="T2056" s="811"/>
      <c r="U2056" s="73"/>
      <c r="V2056" s="66"/>
      <c r="W2056" s="788">
        <f t="shared" si="1873"/>
        <v>8.5724999999999992E-7</v>
      </c>
      <c r="X2056" s="789">
        <f t="shared" si="1874"/>
        <v>8.5724999999999992E-7</v>
      </c>
      <c r="Y2056" s="52">
        <v>2005</v>
      </c>
      <c r="Z2056" s="52"/>
      <c r="AA2056" s="787">
        <f>+K2056/1000</f>
        <v>1.1429999999999999E-6</v>
      </c>
      <c r="AB2056" s="256">
        <v>-0.25</v>
      </c>
      <c r="AC2056" s="688">
        <f t="shared" si="1875"/>
        <v>-0.25</v>
      </c>
      <c r="AD2056" s="164"/>
      <c r="AE2056" s="164"/>
      <c r="AF2056" s="25"/>
      <c r="AG2056" s="26"/>
      <c r="AH2056" s="275"/>
      <c r="AI2056" s="52"/>
      <c r="AJ2056" s="35"/>
      <c r="AK2056" s="289"/>
      <c r="AL2056" s="290"/>
      <c r="AM2056" s="211"/>
      <c r="AN2056" s="164"/>
      <c r="AO2056" s="76"/>
      <c r="AP2056" s="44"/>
      <c r="AQ2056" s="275"/>
      <c r="AR2056" s="52"/>
      <c r="AS2056" s="35"/>
      <c r="AT2056" s="79"/>
      <c r="AU2056" s="212"/>
      <c r="AV2056" s="164"/>
      <c r="AW2056" s="164"/>
      <c r="AX2056" s="76"/>
      <c r="AY2056" s="44"/>
      <c r="AZ2056" s="275"/>
      <c r="BA2056" s="52"/>
      <c r="BB2056" s="35"/>
      <c r="BC2056" s="79"/>
      <c r="BD2056" s="230"/>
      <c r="BE2056" s="211"/>
      <c r="BF2056" s="164"/>
      <c r="BG2056" s="76"/>
      <c r="BH2056" s="44"/>
      <c r="BI2056" s="275"/>
      <c r="BJ2056" s="52"/>
      <c r="BK2056" s="35"/>
      <c r="BL2056" s="79"/>
      <c r="BM2056" s="230"/>
      <c r="BN2056" s="211"/>
      <c r="BO2056" s="164"/>
      <c r="BP2056" s="76"/>
      <c r="BQ2056" s="44"/>
      <c r="BR2056" s="299"/>
      <c r="BS2056" s="52"/>
      <c r="BT2056" s="35"/>
      <c r="BU2056" s="79"/>
      <c r="BV2056" s="212"/>
      <c r="BW2056" s="304"/>
      <c r="BX2056" s="313"/>
      <c r="BY2056" s="138"/>
    </row>
    <row r="2057" spans="1:77" ht="15" customHeight="1" outlineLevel="1" x14ac:dyDescent="0.2">
      <c r="A2057" s="583" t="s">
        <v>37</v>
      </c>
      <c r="B2057" s="583" t="s">
        <v>477</v>
      </c>
      <c r="C2057" s="162" t="s">
        <v>1016</v>
      </c>
      <c r="D2057" s="812">
        <v>2.2799999999999998</v>
      </c>
      <c r="E2057" s="162" t="s">
        <v>631</v>
      </c>
      <c r="F2057" s="729"/>
      <c r="G2057" s="730"/>
      <c r="H2057" s="73"/>
      <c r="I2057" s="90"/>
      <c r="J2057" s="73"/>
      <c r="K2057" s="734">
        <v>9.6839999999999999E-3</v>
      </c>
      <c r="L2057" s="717"/>
      <c r="M2057" s="73"/>
      <c r="N2057" s="811"/>
      <c r="O2057" s="1041"/>
      <c r="P2057" s="73"/>
      <c r="Q2057" s="811"/>
      <c r="R2057" s="1041"/>
      <c r="S2057" s="73"/>
      <c r="T2057" s="811"/>
      <c r="U2057" s="73"/>
      <c r="V2057" s="66"/>
      <c r="W2057" s="788">
        <f t="shared" si="1873"/>
        <v>7.166159999999999E-6</v>
      </c>
      <c r="X2057" s="789">
        <f t="shared" si="1874"/>
        <v>7.166159999999999E-6</v>
      </c>
      <c r="Y2057" s="52">
        <v>2005</v>
      </c>
      <c r="Z2057" s="52"/>
      <c r="AA2057" s="787">
        <f>+K2057/1000</f>
        <v>9.6839999999999991E-6</v>
      </c>
      <c r="AB2057" s="256">
        <v>-0.26</v>
      </c>
      <c r="AC2057" s="688">
        <f t="shared" si="1875"/>
        <v>-0.26</v>
      </c>
      <c r="AD2057" s="164"/>
      <c r="AE2057" s="164"/>
      <c r="AF2057" s="25"/>
      <c r="AG2057" s="26"/>
      <c r="AH2057" s="275"/>
      <c r="AI2057" s="52"/>
      <c r="AJ2057" s="35"/>
      <c r="AK2057" s="289"/>
      <c r="AL2057" s="290"/>
      <c r="AM2057" s="211"/>
      <c r="AN2057" s="164"/>
      <c r="AO2057" s="76"/>
      <c r="AP2057" s="44"/>
      <c r="AQ2057" s="275"/>
      <c r="AR2057" s="52"/>
      <c r="AS2057" s="35"/>
      <c r="AT2057" s="79"/>
      <c r="AU2057" s="212"/>
      <c r="AV2057" s="164"/>
      <c r="AW2057" s="164"/>
      <c r="AX2057" s="76"/>
      <c r="AY2057" s="44"/>
      <c r="AZ2057" s="275"/>
      <c r="BA2057" s="52"/>
      <c r="BB2057" s="35"/>
      <c r="BC2057" s="79"/>
      <c r="BD2057" s="230"/>
      <c r="BE2057" s="211"/>
      <c r="BF2057" s="164"/>
      <c r="BG2057" s="76"/>
      <c r="BH2057" s="44"/>
      <c r="BI2057" s="275"/>
      <c r="BJ2057" s="52"/>
      <c r="BK2057" s="35"/>
      <c r="BL2057" s="79"/>
      <c r="BM2057" s="230"/>
      <c r="BN2057" s="211"/>
      <c r="BO2057" s="164"/>
      <c r="BP2057" s="76"/>
      <c r="BQ2057" s="44"/>
      <c r="BR2057" s="299"/>
      <c r="BS2057" s="52"/>
      <c r="BT2057" s="35"/>
      <c r="BU2057" s="79"/>
      <c r="BV2057" s="212"/>
      <c r="BW2057" s="304"/>
      <c r="BX2057" s="313"/>
      <c r="BY2057" s="138"/>
    </row>
    <row r="2058" spans="1:77" ht="15" customHeight="1" outlineLevel="1" x14ac:dyDescent="0.2">
      <c r="A2058" s="583" t="s">
        <v>37</v>
      </c>
      <c r="B2058" s="583" t="s">
        <v>477</v>
      </c>
      <c r="C2058" s="162" t="s">
        <v>1214</v>
      </c>
      <c r="D2058" s="806">
        <v>0.29699999999999999</v>
      </c>
      <c r="E2058" s="162" t="s">
        <v>631</v>
      </c>
      <c r="F2058" s="729"/>
      <c r="G2058" s="730"/>
      <c r="H2058" s="73"/>
      <c r="I2058" s="90"/>
      <c r="J2058" s="73"/>
      <c r="K2058" s="790">
        <v>1.1689999999999999E-3</v>
      </c>
      <c r="L2058" s="717"/>
      <c r="M2058" s="73"/>
      <c r="N2058" s="811"/>
      <c r="O2058" s="1041"/>
      <c r="P2058" s="73"/>
      <c r="Q2058" s="811"/>
      <c r="R2058" s="1041"/>
      <c r="S2058" s="73"/>
      <c r="T2058" s="811"/>
      <c r="U2058" s="73"/>
      <c r="V2058" s="66"/>
      <c r="W2058" s="808">
        <f t="shared" si="1873"/>
        <v>8.5336999999999997E-7</v>
      </c>
      <c r="X2058" s="809">
        <f t="shared" si="1874"/>
        <v>8.5336999999999997E-7</v>
      </c>
      <c r="Y2058" s="52">
        <v>2005</v>
      </c>
      <c r="Z2058" s="52"/>
      <c r="AA2058" s="807">
        <f>+K2058/1000</f>
        <v>1.1689999999999999E-6</v>
      </c>
      <c r="AB2058" s="256">
        <v>-0.27</v>
      </c>
      <c r="AC2058" s="688">
        <f t="shared" si="1875"/>
        <v>-0.27</v>
      </c>
      <c r="AD2058" s="164"/>
      <c r="AE2058" s="164"/>
      <c r="AF2058" s="25"/>
      <c r="AG2058" s="26"/>
      <c r="AH2058" s="275"/>
      <c r="AI2058" s="52"/>
      <c r="AJ2058" s="35"/>
      <c r="AK2058" s="289"/>
      <c r="AL2058" s="290"/>
      <c r="AM2058" s="211"/>
      <c r="AN2058" s="164"/>
      <c r="AO2058" s="76"/>
      <c r="AP2058" s="44"/>
      <c r="AQ2058" s="275"/>
      <c r="AR2058" s="52"/>
      <c r="AS2058" s="35"/>
      <c r="AT2058" s="79"/>
      <c r="AU2058" s="212"/>
      <c r="AV2058" s="164"/>
      <c r="AW2058" s="164"/>
      <c r="AX2058" s="76"/>
      <c r="AY2058" s="44"/>
      <c r="AZ2058" s="275"/>
      <c r="BA2058" s="52"/>
      <c r="BB2058" s="35"/>
      <c r="BC2058" s="79"/>
      <c r="BD2058" s="230"/>
      <c r="BE2058" s="211"/>
      <c r="BF2058" s="164"/>
      <c r="BG2058" s="76"/>
      <c r="BH2058" s="44"/>
      <c r="BI2058" s="275"/>
      <c r="BJ2058" s="52"/>
      <c r="BK2058" s="35"/>
      <c r="BL2058" s="79"/>
      <c r="BM2058" s="230"/>
      <c r="BN2058" s="211"/>
      <c r="BO2058" s="164"/>
      <c r="BP2058" s="76"/>
      <c r="BQ2058" s="44"/>
      <c r="BR2058" s="299"/>
      <c r="BS2058" s="52"/>
      <c r="BT2058" s="35"/>
      <c r="BU2058" s="79"/>
      <c r="BV2058" s="212"/>
      <c r="BW2058" s="304"/>
      <c r="BX2058" s="313"/>
      <c r="BY2058" s="138"/>
    </row>
    <row r="2059" spans="1:77" ht="15" customHeight="1" outlineLevel="1" x14ac:dyDescent="0.2">
      <c r="A2059" s="583" t="s">
        <v>37</v>
      </c>
      <c r="B2059" s="583" t="s">
        <v>477</v>
      </c>
      <c r="C2059" s="162" t="s">
        <v>1213</v>
      </c>
      <c r="D2059" s="806">
        <v>0.106</v>
      </c>
      <c r="E2059" s="162" t="s">
        <v>631</v>
      </c>
      <c r="F2059" s="729"/>
      <c r="G2059" s="730"/>
      <c r="H2059" s="73"/>
      <c r="I2059" s="90"/>
      <c r="J2059" s="73"/>
      <c r="K2059" s="734"/>
      <c r="L2059" s="717">
        <v>2012</v>
      </c>
      <c r="M2059" s="73"/>
      <c r="N2059" s="811">
        <v>3.5683900000000002E-4</v>
      </c>
      <c r="O2059" s="1041"/>
      <c r="P2059" s="73"/>
      <c r="Q2059" s="811"/>
      <c r="R2059" s="1041"/>
      <c r="S2059" s="73"/>
      <c r="T2059" s="811"/>
      <c r="U2059" s="73"/>
      <c r="V2059" s="66"/>
      <c r="W2059" s="808">
        <f t="shared" si="1873"/>
        <v>2.4265052E-7</v>
      </c>
      <c r="X2059" s="809">
        <f t="shared" si="1874"/>
        <v>2.4265052E-7</v>
      </c>
      <c r="Y2059" s="52">
        <v>2012</v>
      </c>
      <c r="Z2059" s="52"/>
      <c r="AA2059" s="807">
        <f>+N2059/1000</f>
        <v>3.5683900000000004E-7</v>
      </c>
      <c r="AB2059" s="256">
        <v>-0.32</v>
      </c>
      <c r="AC2059" s="688">
        <f t="shared" si="1875"/>
        <v>-0.32</v>
      </c>
      <c r="AD2059" s="164"/>
      <c r="AE2059" s="164"/>
      <c r="AF2059" s="25"/>
      <c r="AG2059" s="26"/>
      <c r="AH2059" s="275"/>
      <c r="AI2059" s="52"/>
      <c r="AJ2059" s="35"/>
      <c r="AK2059" s="289"/>
      <c r="AL2059" s="290"/>
      <c r="AM2059" s="211"/>
      <c r="AN2059" s="164"/>
      <c r="AO2059" s="76"/>
      <c r="AP2059" s="44"/>
      <c r="AQ2059" s="275"/>
      <c r="AR2059" s="52"/>
      <c r="AS2059" s="35"/>
      <c r="AT2059" s="79"/>
      <c r="AU2059" s="212"/>
      <c r="AV2059" s="164"/>
      <c r="AW2059" s="164"/>
      <c r="AX2059" s="76"/>
      <c r="AY2059" s="44"/>
      <c r="AZ2059" s="275"/>
      <c r="BA2059" s="52"/>
      <c r="BB2059" s="35"/>
      <c r="BC2059" s="79"/>
      <c r="BD2059" s="230"/>
      <c r="BE2059" s="211"/>
      <c r="BF2059" s="164"/>
      <c r="BG2059" s="76"/>
      <c r="BH2059" s="44"/>
      <c r="BI2059" s="275"/>
      <c r="BJ2059" s="52"/>
      <c r="BK2059" s="35"/>
      <c r="BL2059" s="79"/>
      <c r="BM2059" s="230"/>
      <c r="BN2059" s="211"/>
      <c r="BO2059" s="164"/>
      <c r="BP2059" s="76"/>
      <c r="BQ2059" s="44"/>
      <c r="BR2059" s="299"/>
      <c r="BS2059" s="52"/>
      <c r="BT2059" s="35"/>
      <c r="BU2059" s="79"/>
      <c r="BV2059" s="212"/>
      <c r="BW2059" s="304"/>
      <c r="BX2059" s="313"/>
      <c r="BY2059" s="138"/>
    </row>
    <row r="2060" spans="1:77" ht="15" customHeight="1" outlineLevel="1" x14ac:dyDescent="0.2">
      <c r="A2060" s="583" t="s">
        <v>37</v>
      </c>
      <c r="B2060" s="583" t="s">
        <v>477</v>
      </c>
      <c r="C2060" s="162" t="s">
        <v>1023</v>
      </c>
      <c r="D2060" s="812">
        <v>11.583</v>
      </c>
      <c r="E2060" s="162" t="s">
        <v>631</v>
      </c>
      <c r="F2060" s="729"/>
      <c r="G2060" s="730"/>
      <c r="H2060" s="73"/>
      <c r="I2060" s="90"/>
      <c r="J2060" s="73"/>
      <c r="K2060" s="66">
        <v>8.9125999999999997E-2</v>
      </c>
      <c r="L2060" s="717"/>
      <c r="M2060" s="73"/>
      <c r="N2060" s="811"/>
      <c r="O2060" s="1041"/>
      <c r="P2060" s="73"/>
      <c r="Q2060" s="811"/>
      <c r="R2060" s="1041"/>
      <c r="S2060" s="73"/>
      <c r="T2060" s="811"/>
      <c r="U2060" s="73"/>
      <c r="V2060" s="66"/>
      <c r="W2060" s="740">
        <f t="shared" si="1873"/>
        <v>6.6844499999999993E-5</v>
      </c>
      <c r="X2060" s="741">
        <f t="shared" si="1874"/>
        <v>6.6844499999999993E-5</v>
      </c>
      <c r="Y2060" s="52">
        <v>2005</v>
      </c>
      <c r="Z2060" s="52"/>
      <c r="AA2060" s="739">
        <f t="shared" ref="AA2060:AA2070" si="1881">+K2060/1000</f>
        <v>8.9126E-5</v>
      </c>
      <c r="AB2060" s="256">
        <v>-0.25</v>
      </c>
      <c r="AC2060" s="688">
        <f t="shared" si="1875"/>
        <v>-0.25</v>
      </c>
      <c r="AD2060" s="164"/>
      <c r="AE2060" s="164"/>
      <c r="AF2060" s="25"/>
      <c r="AG2060" s="26"/>
      <c r="AH2060" s="275"/>
      <c r="AI2060" s="52"/>
      <c r="AJ2060" s="35"/>
      <c r="AK2060" s="289"/>
      <c r="AL2060" s="290"/>
      <c r="AM2060" s="211"/>
      <c r="AN2060" s="164"/>
      <c r="AO2060" s="76"/>
      <c r="AP2060" s="44"/>
      <c r="AQ2060" s="275"/>
      <c r="AR2060" s="52"/>
      <c r="AS2060" s="35"/>
      <c r="AT2060" s="79"/>
      <c r="AU2060" s="212"/>
      <c r="AV2060" s="164"/>
      <c r="AW2060" s="164"/>
      <c r="AX2060" s="76"/>
      <c r="AY2060" s="44"/>
      <c r="AZ2060" s="275"/>
      <c r="BA2060" s="52"/>
      <c r="BB2060" s="35"/>
      <c r="BC2060" s="79"/>
      <c r="BD2060" s="230"/>
      <c r="BE2060" s="211"/>
      <c r="BF2060" s="164"/>
      <c r="BG2060" s="76"/>
      <c r="BH2060" s="44"/>
      <c r="BI2060" s="275"/>
      <c r="BJ2060" s="52"/>
      <c r="BK2060" s="35"/>
      <c r="BL2060" s="79"/>
      <c r="BM2060" s="230"/>
      <c r="BN2060" s="211"/>
      <c r="BO2060" s="164"/>
      <c r="BP2060" s="76"/>
      <c r="BQ2060" s="44"/>
      <c r="BR2060" s="299"/>
      <c r="BS2060" s="52"/>
      <c r="BT2060" s="35"/>
      <c r="BU2060" s="79"/>
      <c r="BV2060" s="212"/>
      <c r="BW2060" s="304"/>
      <c r="BX2060" s="313"/>
      <c r="BY2060" s="138"/>
    </row>
    <row r="2061" spans="1:77" ht="15" customHeight="1" outlineLevel="1" x14ac:dyDescent="0.2">
      <c r="A2061" s="583" t="s">
        <v>37</v>
      </c>
      <c r="B2061" s="583" t="s">
        <v>477</v>
      </c>
      <c r="C2061" s="162" t="s">
        <v>1008</v>
      </c>
      <c r="D2061" s="806">
        <v>0.15</v>
      </c>
      <c r="E2061" s="162" t="s">
        <v>631</v>
      </c>
      <c r="F2061" s="729"/>
      <c r="G2061" s="730"/>
      <c r="H2061" s="73"/>
      <c r="I2061" s="90"/>
      <c r="J2061" s="73"/>
      <c r="K2061" s="790">
        <v>1.323E-3</v>
      </c>
      <c r="L2061" s="717"/>
      <c r="M2061" s="73"/>
      <c r="N2061" s="811"/>
      <c r="O2061" s="1041"/>
      <c r="P2061" s="73"/>
      <c r="Q2061" s="811"/>
      <c r="R2061" s="1041"/>
      <c r="S2061" s="73"/>
      <c r="T2061" s="811"/>
      <c r="U2061" s="73"/>
      <c r="V2061" s="66"/>
      <c r="W2061" s="808">
        <f t="shared" si="1873"/>
        <v>9.5255999999999984E-7</v>
      </c>
      <c r="X2061" s="809">
        <f t="shared" si="1874"/>
        <v>9.5255999999999984E-7</v>
      </c>
      <c r="Y2061" s="52">
        <v>2005</v>
      </c>
      <c r="Z2061" s="52"/>
      <c r="AA2061" s="807">
        <f t="shared" si="1881"/>
        <v>1.3229999999999999E-6</v>
      </c>
      <c r="AB2061" s="256">
        <v>-0.28000000000000003</v>
      </c>
      <c r="AC2061" s="688">
        <f t="shared" si="1875"/>
        <v>-0.28000000000000003</v>
      </c>
      <c r="AD2061" s="164"/>
      <c r="AE2061" s="164"/>
      <c r="AF2061" s="25"/>
      <c r="AG2061" s="26"/>
      <c r="AH2061" s="275"/>
      <c r="AI2061" s="52"/>
      <c r="AJ2061" s="35"/>
      <c r="AK2061" s="289"/>
      <c r="AL2061" s="290"/>
      <c r="AM2061" s="211"/>
      <c r="AN2061" s="164"/>
      <c r="AO2061" s="76"/>
      <c r="AP2061" s="44"/>
      <c r="AQ2061" s="275"/>
      <c r="AR2061" s="52"/>
      <c r="AS2061" s="35"/>
      <c r="AT2061" s="79"/>
      <c r="AU2061" s="212"/>
      <c r="AV2061" s="164"/>
      <c r="AW2061" s="164"/>
      <c r="AX2061" s="76"/>
      <c r="AY2061" s="44"/>
      <c r="AZ2061" s="275"/>
      <c r="BA2061" s="52"/>
      <c r="BB2061" s="35"/>
      <c r="BC2061" s="79"/>
      <c r="BD2061" s="230"/>
      <c r="BE2061" s="211"/>
      <c r="BF2061" s="164"/>
      <c r="BG2061" s="76"/>
      <c r="BH2061" s="44"/>
      <c r="BI2061" s="275"/>
      <c r="BJ2061" s="52"/>
      <c r="BK2061" s="35"/>
      <c r="BL2061" s="79"/>
      <c r="BM2061" s="230"/>
      <c r="BN2061" s="211"/>
      <c r="BO2061" s="164"/>
      <c r="BP2061" s="76"/>
      <c r="BQ2061" s="44"/>
      <c r="BR2061" s="299"/>
      <c r="BS2061" s="52"/>
      <c r="BT2061" s="35"/>
      <c r="BU2061" s="79"/>
      <c r="BV2061" s="212"/>
      <c r="BW2061" s="304"/>
      <c r="BX2061" s="313"/>
      <c r="BY2061" s="138"/>
    </row>
    <row r="2062" spans="1:77" ht="15" customHeight="1" outlineLevel="1" x14ac:dyDescent="0.2">
      <c r="A2062" s="583" t="s">
        <v>37</v>
      </c>
      <c r="B2062" s="583" t="s">
        <v>477</v>
      </c>
      <c r="C2062" s="162" t="s">
        <v>1201</v>
      </c>
      <c r="D2062" s="812">
        <v>1.8640000000000001</v>
      </c>
      <c r="E2062" s="162" t="s">
        <v>631</v>
      </c>
      <c r="F2062" s="729"/>
      <c r="G2062" s="730"/>
      <c r="H2062" s="73"/>
      <c r="I2062" s="90"/>
      <c r="J2062" s="73"/>
      <c r="K2062" s="734">
        <v>5.9630000000000004E-3</v>
      </c>
      <c r="L2062" s="717"/>
      <c r="M2062" s="73"/>
      <c r="N2062" s="811"/>
      <c r="O2062" s="1041"/>
      <c r="P2062" s="73"/>
      <c r="Q2062" s="811"/>
      <c r="R2062" s="1041"/>
      <c r="S2062" s="73"/>
      <c r="T2062" s="811"/>
      <c r="U2062" s="73"/>
      <c r="V2062" s="66"/>
      <c r="W2062" s="788">
        <f t="shared" si="1873"/>
        <v>4.4126200000000005E-6</v>
      </c>
      <c r="X2062" s="789">
        <f t="shared" si="1874"/>
        <v>4.4126200000000005E-6</v>
      </c>
      <c r="Y2062" s="52">
        <v>2005</v>
      </c>
      <c r="Z2062" s="52"/>
      <c r="AA2062" s="739">
        <f t="shared" si="1881"/>
        <v>5.9630000000000003E-6</v>
      </c>
      <c r="AB2062" s="256">
        <v>-0.26</v>
      </c>
      <c r="AC2062" s="688">
        <f t="shared" si="1875"/>
        <v>-0.26</v>
      </c>
      <c r="AD2062" s="164"/>
      <c r="AE2062" s="164"/>
      <c r="AF2062" s="25"/>
      <c r="AG2062" s="26"/>
      <c r="AH2062" s="275"/>
      <c r="AI2062" s="52"/>
      <c r="AJ2062" s="35"/>
      <c r="AK2062" s="289"/>
      <c r="AL2062" s="290"/>
      <c r="AM2062" s="211"/>
      <c r="AN2062" s="164"/>
      <c r="AO2062" s="76"/>
      <c r="AP2062" s="44"/>
      <c r="AQ2062" s="275"/>
      <c r="AR2062" s="52"/>
      <c r="AS2062" s="35"/>
      <c r="AT2062" s="79"/>
      <c r="AU2062" s="212"/>
      <c r="AV2062" s="164"/>
      <c r="AW2062" s="164"/>
      <c r="AX2062" s="76"/>
      <c r="AY2062" s="44"/>
      <c r="AZ2062" s="275"/>
      <c r="BA2062" s="52"/>
      <c r="BB2062" s="35"/>
      <c r="BC2062" s="79"/>
      <c r="BD2062" s="230"/>
      <c r="BE2062" s="211"/>
      <c r="BF2062" s="164"/>
      <c r="BG2062" s="76"/>
      <c r="BH2062" s="44"/>
      <c r="BI2062" s="275"/>
      <c r="BJ2062" s="52"/>
      <c r="BK2062" s="35"/>
      <c r="BL2062" s="79"/>
      <c r="BM2062" s="230"/>
      <c r="BN2062" s="211"/>
      <c r="BO2062" s="164"/>
      <c r="BP2062" s="76"/>
      <c r="BQ2062" s="44"/>
      <c r="BR2062" s="299"/>
      <c r="BS2062" s="52"/>
      <c r="BT2062" s="35"/>
      <c r="BU2062" s="79"/>
      <c r="BV2062" s="212"/>
      <c r="BW2062" s="304"/>
      <c r="BX2062" s="313"/>
      <c r="BY2062" s="138"/>
    </row>
    <row r="2063" spans="1:77" ht="15" customHeight="1" outlineLevel="1" x14ac:dyDescent="0.2">
      <c r="A2063" s="583" t="s">
        <v>37</v>
      </c>
      <c r="B2063" s="583" t="s">
        <v>477</v>
      </c>
      <c r="C2063" s="162" t="s">
        <v>1018</v>
      </c>
      <c r="D2063" s="812">
        <v>1.05</v>
      </c>
      <c r="E2063" s="162" t="s">
        <v>631</v>
      </c>
      <c r="F2063" s="729"/>
      <c r="G2063" s="730"/>
      <c r="H2063" s="73"/>
      <c r="I2063" s="90"/>
      <c r="J2063" s="73"/>
      <c r="K2063" s="734">
        <v>6.143E-3</v>
      </c>
      <c r="L2063" s="717"/>
      <c r="M2063" s="73"/>
      <c r="N2063" s="811"/>
      <c r="O2063" s="1041"/>
      <c r="P2063" s="73"/>
      <c r="Q2063" s="811"/>
      <c r="R2063" s="1041"/>
      <c r="S2063" s="73"/>
      <c r="T2063" s="811"/>
      <c r="U2063" s="73"/>
      <c r="V2063" s="66"/>
      <c r="W2063" s="788">
        <f t="shared" si="1873"/>
        <v>4.6072500000000007E-6</v>
      </c>
      <c r="X2063" s="789">
        <f t="shared" si="1874"/>
        <v>4.6072500000000007E-6</v>
      </c>
      <c r="Y2063" s="52">
        <v>2005</v>
      </c>
      <c r="Z2063" s="52"/>
      <c r="AA2063" s="787">
        <f t="shared" si="1881"/>
        <v>6.1430000000000003E-6</v>
      </c>
      <c r="AB2063" s="256">
        <v>-0.25</v>
      </c>
      <c r="AC2063" s="688">
        <f t="shared" si="1875"/>
        <v>-0.25</v>
      </c>
      <c r="AD2063" s="164"/>
      <c r="AE2063" s="164"/>
      <c r="AF2063" s="25"/>
      <c r="AG2063" s="26"/>
      <c r="AH2063" s="275"/>
      <c r="AI2063" s="52"/>
      <c r="AJ2063" s="35"/>
      <c r="AK2063" s="289"/>
      <c r="AL2063" s="290"/>
      <c r="AM2063" s="211"/>
      <c r="AN2063" s="164"/>
      <c r="AO2063" s="76"/>
      <c r="AP2063" s="44"/>
      <c r="AQ2063" s="275"/>
      <c r="AR2063" s="52"/>
      <c r="AS2063" s="35"/>
      <c r="AT2063" s="79"/>
      <c r="AU2063" s="212"/>
      <c r="AV2063" s="164"/>
      <c r="AW2063" s="164"/>
      <c r="AX2063" s="76"/>
      <c r="AY2063" s="44"/>
      <c r="AZ2063" s="275"/>
      <c r="BA2063" s="52"/>
      <c r="BB2063" s="35"/>
      <c r="BC2063" s="79"/>
      <c r="BD2063" s="230"/>
      <c r="BE2063" s="211"/>
      <c r="BF2063" s="164"/>
      <c r="BG2063" s="76"/>
      <c r="BH2063" s="44"/>
      <c r="BI2063" s="275"/>
      <c r="BJ2063" s="52"/>
      <c r="BK2063" s="35"/>
      <c r="BL2063" s="79"/>
      <c r="BM2063" s="230"/>
      <c r="BN2063" s="211"/>
      <c r="BO2063" s="164"/>
      <c r="BP2063" s="76"/>
      <c r="BQ2063" s="44"/>
      <c r="BR2063" s="299"/>
      <c r="BS2063" s="52"/>
      <c r="BT2063" s="35"/>
      <c r="BU2063" s="79"/>
      <c r="BV2063" s="212"/>
      <c r="BW2063" s="304"/>
      <c r="BX2063" s="313"/>
      <c r="BY2063" s="138"/>
    </row>
    <row r="2064" spans="1:77" ht="15" customHeight="1" outlineLevel="1" x14ac:dyDescent="0.2">
      <c r="A2064" s="583" t="s">
        <v>37</v>
      </c>
      <c r="B2064" s="583" t="s">
        <v>477</v>
      </c>
      <c r="C2064" s="162" t="s">
        <v>1206</v>
      </c>
      <c r="D2064" s="806">
        <v>0.38500000000000001</v>
      </c>
      <c r="E2064" s="162" t="s">
        <v>631</v>
      </c>
      <c r="F2064" s="729"/>
      <c r="G2064" s="730"/>
      <c r="H2064" s="73"/>
      <c r="I2064" s="90"/>
      <c r="J2064" s="73"/>
      <c r="K2064" s="790">
        <v>1.9780000000000002E-3</v>
      </c>
      <c r="L2064" s="717"/>
      <c r="M2064" s="73"/>
      <c r="N2064" s="811"/>
      <c r="O2064" s="1041"/>
      <c r="P2064" s="73"/>
      <c r="Q2064" s="811"/>
      <c r="R2064" s="1041"/>
      <c r="S2064" s="73"/>
      <c r="T2064" s="811"/>
      <c r="U2064" s="73"/>
      <c r="V2064" s="66"/>
      <c r="W2064" s="788">
        <f t="shared" si="1873"/>
        <v>1.4834999999999999E-6</v>
      </c>
      <c r="X2064" s="789">
        <f t="shared" si="1874"/>
        <v>1.4834999999999999E-6</v>
      </c>
      <c r="Y2064" s="52">
        <v>2005</v>
      </c>
      <c r="Z2064" s="52"/>
      <c r="AA2064" s="787">
        <f t="shared" si="1881"/>
        <v>1.978E-6</v>
      </c>
      <c r="AB2064" s="256">
        <v>-0.25</v>
      </c>
      <c r="AC2064" s="688">
        <f t="shared" si="1875"/>
        <v>-0.25</v>
      </c>
      <c r="AD2064" s="164"/>
      <c r="AE2064" s="164"/>
      <c r="AF2064" s="25"/>
      <c r="AG2064" s="26"/>
      <c r="AH2064" s="275"/>
      <c r="AI2064" s="52"/>
      <c r="AJ2064" s="35"/>
      <c r="AK2064" s="289"/>
      <c r="AL2064" s="290"/>
      <c r="AM2064" s="211"/>
      <c r="AN2064" s="164"/>
      <c r="AO2064" s="76"/>
      <c r="AP2064" s="44"/>
      <c r="AQ2064" s="275"/>
      <c r="AR2064" s="52"/>
      <c r="AS2064" s="35"/>
      <c r="AT2064" s="79"/>
      <c r="AU2064" s="212"/>
      <c r="AV2064" s="164"/>
      <c r="AW2064" s="164"/>
      <c r="AX2064" s="76"/>
      <c r="AY2064" s="44"/>
      <c r="AZ2064" s="275"/>
      <c r="BA2064" s="52"/>
      <c r="BB2064" s="35"/>
      <c r="BC2064" s="79"/>
      <c r="BD2064" s="230"/>
      <c r="BE2064" s="211"/>
      <c r="BF2064" s="164"/>
      <c r="BG2064" s="76"/>
      <c r="BH2064" s="44"/>
      <c r="BI2064" s="275"/>
      <c r="BJ2064" s="52"/>
      <c r="BK2064" s="35"/>
      <c r="BL2064" s="79"/>
      <c r="BM2064" s="230"/>
      <c r="BN2064" s="211"/>
      <c r="BO2064" s="164"/>
      <c r="BP2064" s="76"/>
      <c r="BQ2064" s="44"/>
      <c r="BR2064" s="299"/>
      <c r="BS2064" s="52"/>
      <c r="BT2064" s="35"/>
      <c r="BU2064" s="79"/>
      <c r="BV2064" s="212"/>
      <c r="BW2064" s="304"/>
      <c r="BX2064" s="313"/>
      <c r="BY2064" s="138"/>
    </row>
    <row r="2065" spans="1:77" ht="15" customHeight="1" outlineLevel="1" x14ac:dyDescent="0.2">
      <c r="A2065" s="583" t="s">
        <v>37</v>
      </c>
      <c r="B2065" s="583" t="s">
        <v>477</v>
      </c>
      <c r="C2065" s="162" t="s">
        <v>1014</v>
      </c>
      <c r="D2065" s="806">
        <v>0.57199999999999995</v>
      </c>
      <c r="E2065" s="162" t="s">
        <v>631</v>
      </c>
      <c r="F2065" s="729"/>
      <c r="G2065" s="730"/>
      <c r="H2065" s="73"/>
      <c r="I2065" s="90"/>
      <c r="J2065" s="73"/>
      <c r="K2065" s="790">
        <v>1.8940000000000001E-3</v>
      </c>
      <c r="L2065" s="717"/>
      <c r="M2065" s="73"/>
      <c r="N2065" s="811"/>
      <c r="O2065" s="1041"/>
      <c r="P2065" s="73"/>
      <c r="Q2065" s="811"/>
      <c r="R2065" s="1041"/>
      <c r="S2065" s="73"/>
      <c r="T2065" s="811"/>
      <c r="U2065" s="73"/>
      <c r="V2065" s="66"/>
      <c r="W2065" s="788">
        <f t="shared" si="1873"/>
        <v>1.38262E-6</v>
      </c>
      <c r="X2065" s="789">
        <f t="shared" si="1874"/>
        <v>1.38262E-6</v>
      </c>
      <c r="Y2065" s="52">
        <v>2005</v>
      </c>
      <c r="Z2065" s="52"/>
      <c r="AA2065" s="787">
        <f t="shared" si="1881"/>
        <v>1.894E-6</v>
      </c>
      <c r="AB2065" s="256">
        <v>-0.27</v>
      </c>
      <c r="AC2065" s="688">
        <f t="shared" si="1875"/>
        <v>-0.27</v>
      </c>
      <c r="AD2065" s="164"/>
      <c r="AE2065" s="164"/>
      <c r="AF2065" s="25"/>
      <c r="AG2065" s="26"/>
      <c r="AH2065" s="275"/>
      <c r="AI2065" s="52"/>
      <c r="AJ2065" s="35"/>
      <c r="AK2065" s="289"/>
      <c r="AL2065" s="290"/>
      <c r="AM2065" s="211"/>
      <c r="AN2065" s="164"/>
      <c r="AO2065" s="76"/>
      <c r="AP2065" s="44"/>
      <c r="AQ2065" s="275"/>
      <c r="AR2065" s="52"/>
      <c r="AS2065" s="35"/>
      <c r="AT2065" s="79"/>
      <c r="AU2065" s="212"/>
      <c r="AV2065" s="164"/>
      <c r="AW2065" s="164"/>
      <c r="AX2065" s="76"/>
      <c r="AY2065" s="44"/>
      <c r="AZ2065" s="275"/>
      <c r="BA2065" s="52"/>
      <c r="BB2065" s="35"/>
      <c r="BC2065" s="79"/>
      <c r="BD2065" s="230"/>
      <c r="BE2065" s="211"/>
      <c r="BF2065" s="164"/>
      <c r="BG2065" s="76"/>
      <c r="BH2065" s="44"/>
      <c r="BI2065" s="275"/>
      <c r="BJ2065" s="52"/>
      <c r="BK2065" s="35"/>
      <c r="BL2065" s="79"/>
      <c r="BM2065" s="230"/>
      <c r="BN2065" s="211"/>
      <c r="BO2065" s="164"/>
      <c r="BP2065" s="76"/>
      <c r="BQ2065" s="44"/>
      <c r="BR2065" s="299"/>
      <c r="BS2065" s="52"/>
      <c r="BT2065" s="35"/>
      <c r="BU2065" s="79"/>
      <c r="BV2065" s="212"/>
      <c r="BW2065" s="304"/>
      <c r="BX2065" s="313"/>
      <c r="BY2065" s="138"/>
    </row>
    <row r="2066" spans="1:77" ht="15" customHeight="1" outlineLevel="1" x14ac:dyDescent="0.2">
      <c r="A2066" s="583" t="s">
        <v>37</v>
      </c>
      <c r="B2066" s="583" t="s">
        <v>2548</v>
      </c>
      <c r="C2066" s="162"/>
      <c r="D2066" s="806">
        <v>2.77</v>
      </c>
      <c r="E2066" s="162" t="s">
        <v>2549</v>
      </c>
      <c r="F2066" s="729"/>
      <c r="G2066" s="730"/>
      <c r="H2066" s="73"/>
      <c r="I2066" s="90"/>
      <c r="J2066" s="73"/>
      <c r="K2066" s="790"/>
      <c r="L2066" s="717"/>
      <c r="M2066" s="73"/>
      <c r="N2066" s="811"/>
      <c r="O2066" s="1041"/>
      <c r="P2066" s="73"/>
      <c r="Q2066" s="811"/>
      <c r="R2066" s="1041"/>
      <c r="S2066" s="73"/>
      <c r="T2066" s="811"/>
      <c r="U2066" s="73"/>
      <c r="V2066" s="66"/>
      <c r="W2066" s="788"/>
      <c r="X2066" s="789"/>
      <c r="Y2066" s="52">
        <v>2005</v>
      </c>
      <c r="Z2066" s="52"/>
      <c r="AA2066" s="787"/>
      <c r="AB2066" s="256">
        <v>-0.35</v>
      </c>
      <c r="AC2066" s="688">
        <f t="shared" si="1875"/>
        <v>-0.35</v>
      </c>
      <c r="AD2066" s="164"/>
      <c r="AE2066" s="164"/>
      <c r="AF2066" s="25"/>
      <c r="AG2066" s="26"/>
      <c r="AH2066" s="275"/>
      <c r="AI2066" s="52"/>
      <c r="AJ2066" s="35"/>
      <c r="AK2066" s="289"/>
      <c r="AL2066" s="290"/>
      <c r="AM2066" s="211"/>
      <c r="AN2066" s="164"/>
      <c r="AO2066" s="76"/>
      <c r="AP2066" s="44"/>
      <c r="AQ2066" s="275"/>
      <c r="AR2066" s="52"/>
      <c r="AS2066" s="35"/>
      <c r="AT2066" s="79"/>
      <c r="AU2066" s="212"/>
      <c r="AV2066" s="164"/>
      <c r="AW2066" s="164"/>
      <c r="AX2066" s="76"/>
      <c r="AY2066" s="44"/>
      <c r="AZ2066" s="275"/>
      <c r="BA2066" s="52"/>
      <c r="BB2066" s="35"/>
      <c r="BC2066" s="79"/>
      <c r="BD2066" s="230"/>
      <c r="BE2066" s="211"/>
      <c r="BF2066" s="164"/>
      <c r="BG2066" s="76"/>
      <c r="BH2066" s="44"/>
      <c r="BI2066" s="275"/>
      <c r="BJ2066" s="52"/>
      <c r="BK2066" s="35"/>
      <c r="BL2066" s="79"/>
      <c r="BM2066" s="230"/>
      <c r="BN2066" s="211"/>
      <c r="BO2066" s="164"/>
      <c r="BP2066" s="76"/>
      <c r="BQ2066" s="44"/>
      <c r="BR2066" s="299"/>
      <c r="BS2066" s="52"/>
      <c r="BT2066" s="35"/>
      <c r="BU2066" s="79"/>
      <c r="BV2066" s="212"/>
      <c r="BW2066" s="304"/>
      <c r="BX2066" s="313"/>
      <c r="BY2066" s="138"/>
    </row>
    <row r="2067" spans="1:77" ht="15" customHeight="1" outlineLevel="1" x14ac:dyDescent="0.2">
      <c r="A2067" s="583" t="s">
        <v>37</v>
      </c>
      <c r="B2067" s="583" t="s">
        <v>2554</v>
      </c>
      <c r="C2067" s="162"/>
      <c r="D2067" s="806"/>
      <c r="E2067" s="162" t="s">
        <v>2922</v>
      </c>
      <c r="F2067" s="729"/>
      <c r="G2067" s="730"/>
      <c r="H2067" s="73"/>
      <c r="I2067" s="90"/>
      <c r="J2067" s="73"/>
      <c r="K2067" s="790">
        <v>6.650328</v>
      </c>
      <c r="L2067" s="717"/>
      <c r="M2067" s="73"/>
      <c r="N2067" s="811"/>
      <c r="O2067" s="1041"/>
      <c r="P2067" s="73"/>
      <c r="Q2067" s="811">
        <f>K2067*0.78</f>
        <v>5.1872558400000006</v>
      </c>
      <c r="R2067" s="1041">
        <v>2017</v>
      </c>
      <c r="S2067" s="73"/>
      <c r="T2067" s="811">
        <v>5.5825110000000002</v>
      </c>
      <c r="U2067" s="73"/>
      <c r="V2067" s="66"/>
      <c r="W2067" s="740">
        <f t="shared" ref="W2067" si="1882">AA2067*(1+AB2067)</f>
        <v>5.3202624000000002E-3</v>
      </c>
      <c r="X2067" s="741">
        <f t="shared" ref="X2067" si="1883">AA2067*(1+AC2067)</f>
        <v>5.3202624000000002E-3</v>
      </c>
      <c r="Y2067" s="52">
        <v>2005</v>
      </c>
      <c r="Z2067" s="52"/>
      <c r="AA2067" s="787">
        <f>+K2067/1000</f>
        <v>6.6503279999999996E-3</v>
      </c>
      <c r="AB2067" s="256">
        <v>-0.2</v>
      </c>
      <c r="AC2067" s="688">
        <f t="shared" ref="AC2067:AC2068" si="1884">AB2067</f>
        <v>-0.2</v>
      </c>
      <c r="AD2067" s="164"/>
      <c r="AE2067" s="164"/>
      <c r="AF2067" s="25"/>
      <c r="AG2067" s="26"/>
      <c r="AH2067" s="275"/>
      <c r="AI2067" s="52"/>
      <c r="AJ2067" s="35"/>
      <c r="AK2067" s="289"/>
      <c r="AL2067" s="290"/>
      <c r="AM2067" s="211"/>
      <c r="AN2067" s="164"/>
      <c r="AO2067" s="592">
        <f>AS2067*(1+AT2067)</f>
        <v>3.6576804000000001E-3</v>
      </c>
      <c r="AP2067" s="593">
        <f>AO2067</f>
        <v>3.6576804000000001E-3</v>
      </c>
      <c r="AQ2067" s="275">
        <v>2005</v>
      </c>
      <c r="AR2067" s="52"/>
      <c r="AS2067" s="596">
        <f>+K2067/1000</f>
        <v>6.6503279999999996E-3</v>
      </c>
      <c r="AT2067" s="79">
        <v>-0.45</v>
      </c>
      <c r="AU2067" s="212">
        <f>AT2067</f>
        <v>-0.45</v>
      </c>
      <c r="AV2067" s="164"/>
      <c r="AW2067" s="164"/>
      <c r="AX2067" s="76"/>
      <c r="AY2067" s="44"/>
      <c r="AZ2067" s="275"/>
      <c r="BA2067" s="52"/>
      <c r="BB2067" s="35"/>
      <c r="BC2067" s="79"/>
      <c r="BD2067" s="230"/>
      <c r="BE2067" s="211"/>
      <c r="BF2067" s="164"/>
      <c r="BG2067" s="76"/>
      <c r="BH2067" s="44"/>
      <c r="BI2067" s="275"/>
      <c r="BJ2067" s="52"/>
      <c r="BK2067" s="35"/>
      <c r="BL2067" s="79"/>
      <c r="BM2067" s="230"/>
      <c r="BN2067" s="211"/>
      <c r="BO2067" s="164"/>
      <c r="BP2067" s="76"/>
      <c r="BQ2067" s="44"/>
      <c r="BR2067" s="299"/>
      <c r="BS2067" s="52"/>
      <c r="BT2067" s="35"/>
      <c r="BU2067" s="79"/>
      <c r="BV2067" s="212"/>
      <c r="BW2067" s="304"/>
      <c r="BX2067" s="313"/>
      <c r="BY2067" s="138"/>
    </row>
    <row r="2068" spans="1:77" ht="15" customHeight="1" outlineLevel="1" x14ac:dyDescent="0.2">
      <c r="A2068" s="583" t="s">
        <v>37</v>
      </c>
      <c r="B2068" s="583"/>
      <c r="C2068" s="162" t="s">
        <v>1166</v>
      </c>
      <c r="D2068" s="806">
        <v>23.195</v>
      </c>
      <c r="E2068" s="162" t="s">
        <v>631</v>
      </c>
      <c r="F2068" s="729"/>
      <c r="G2068" s="730"/>
      <c r="H2068" s="73"/>
      <c r="I2068" s="90">
        <v>2007</v>
      </c>
      <c r="J2068" s="73"/>
      <c r="K2068" s="790">
        <v>0.105999</v>
      </c>
      <c r="L2068" s="717"/>
      <c r="M2068" s="73"/>
      <c r="N2068" s="811"/>
      <c r="O2068" s="1041"/>
      <c r="P2068" s="73"/>
      <c r="Q2068" s="811"/>
      <c r="R2068" s="1041"/>
      <c r="S2068" s="73"/>
      <c r="T2068" s="811"/>
      <c r="U2068" s="73"/>
      <c r="V2068" s="66"/>
      <c r="W2068" s="740">
        <f t="shared" ref="W2068" si="1885">AA2068*(1+AB2068)</f>
        <v>7.6319279999999991E-5</v>
      </c>
      <c r="X2068" s="741">
        <f t="shared" ref="X2068" si="1886">AA2068*(1+AC2068)</f>
        <v>7.6319279999999991E-5</v>
      </c>
      <c r="Y2068" s="52">
        <v>2007</v>
      </c>
      <c r="Z2068" s="52"/>
      <c r="AA2068" s="739">
        <f t="shared" ref="AA2068" si="1887">+K2068/1000</f>
        <v>1.05999E-4</v>
      </c>
      <c r="AB2068" s="256">
        <v>-0.28000000000000003</v>
      </c>
      <c r="AC2068" s="688">
        <f t="shared" si="1884"/>
        <v>-0.28000000000000003</v>
      </c>
      <c r="AD2068" s="164"/>
      <c r="AE2068" s="164"/>
      <c r="AF2068" s="25"/>
      <c r="AG2068" s="26"/>
      <c r="AH2068" s="275"/>
      <c r="AI2068" s="52"/>
      <c r="AJ2068" s="35"/>
      <c r="AK2068" s="289"/>
      <c r="AL2068" s="290"/>
      <c r="AM2068" s="211"/>
      <c r="AN2068" s="164"/>
      <c r="AO2068" s="788"/>
      <c r="AP2068" s="789"/>
      <c r="AQ2068" s="275"/>
      <c r="AR2068" s="52"/>
      <c r="AS2068" s="787"/>
      <c r="AT2068" s="79"/>
      <c r="AU2068" s="212"/>
      <c r="AV2068" s="164"/>
      <c r="AW2068" s="164"/>
      <c r="AX2068" s="76"/>
      <c r="AY2068" s="44"/>
      <c r="AZ2068" s="275"/>
      <c r="BA2068" s="52"/>
      <c r="BB2068" s="35"/>
      <c r="BC2068" s="79"/>
      <c r="BD2068" s="230"/>
      <c r="BE2068" s="211"/>
      <c r="BF2068" s="164"/>
      <c r="BG2068" s="76"/>
      <c r="BH2068" s="44"/>
      <c r="BI2068" s="275"/>
      <c r="BJ2068" s="52"/>
      <c r="BK2068" s="35"/>
      <c r="BL2068" s="79"/>
      <c r="BM2068" s="230"/>
      <c r="BN2068" s="211"/>
      <c r="BO2068" s="164"/>
      <c r="BP2068" s="76"/>
      <c r="BQ2068" s="44"/>
      <c r="BR2068" s="299"/>
      <c r="BS2068" s="52"/>
      <c r="BT2068" s="35"/>
      <c r="BU2068" s="79"/>
      <c r="BV2068" s="212"/>
      <c r="BW2068" s="304"/>
      <c r="BX2068" s="313"/>
      <c r="BY2068" s="138"/>
    </row>
    <row r="2069" spans="1:77" ht="15" customHeight="1" outlineLevel="1" x14ac:dyDescent="0.2">
      <c r="A2069" s="583" t="s">
        <v>37</v>
      </c>
      <c r="B2069" s="583"/>
      <c r="C2069" s="162" t="s">
        <v>1084</v>
      </c>
      <c r="D2069" s="812">
        <v>2.169</v>
      </c>
      <c r="E2069" s="162" t="s">
        <v>631</v>
      </c>
      <c r="F2069" s="729"/>
      <c r="G2069" s="730"/>
      <c r="H2069" s="73"/>
      <c r="I2069" s="90">
        <v>2007</v>
      </c>
      <c r="J2069" s="73"/>
      <c r="K2069" s="734">
        <v>9.6810000000000004E-3</v>
      </c>
      <c r="L2069" s="717"/>
      <c r="M2069" s="73"/>
      <c r="N2069" s="811"/>
      <c r="O2069" s="1041"/>
      <c r="P2069" s="73"/>
      <c r="Q2069" s="811"/>
      <c r="R2069" s="1041"/>
      <c r="S2069" s="73"/>
      <c r="T2069" s="811"/>
      <c r="U2069" s="73"/>
      <c r="V2069" s="66"/>
      <c r="W2069" s="788">
        <f t="shared" si="1873"/>
        <v>6.7766999999999998E-6</v>
      </c>
      <c r="X2069" s="789">
        <f t="shared" si="1874"/>
        <v>6.7766999999999998E-6</v>
      </c>
      <c r="Y2069" s="52">
        <v>2007</v>
      </c>
      <c r="Z2069" s="52"/>
      <c r="AA2069" s="787">
        <f t="shared" si="1881"/>
        <v>9.681000000000001E-6</v>
      </c>
      <c r="AB2069" s="256">
        <v>-0.3</v>
      </c>
      <c r="AC2069" s="688">
        <f t="shared" si="1875"/>
        <v>-0.3</v>
      </c>
      <c r="AD2069" s="164"/>
      <c r="AE2069" s="164"/>
      <c r="AF2069" s="25"/>
      <c r="AG2069" s="26"/>
      <c r="AH2069" s="275"/>
      <c r="AI2069" s="52"/>
      <c r="AJ2069" s="35"/>
      <c r="AK2069" s="289"/>
      <c r="AL2069" s="290"/>
      <c r="AM2069" s="211"/>
      <c r="AN2069" s="164"/>
      <c r="AO2069" s="76"/>
      <c r="AP2069" s="44"/>
      <c r="AQ2069" s="275"/>
      <c r="AR2069" s="52"/>
      <c r="AS2069" s="35"/>
      <c r="AT2069" s="79"/>
      <c r="AU2069" s="212"/>
      <c r="AV2069" s="164"/>
      <c r="AW2069" s="164"/>
      <c r="AX2069" s="76"/>
      <c r="AY2069" s="44"/>
      <c r="AZ2069" s="275"/>
      <c r="BA2069" s="52"/>
      <c r="BB2069" s="35"/>
      <c r="BC2069" s="79"/>
      <c r="BD2069" s="230"/>
      <c r="BE2069" s="211"/>
      <c r="BF2069" s="164"/>
      <c r="BG2069" s="76"/>
      <c r="BH2069" s="44"/>
      <c r="BI2069" s="275"/>
      <c r="BJ2069" s="52"/>
      <c r="BK2069" s="35"/>
      <c r="BL2069" s="79"/>
      <c r="BM2069" s="230"/>
      <c r="BN2069" s="211"/>
      <c r="BO2069" s="164"/>
      <c r="BP2069" s="76"/>
      <c r="BQ2069" s="44"/>
      <c r="BR2069" s="299"/>
      <c r="BS2069" s="52"/>
      <c r="BT2069" s="35"/>
      <c r="BU2069" s="79"/>
      <c r="BV2069" s="212"/>
      <c r="BW2069" s="304"/>
      <c r="BX2069" s="313"/>
      <c r="BY2069" s="138"/>
    </row>
    <row r="2070" spans="1:77" ht="15" customHeight="1" outlineLevel="1" x14ac:dyDescent="0.2">
      <c r="A2070" s="583" t="s">
        <v>37</v>
      </c>
      <c r="B2070" s="583"/>
      <c r="C2070" s="162" t="s">
        <v>1096</v>
      </c>
      <c r="D2070" s="812">
        <v>0.98399999999999999</v>
      </c>
      <c r="E2070" s="162" t="s">
        <v>631</v>
      </c>
      <c r="F2070" s="729"/>
      <c r="G2070" s="730"/>
      <c r="H2070" s="73"/>
      <c r="I2070" s="90">
        <v>2007</v>
      </c>
      <c r="J2070" s="73"/>
      <c r="K2070" s="790">
        <v>1.774E-3</v>
      </c>
      <c r="L2070" s="717"/>
      <c r="M2070" s="73"/>
      <c r="N2070" s="811"/>
      <c r="O2070" s="1041"/>
      <c r="P2070" s="73"/>
      <c r="Q2070" s="811"/>
      <c r="R2070" s="1041"/>
      <c r="S2070" s="73"/>
      <c r="T2070" s="811"/>
      <c r="U2070" s="73"/>
      <c r="V2070" s="66"/>
      <c r="W2070" s="788">
        <f t="shared" si="1873"/>
        <v>1.1885799999999998E-6</v>
      </c>
      <c r="X2070" s="789">
        <f t="shared" si="1874"/>
        <v>1.1885799999999998E-6</v>
      </c>
      <c r="Y2070" s="52">
        <v>2007</v>
      </c>
      <c r="Z2070" s="52"/>
      <c r="AA2070" s="787">
        <f t="shared" si="1881"/>
        <v>1.7739999999999999E-6</v>
      </c>
      <c r="AB2070" s="256">
        <v>-0.33</v>
      </c>
      <c r="AC2070" s="688">
        <f t="shared" si="1875"/>
        <v>-0.33</v>
      </c>
      <c r="AD2070" s="164"/>
      <c r="AE2070" s="164"/>
      <c r="AF2070" s="25"/>
      <c r="AG2070" s="26"/>
      <c r="AH2070" s="275"/>
      <c r="AI2070" s="52"/>
      <c r="AJ2070" s="35"/>
      <c r="AK2070" s="289"/>
      <c r="AL2070" s="290"/>
      <c r="AM2070" s="211"/>
      <c r="AN2070" s="164"/>
      <c r="AO2070" s="76"/>
      <c r="AP2070" s="44"/>
      <c r="AQ2070" s="275"/>
      <c r="AR2070" s="52"/>
      <c r="AS2070" s="35"/>
      <c r="AT2070" s="79"/>
      <c r="AU2070" s="212"/>
      <c r="AV2070" s="164"/>
      <c r="AW2070" s="164"/>
      <c r="AX2070" s="76"/>
      <c r="AY2070" s="44"/>
      <c r="AZ2070" s="275"/>
      <c r="BA2070" s="52"/>
      <c r="BB2070" s="35"/>
      <c r="BC2070" s="79"/>
      <c r="BD2070" s="230"/>
      <c r="BE2070" s="211"/>
      <c r="BF2070" s="164"/>
      <c r="BG2070" s="76"/>
      <c r="BH2070" s="44"/>
      <c r="BI2070" s="275"/>
      <c r="BJ2070" s="52"/>
      <c r="BK2070" s="35"/>
      <c r="BL2070" s="79"/>
      <c r="BM2070" s="230"/>
      <c r="BN2070" s="211"/>
      <c r="BO2070" s="164"/>
      <c r="BP2070" s="76"/>
      <c r="BQ2070" s="44"/>
      <c r="BR2070" s="299"/>
      <c r="BS2070" s="52"/>
      <c r="BT2070" s="35"/>
      <c r="BU2070" s="79"/>
      <c r="BV2070" s="212"/>
      <c r="BW2070" s="304"/>
      <c r="BX2070" s="313"/>
      <c r="BY2070" s="138"/>
    </row>
    <row r="2071" spans="1:77" ht="15" customHeight="1" outlineLevel="1" x14ac:dyDescent="0.2">
      <c r="A2071" s="583" t="s">
        <v>37</v>
      </c>
      <c r="B2071" s="583"/>
      <c r="C2071" s="162" t="s">
        <v>1216</v>
      </c>
      <c r="D2071" s="806">
        <v>0.14899999999999999</v>
      </c>
      <c r="E2071" s="162" t="s">
        <v>631</v>
      </c>
      <c r="F2071" s="729"/>
      <c r="G2071" s="730"/>
      <c r="H2071" s="73"/>
      <c r="I2071" s="90"/>
      <c r="J2071" s="73"/>
      <c r="K2071" s="734"/>
      <c r="L2071" s="717"/>
      <c r="M2071" s="73"/>
      <c r="N2071" s="811">
        <v>3.9544E-4</v>
      </c>
      <c r="O2071" s="1041"/>
      <c r="P2071" s="73"/>
      <c r="Q2071" s="811"/>
      <c r="R2071" s="1041"/>
      <c r="S2071" s="73"/>
      <c r="T2071" s="811"/>
      <c r="U2071" s="73"/>
      <c r="V2071" s="66"/>
      <c r="W2071" s="808">
        <f t="shared" si="1873"/>
        <v>2.9658000000000003E-7</v>
      </c>
      <c r="X2071" s="809">
        <f t="shared" si="1874"/>
        <v>2.9658000000000003E-7</v>
      </c>
      <c r="Y2071" s="52">
        <v>2010</v>
      </c>
      <c r="Z2071" s="52"/>
      <c r="AA2071" s="807">
        <f>+N2071/1000</f>
        <v>3.9544E-7</v>
      </c>
      <c r="AB2071" s="256">
        <v>-0.25</v>
      </c>
      <c r="AC2071" s="688">
        <f t="shared" si="1875"/>
        <v>-0.25</v>
      </c>
      <c r="AD2071" s="164"/>
      <c r="AE2071" s="164"/>
      <c r="AF2071" s="25"/>
      <c r="AG2071" s="26"/>
      <c r="AH2071" s="275"/>
      <c r="AI2071" s="52"/>
      <c r="AJ2071" s="35"/>
      <c r="AK2071" s="289"/>
      <c r="AL2071" s="290"/>
      <c r="AM2071" s="211"/>
      <c r="AN2071" s="164"/>
      <c r="AO2071" s="76"/>
      <c r="AP2071" s="44"/>
      <c r="AQ2071" s="275"/>
      <c r="AR2071" s="52"/>
      <c r="AS2071" s="35"/>
      <c r="AT2071" s="79"/>
      <c r="AU2071" s="212"/>
      <c r="AV2071" s="164"/>
      <c r="AW2071" s="164"/>
      <c r="AX2071" s="76"/>
      <c r="AY2071" s="44"/>
      <c r="AZ2071" s="275"/>
      <c r="BA2071" s="52"/>
      <c r="BB2071" s="35"/>
      <c r="BC2071" s="79"/>
      <c r="BD2071" s="230"/>
      <c r="BE2071" s="211"/>
      <c r="BF2071" s="164"/>
      <c r="BG2071" s="76"/>
      <c r="BH2071" s="44"/>
      <c r="BI2071" s="275"/>
      <c r="BJ2071" s="52"/>
      <c r="BK2071" s="35"/>
      <c r="BL2071" s="79"/>
      <c r="BM2071" s="230"/>
      <c r="BN2071" s="211"/>
      <c r="BO2071" s="164"/>
      <c r="BP2071" s="76"/>
      <c r="BQ2071" s="44"/>
      <c r="BR2071" s="299"/>
      <c r="BS2071" s="52"/>
      <c r="BT2071" s="35"/>
      <c r="BU2071" s="79"/>
      <c r="BV2071" s="212"/>
      <c r="BW2071" s="304"/>
      <c r="BX2071" s="313"/>
      <c r="BY2071" s="138"/>
    </row>
    <row r="2072" spans="1:77" ht="15" customHeight="1" outlineLevel="1" x14ac:dyDescent="0.2">
      <c r="A2072" s="583" t="s">
        <v>37</v>
      </c>
      <c r="B2072" s="583"/>
      <c r="C2072" s="162" t="s">
        <v>1185</v>
      </c>
      <c r="D2072" s="812">
        <v>18.088000000000001</v>
      </c>
      <c r="E2072" s="162" t="s">
        <v>631</v>
      </c>
      <c r="F2072" s="729"/>
      <c r="G2072" s="730"/>
      <c r="H2072" s="73"/>
      <c r="I2072" s="90">
        <v>2007</v>
      </c>
      <c r="J2072" s="73"/>
      <c r="K2072" s="66">
        <v>0.11379</v>
      </c>
      <c r="L2072" s="717"/>
      <c r="M2072" s="73"/>
      <c r="N2072" s="811"/>
      <c r="O2072" s="1041"/>
      <c r="P2072" s="73"/>
      <c r="Q2072" s="811"/>
      <c r="R2072" s="1041"/>
      <c r="S2072" s="73"/>
      <c r="T2072" s="811"/>
      <c r="U2072" s="73"/>
      <c r="V2072" s="66"/>
      <c r="W2072" s="740">
        <f t="shared" si="1873"/>
        <v>8.5342500000000005E-5</v>
      </c>
      <c r="X2072" s="741">
        <f t="shared" si="1874"/>
        <v>8.5342500000000005E-5</v>
      </c>
      <c r="Y2072" s="52">
        <v>2007</v>
      </c>
      <c r="Z2072" s="52"/>
      <c r="AA2072" s="739">
        <f>+K2072/1000</f>
        <v>1.1379000000000001E-4</v>
      </c>
      <c r="AB2072" s="256">
        <v>-0.25</v>
      </c>
      <c r="AC2072" s="688">
        <f t="shared" si="1875"/>
        <v>-0.25</v>
      </c>
      <c r="AD2072" s="164"/>
      <c r="AE2072" s="164"/>
      <c r="AF2072" s="25"/>
      <c r="AG2072" s="26"/>
      <c r="AH2072" s="275"/>
      <c r="AI2072" s="52"/>
      <c r="AJ2072" s="35"/>
      <c r="AK2072" s="289"/>
      <c r="AL2072" s="290"/>
      <c r="AM2072" s="211"/>
      <c r="AN2072" s="164"/>
      <c r="AO2072" s="76"/>
      <c r="AP2072" s="44"/>
      <c r="AQ2072" s="275"/>
      <c r="AR2072" s="52"/>
      <c r="AS2072" s="35"/>
      <c r="AT2072" s="79"/>
      <c r="AU2072" s="212"/>
      <c r="AV2072" s="164"/>
      <c r="AW2072" s="164"/>
      <c r="AX2072" s="76"/>
      <c r="AY2072" s="44"/>
      <c r="AZ2072" s="275"/>
      <c r="BA2072" s="52"/>
      <c r="BB2072" s="35"/>
      <c r="BC2072" s="79"/>
      <c r="BD2072" s="230"/>
      <c r="BE2072" s="211"/>
      <c r="BF2072" s="164"/>
      <c r="BG2072" s="76"/>
      <c r="BH2072" s="44"/>
      <c r="BI2072" s="275"/>
      <c r="BJ2072" s="52"/>
      <c r="BK2072" s="35"/>
      <c r="BL2072" s="79"/>
      <c r="BM2072" s="230"/>
      <c r="BN2072" s="211"/>
      <c r="BO2072" s="164"/>
      <c r="BP2072" s="76"/>
      <c r="BQ2072" s="44"/>
      <c r="BR2072" s="299"/>
      <c r="BS2072" s="52"/>
      <c r="BT2072" s="35"/>
      <c r="BU2072" s="79"/>
      <c r="BV2072" s="212"/>
      <c r="BW2072" s="304"/>
      <c r="BX2072" s="313"/>
      <c r="BY2072" s="138"/>
    </row>
    <row r="2073" spans="1:77" ht="15" customHeight="1" outlineLevel="1" x14ac:dyDescent="0.2">
      <c r="A2073" s="583" t="s">
        <v>37</v>
      </c>
      <c r="B2073" s="583"/>
      <c r="C2073" s="162" t="s">
        <v>972</v>
      </c>
      <c r="D2073" s="806">
        <v>0.28299999999999997</v>
      </c>
      <c r="E2073" s="162" t="s">
        <v>631</v>
      </c>
      <c r="F2073" s="729"/>
      <c r="G2073" s="730"/>
      <c r="H2073" s="73"/>
      <c r="I2073" s="90"/>
      <c r="J2073" s="73"/>
      <c r="K2073" s="790"/>
      <c r="L2073" s="717"/>
      <c r="M2073" s="73"/>
      <c r="N2073" s="786">
        <v>6.7363999999999998E-4</v>
      </c>
      <c r="O2073" s="1041"/>
      <c r="P2073" s="73"/>
      <c r="Q2073" s="786"/>
      <c r="R2073" s="1041"/>
      <c r="S2073" s="73"/>
      <c r="T2073" s="786"/>
      <c r="U2073" s="73"/>
      <c r="V2073" s="66"/>
      <c r="W2073" s="808">
        <f t="shared" si="1873"/>
        <v>4.9175719999999996E-7</v>
      </c>
      <c r="X2073" s="809">
        <f t="shared" si="1874"/>
        <v>4.9175719999999996E-7</v>
      </c>
      <c r="Y2073" s="52">
        <v>2010</v>
      </c>
      <c r="Z2073" s="52"/>
      <c r="AA2073" s="787">
        <f>+N2073/1000</f>
        <v>6.7363999999999994E-7</v>
      </c>
      <c r="AB2073" s="256">
        <v>-0.27</v>
      </c>
      <c r="AC2073" s="688">
        <f t="shared" si="1875"/>
        <v>-0.27</v>
      </c>
      <c r="AD2073" s="164"/>
      <c r="AE2073" s="164"/>
      <c r="AF2073" s="25"/>
      <c r="AG2073" s="26"/>
      <c r="AH2073" s="275"/>
      <c r="AI2073" s="52"/>
      <c r="AJ2073" s="35"/>
      <c r="AK2073" s="289"/>
      <c r="AL2073" s="290"/>
      <c r="AM2073" s="211"/>
      <c r="AN2073" s="164"/>
      <c r="AO2073" s="76"/>
      <c r="AP2073" s="44"/>
      <c r="AQ2073" s="275"/>
      <c r="AR2073" s="52"/>
      <c r="AS2073" s="35"/>
      <c r="AT2073" s="79"/>
      <c r="AU2073" s="212"/>
      <c r="AV2073" s="164"/>
      <c r="AW2073" s="164"/>
      <c r="AX2073" s="76"/>
      <c r="AY2073" s="44"/>
      <c r="AZ2073" s="275"/>
      <c r="BA2073" s="52"/>
      <c r="BB2073" s="35"/>
      <c r="BC2073" s="79"/>
      <c r="BD2073" s="230"/>
      <c r="BE2073" s="211"/>
      <c r="BF2073" s="164"/>
      <c r="BG2073" s="76"/>
      <c r="BH2073" s="44"/>
      <c r="BI2073" s="275"/>
      <c r="BJ2073" s="52"/>
      <c r="BK2073" s="35"/>
      <c r="BL2073" s="79"/>
      <c r="BM2073" s="230"/>
      <c r="BN2073" s="211"/>
      <c r="BO2073" s="164"/>
      <c r="BP2073" s="76"/>
      <c r="BQ2073" s="44"/>
      <c r="BR2073" s="299"/>
      <c r="BS2073" s="52"/>
      <c r="BT2073" s="35"/>
      <c r="BU2073" s="79"/>
      <c r="BV2073" s="212"/>
      <c r="BW2073" s="304"/>
      <c r="BX2073" s="313"/>
      <c r="BY2073" s="138"/>
    </row>
    <row r="2074" spans="1:77" ht="15" customHeight="1" outlineLevel="1" x14ac:dyDescent="0.2">
      <c r="A2074" s="583" t="s">
        <v>37</v>
      </c>
      <c r="B2074" s="583"/>
      <c r="C2074" s="162" t="s">
        <v>1167</v>
      </c>
      <c r="D2074" s="812">
        <v>5.6189999999999998</v>
      </c>
      <c r="E2074" s="162" t="s">
        <v>631</v>
      </c>
      <c r="F2074" s="729"/>
      <c r="G2074" s="730"/>
      <c r="H2074" s="73"/>
      <c r="I2074" s="90">
        <v>2007</v>
      </c>
      <c r="J2074" s="73"/>
      <c r="K2074" s="734">
        <v>2.9766000000000001E-2</v>
      </c>
      <c r="L2074" s="717"/>
      <c r="M2074" s="73"/>
      <c r="N2074" s="811"/>
      <c r="O2074" s="1041"/>
      <c r="P2074" s="73"/>
      <c r="Q2074" s="811"/>
      <c r="R2074" s="1041"/>
      <c r="S2074" s="73"/>
      <c r="T2074" s="811"/>
      <c r="U2074" s="73"/>
      <c r="V2074" s="66"/>
      <c r="W2074" s="740">
        <f t="shared" si="1873"/>
        <v>1.0418099999999999E-5</v>
      </c>
      <c r="X2074" s="741">
        <f t="shared" si="1874"/>
        <v>1.0418099999999999E-5</v>
      </c>
      <c r="Y2074" s="52">
        <v>2007</v>
      </c>
      <c r="Z2074" s="52"/>
      <c r="AA2074" s="739">
        <f>+K2074/1000</f>
        <v>2.9765999999999999E-5</v>
      </c>
      <c r="AB2074" s="256">
        <v>-0.65</v>
      </c>
      <c r="AC2074" s="688">
        <f t="shared" si="1875"/>
        <v>-0.65</v>
      </c>
      <c r="AD2074" s="164"/>
      <c r="AE2074" s="164"/>
      <c r="AF2074" s="25"/>
      <c r="AG2074" s="26"/>
      <c r="AH2074" s="275"/>
      <c r="AI2074" s="52"/>
      <c r="AJ2074" s="35"/>
      <c r="AK2074" s="289"/>
      <c r="AL2074" s="290"/>
      <c r="AM2074" s="211"/>
      <c r="AN2074" s="164"/>
      <c r="AO2074" s="76"/>
      <c r="AP2074" s="44"/>
      <c r="AQ2074" s="275"/>
      <c r="AR2074" s="52"/>
      <c r="AS2074" s="35"/>
      <c r="AT2074" s="79"/>
      <c r="AU2074" s="212"/>
      <c r="AV2074" s="164"/>
      <c r="AW2074" s="164"/>
      <c r="AX2074" s="76"/>
      <c r="AY2074" s="44"/>
      <c r="AZ2074" s="275"/>
      <c r="BA2074" s="52"/>
      <c r="BB2074" s="35"/>
      <c r="BC2074" s="79"/>
      <c r="BD2074" s="230"/>
      <c r="BE2074" s="211"/>
      <c r="BF2074" s="164"/>
      <c r="BG2074" s="76"/>
      <c r="BH2074" s="44"/>
      <c r="BI2074" s="275"/>
      <c r="BJ2074" s="52"/>
      <c r="BK2074" s="35"/>
      <c r="BL2074" s="79"/>
      <c r="BM2074" s="230"/>
      <c r="BN2074" s="211"/>
      <c r="BO2074" s="164"/>
      <c r="BP2074" s="76"/>
      <c r="BQ2074" s="44"/>
      <c r="BR2074" s="299"/>
      <c r="BS2074" s="52"/>
      <c r="BT2074" s="35"/>
      <c r="BU2074" s="79"/>
      <c r="BV2074" s="212"/>
      <c r="BW2074" s="304"/>
      <c r="BX2074" s="313"/>
      <c r="BY2074" s="138"/>
    </row>
    <row r="2075" spans="1:77" ht="15" customHeight="1" outlineLevel="1" x14ac:dyDescent="0.2">
      <c r="A2075" s="583" t="s">
        <v>37</v>
      </c>
      <c r="B2075" s="583"/>
      <c r="C2075" s="162" t="s">
        <v>1217</v>
      </c>
      <c r="D2075" s="806">
        <v>0.20499999999999999</v>
      </c>
      <c r="E2075" s="162" t="s">
        <v>631</v>
      </c>
      <c r="F2075" s="729"/>
      <c r="G2075" s="730"/>
      <c r="H2075" s="73"/>
      <c r="I2075" s="90"/>
      <c r="J2075" s="73"/>
      <c r="K2075" s="734"/>
      <c r="L2075" s="717">
        <v>2013</v>
      </c>
      <c r="M2075" s="73"/>
      <c r="N2075" s="811">
        <v>3.9544E-4</v>
      </c>
      <c r="O2075" s="1041">
        <v>2013</v>
      </c>
      <c r="P2075" s="73"/>
      <c r="Q2075" s="811">
        <v>3.9544E-4</v>
      </c>
      <c r="R2075" s="1041"/>
      <c r="S2075" s="73"/>
      <c r="T2075" s="811"/>
      <c r="U2075" s="73"/>
      <c r="V2075" s="66"/>
      <c r="W2075" s="808">
        <f t="shared" ref="W2075:W2143" si="1888">AA2075*(1+AB2075)</f>
        <v>2.9262560000000002E-7</v>
      </c>
      <c r="X2075" s="809">
        <f t="shared" ref="X2075:X2143" si="1889">AA2075*(1+AC2075)</f>
        <v>2.9262560000000002E-7</v>
      </c>
      <c r="Y2075" s="52">
        <v>2013</v>
      </c>
      <c r="Z2075" s="52"/>
      <c r="AA2075" s="807">
        <f>+N2075/1000</f>
        <v>3.9544E-7</v>
      </c>
      <c r="AB2075" s="256">
        <v>-0.26</v>
      </c>
      <c r="AC2075" s="688">
        <f t="shared" ref="AC2075:AC2143" si="1890">AB2075</f>
        <v>-0.26</v>
      </c>
      <c r="AD2075" s="164"/>
      <c r="AE2075" s="164"/>
      <c r="AF2075" s="25"/>
      <c r="AG2075" s="26"/>
      <c r="AH2075" s="275"/>
      <c r="AI2075" s="52"/>
      <c r="AJ2075" s="35"/>
      <c r="AK2075" s="289"/>
      <c r="AL2075" s="290"/>
      <c r="AM2075" s="211"/>
      <c r="AN2075" s="164"/>
      <c r="AO2075" s="76"/>
      <c r="AP2075" s="44"/>
      <c r="AQ2075" s="275"/>
      <c r="AR2075" s="52"/>
      <c r="AS2075" s="35"/>
      <c r="AT2075" s="79"/>
      <c r="AU2075" s="212"/>
      <c r="AV2075" s="164"/>
      <c r="AW2075" s="164"/>
      <c r="AX2075" s="76"/>
      <c r="AY2075" s="44"/>
      <c r="AZ2075" s="275"/>
      <c r="BA2075" s="52"/>
      <c r="BB2075" s="35"/>
      <c r="BC2075" s="79"/>
      <c r="BD2075" s="230"/>
      <c r="BE2075" s="211"/>
      <c r="BF2075" s="164"/>
      <c r="BG2075" s="76"/>
      <c r="BH2075" s="44"/>
      <c r="BI2075" s="275"/>
      <c r="BJ2075" s="52"/>
      <c r="BK2075" s="35"/>
      <c r="BL2075" s="79"/>
      <c r="BM2075" s="230"/>
      <c r="BN2075" s="211"/>
      <c r="BO2075" s="164"/>
      <c r="BP2075" s="76"/>
      <c r="BQ2075" s="44"/>
      <c r="BR2075" s="299"/>
      <c r="BS2075" s="52"/>
      <c r="BT2075" s="35"/>
      <c r="BU2075" s="79"/>
      <c r="BV2075" s="212"/>
      <c r="BW2075" s="304"/>
      <c r="BX2075" s="313"/>
      <c r="BY2075" s="138"/>
    </row>
    <row r="2076" spans="1:77" ht="15" customHeight="1" outlineLevel="1" x14ac:dyDescent="0.2">
      <c r="A2076" s="583" t="s">
        <v>37</v>
      </c>
      <c r="B2076" s="583"/>
      <c r="C2076" s="162" t="s">
        <v>1110</v>
      </c>
      <c r="D2076" s="812">
        <v>1.35</v>
      </c>
      <c r="E2076" s="162" t="s">
        <v>631</v>
      </c>
      <c r="F2076" s="729"/>
      <c r="G2076" s="730"/>
      <c r="H2076" s="73"/>
      <c r="I2076" s="90">
        <v>2007</v>
      </c>
      <c r="J2076" s="73"/>
      <c r="K2076" s="790">
        <v>2.8410000000000002E-3</v>
      </c>
      <c r="L2076" s="717"/>
      <c r="M2076" s="73"/>
      <c r="N2076" s="811"/>
      <c r="O2076" s="1041"/>
      <c r="P2076" s="73"/>
      <c r="Q2076" s="811"/>
      <c r="R2076" s="1041"/>
      <c r="S2076" s="73"/>
      <c r="T2076" s="811"/>
      <c r="U2076" s="73"/>
      <c r="V2076" s="66"/>
      <c r="W2076" s="788">
        <f t="shared" si="1888"/>
        <v>1.8466500000000004E-6</v>
      </c>
      <c r="X2076" s="789">
        <f t="shared" si="1889"/>
        <v>1.8466500000000004E-6</v>
      </c>
      <c r="Y2076" s="52">
        <v>2007</v>
      </c>
      <c r="Z2076" s="52"/>
      <c r="AA2076" s="787">
        <f t="shared" ref="AA2076:AA2081" si="1891">+K2076/1000</f>
        <v>2.8410000000000004E-6</v>
      </c>
      <c r="AB2076" s="256">
        <v>-0.35</v>
      </c>
      <c r="AC2076" s="688">
        <f t="shared" si="1890"/>
        <v>-0.35</v>
      </c>
      <c r="AD2076" s="164"/>
      <c r="AE2076" s="164"/>
      <c r="AF2076" s="25"/>
      <c r="AG2076" s="26"/>
      <c r="AH2076" s="275"/>
      <c r="AI2076" s="52"/>
      <c r="AJ2076" s="35"/>
      <c r="AK2076" s="289"/>
      <c r="AL2076" s="290"/>
      <c r="AM2076" s="211"/>
      <c r="AN2076" s="164"/>
      <c r="AO2076" s="76"/>
      <c r="AP2076" s="44"/>
      <c r="AQ2076" s="275"/>
      <c r="AR2076" s="52"/>
      <c r="AS2076" s="35"/>
      <c r="AT2076" s="79"/>
      <c r="AU2076" s="212"/>
      <c r="AV2076" s="164"/>
      <c r="AW2076" s="164"/>
      <c r="AX2076" s="76"/>
      <c r="AY2076" s="44"/>
      <c r="AZ2076" s="275"/>
      <c r="BA2076" s="52"/>
      <c r="BB2076" s="35"/>
      <c r="BC2076" s="79"/>
      <c r="BD2076" s="230"/>
      <c r="BE2076" s="211"/>
      <c r="BF2076" s="164"/>
      <c r="BG2076" s="76"/>
      <c r="BH2076" s="44"/>
      <c r="BI2076" s="275"/>
      <c r="BJ2076" s="52"/>
      <c r="BK2076" s="35"/>
      <c r="BL2076" s="79"/>
      <c r="BM2076" s="230"/>
      <c r="BN2076" s="211"/>
      <c r="BO2076" s="164"/>
      <c r="BP2076" s="76"/>
      <c r="BQ2076" s="44"/>
      <c r="BR2076" s="299"/>
      <c r="BS2076" s="52"/>
      <c r="BT2076" s="35"/>
      <c r="BU2076" s="79"/>
      <c r="BV2076" s="212"/>
      <c r="BW2076" s="304"/>
      <c r="BX2076" s="313"/>
      <c r="BY2076" s="138"/>
    </row>
    <row r="2077" spans="1:77" ht="15" customHeight="1" outlineLevel="1" x14ac:dyDescent="0.2">
      <c r="A2077" s="583" t="s">
        <v>37</v>
      </c>
      <c r="B2077" s="583"/>
      <c r="C2077" s="162" t="s">
        <v>1161</v>
      </c>
      <c r="D2077" s="812">
        <v>11.164</v>
      </c>
      <c r="E2077" s="162" t="s">
        <v>631</v>
      </c>
      <c r="F2077" s="729"/>
      <c r="G2077" s="730"/>
      <c r="H2077" s="73"/>
      <c r="I2077" s="90">
        <v>2007</v>
      </c>
      <c r="J2077" s="73"/>
      <c r="K2077" s="734">
        <v>6.4770999999999995E-2</v>
      </c>
      <c r="L2077" s="717"/>
      <c r="M2077" s="73"/>
      <c r="N2077" s="811"/>
      <c r="O2077" s="1041"/>
      <c r="P2077" s="73"/>
      <c r="Q2077" s="811"/>
      <c r="R2077" s="1041"/>
      <c r="S2077" s="73"/>
      <c r="T2077" s="811"/>
      <c r="U2077" s="73"/>
      <c r="V2077" s="66"/>
      <c r="W2077" s="740">
        <f t="shared" si="1888"/>
        <v>4.274885999999999E-5</v>
      </c>
      <c r="X2077" s="741">
        <f t="shared" si="1889"/>
        <v>4.274885999999999E-5</v>
      </c>
      <c r="Y2077" s="52">
        <v>2007</v>
      </c>
      <c r="Z2077" s="52"/>
      <c r="AA2077" s="739">
        <f t="shared" si="1891"/>
        <v>6.4770999999999994E-5</v>
      </c>
      <c r="AB2077" s="256">
        <v>-0.34</v>
      </c>
      <c r="AC2077" s="688">
        <f t="shared" si="1890"/>
        <v>-0.34</v>
      </c>
      <c r="AD2077" s="164"/>
      <c r="AE2077" s="164"/>
      <c r="AF2077" s="25"/>
      <c r="AG2077" s="26"/>
      <c r="AH2077" s="275"/>
      <c r="AI2077" s="52"/>
      <c r="AJ2077" s="35"/>
      <c r="AK2077" s="289"/>
      <c r="AL2077" s="290"/>
      <c r="AM2077" s="211"/>
      <c r="AN2077" s="164"/>
      <c r="AO2077" s="76"/>
      <c r="AP2077" s="44"/>
      <c r="AQ2077" s="275"/>
      <c r="AR2077" s="52"/>
      <c r="AS2077" s="35"/>
      <c r="AT2077" s="79"/>
      <c r="AU2077" s="212"/>
      <c r="AV2077" s="164"/>
      <c r="AW2077" s="164"/>
      <c r="AX2077" s="76"/>
      <c r="AY2077" s="44"/>
      <c r="AZ2077" s="275"/>
      <c r="BA2077" s="52"/>
      <c r="BB2077" s="35"/>
      <c r="BC2077" s="79"/>
      <c r="BD2077" s="230"/>
      <c r="BE2077" s="211"/>
      <c r="BF2077" s="164"/>
      <c r="BG2077" s="76"/>
      <c r="BH2077" s="44"/>
      <c r="BI2077" s="275"/>
      <c r="BJ2077" s="52"/>
      <c r="BK2077" s="35"/>
      <c r="BL2077" s="79"/>
      <c r="BM2077" s="230"/>
      <c r="BN2077" s="211"/>
      <c r="BO2077" s="164"/>
      <c r="BP2077" s="76"/>
      <c r="BQ2077" s="44"/>
      <c r="BR2077" s="299"/>
      <c r="BS2077" s="52"/>
      <c r="BT2077" s="35"/>
      <c r="BU2077" s="79"/>
      <c r="BV2077" s="212"/>
      <c r="BW2077" s="304"/>
      <c r="BX2077" s="313"/>
      <c r="BY2077" s="138"/>
    </row>
    <row r="2078" spans="1:77" ht="15" customHeight="1" outlineLevel="1" x14ac:dyDescent="0.2">
      <c r="A2078" s="583" t="s">
        <v>37</v>
      </c>
      <c r="B2078" s="583"/>
      <c r="C2078" s="162" t="s">
        <v>1038</v>
      </c>
      <c r="D2078" s="812">
        <v>59.674999999999997</v>
      </c>
      <c r="E2078" s="162" t="s">
        <v>631</v>
      </c>
      <c r="F2078" s="729"/>
      <c r="G2078" s="730"/>
      <c r="H2078" s="73"/>
      <c r="I2078" s="90">
        <v>2008</v>
      </c>
      <c r="J2078" s="73"/>
      <c r="K2078" s="66">
        <v>0.11650000000000001</v>
      </c>
      <c r="L2078" s="717"/>
      <c r="M2078" s="73"/>
      <c r="N2078" s="811"/>
      <c r="O2078" s="1041"/>
      <c r="P2078" s="73"/>
      <c r="Q2078" s="811"/>
      <c r="R2078" s="1041"/>
      <c r="S2078" s="73"/>
      <c r="T2078" s="811"/>
      <c r="U2078" s="73"/>
      <c r="V2078" s="66"/>
      <c r="W2078" s="740">
        <f t="shared" si="1888"/>
        <v>7.8054999999999997E-5</v>
      </c>
      <c r="X2078" s="741">
        <f t="shared" si="1889"/>
        <v>7.8054999999999997E-5</v>
      </c>
      <c r="Y2078" s="52">
        <v>2007</v>
      </c>
      <c r="Z2078" s="52"/>
      <c r="AA2078" s="739">
        <f t="shared" si="1891"/>
        <v>1.1650000000000001E-4</v>
      </c>
      <c r="AB2078" s="256">
        <v>-0.33</v>
      </c>
      <c r="AC2078" s="688">
        <f t="shared" si="1890"/>
        <v>-0.33</v>
      </c>
      <c r="AD2078" s="164"/>
      <c r="AE2078" s="164"/>
      <c r="AF2078" s="25"/>
      <c r="AG2078" s="26"/>
      <c r="AH2078" s="275"/>
      <c r="AI2078" s="52"/>
      <c r="AJ2078" s="35"/>
      <c r="AK2078" s="289"/>
      <c r="AL2078" s="290"/>
      <c r="AM2078" s="211"/>
      <c r="AN2078" s="164"/>
      <c r="AO2078" s="76"/>
      <c r="AP2078" s="44"/>
      <c r="AQ2078" s="275"/>
      <c r="AR2078" s="52"/>
      <c r="AS2078" s="35"/>
      <c r="AT2078" s="79"/>
      <c r="AU2078" s="212"/>
      <c r="AV2078" s="164"/>
      <c r="AW2078" s="164"/>
      <c r="AX2078" s="76"/>
      <c r="AY2078" s="44"/>
      <c r="AZ2078" s="275"/>
      <c r="BA2078" s="52"/>
      <c r="BB2078" s="35"/>
      <c r="BC2078" s="79"/>
      <c r="BD2078" s="230"/>
      <c r="BE2078" s="211"/>
      <c r="BF2078" s="164"/>
      <c r="BG2078" s="76"/>
      <c r="BH2078" s="44"/>
      <c r="BI2078" s="275"/>
      <c r="BJ2078" s="52"/>
      <c r="BK2078" s="35"/>
      <c r="BL2078" s="79"/>
      <c r="BM2078" s="230"/>
      <c r="BN2078" s="211"/>
      <c r="BO2078" s="164"/>
      <c r="BP2078" s="76"/>
      <c r="BQ2078" s="44"/>
      <c r="BR2078" s="299"/>
      <c r="BS2078" s="52"/>
      <c r="BT2078" s="35"/>
      <c r="BU2078" s="79"/>
      <c r="BV2078" s="212"/>
      <c r="BW2078" s="304"/>
      <c r="BX2078" s="313"/>
      <c r="BY2078" s="138"/>
    </row>
    <row r="2079" spans="1:77" ht="15" customHeight="1" outlineLevel="1" x14ac:dyDescent="0.2">
      <c r="A2079" s="583" t="s">
        <v>37</v>
      </c>
      <c r="B2079" s="583"/>
      <c r="C2079" s="162" t="s">
        <v>1090</v>
      </c>
      <c r="D2079" s="812">
        <v>3.331</v>
      </c>
      <c r="E2079" s="162" t="s">
        <v>631</v>
      </c>
      <c r="F2079" s="729"/>
      <c r="G2079" s="730"/>
      <c r="H2079" s="73"/>
      <c r="I2079" s="90">
        <v>2007</v>
      </c>
      <c r="J2079" s="73"/>
      <c r="K2079" s="734">
        <v>2.0670000000000001E-2</v>
      </c>
      <c r="L2079" s="717"/>
      <c r="M2079" s="73"/>
      <c r="N2079" s="811"/>
      <c r="O2079" s="1041"/>
      <c r="P2079" s="73"/>
      <c r="Q2079" s="811"/>
      <c r="R2079" s="1041"/>
      <c r="S2079" s="73"/>
      <c r="T2079" s="811"/>
      <c r="U2079" s="73"/>
      <c r="V2079" s="66"/>
      <c r="W2079" s="740">
        <f t="shared" si="1888"/>
        <v>1.52958E-5</v>
      </c>
      <c r="X2079" s="741">
        <f t="shared" si="1889"/>
        <v>1.52958E-5</v>
      </c>
      <c r="Y2079" s="52">
        <v>2007</v>
      </c>
      <c r="Z2079" s="52"/>
      <c r="AA2079" s="787">
        <f t="shared" si="1891"/>
        <v>2.067E-5</v>
      </c>
      <c r="AB2079" s="256">
        <v>-0.26</v>
      </c>
      <c r="AC2079" s="688">
        <f t="shared" si="1890"/>
        <v>-0.26</v>
      </c>
      <c r="AD2079" s="164"/>
      <c r="AE2079" s="164"/>
      <c r="AF2079" s="25"/>
      <c r="AG2079" s="26"/>
      <c r="AH2079" s="275"/>
      <c r="AI2079" s="52"/>
      <c r="AJ2079" s="35"/>
      <c r="AK2079" s="289"/>
      <c r="AL2079" s="290"/>
      <c r="AM2079" s="211"/>
      <c r="AN2079" s="164"/>
      <c r="AO2079" s="76"/>
      <c r="AP2079" s="44"/>
      <c r="AQ2079" s="275"/>
      <c r="AR2079" s="52"/>
      <c r="AS2079" s="35"/>
      <c r="AT2079" s="79"/>
      <c r="AU2079" s="212"/>
      <c r="AV2079" s="164"/>
      <c r="AW2079" s="164"/>
      <c r="AX2079" s="76"/>
      <c r="AY2079" s="44"/>
      <c r="AZ2079" s="275"/>
      <c r="BA2079" s="52"/>
      <c r="BB2079" s="35"/>
      <c r="BC2079" s="79"/>
      <c r="BD2079" s="230"/>
      <c r="BE2079" s="211"/>
      <c r="BF2079" s="164"/>
      <c r="BG2079" s="76"/>
      <c r="BH2079" s="44"/>
      <c r="BI2079" s="275"/>
      <c r="BJ2079" s="52"/>
      <c r="BK2079" s="35"/>
      <c r="BL2079" s="79"/>
      <c r="BM2079" s="230"/>
      <c r="BN2079" s="211"/>
      <c r="BO2079" s="164"/>
      <c r="BP2079" s="76"/>
      <c r="BQ2079" s="44"/>
      <c r="BR2079" s="299"/>
      <c r="BS2079" s="52"/>
      <c r="BT2079" s="35"/>
      <c r="BU2079" s="79"/>
      <c r="BV2079" s="212"/>
      <c r="BW2079" s="304"/>
      <c r="BX2079" s="313"/>
      <c r="BY2079" s="138"/>
    </row>
    <row r="2080" spans="1:77" ht="15" customHeight="1" outlineLevel="1" x14ac:dyDescent="0.2">
      <c r="A2080" s="583" t="s">
        <v>37</v>
      </c>
      <c r="B2080" s="583"/>
      <c r="C2080" s="162" t="s">
        <v>1137</v>
      </c>
      <c r="D2080" s="812">
        <v>0.64700000000000002</v>
      </c>
      <c r="E2080" s="162" t="s">
        <v>631</v>
      </c>
      <c r="F2080" s="729"/>
      <c r="G2080" s="730"/>
      <c r="H2080" s="73"/>
      <c r="I2080" s="90">
        <v>2007</v>
      </c>
      <c r="J2080" s="73"/>
      <c r="K2080" s="790">
        <v>4.1200000000000004E-3</v>
      </c>
      <c r="L2080" s="717"/>
      <c r="M2080" s="73"/>
      <c r="N2080" s="811"/>
      <c r="O2080" s="1041"/>
      <c r="P2080" s="73"/>
      <c r="Q2080" s="811"/>
      <c r="R2080" s="1041"/>
      <c r="S2080" s="73"/>
      <c r="T2080" s="811"/>
      <c r="U2080" s="73"/>
      <c r="V2080" s="66"/>
      <c r="W2080" s="788">
        <f t="shared" si="1888"/>
        <v>3.0900000000000001E-6</v>
      </c>
      <c r="X2080" s="789">
        <f t="shared" si="1889"/>
        <v>3.0900000000000001E-6</v>
      </c>
      <c r="Y2080" s="52">
        <v>2007</v>
      </c>
      <c r="Z2080" s="52"/>
      <c r="AA2080" s="787">
        <f t="shared" si="1891"/>
        <v>4.1200000000000004E-6</v>
      </c>
      <c r="AB2080" s="256">
        <v>-0.25</v>
      </c>
      <c r="AC2080" s="688">
        <f t="shared" si="1890"/>
        <v>-0.25</v>
      </c>
      <c r="AD2080" s="164"/>
      <c r="AE2080" s="164"/>
      <c r="AF2080" s="25"/>
      <c r="AG2080" s="26"/>
      <c r="AH2080" s="275"/>
      <c r="AI2080" s="52"/>
      <c r="AJ2080" s="35"/>
      <c r="AK2080" s="289"/>
      <c r="AL2080" s="290"/>
      <c r="AM2080" s="211"/>
      <c r="AN2080" s="164"/>
      <c r="AO2080" s="76"/>
      <c r="AP2080" s="44"/>
      <c r="AQ2080" s="275"/>
      <c r="AR2080" s="52"/>
      <c r="AS2080" s="35"/>
      <c r="AT2080" s="79"/>
      <c r="AU2080" s="212"/>
      <c r="AV2080" s="164"/>
      <c r="AW2080" s="164"/>
      <c r="AX2080" s="76"/>
      <c r="AY2080" s="44"/>
      <c r="AZ2080" s="275"/>
      <c r="BA2080" s="52"/>
      <c r="BB2080" s="35"/>
      <c r="BC2080" s="79"/>
      <c r="BD2080" s="230"/>
      <c r="BE2080" s="211"/>
      <c r="BF2080" s="164"/>
      <c r="BG2080" s="76"/>
      <c r="BH2080" s="44"/>
      <c r="BI2080" s="275"/>
      <c r="BJ2080" s="52"/>
      <c r="BK2080" s="35"/>
      <c r="BL2080" s="79"/>
      <c r="BM2080" s="230"/>
      <c r="BN2080" s="211"/>
      <c r="BO2080" s="164"/>
      <c r="BP2080" s="76"/>
      <c r="BQ2080" s="44"/>
      <c r="BR2080" s="299"/>
      <c r="BS2080" s="52"/>
      <c r="BT2080" s="35"/>
      <c r="BU2080" s="79"/>
      <c r="BV2080" s="212"/>
      <c r="BW2080" s="304"/>
      <c r="BX2080" s="313"/>
      <c r="BY2080" s="138"/>
    </row>
    <row r="2081" spans="1:77" ht="15" customHeight="1" outlineLevel="1" x14ac:dyDescent="0.2">
      <c r="A2081" s="583" t="s">
        <v>37</v>
      </c>
      <c r="B2081" s="583"/>
      <c r="C2081" s="162" t="s">
        <v>1163</v>
      </c>
      <c r="D2081" s="812">
        <v>167.99700000000001</v>
      </c>
      <c r="E2081" s="162" t="s">
        <v>631</v>
      </c>
      <c r="F2081" s="729"/>
      <c r="G2081" s="730"/>
      <c r="H2081" s="73"/>
      <c r="I2081" s="90">
        <v>2007</v>
      </c>
      <c r="J2081" s="73"/>
      <c r="K2081" s="66">
        <v>0.54770700000000005</v>
      </c>
      <c r="L2081" s="717"/>
      <c r="M2081" s="73"/>
      <c r="N2081" s="811"/>
      <c r="O2081" s="1041"/>
      <c r="P2081" s="73"/>
      <c r="Q2081" s="811"/>
      <c r="R2081" s="1041"/>
      <c r="S2081" s="73"/>
      <c r="T2081" s="811"/>
      <c r="U2081" s="73"/>
      <c r="V2081" s="66"/>
      <c r="W2081" s="740">
        <f t="shared" si="1888"/>
        <v>4.1078025E-4</v>
      </c>
      <c r="X2081" s="741">
        <f t="shared" si="1889"/>
        <v>4.1078025E-4</v>
      </c>
      <c r="Y2081" s="52">
        <v>2007</v>
      </c>
      <c r="Z2081" s="52"/>
      <c r="AA2081" s="739">
        <f t="shared" si="1891"/>
        <v>5.4770700000000003E-4</v>
      </c>
      <c r="AB2081" s="256">
        <v>-0.25</v>
      </c>
      <c r="AC2081" s="688">
        <f t="shared" si="1890"/>
        <v>-0.25</v>
      </c>
      <c r="AD2081" s="164"/>
      <c r="AE2081" s="164"/>
      <c r="AF2081" s="25"/>
      <c r="AG2081" s="26"/>
      <c r="AH2081" s="275"/>
      <c r="AI2081" s="52"/>
      <c r="AJ2081" s="35"/>
      <c r="AK2081" s="289"/>
      <c r="AL2081" s="290"/>
      <c r="AM2081" s="211"/>
      <c r="AN2081" s="164"/>
      <c r="AO2081" s="76"/>
      <c r="AP2081" s="44"/>
      <c r="AQ2081" s="275"/>
      <c r="AR2081" s="52"/>
      <c r="AS2081" s="35"/>
      <c r="AT2081" s="79"/>
      <c r="AU2081" s="212"/>
      <c r="AV2081" s="164"/>
      <c r="AW2081" s="164"/>
      <c r="AX2081" s="76"/>
      <c r="AY2081" s="44"/>
      <c r="AZ2081" s="275"/>
      <c r="BA2081" s="52"/>
      <c r="BB2081" s="35"/>
      <c r="BC2081" s="79"/>
      <c r="BD2081" s="230"/>
      <c r="BE2081" s="211"/>
      <c r="BF2081" s="164"/>
      <c r="BG2081" s="76"/>
      <c r="BH2081" s="44"/>
      <c r="BI2081" s="275"/>
      <c r="BJ2081" s="52"/>
      <c r="BK2081" s="35"/>
      <c r="BL2081" s="79"/>
      <c r="BM2081" s="230"/>
      <c r="BN2081" s="211"/>
      <c r="BO2081" s="164"/>
      <c r="BP2081" s="76"/>
      <c r="BQ2081" s="44"/>
      <c r="BR2081" s="299"/>
      <c r="BS2081" s="52"/>
      <c r="BT2081" s="35"/>
      <c r="BU2081" s="79"/>
      <c r="BV2081" s="212"/>
      <c r="BW2081" s="304"/>
      <c r="BX2081" s="313"/>
      <c r="BY2081" s="138"/>
    </row>
    <row r="2082" spans="1:77" ht="15" customHeight="1" outlineLevel="1" x14ac:dyDescent="0.2">
      <c r="A2082" s="583" t="s">
        <v>37</v>
      </c>
      <c r="B2082" s="583"/>
      <c r="C2082" s="162" t="s">
        <v>2842</v>
      </c>
      <c r="D2082" s="812">
        <v>22.841999999999999</v>
      </c>
      <c r="E2082" s="162" t="s">
        <v>631</v>
      </c>
      <c r="F2082" s="729"/>
      <c r="G2082" s="730"/>
      <c r="H2082" s="73"/>
      <c r="I2082" s="90"/>
      <c r="J2082" s="73"/>
      <c r="K2082" s="790">
        <v>0.17289599999999999</v>
      </c>
      <c r="L2082" s="717"/>
      <c r="M2082" s="73"/>
      <c r="N2082" s="811"/>
      <c r="O2082" s="1041"/>
      <c r="P2082" s="73"/>
      <c r="Q2082" s="811"/>
      <c r="R2082" s="1041"/>
      <c r="S2082" s="73"/>
      <c r="T2082" s="811"/>
      <c r="U2082" s="73"/>
      <c r="V2082" s="66"/>
      <c r="W2082" s="740"/>
      <c r="X2082" s="741"/>
      <c r="Y2082" s="52"/>
      <c r="Z2082" s="52"/>
      <c r="AA2082" s="739"/>
      <c r="AB2082" s="256"/>
      <c r="AC2082" s="688"/>
      <c r="AD2082" s="164"/>
      <c r="AE2082" s="164"/>
      <c r="AF2082" s="25"/>
      <c r="AG2082" s="26"/>
      <c r="AH2082" s="275"/>
      <c r="AI2082" s="52"/>
      <c r="AJ2082" s="35"/>
      <c r="AK2082" s="289"/>
      <c r="AL2082" s="290"/>
      <c r="AM2082" s="211"/>
      <c r="AN2082" s="164"/>
      <c r="AO2082" s="25">
        <f>AS2082*(1+AT2082)</f>
        <v>0.10027968000000001</v>
      </c>
      <c r="AP2082" s="26">
        <f>AO2082</f>
        <v>0.10027968000000001</v>
      </c>
      <c r="AQ2082" s="275">
        <v>2005</v>
      </c>
      <c r="AR2082" s="52"/>
      <c r="AS2082" s="35">
        <f>+K2082</f>
        <v>0.17289599999999999</v>
      </c>
      <c r="AT2082" s="79">
        <v>-0.42</v>
      </c>
      <c r="AU2082" s="212">
        <f>AT2082</f>
        <v>-0.42</v>
      </c>
      <c r="AV2082" s="164"/>
      <c r="AW2082" s="164"/>
      <c r="AX2082" s="76"/>
      <c r="AY2082" s="44"/>
      <c r="AZ2082" s="275"/>
      <c r="BA2082" s="52"/>
      <c r="BB2082" s="35"/>
      <c r="BC2082" s="79"/>
      <c r="BD2082" s="230"/>
      <c r="BE2082" s="211"/>
      <c r="BF2082" s="164"/>
      <c r="BG2082" s="76"/>
      <c r="BH2082" s="44"/>
      <c r="BI2082" s="275"/>
      <c r="BJ2082" s="52"/>
      <c r="BK2082" s="35"/>
      <c r="BL2082" s="79"/>
      <c r="BM2082" s="230"/>
      <c r="BN2082" s="211"/>
      <c r="BO2082" s="164"/>
      <c r="BP2082" s="76"/>
      <c r="BQ2082" s="44"/>
      <c r="BR2082" s="299"/>
      <c r="BS2082" s="52"/>
      <c r="BT2082" s="35"/>
      <c r="BU2082" s="79"/>
      <c r="BV2082" s="212"/>
      <c r="BW2082" s="304"/>
      <c r="BX2082" s="313"/>
      <c r="BY2082" s="138"/>
    </row>
    <row r="2083" spans="1:77" ht="15" customHeight="1" outlineLevel="1" x14ac:dyDescent="0.2">
      <c r="A2083" s="583" t="s">
        <v>37</v>
      </c>
      <c r="B2083" s="583"/>
      <c r="C2083" s="162" t="s">
        <v>1218</v>
      </c>
      <c r="D2083" s="812">
        <v>1.577</v>
      </c>
      <c r="E2083" s="162" t="s">
        <v>631</v>
      </c>
      <c r="F2083" s="729"/>
      <c r="G2083" s="730"/>
      <c r="H2083" s="73"/>
      <c r="I2083" s="90"/>
      <c r="J2083" s="73"/>
      <c r="K2083" s="734"/>
      <c r="L2083" s="717"/>
      <c r="M2083" s="73"/>
      <c r="N2083" s="817">
        <v>5.3489999999999996E-3</v>
      </c>
      <c r="O2083" s="1041"/>
      <c r="P2083" s="73"/>
      <c r="Q2083" s="817"/>
      <c r="R2083" s="1041"/>
      <c r="S2083" s="73"/>
      <c r="T2083" s="817"/>
      <c r="U2083" s="73"/>
      <c r="V2083" s="66"/>
      <c r="W2083" s="788">
        <f t="shared" si="1888"/>
        <v>4.0117500000000002E-6</v>
      </c>
      <c r="X2083" s="789">
        <f t="shared" si="1889"/>
        <v>4.0117500000000002E-6</v>
      </c>
      <c r="Y2083" s="52">
        <v>2010</v>
      </c>
      <c r="Z2083" s="52"/>
      <c r="AA2083" s="787">
        <f>+N2083/1000</f>
        <v>5.3489999999999999E-6</v>
      </c>
      <c r="AB2083" s="256">
        <v>-0.25</v>
      </c>
      <c r="AC2083" s="688">
        <f t="shared" si="1890"/>
        <v>-0.25</v>
      </c>
      <c r="AD2083" s="164"/>
      <c r="AE2083" s="164"/>
      <c r="AF2083" s="25"/>
      <c r="AG2083" s="26"/>
      <c r="AH2083" s="275"/>
      <c r="AI2083" s="52"/>
      <c r="AJ2083" s="35"/>
      <c r="AK2083" s="289"/>
      <c r="AL2083" s="290"/>
      <c r="AM2083" s="211"/>
      <c r="AN2083" s="164"/>
      <c r="AO2083" s="76"/>
      <c r="AP2083" s="44"/>
      <c r="AQ2083" s="275"/>
      <c r="AR2083" s="52"/>
      <c r="AS2083" s="35"/>
      <c r="AT2083" s="79"/>
      <c r="AU2083" s="212"/>
      <c r="AV2083" s="164"/>
      <c r="AW2083" s="164"/>
      <c r="AX2083" s="76"/>
      <c r="AY2083" s="44"/>
      <c r="AZ2083" s="275"/>
      <c r="BA2083" s="52"/>
      <c r="BB2083" s="35"/>
      <c r="BC2083" s="79"/>
      <c r="BD2083" s="230"/>
      <c r="BE2083" s="211"/>
      <c r="BF2083" s="164"/>
      <c r="BG2083" s="76"/>
      <c r="BH2083" s="44"/>
      <c r="BI2083" s="275"/>
      <c r="BJ2083" s="52"/>
      <c r="BK2083" s="35"/>
      <c r="BL2083" s="79"/>
      <c r="BM2083" s="230"/>
      <c r="BN2083" s="211"/>
      <c r="BO2083" s="164"/>
      <c r="BP2083" s="76"/>
      <c r="BQ2083" s="44"/>
      <c r="BR2083" s="299"/>
      <c r="BS2083" s="52"/>
      <c r="BT2083" s="35"/>
      <c r="BU2083" s="79"/>
      <c r="BV2083" s="212"/>
      <c r="BW2083" s="304"/>
      <c r="BX2083" s="313"/>
      <c r="BY2083" s="138"/>
    </row>
    <row r="2084" spans="1:77" ht="15" customHeight="1" outlineLevel="1" x14ac:dyDescent="0.2">
      <c r="A2084" s="583" t="s">
        <v>37</v>
      </c>
      <c r="B2084" s="583"/>
      <c r="C2084" s="162" t="s">
        <v>2780</v>
      </c>
      <c r="D2084" s="812">
        <v>5.367</v>
      </c>
      <c r="E2084" s="162" t="s">
        <v>631</v>
      </c>
      <c r="F2084" s="729"/>
      <c r="G2084" s="730"/>
      <c r="H2084" s="73"/>
      <c r="I2084" s="90"/>
      <c r="J2084" s="73"/>
      <c r="K2084" s="734">
        <v>2.67236E-2</v>
      </c>
      <c r="L2084" s="717"/>
      <c r="M2084" s="73"/>
      <c r="N2084" s="817"/>
      <c r="O2084" s="1041"/>
      <c r="P2084" s="73"/>
      <c r="Q2084" s="817"/>
      <c r="R2084" s="1041"/>
      <c r="S2084" s="73"/>
      <c r="T2084" s="817"/>
      <c r="U2084" s="73"/>
      <c r="V2084" s="66"/>
      <c r="W2084" s="740">
        <f t="shared" ref="W2084" si="1892">AA2084*(1+AB2084)</f>
        <v>1.9775463999999999E-5</v>
      </c>
      <c r="X2084" s="741">
        <f t="shared" ref="X2084" si="1893">AA2084*(1+AC2084)</f>
        <v>1.9775463999999999E-5</v>
      </c>
      <c r="Y2084" s="52">
        <v>2005</v>
      </c>
      <c r="Z2084" s="52"/>
      <c r="AA2084" s="739">
        <f>+K2084/1000</f>
        <v>2.6723599999999999E-5</v>
      </c>
      <c r="AB2084" s="256">
        <v>-0.26</v>
      </c>
      <c r="AC2084" s="688">
        <f t="shared" ref="AC2084" si="1894">AB2084</f>
        <v>-0.26</v>
      </c>
      <c r="AD2084" s="164"/>
      <c r="AE2084" s="164"/>
      <c r="AF2084" s="25"/>
      <c r="AG2084" s="26"/>
      <c r="AH2084" s="275"/>
      <c r="AI2084" s="52"/>
      <c r="AJ2084" s="35"/>
      <c r="AK2084" s="289"/>
      <c r="AL2084" s="290"/>
      <c r="AM2084" s="211"/>
      <c r="AN2084" s="164"/>
      <c r="AO2084" s="76"/>
      <c r="AP2084" s="44"/>
      <c r="AQ2084" s="275"/>
      <c r="AR2084" s="52"/>
      <c r="AS2084" s="35"/>
      <c r="AT2084" s="79"/>
      <c r="AU2084" s="212"/>
      <c r="AV2084" s="164"/>
      <c r="AW2084" s="164"/>
      <c r="AX2084" s="76"/>
      <c r="AY2084" s="44"/>
      <c r="AZ2084" s="275"/>
      <c r="BA2084" s="52"/>
      <c r="BB2084" s="35"/>
      <c r="BC2084" s="79"/>
      <c r="BD2084" s="230"/>
      <c r="BE2084" s="211"/>
      <c r="BF2084" s="164"/>
      <c r="BG2084" s="76"/>
      <c r="BH2084" s="44"/>
      <c r="BI2084" s="275"/>
      <c r="BJ2084" s="52"/>
      <c r="BK2084" s="35"/>
      <c r="BL2084" s="79"/>
      <c r="BM2084" s="230"/>
      <c r="BN2084" s="211"/>
      <c r="BO2084" s="164"/>
      <c r="BP2084" s="76"/>
      <c r="BQ2084" s="44"/>
      <c r="BR2084" s="299"/>
      <c r="BS2084" s="52"/>
      <c r="BT2084" s="35"/>
      <c r="BU2084" s="79"/>
      <c r="BV2084" s="212"/>
      <c r="BW2084" s="304"/>
      <c r="BX2084" s="313"/>
      <c r="BY2084" s="138"/>
    </row>
    <row r="2085" spans="1:77" ht="15" customHeight="1" outlineLevel="1" x14ac:dyDescent="0.2">
      <c r="A2085" s="583" t="s">
        <v>37</v>
      </c>
      <c r="B2085" s="583"/>
      <c r="C2085" s="162" t="s">
        <v>1060</v>
      </c>
      <c r="D2085" s="812">
        <v>6.1440000000000001</v>
      </c>
      <c r="E2085" s="162" t="s">
        <v>631</v>
      </c>
      <c r="F2085" s="729"/>
      <c r="G2085" s="730"/>
      <c r="H2085" s="73"/>
      <c r="I2085" s="90">
        <v>2007</v>
      </c>
      <c r="J2085" s="73"/>
      <c r="K2085" s="734">
        <v>2.7061999999999999E-2</v>
      </c>
      <c r="L2085" s="717"/>
      <c r="M2085" s="73"/>
      <c r="N2085" s="811"/>
      <c r="O2085" s="1041"/>
      <c r="P2085" s="73"/>
      <c r="Q2085" s="811"/>
      <c r="R2085" s="1041"/>
      <c r="S2085" s="73"/>
      <c r="T2085" s="811"/>
      <c r="U2085" s="73"/>
      <c r="V2085" s="66"/>
      <c r="W2085" s="740">
        <f t="shared" si="1888"/>
        <v>2.0296499999999998E-5</v>
      </c>
      <c r="X2085" s="741">
        <f t="shared" si="1889"/>
        <v>2.0296499999999998E-5</v>
      </c>
      <c r="Y2085" s="52">
        <v>2007</v>
      </c>
      <c r="Z2085" s="52"/>
      <c r="AA2085" s="739">
        <f>+K2085/1000</f>
        <v>2.7061999999999999E-5</v>
      </c>
      <c r="AB2085" s="256">
        <v>-0.25</v>
      </c>
      <c r="AC2085" s="688">
        <f t="shared" si="1890"/>
        <v>-0.25</v>
      </c>
      <c r="AD2085" s="164"/>
      <c r="AE2085" s="164"/>
      <c r="AF2085" s="25"/>
      <c r="AG2085" s="26"/>
      <c r="AH2085" s="275"/>
      <c r="AI2085" s="52"/>
      <c r="AJ2085" s="35"/>
      <c r="AK2085" s="289"/>
      <c r="AL2085" s="290"/>
      <c r="AM2085" s="211"/>
      <c r="AN2085" s="164"/>
      <c r="AO2085" s="76"/>
      <c r="AP2085" s="44"/>
      <c r="AQ2085" s="275"/>
      <c r="AR2085" s="52"/>
      <c r="AS2085" s="35"/>
      <c r="AT2085" s="79"/>
      <c r="AU2085" s="212"/>
      <c r="AV2085" s="164"/>
      <c r="AW2085" s="164"/>
      <c r="AX2085" s="76"/>
      <c r="AY2085" s="44"/>
      <c r="AZ2085" s="275"/>
      <c r="BA2085" s="52"/>
      <c r="BB2085" s="35"/>
      <c r="BC2085" s="79"/>
      <c r="BD2085" s="230"/>
      <c r="BE2085" s="211"/>
      <c r="BF2085" s="164"/>
      <c r="BG2085" s="76"/>
      <c r="BH2085" s="44"/>
      <c r="BI2085" s="275"/>
      <c r="BJ2085" s="52"/>
      <c r="BK2085" s="35"/>
      <c r="BL2085" s="79"/>
      <c r="BM2085" s="230"/>
      <c r="BN2085" s="211"/>
      <c r="BO2085" s="164"/>
      <c r="BP2085" s="76"/>
      <c r="BQ2085" s="44"/>
      <c r="BR2085" s="299"/>
      <c r="BS2085" s="52"/>
      <c r="BT2085" s="35"/>
      <c r="BU2085" s="79"/>
      <c r="BV2085" s="212"/>
      <c r="BW2085" s="304"/>
      <c r="BX2085" s="313"/>
      <c r="BY2085" s="138"/>
    </row>
    <row r="2086" spans="1:77" ht="15" customHeight="1" outlineLevel="1" x14ac:dyDescent="0.2">
      <c r="A2086" s="583" t="s">
        <v>37</v>
      </c>
      <c r="B2086" s="583"/>
      <c r="C2086" s="162" t="s">
        <v>1256</v>
      </c>
      <c r="D2086" s="812">
        <v>20.914999999999999</v>
      </c>
      <c r="E2086" s="162" t="s">
        <v>631</v>
      </c>
      <c r="F2086" s="729"/>
      <c r="G2086" s="730"/>
      <c r="H2086" s="73"/>
      <c r="I2086" s="90">
        <v>2008</v>
      </c>
      <c r="J2086" s="73"/>
      <c r="K2086" s="734">
        <v>7.0420999999999997E-2</v>
      </c>
      <c r="L2086" s="717"/>
      <c r="M2086" s="73"/>
      <c r="N2086" s="811"/>
      <c r="O2086" s="1041"/>
      <c r="P2086" s="73"/>
      <c r="Q2086" s="811"/>
      <c r="R2086" s="1041"/>
      <c r="S2086" s="73"/>
      <c r="T2086" s="811"/>
      <c r="U2086" s="73"/>
      <c r="V2086" s="66"/>
      <c r="W2086" s="594">
        <f t="shared" si="1888"/>
        <v>5.0703119999999994E-5</v>
      </c>
      <c r="X2086" s="595">
        <f t="shared" si="1889"/>
        <v>5.0703119999999994E-5</v>
      </c>
      <c r="Y2086" s="52">
        <v>2008</v>
      </c>
      <c r="Z2086" s="52"/>
      <c r="AA2086" s="739">
        <f>+K2086/1000</f>
        <v>7.0420999999999995E-5</v>
      </c>
      <c r="AB2086" s="256">
        <v>-0.28000000000000003</v>
      </c>
      <c r="AC2086" s="688">
        <f t="shared" si="1890"/>
        <v>-0.28000000000000003</v>
      </c>
      <c r="AD2086" s="164"/>
      <c r="AE2086" s="164"/>
      <c r="AF2086" s="25"/>
      <c r="AG2086" s="26"/>
      <c r="AH2086" s="275"/>
      <c r="AI2086" s="52"/>
      <c r="AJ2086" s="35"/>
      <c r="AK2086" s="289"/>
      <c r="AL2086" s="290"/>
      <c r="AM2086" s="211"/>
      <c r="AN2086" s="164"/>
      <c r="AO2086" s="76"/>
      <c r="AP2086" s="44"/>
      <c r="AQ2086" s="275"/>
      <c r="AR2086" s="52"/>
      <c r="AS2086" s="35"/>
      <c r="AT2086" s="79"/>
      <c r="AU2086" s="212"/>
      <c r="AV2086" s="164"/>
      <c r="AW2086" s="164"/>
      <c r="AX2086" s="76"/>
      <c r="AY2086" s="44"/>
      <c r="AZ2086" s="275"/>
      <c r="BA2086" s="52"/>
      <c r="BB2086" s="35"/>
      <c r="BC2086" s="79"/>
      <c r="BD2086" s="230"/>
      <c r="BE2086" s="211"/>
      <c r="BF2086" s="164"/>
      <c r="BG2086" s="76"/>
      <c r="BH2086" s="44"/>
      <c r="BI2086" s="275"/>
      <c r="BJ2086" s="52"/>
      <c r="BK2086" s="35"/>
      <c r="BL2086" s="79"/>
      <c r="BM2086" s="230"/>
      <c r="BN2086" s="211"/>
      <c r="BO2086" s="164"/>
      <c r="BP2086" s="76"/>
      <c r="BQ2086" s="44"/>
      <c r="BR2086" s="299"/>
      <c r="BS2086" s="52"/>
      <c r="BT2086" s="35"/>
      <c r="BU2086" s="79"/>
      <c r="BV2086" s="212"/>
      <c r="BW2086" s="304"/>
      <c r="BX2086" s="313"/>
      <c r="BY2086" s="138"/>
    </row>
    <row r="2087" spans="1:77" ht="15" customHeight="1" outlineLevel="1" x14ac:dyDescent="0.2">
      <c r="A2087" s="583" t="s">
        <v>37</v>
      </c>
      <c r="B2087" s="583"/>
      <c r="C2087" s="162" t="s">
        <v>1159</v>
      </c>
      <c r="D2087" s="812">
        <v>1.696</v>
      </c>
      <c r="E2087" s="162" t="s">
        <v>631</v>
      </c>
      <c r="F2087" s="729"/>
      <c r="G2087" s="730"/>
      <c r="H2087" s="73"/>
      <c r="I2087" s="90">
        <v>2007</v>
      </c>
      <c r="J2087" s="73"/>
      <c r="K2087" s="734">
        <v>8.7410000000000005E-3</v>
      </c>
      <c r="L2087" s="717"/>
      <c r="M2087" s="73"/>
      <c r="N2087" s="811"/>
      <c r="O2087" s="1041"/>
      <c r="P2087" s="73"/>
      <c r="Q2087" s="811"/>
      <c r="R2087" s="1041"/>
      <c r="S2087" s="73"/>
      <c r="T2087" s="811"/>
      <c r="U2087" s="73"/>
      <c r="V2087" s="66"/>
      <c r="W2087" s="788">
        <f t="shared" si="1888"/>
        <v>4.7201400000000002E-6</v>
      </c>
      <c r="X2087" s="789">
        <f t="shared" si="1889"/>
        <v>4.7201400000000002E-6</v>
      </c>
      <c r="Y2087" s="52">
        <v>2007</v>
      </c>
      <c r="Z2087" s="52"/>
      <c r="AA2087" s="787">
        <f>+K2087/1000</f>
        <v>8.7409999999999998E-6</v>
      </c>
      <c r="AB2087" s="256">
        <v>-0.46</v>
      </c>
      <c r="AC2087" s="688">
        <f t="shared" si="1890"/>
        <v>-0.46</v>
      </c>
      <c r="AD2087" s="164"/>
      <c r="AE2087" s="164"/>
      <c r="AF2087" s="25"/>
      <c r="AG2087" s="26"/>
      <c r="AH2087" s="275"/>
      <c r="AI2087" s="52"/>
      <c r="AJ2087" s="35"/>
      <c r="AK2087" s="289"/>
      <c r="AL2087" s="290"/>
      <c r="AM2087" s="211"/>
      <c r="AN2087" s="164"/>
      <c r="AO2087" s="76"/>
      <c r="AP2087" s="44"/>
      <c r="AQ2087" s="275"/>
      <c r="AR2087" s="52"/>
      <c r="AS2087" s="35"/>
      <c r="AT2087" s="79"/>
      <c r="AU2087" s="212"/>
      <c r="AV2087" s="164"/>
      <c r="AW2087" s="164"/>
      <c r="AX2087" s="76"/>
      <c r="AY2087" s="44"/>
      <c r="AZ2087" s="275"/>
      <c r="BA2087" s="52"/>
      <c r="BB2087" s="35"/>
      <c r="BC2087" s="79"/>
      <c r="BD2087" s="230"/>
      <c r="BE2087" s="211"/>
      <c r="BF2087" s="164"/>
      <c r="BG2087" s="76"/>
      <c r="BH2087" s="44"/>
      <c r="BI2087" s="275"/>
      <c r="BJ2087" s="52"/>
      <c r="BK2087" s="35"/>
      <c r="BL2087" s="79"/>
      <c r="BM2087" s="230"/>
      <c r="BN2087" s="211"/>
      <c r="BO2087" s="164"/>
      <c r="BP2087" s="76"/>
      <c r="BQ2087" s="44"/>
      <c r="BR2087" s="299"/>
      <c r="BS2087" s="52"/>
      <c r="BT2087" s="35"/>
      <c r="BU2087" s="79"/>
      <c r="BV2087" s="212"/>
      <c r="BW2087" s="304"/>
      <c r="BX2087" s="313"/>
      <c r="BY2087" s="138"/>
    </row>
    <row r="2088" spans="1:77" ht="15" customHeight="1" outlineLevel="1" x14ac:dyDescent="0.2">
      <c r="A2088" s="583" t="s">
        <v>37</v>
      </c>
      <c r="B2088" s="583"/>
      <c r="C2088" s="162" t="s">
        <v>1219</v>
      </c>
      <c r="D2088" s="806">
        <v>0.27</v>
      </c>
      <c r="E2088" s="162" t="s">
        <v>631</v>
      </c>
      <c r="F2088" s="729"/>
      <c r="G2088" s="730"/>
      <c r="H2088" s="73"/>
      <c r="I2088" s="90"/>
      <c r="J2088" s="73"/>
      <c r="K2088" s="734"/>
      <c r="L2088" s="717"/>
      <c r="M2088" s="73"/>
      <c r="N2088" s="817">
        <v>5.3779000000000001E-4</v>
      </c>
      <c r="O2088" s="1041"/>
      <c r="P2088" s="73"/>
      <c r="Q2088" s="817"/>
      <c r="R2088" s="1041"/>
      <c r="S2088" s="73"/>
      <c r="T2088" s="817"/>
      <c r="U2088" s="73"/>
      <c r="V2088" s="66"/>
      <c r="W2088" s="808">
        <f t="shared" si="1888"/>
        <v>3.9258669999999999E-7</v>
      </c>
      <c r="X2088" s="809">
        <f t="shared" si="1889"/>
        <v>3.9258669999999999E-7</v>
      </c>
      <c r="Y2088" s="52">
        <v>2010</v>
      </c>
      <c r="Z2088" s="52"/>
      <c r="AA2088" s="787">
        <f>+N2088/1000</f>
        <v>5.3779E-7</v>
      </c>
      <c r="AB2088" s="256">
        <v>-0.27</v>
      </c>
      <c r="AC2088" s="688">
        <f t="shared" si="1890"/>
        <v>-0.27</v>
      </c>
      <c r="AD2088" s="164"/>
      <c r="AE2088" s="164"/>
      <c r="AF2088" s="25"/>
      <c r="AG2088" s="26"/>
      <c r="AH2088" s="275"/>
      <c r="AI2088" s="52"/>
      <c r="AJ2088" s="35"/>
      <c r="AK2088" s="289"/>
      <c r="AL2088" s="290"/>
      <c r="AM2088" s="211"/>
      <c r="AN2088" s="164"/>
      <c r="AO2088" s="76"/>
      <c r="AP2088" s="44"/>
      <c r="AQ2088" s="275"/>
      <c r="AR2088" s="52"/>
      <c r="AS2088" s="35"/>
      <c r="AT2088" s="79"/>
      <c r="AU2088" s="212"/>
      <c r="AV2088" s="164"/>
      <c r="AW2088" s="164"/>
      <c r="AX2088" s="76"/>
      <c r="AY2088" s="44"/>
      <c r="AZ2088" s="275"/>
      <c r="BA2088" s="52"/>
      <c r="BB2088" s="35"/>
      <c r="BC2088" s="79"/>
      <c r="BD2088" s="230"/>
      <c r="BE2088" s="211"/>
      <c r="BF2088" s="164"/>
      <c r="BG2088" s="76"/>
      <c r="BH2088" s="44"/>
      <c r="BI2088" s="275"/>
      <c r="BJ2088" s="52"/>
      <c r="BK2088" s="35"/>
      <c r="BL2088" s="79"/>
      <c r="BM2088" s="230"/>
      <c r="BN2088" s="211"/>
      <c r="BO2088" s="164"/>
      <c r="BP2088" s="76"/>
      <c r="BQ2088" s="44"/>
      <c r="BR2088" s="299"/>
      <c r="BS2088" s="52"/>
      <c r="BT2088" s="35"/>
      <c r="BU2088" s="79"/>
      <c r="BV2088" s="212"/>
      <c r="BW2088" s="304"/>
      <c r="BX2088" s="313"/>
      <c r="BY2088" s="138"/>
    </row>
    <row r="2089" spans="1:77" ht="15" customHeight="1" outlineLevel="1" x14ac:dyDescent="0.2">
      <c r="A2089" s="583" t="s">
        <v>37</v>
      </c>
      <c r="B2089" s="583"/>
      <c r="C2089" s="162" t="s">
        <v>1220</v>
      </c>
      <c r="D2089" s="812">
        <v>0.82399999999999995</v>
      </c>
      <c r="E2089" s="162" t="s">
        <v>631</v>
      </c>
      <c r="F2089" s="729"/>
      <c r="G2089" s="730"/>
      <c r="H2089" s="73"/>
      <c r="I2089" s="90"/>
      <c r="J2089" s="73"/>
      <c r="K2089" s="734"/>
      <c r="L2089" s="717"/>
      <c r="M2089" s="73"/>
      <c r="N2089" s="817">
        <v>1.6570000000000001E-3</v>
      </c>
      <c r="O2089" s="1041"/>
      <c r="P2089" s="73"/>
      <c r="Q2089" s="817"/>
      <c r="R2089" s="1041"/>
      <c r="S2089" s="73"/>
      <c r="T2089" s="817"/>
      <c r="U2089" s="73"/>
      <c r="V2089" s="66"/>
      <c r="W2089" s="788">
        <f t="shared" si="1888"/>
        <v>1.2427500000000001E-6</v>
      </c>
      <c r="X2089" s="789">
        <f t="shared" si="1889"/>
        <v>1.2427500000000001E-6</v>
      </c>
      <c r="Y2089" s="52">
        <v>2010</v>
      </c>
      <c r="Z2089" s="52"/>
      <c r="AA2089" s="787">
        <f>+N2089/1000</f>
        <v>1.657E-6</v>
      </c>
      <c r="AB2089" s="256">
        <v>-0.25</v>
      </c>
      <c r="AC2089" s="688">
        <f t="shared" si="1890"/>
        <v>-0.25</v>
      </c>
      <c r="AD2089" s="164"/>
      <c r="AE2089" s="164"/>
      <c r="AF2089" s="25"/>
      <c r="AG2089" s="26"/>
      <c r="AH2089" s="275"/>
      <c r="AI2089" s="52"/>
      <c r="AJ2089" s="35"/>
      <c r="AK2089" s="289"/>
      <c r="AL2089" s="290"/>
      <c r="AM2089" s="211"/>
      <c r="AN2089" s="164"/>
      <c r="AO2089" s="76"/>
      <c r="AP2089" s="44"/>
      <c r="AQ2089" s="275"/>
      <c r="AR2089" s="52"/>
      <c r="AS2089" s="35"/>
      <c r="AT2089" s="79"/>
      <c r="AU2089" s="212"/>
      <c r="AV2089" s="164"/>
      <c r="AW2089" s="164"/>
      <c r="AX2089" s="76"/>
      <c r="AY2089" s="44"/>
      <c r="AZ2089" s="275"/>
      <c r="BA2089" s="52"/>
      <c r="BB2089" s="35"/>
      <c r="BC2089" s="79"/>
      <c r="BD2089" s="230"/>
      <c r="BE2089" s="211"/>
      <c r="BF2089" s="164"/>
      <c r="BG2089" s="76"/>
      <c r="BH2089" s="44"/>
      <c r="BI2089" s="275"/>
      <c r="BJ2089" s="52"/>
      <c r="BK2089" s="35"/>
      <c r="BL2089" s="79"/>
      <c r="BM2089" s="230"/>
      <c r="BN2089" s="211"/>
      <c r="BO2089" s="164"/>
      <c r="BP2089" s="76"/>
      <c r="BQ2089" s="44"/>
      <c r="BR2089" s="299"/>
      <c r="BS2089" s="52"/>
      <c r="BT2089" s="35"/>
      <c r="BU2089" s="79"/>
      <c r="BV2089" s="212"/>
      <c r="BW2089" s="304"/>
      <c r="BX2089" s="313"/>
      <c r="BY2089" s="138"/>
    </row>
    <row r="2090" spans="1:77" ht="15" customHeight="1" outlineLevel="1" x14ac:dyDescent="0.2">
      <c r="A2090" s="583" t="s">
        <v>37</v>
      </c>
      <c r="B2090" s="583"/>
      <c r="C2090" s="162" t="s">
        <v>1263</v>
      </c>
      <c r="D2090" s="812">
        <v>1.8480000000000001</v>
      </c>
      <c r="E2090" s="162" t="s">
        <v>631</v>
      </c>
      <c r="F2090" s="729"/>
      <c r="G2090" s="730"/>
      <c r="H2090" s="73"/>
      <c r="I2090" s="90">
        <v>2007</v>
      </c>
      <c r="J2090" s="73"/>
      <c r="K2090" s="790">
        <v>9.1219999999999999E-3</v>
      </c>
      <c r="L2090" s="717"/>
      <c r="M2090" s="73"/>
      <c r="N2090" s="811"/>
      <c r="O2090" s="1041"/>
      <c r="P2090" s="73"/>
      <c r="Q2090" s="811"/>
      <c r="R2090" s="1041"/>
      <c r="S2090" s="73"/>
      <c r="T2090" s="811"/>
      <c r="U2090" s="73"/>
      <c r="V2090" s="66"/>
      <c r="W2090" s="788">
        <f t="shared" si="1888"/>
        <v>6.7502799999999999E-6</v>
      </c>
      <c r="X2090" s="789">
        <f t="shared" si="1889"/>
        <v>6.7502799999999999E-6</v>
      </c>
      <c r="Y2090" s="52">
        <v>2007</v>
      </c>
      <c r="Z2090" s="52"/>
      <c r="AA2090" s="787">
        <f t="shared" ref="AA2090:AA2102" si="1895">+K2090/1000</f>
        <v>9.1220000000000001E-6</v>
      </c>
      <c r="AB2090" s="256">
        <v>-0.26</v>
      </c>
      <c r="AC2090" s="688">
        <f t="shared" si="1890"/>
        <v>-0.26</v>
      </c>
      <c r="AD2090" s="164"/>
      <c r="AE2090" s="164"/>
      <c r="AF2090" s="25"/>
      <c r="AG2090" s="26"/>
      <c r="AH2090" s="275"/>
      <c r="AI2090" s="52"/>
      <c r="AJ2090" s="35"/>
      <c r="AK2090" s="289"/>
      <c r="AL2090" s="290"/>
      <c r="AM2090" s="211"/>
      <c r="AN2090" s="164"/>
      <c r="AO2090" s="76"/>
      <c r="AP2090" s="44"/>
      <c r="AQ2090" s="275"/>
      <c r="AR2090" s="52"/>
      <c r="AS2090" s="35"/>
      <c r="AT2090" s="79"/>
      <c r="AU2090" s="212"/>
      <c r="AV2090" s="164"/>
      <c r="AW2090" s="164"/>
      <c r="AX2090" s="76"/>
      <c r="AY2090" s="44"/>
      <c r="AZ2090" s="275"/>
      <c r="BA2090" s="52"/>
      <c r="BB2090" s="35"/>
      <c r="BC2090" s="79"/>
      <c r="BD2090" s="230"/>
      <c r="BE2090" s="211"/>
      <c r="BF2090" s="164"/>
      <c r="BG2090" s="76"/>
      <c r="BH2090" s="44"/>
      <c r="BI2090" s="275"/>
      <c r="BJ2090" s="52"/>
      <c r="BK2090" s="35"/>
      <c r="BL2090" s="79"/>
      <c r="BM2090" s="230"/>
      <c r="BN2090" s="211"/>
      <c r="BO2090" s="164"/>
      <c r="BP2090" s="76"/>
      <c r="BQ2090" s="44"/>
      <c r="BR2090" s="299"/>
      <c r="BS2090" s="52"/>
      <c r="BT2090" s="35"/>
      <c r="BU2090" s="79"/>
      <c r="BV2090" s="212"/>
      <c r="BW2090" s="304"/>
      <c r="BX2090" s="313"/>
      <c r="BY2090" s="138"/>
    </row>
    <row r="2091" spans="1:77" ht="15" customHeight="1" outlineLevel="1" x14ac:dyDescent="0.2">
      <c r="A2091" s="583" t="s">
        <v>37</v>
      </c>
      <c r="B2091" s="583"/>
      <c r="C2091" s="162" t="s">
        <v>1024</v>
      </c>
      <c r="D2091" s="812">
        <v>10.121</v>
      </c>
      <c r="E2091" s="162" t="s">
        <v>631</v>
      </c>
      <c r="F2091" s="729"/>
      <c r="G2091" s="730"/>
      <c r="H2091" s="73"/>
      <c r="I2091" s="90">
        <v>2006</v>
      </c>
      <c r="J2091" s="73"/>
      <c r="K2091" s="734">
        <v>3.2441999999999999E-2</v>
      </c>
      <c r="L2091" s="717"/>
      <c r="M2091" s="73"/>
      <c r="N2091" s="811"/>
      <c r="O2091" s="1041"/>
      <c r="P2091" s="73"/>
      <c r="Q2091" s="811"/>
      <c r="R2091" s="1041"/>
      <c r="S2091" s="73"/>
      <c r="T2091" s="811"/>
      <c r="U2091" s="73"/>
      <c r="V2091" s="66"/>
      <c r="W2091" s="740">
        <f t="shared" si="1888"/>
        <v>2.4007079999999998E-5</v>
      </c>
      <c r="X2091" s="741">
        <f t="shared" si="1889"/>
        <v>2.4007079999999998E-5</v>
      </c>
      <c r="Y2091" s="52">
        <v>2006</v>
      </c>
      <c r="Z2091" s="52"/>
      <c r="AA2091" s="739">
        <f t="shared" si="1895"/>
        <v>3.2441999999999999E-5</v>
      </c>
      <c r="AB2091" s="256">
        <v>-0.26</v>
      </c>
      <c r="AC2091" s="688">
        <f t="shared" si="1890"/>
        <v>-0.26</v>
      </c>
      <c r="AD2091" s="164"/>
      <c r="AE2091" s="164"/>
      <c r="AF2091" s="25"/>
      <c r="AG2091" s="26"/>
      <c r="AH2091" s="275"/>
      <c r="AI2091" s="52"/>
      <c r="AJ2091" s="35"/>
      <c r="AK2091" s="289"/>
      <c r="AL2091" s="290"/>
      <c r="AM2091" s="211"/>
      <c r="AN2091" s="164"/>
      <c r="AO2091" s="76"/>
      <c r="AP2091" s="44"/>
      <c r="AQ2091" s="275"/>
      <c r="AR2091" s="52"/>
      <c r="AS2091" s="35"/>
      <c r="AT2091" s="79"/>
      <c r="AU2091" s="212"/>
      <c r="AV2091" s="164"/>
      <c r="AW2091" s="164"/>
      <c r="AX2091" s="76"/>
      <c r="AY2091" s="44"/>
      <c r="AZ2091" s="275"/>
      <c r="BA2091" s="52"/>
      <c r="BB2091" s="35"/>
      <c r="BC2091" s="79"/>
      <c r="BD2091" s="230"/>
      <c r="BE2091" s="211"/>
      <c r="BF2091" s="164"/>
      <c r="BG2091" s="76"/>
      <c r="BH2091" s="44"/>
      <c r="BI2091" s="275"/>
      <c r="BJ2091" s="52"/>
      <c r="BK2091" s="35"/>
      <c r="BL2091" s="79"/>
      <c r="BM2091" s="230"/>
      <c r="BN2091" s="211"/>
      <c r="BO2091" s="164"/>
      <c r="BP2091" s="76"/>
      <c r="BQ2091" s="44"/>
      <c r="BR2091" s="299"/>
      <c r="BS2091" s="52"/>
      <c r="BT2091" s="35"/>
      <c r="BU2091" s="79"/>
      <c r="BV2091" s="212"/>
      <c r="BW2091" s="304"/>
      <c r="BX2091" s="313"/>
      <c r="BY2091" s="138"/>
    </row>
    <row r="2092" spans="1:77" ht="15" customHeight="1" outlineLevel="1" x14ac:dyDescent="0.2">
      <c r="A2092" s="583" t="s">
        <v>37</v>
      </c>
      <c r="B2092" s="583"/>
      <c r="C2092" s="162" t="s">
        <v>1153</v>
      </c>
      <c r="D2092" s="812">
        <v>38.768999999999998</v>
      </c>
      <c r="E2092" s="162" t="s">
        <v>631</v>
      </c>
      <c r="F2092" s="729"/>
      <c r="G2092" s="730"/>
      <c r="H2092" s="73"/>
      <c r="I2092" s="90">
        <v>2007</v>
      </c>
      <c r="J2092" s="73"/>
      <c r="K2092" s="66">
        <v>0.22285099999999999</v>
      </c>
      <c r="L2092" s="717"/>
      <c r="M2092" s="73"/>
      <c r="N2092" s="811"/>
      <c r="O2092" s="1041"/>
      <c r="P2092" s="73"/>
      <c r="Q2092" s="811"/>
      <c r="R2092" s="1041"/>
      <c r="S2092" s="73"/>
      <c r="T2092" s="811"/>
      <c r="U2092" s="73"/>
      <c r="V2092" s="66"/>
      <c r="W2092" s="594">
        <f t="shared" si="1888"/>
        <v>1.4485314999999999E-4</v>
      </c>
      <c r="X2092" s="595">
        <f t="shared" si="1889"/>
        <v>1.4485314999999999E-4</v>
      </c>
      <c r="Y2092" s="52">
        <v>2007</v>
      </c>
      <c r="Z2092" s="52"/>
      <c r="AA2092" s="596">
        <f t="shared" si="1895"/>
        <v>2.2285099999999998E-4</v>
      </c>
      <c r="AB2092" s="256">
        <v>-0.35</v>
      </c>
      <c r="AC2092" s="688">
        <f t="shared" si="1890"/>
        <v>-0.35</v>
      </c>
      <c r="AD2092" s="164"/>
      <c r="AE2092" s="164"/>
      <c r="AF2092" s="25"/>
      <c r="AG2092" s="26"/>
      <c r="AH2092" s="275"/>
      <c r="AI2092" s="52"/>
      <c r="AJ2092" s="35"/>
      <c r="AK2092" s="289"/>
      <c r="AL2092" s="290"/>
      <c r="AM2092" s="211"/>
      <c r="AN2092" s="164"/>
      <c r="AO2092" s="76"/>
      <c r="AP2092" s="44"/>
      <c r="AQ2092" s="275"/>
      <c r="AR2092" s="52"/>
      <c r="AS2092" s="35"/>
      <c r="AT2092" s="79"/>
      <c r="AU2092" s="212"/>
      <c r="AV2092" s="164"/>
      <c r="AW2092" s="164"/>
      <c r="AX2092" s="76"/>
      <c r="AY2092" s="44"/>
      <c r="AZ2092" s="275"/>
      <c r="BA2092" s="52"/>
      <c r="BB2092" s="35"/>
      <c r="BC2092" s="79"/>
      <c r="BD2092" s="230"/>
      <c r="BE2092" s="211"/>
      <c r="BF2092" s="164"/>
      <c r="BG2092" s="76"/>
      <c r="BH2092" s="44"/>
      <c r="BI2092" s="275"/>
      <c r="BJ2092" s="52"/>
      <c r="BK2092" s="35"/>
      <c r="BL2092" s="79"/>
      <c r="BM2092" s="230"/>
      <c r="BN2092" s="211"/>
      <c r="BO2092" s="164"/>
      <c r="BP2092" s="76"/>
      <c r="BQ2092" s="44"/>
      <c r="BR2092" s="299"/>
      <c r="BS2092" s="52"/>
      <c r="BT2092" s="35"/>
      <c r="BU2092" s="79"/>
      <c r="BV2092" s="212"/>
      <c r="BW2092" s="304"/>
      <c r="BX2092" s="313"/>
      <c r="BY2092" s="138"/>
    </row>
    <row r="2093" spans="1:77" ht="15" customHeight="1" outlineLevel="1" x14ac:dyDescent="0.2">
      <c r="A2093" s="583" t="s">
        <v>37</v>
      </c>
      <c r="B2093" s="583"/>
      <c r="C2093" s="162" t="s">
        <v>1092</v>
      </c>
      <c r="D2093" s="812">
        <v>3.9039999999999999</v>
      </c>
      <c r="E2093" s="162" t="s">
        <v>631</v>
      </c>
      <c r="F2093" s="729"/>
      <c r="G2093" s="730"/>
      <c r="H2093" s="73"/>
      <c r="I2093" s="90">
        <v>2007</v>
      </c>
      <c r="J2093" s="73"/>
      <c r="K2093" s="734">
        <v>2.0015000000000002E-2</v>
      </c>
      <c r="L2093" s="717"/>
      <c r="M2093" s="73"/>
      <c r="N2093" s="811"/>
      <c r="O2093" s="1041"/>
      <c r="P2093" s="73"/>
      <c r="Q2093" s="811"/>
      <c r="R2093" s="1041"/>
      <c r="S2093" s="73"/>
      <c r="T2093" s="811"/>
      <c r="U2093" s="73"/>
      <c r="V2093" s="66"/>
      <c r="W2093" s="788">
        <f t="shared" si="1888"/>
        <v>1.4610949999999999E-5</v>
      </c>
      <c r="X2093" s="789">
        <f t="shared" si="1889"/>
        <v>1.4610949999999999E-5</v>
      </c>
      <c r="Y2093" s="52">
        <v>2007</v>
      </c>
      <c r="Z2093" s="52"/>
      <c r="AA2093" s="787">
        <f t="shared" si="1895"/>
        <v>2.0015000000000001E-5</v>
      </c>
      <c r="AB2093" s="256">
        <v>-0.27</v>
      </c>
      <c r="AC2093" s="688">
        <f t="shared" si="1890"/>
        <v>-0.27</v>
      </c>
      <c r="AD2093" s="164"/>
      <c r="AE2093" s="164"/>
      <c r="AF2093" s="25"/>
      <c r="AG2093" s="26"/>
      <c r="AH2093" s="275"/>
      <c r="AI2093" s="52"/>
      <c r="AJ2093" s="35"/>
      <c r="AK2093" s="289"/>
      <c r="AL2093" s="290"/>
      <c r="AM2093" s="211"/>
      <c r="AN2093" s="164"/>
      <c r="AO2093" s="76"/>
      <c r="AP2093" s="44"/>
      <c r="AQ2093" s="275"/>
      <c r="AR2093" s="52"/>
      <c r="AS2093" s="35"/>
      <c r="AT2093" s="79"/>
      <c r="AU2093" s="212"/>
      <c r="AV2093" s="164"/>
      <c r="AW2093" s="164"/>
      <c r="AX2093" s="76"/>
      <c r="AY2093" s="44"/>
      <c r="AZ2093" s="275"/>
      <c r="BA2093" s="52"/>
      <c r="BB2093" s="35"/>
      <c r="BC2093" s="79"/>
      <c r="BD2093" s="230"/>
      <c r="BE2093" s="211"/>
      <c r="BF2093" s="164"/>
      <c r="BG2093" s="76"/>
      <c r="BH2093" s="44"/>
      <c r="BI2093" s="275"/>
      <c r="BJ2093" s="52"/>
      <c r="BK2093" s="35"/>
      <c r="BL2093" s="79"/>
      <c r="BM2093" s="230"/>
      <c r="BN2093" s="211"/>
      <c r="BO2093" s="164"/>
      <c r="BP2093" s="76"/>
      <c r="BQ2093" s="44"/>
      <c r="BR2093" s="299"/>
      <c r="BS2093" s="52"/>
      <c r="BT2093" s="35"/>
      <c r="BU2093" s="79"/>
      <c r="BV2093" s="212"/>
      <c r="BW2093" s="304"/>
      <c r="BX2093" s="313"/>
      <c r="BY2093" s="138"/>
    </row>
    <row r="2094" spans="1:77" ht="15" customHeight="1" outlineLevel="1" x14ac:dyDescent="0.2">
      <c r="A2094" s="583" t="s">
        <v>37</v>
      </c>
      <c r="B2094" s="583"/>
      <c r="C2094" s="162" t="s">
        <v>1168</v>
      </c>
      <c r="D2094" s="812">
        <v>8.5</v>
      </c>
      <c r="E2094" s="162" t="s">
        <v>631</v>
      </c>
      <c r="F2094" s="729"/>
      <c r="G2094" s="730"/>
      <c r="H2094" s="73"/>
      <c r="I2094" s="90">
        <v>2007</v>
      </c>
      <c r="J2094" s="73"/>
      <c r="K2094" s="734">
        <v>5.6559999999999999E-2</v>
      </c>
      <c r="L2094" s="717"/>
      <c r="M2094" s="73"/>
      <c r="N2094" s="811"/>
      <c r="O2094" s="1041"/>
      <c r="P2094" s="73"/>
      <c r="Q2094" s="811"/>
      <c r="R2094" s="1041"/>
      <c r="S2094" s="73"/>
      <c r="T2094" s="811"/>
      <c r="U2094" s="73"/>
      <c r="V2094" s="66"/>
      <c r="W2094" s="740">
        <f t="shared" si="1888"/>
        <v>4.1288799999999997E-5</v>
      </c>
      <c r="X2094" s="741">
        <f t="shared" si="1889"/>
        <v>4.1288799999999997E-5</v>
      </c>
      <c r="Y2094" s="52">
        <v>2007</v>
      </c>
      <c r="Z2094" s="52"/>
      <c r="AA2094" s="739">
        <f t="shared" si="1895"/>
        <v>5.6560000000000001E-5</v>
      </c>
      <c r="AB2094" s="256">
        <v>-0.27</v>
      </c>
      <c r="AC2094" s="688">
        <f t="shared" si="1890"/>
        <v>-0.27</v>
      </c>
      <c r="AD2094" s="164"/>
      <c r="AE2094" s="164"/>
      <c r="AF2094" s="25"/>
      <c r="AG2094" s="26"/>
      <c r="AH2094" s="275"/>
      <c r="AI2094" s="52"/>
      <c r="AJ2094" s="35"/>
      <c r="AK2094" s="289"/>
      <c r="AL2094" s="290"/>
      <c r="AM2094" s="211"/>
      <c r="AN2094" s="164"/>
      <c r="AO2094" s="76"/>
      <c r="AP2094" s="44"/>
      <c r="AQ2094" s="275"/>
      <c r="AR2094" s="52"/>
      <c r="AS2094" s="35"/>
      <c r="AT2094" s="79"/>
      <c r="AU2094" s="212"/>
      <c r="AV2094" s="164"/>
      <c r="AW2094" s="164"/>
      <c r="AX2094" s="76"/>
      <c r="AY2094" s="44"/>
      <c r="AZ2094" s="275"/>
      <c r="BA2094" s="52"/>
      <c r="BB2094" s="35"/>
      <c r="BC2094" s="79"/>
      <c r="BD2094" s="230"/>
      <c r="BE2094" s="211"/>
      <c r="BF2094" s="164"/>
      <c r="BG2094" s="76"/>
      <c r="BH2094" s="44"/>
      <c r="BI2094" s="275"/>
      <c r="BJ2094" s="52"/>
      <c r="BK2094" s="35"/>
      <c r="BL2094" s="79"/>
      <c r="BM2094" s="230"/>
      <c r="BN2094" s="211"/>
      <c r="BO2094" s="164"/>
      <c r="BP2094" s="76"/>
      <c r="BQ2094" s="44"/>
      <c r="BR2094" s="299"/>
      <c r="BS2094" s="52"/>
      <c r="BT2094" s="35"/>
      <c r="BU2094" s="79"/>
      <c r="BV2094" s="212"/>
      <c r="BW2094" s="304"/>
      <c r="BX2094" s="313"/>
      <c r="BY2094" s="138"/>
    </row>
    <row r="2095" spans="1:77" ht="15" customHeight="1" outlineLevel="1" x14ac:dyDescent="0.2">
      <c r="A2095" s="583" t="s">
        <v>37</v>
      </c>
      <c r="B2095" s="583"/>
      <c r="C2095" s="162" t="s">
        <v>1135</v>
      </c>
      <c r="D2095" s="812">
        <v>29.905000000000001</v>
      </c>
      <c r="E2095" s="162" t="s">
        <v>631</v>
      </c>
      <c r="F2095" s="729"/>
      <c r="G2095" s="730"/>
      <c r="H2095" s="73"/>
      <c r="I2095" s="90">
        <v>2007</v>
      </c>
      <c r="J2095" s="73"/>
      <c r="K2095" s="66">
        <v>0.128971</v>
      </c>
      <c r="L2095" s="717"/>
      <c r="M2095" s="73"/>
      <c r="N2095" s="811"/>
      <c r="O2095" s="1041"/>
      <c r="P2095" s="73"/>
      <c r="Q2095" s="811"/>
      <c r="R2095" s="1041"/>
      <c r="S2095" s="73"/>
      <c r="T2095" s="811"/>
      <c r="U2095" s="73"/>
      <c r="V2095" s="66"/>
      <c r="W2095" s="740">
        <f t="shared" si="1888"/>
        <v>8.8989989999999986E-5</v>
      </c>
      <c r="X2095" s="741">
        <f t="shared" si="1889"/>
        <v>8.8989989999999986E-5</v>
      </c>
      <c r="Y2095" s="52">
        <v>2007</v>
      </c>
      <c r="Z2095" s="52"/>
      <c r="AA2095" s="596">
        <f t="shared" si="1895"/>
        <v>1.28971E-4</v>
      </c>
      <c r="AB2095" s="256">
        <v>-0.31</v>
      </c>
      <c r="AC2095" s="688">
        <f t="shared" si="1890"/>
        <v>-0.31</v>
      </c>
      <c r="AD2095" s="164"/>
      <c r="AE2095" s="164"/>
      <c r="AF2095" s="25"/>
      <c r="AG2095" s="26"/>
      <c r="AH2095" s="275"/>
      <c r="AI2095" s="52"/>
      <c r="AJ2095" s="35"/>
      <c r="AK2095" s="289"/>
      <c r="AL2095" s="290"/>
      <c r="AM2095" s="211"/>
      <c r="AN2095" s="164"/>
      <c r="AO2095" s="76"/>
      <c r="AP2095" s="44"/>
      <c r="AQ2095" s="275"/>
      <c r="AR2095" s="52"/>
      <c r="AS2095" s="35"/>
      <c r="AT2095" s="79"/>
      <c r="AU2095" s="212"/>
      <c r="AV2095" s="164"/>
      <c r="AW2095" s="164"/>
      <c r="AX2095" s="76"/>
      <c r="AY2095" s="44"/>
      <c r="AZ2095" s="275"/>
      <c r="BA2095" s="52"/>
      <c r="BB2095" s="35"/>
      <c r="BC2095" s="79"/>
      <c r="BD2095" s="230"/>
      <c r="BE2095" s="211"/>
      <c r="BF2095" s="164"/>
      <c r="BG2095" s="76"/>
      <c r="BH2095" s="44"/>
      <c r="BI2095" s="275"/>
      <c r="BJ2095" s="52"/>
      <c r="BK2095" s="35"/>
      <c r="BL2095" s="79"/>
      <c r="BM2095" s="230"/>
      <c r="BN2095" s="211"/>
      <c r="BO2095" s="164"/>
      <c r="BP2095" s="76"/>
      <c r="BQ2095" s="44"/>
      <c r="BR2095" s="299"/>
      <c r="BS2095" s="52"/>
      <c r="BT2095" s="35"/>
      <c r="BU2095" s="79"/>
      <c r="BV2095" s="212"/>
      <c r="BW2095" s="304"/>
      <c r="BX2095" s="313"/>
      <c r="BY2095" s="138"/>
    </row>
    <row r="2096" spans="1:77" ht="15" customHeight="1" outlineLevel="1" x14ac:dyDescent="0.2">
      <c r="A2096" s="583" t="s">
        <v>37</v>
      </c>
      <c r="B2096" s="583"/>
      <c r="C2096" s="162" t="s">
        <v>1070</v>
      </c>
      <c r="D2096" s="812">
        <v>1.036</v>
      </c>
      <c r="E2096" s="162" t="s">
        <v>631</v>
      </c>
      <c r="F2096" s="729"/>
      <c r="G2096" s="730"/>
      <c r="H2096" s="73"/>
      <c r="I2096" s="90">
        <v>2006</v>
      </c>
      <c r="J2096" s="73"/>
      <c r="K2096" s="814">
        <v>4.4250000000000001E-3</v>
      </c>
      <c r="L2096" s="717"/>
      <c r="M2096" s="73"/>
      <c r="N2096" s="811"/>
      <c r="O2096" s="1041"/>
      <c r="P2096" s="73"/>
      <c r="Q2096" s="811"/>
      <c r="R2096" s="1041"/>
      <c r="S2096" s="73"/>
      <c r="T2096" s="811"/>
      <c r="U2096" s="73"/>
      <c r="V2096" s="66"/>
      <c r="W2096" s="788">
        <f t="shared" si="1888"/>
        <v>2.69925E-6</v>
      </c>
      <c r="X2096" s="789">
        <f t="shared" si="1889"/>
        <v>2.69925E-6</v>
      </c>
      <c r="Y2096" s="52">
        <v>2006</v>
      </c>
      <c r="Z2096" s="52"/>
      <c r="AA2096" s="787">
        <f t="shared" si="1895"/>
        <v>4.425E-6</v>
      </c>
      <c r="AB2096" s="256">
        <v>-0.39</v>
      </c>
      <c r="AC2096" s="688">
        <f t="shared" si="1890"/>
        <v>-0.39</v>
      </c>
      <c r="AD2096" s="164"/>
      <c r="AE2096" s="164"/>
      <c r="AF2096" s="25"/>
      <c r="AG2096" s="26"/>
      <c r="AH2096" s="275"/>
      <c r="AI2096" s="52"/>
      <c r="AJ2096" s="35"/>
      <c r="AK2096" s="289"/>
      <c r="AL2096" s="290"/>
      <c r="AM2096" s="211"/>
      <c r="AN2096" s="164"/>
      <c r="AO2096" s="76"/>
      <c r="AP2096" s="44"/>
      <c r="AQ2096" s="275"/>
      <c r="AR2096" s="52"/>
      <c r="AS2096" s="35"/>
      <c r="AT2096" s="79"/>
      <c r="AU2096" s="212"/>
      <c r="AV2096" s="164"/>
      <c r="AW2096" s="164"/>
      <c r="AX2096" s="76"/>
      <c r="AY2096" s="44"/>
      <c r="AZ2096" s="275"/>
      <c r="BA2096" s="52"/>
      <c r="BB2096" s="35"/>
      <c r="BC2096" s="79"/>
      <c r="BD2096" s="230"/>
      <c r="BE2096" s="211"/>
      <c r="BF2096" s="164"/>
      <c r="BG2096" s="76"/>
      <c r="BH2096" s="44"/>
      <c r="BI2096" s="275"/>
      <c r="BJ2096" s="52"/>
      <c r="BK2096" s="35"/>
      <c r="BL2096" s="79"/>
      <c r="BM2096" s="230"/>
      <c r="BN2096" s="211"/>
      <c r="BO2096" s="164"/>
      <c r="BP2096" s="76"/>
      <c r="BQ2096" s="44"/>
      <c r="BR2096" s="299"/>
      <c r="BS2096" s="52"/>
      <c r="BT2096" s="35"/>
      <c r="BU2096" s="79"/>
      <c r="BV2096" s="212"/>
      <c r="BW2096" s="304"/>
      <c r="BX2096" s="313"/>
      <c r="BY2096" s="138"/>
    </row>
    <row r="2097" spans="1:77" ht="15" customHeight="1" outlineLevel="1" x14ac:dyDescent="0.2">
      <c r="A2097" s="583" t="s">
        <v>37</v>
      </c>
      <c r="B2097" s="583"/>
      <c r="C2097" s="162" t="s">
        <v>1260</v>
      </c>
      <c r="D2097" s="812">
        <v>7.6120000000000001</v>
      </c>
      <c r="E2097" s="162" t="s">
        <v>631</v>
      </c>
      <c r="F2097" s="729"/>
      <c r="G2097" s="730"/>
      <c r="H2097" s="73"/>
      <c r="I2097" s="90">
        <v>2007</v>
      </c>
      <c r="J2097" s="73"/>
      <c r="K2097" s="734">
        <v>3.6556999999999999E-2</v>
      </c>
      <c r="L2097" s="717"/>
      <c r="M2097" s="73"/>
      <c r="N2097" s="811"/>
      <c r="O2097" s="1041"/>
      <c r="P2097" s="73"/>
      <c r="Q2097" s="811"/>
      <c r="R2097" s="1041"/>
      <c r="S2097" s="73"/>
      <c r="T2097" s="811"/>
      <c r="U2097" s="73"/>
      <c r="V2097" s="66"/>
      <c r="W2097" s="740">
        <f t="shared" si="1888"/>
        <v>2.595547E-5</v>
      </c>
      <c r="X2097" s="741">
        <f t="shared" si="1889"/>
        <v>2.595547E-5</v>
      </c>
      <c r="Y2097" s="52">
        <v>2007</v>
      </c>
      <c r="Z2097" s="52"/>
      <c r="AA2097" s="739">
        <f t="shared" si="1895"/>
        <v>3.6557000000000003E-5</v>
      </c>
      <c r="AB2097" s="256">
        <v>-0.28999999999999998</v>
      </c>
      <c r="AC2097" s="688">
        <f t="shared" si="1890"/>
        <v>-0.28999999999999998</v>
      </c>
      <c r="AD2097" s="164"/>
      <c r="AE2097" s="164"/>
      <c r="AF2097" s="25"/>
      <c r="AG2097" s="26"/>
      <c r="AH2097" s="275"/>
      <c r="AI2097" s="52"/>
      <c r="AJ2097" s="35"/>
      <c r="AK2097" s="289"/>
      <c r="AL2097" s="290"/>
      <c r="AM2097" s="211"/>
      <c r="AN2097" s="164"/>
      <c r="AO2097" s="76"/>
      <c r="AP2097" s="44"/>
      <c r="AQ2097" s="275"/>
      <c r="AR2097" s="52"/>
      <c r="AS2097" s="35"/>
      <c r="AT2097" s="79"/>
      <c r="AU2097" s="212"/>
      <c r="AV2097" s="164"/>
      <c r="AW2097" s="164"/>
      <c r="AX2097" s="76"/>
      <c r="AY2097" s="44"/>
      <c r="AZ2097" s="275"/>
      <c r="BA2097" s="52"/>
      <c r="BB2097" s="35"/>
      <c r="BC2097" s="79"/>
      <c r="BD2097" s="230"/>
      <c r="BE2097" s="211"/>
      <c r="BF2097" s="164"/>
      <c r="BG2097" s="76"/>
      <c r="BH2097" s="44"/>
      <c r="BI2097" s="275"/>
      <c r="BJ2097" s="52"/>
      <c r="BK2097" s="35"/>
      <c r="BL2097" s="79"/>
      <c r="BM2097" s="230"/>
      <c r="BN2097" s="211"/>
      <c r="BO2097" s="164"/>
      <c r="BP2097" s="76"/>
      <c r="BQ2097" s="44"/>
      <c r="BR2097" s="299"/>
      <c r="BS2097" s="52"/>
      <c r="BT2097" s="35"/>
      <c r="BU2097" s="79"/>
      <c r="BV2097" s="212"/>
      <c r="BW2097" s="304"/>
      <c r="BX2097" s="313"/>
      <c r="BY2097" s="138"/>
    </row>
    <row r="2098" spans="1:77" ht="15" customHeight="1" outlineLevel="1" x14ac:dyDescent="0.2">
      <c r="A2098" s="583" t="s">
        <v>37</v>
      </c>
      <c r="B2098" s="583"/>
      <c r="C2098" s="162" t="s">
        <v>997</v>
      </c>
      <c r="D2098" s="806">
        <v>0.70299999999999996</v>
      </c>
      <c r="E2098" s="162" t="s">
        <v>631</v>
      </c>
      <c r="F2098" s="729"/>
      <c r="G2098" s="730"/>
      <c r="H2098" s="73"/>
      <c r="I2098" s="90"/>
      <c r="J2098" s="73"/>
      <c r="K2098" s="790">
        <v>2.6840000000000002E-3</v>
      </c>
      <c r="L2098" s="717"/>
      <c r="M2098" s="73"/>
      <c r="N2098" s="811"/>
      <c r="O2098" s="1041"/>
      <c r="P2098" s="73"/>
      <c r="Q2098" s="811"/>
      <c r="R2098" s="1041"/>
      <c r="S2098" s="73"/>
      <c r="T2098" s="811"/>
      <c r="U2098" s="73"/>
      <c r="V2098" s="66"/>
      <c r="W2098" s="788">
        <f t="shared" si="1888"/>
        <v>1.9056399999999999E-6</v>
      </c>
      <c r="X2098" s="789">
        <f t="shared" si="1889"/>
        <v>1.9056399999999999E-6</v>
      </c>
      <c r="Y2098" s="52">
        <v>2005</v>
      </c>
      <c r="Z2098" s="52"/>
      <c r="AA2098" s="787">
        <f t="shared" si="1895"/>
        <v>2.6840000000000001E-6</v>
      </c>
      <c r="AB2098" s="256">
        <v>-0.28999999999999998</v>
      </c>
      <c r="AC2098" s="688">
        <f t="shared" si="1890"/>
        <v>-0.28999999999999998</v>
      </c>
      <c r="AD2098" s="164"/>
      <c r="AE2098" s="164"/>
      <c r="AF2098" s="25"/>
      <c r="AG2098" s="26"/>
      <c r="AH2098" s="275"/>
      <c r="AI2098" s="52"/>
      <c r="AJ2098" s="35"/>
      <c r="AK2098" s="289"/>
      <c r="AL2098" s="290"/>
      <c r="AM2098" s="211"/>
      <c r="AN2098" s="164"/>
      <c r="AO2098" s="76"/>
      <c r="AP2098" s="44"/>
      <c r="AQ2098" s="275"/>
      <c r="AR2098" s="52"/>
      <c r="AS2098" s="35"/>
      <c r="AT2098" s="79"/>
      <c r="AU2098" s="212"/>
      <c r="AV2098" s="164"/>
      <c r="AW2098" s="164"/>
      <c r="AX2098" s="76"/>
      <c r="AY2098" s="44"/>
      <c r="AZ2098" s="275"/>
      <c r="BA2098" s="52"/>
      <c r="BB2098" s="35"/>
      <c r="BC2098" s="79"/>
      <c r="BD2098" s="230"/>
      <c r="BE2098" s="211"/>
      <c r="BF2098" s="164"/>
      <c r="BG2098" s="76"/>
      <c r="BH2098" s="44"/>
      <c r="BI2098" s="275"/>
      <c r="BJ2098" s="52"/>
      <c r="BK2098" s="35"/>
      <c r="BL2098" s="79"/>
      <c r="BM2098" s="230"/>
      <c r="BN2098" s="211"/>
      <c r="BO2098" s="164"/>
      <c r="BP2098" s="76"/>
      <c r="BQ2098" s="44"/>
      <c r="BR2098" s="299"/>
      <c r="BS2098" s="52"/>
      <c r="BT2098" s="35"/>
      <c r="BU2098" s="79"/>
      <c r="BV2098" s="212"/>
      <c r="BW2098" s="304"/>
      <c r="BX2098" s="313"/>
      <c r="BY2098" s="138"/>
    </row>
    <row r="2099" spans="1:77" ht="15" customHeight="1" outlineLevel="1" x14ac:dyDescent="0.2">
      <c r="A2099" s="583" t="s">
        <v>37</v>
      </c>
      <c r="B2099" s="583"/>
      <c r="C2099" s="162" t="s">
        <v>1045</v>
      </c>
      <c r="D2099" s="806">
        <v>0.25</v>
      </c>
      <c r="E2099" s="162" t="s">
        <v>631</v>
      </c>
      <c r="F2099" s="729"/>
      <c r="G2099" s="730"/>
      <c r="H2099" s="73"/>
      <c r="I2099" s="90">
        <v>2007</v>
      </c>
      <c r="J2099" s="73"/>
      <c r="K2099" s="790">
        <v>1.152E-3</v>
      </c>
      <c r="L2099" s="717"/>
      <c r="M2099" s="73"/>
      <c r="N2099" s="811"/>
      <c r="O2099" s="1041"/>
      <c r="P2099" s="73"/>
      <c r="Q2099" s="811"/>
      <c r="R2099" s="1041"/>
      <c r="S2099" s="73"/>
      <c r="T2099" s="811"/>
      <c r="U2099" s="73"/>
      <c r="V2099" s="66"/>
      <c r="W2099" s="788">
        <f t="shared" si="1888"/>
        <v>5.7599999999999997E-7</v>
      </c>
      <c r="X2099" s="789">
        <f t="shared" si="1889"/>
        <v>5.7599999999999997E-7</v>
      </c>
      <c r="Y2099" s="52">
        <v>2007</v>
      </c>
      <c r="Z2099" s="52"/>
      <c r="AA2099" s="787">
        <f t="shared" si="1895"/>
        <v>1.1519999999999999E-6</v>
      </c>
      <c r="AB2099" s="256">
        <v>-0.5</v>
      </c>
      <c r="AC2099" s="688">
        <f t="shared" si="1890"/>
        <v>-0.5</v>
      </c>
      <c r="AD2099" s="164"/>
      <c r="AE2099" s="164"/>
      <c r="AF2099" s="25"/>
      <c r="AG2099" s="26"/>
      <c r="AH2099" s="275"/>
      <c r="AI2099" s="52"/>
      <c r="AJ2099" s="35"/>
      <c r="AK2099" s="289"/>
      <c r="AL2099" s="290"/>
      <c r="AM2099" s="211"/>
      <c r="AN2099" s="164"/>
      <c r="AO2099" s="76"/>
      <c r="AP2099" s="44"/>
      <c r="AQ2099" s="275"/>
      <c r="AR2099" s="52"/>
      <c r="AS2099" s="35"/>
      <c r="AT2099" s="79"/>
      <c r="AU2099" s="212"/>
      <c r="AV2099" s="164"/>
      <c r="AW2099" s="164"/>
      <c r="AX2099" s="76"/>
      <c r="AY2099" s="44"/>
      <c r="AZ2099" s="275"/>
      <c r="BA2099" s="52"/>
      <c r="BB2099" s="35"/>
      <c r="BC2099" s="79"/>
      <c r="BD2099" s="230"/>
      <c r="BE2099" s="211"/>
      <c r="BF2099" s="164"/>
      <c r="BG2099" s="76"/>
      <c r="BH2099" s="44"/>
      <c r="BI2099" s="275"/>
      <c r="BJ2099" s="52"/>
      <c r="BK2099" s="35"/>
      <c r="BL2099" s="79"/>
      <c r="BM2099" s="230"/>
      <c r="BN2099" s="211"/>
      <c r="BO2099" s="164"/>
      <c r="BP2099" s="76"/>
      <c r="BQ2099" s="44"/>
      <c r="BR2099" s="299"/>
      <c r="BS2099" s="52"/>
      <c r="BT2099" s="35"/>
      <c r="BU2099" s="79"/>
      <c r="BV2099" s="212"/>
      <c r="BW2099" s="304"/>
      <c r="BX2099" s="313"/>
      <c r="BY2099" s="138"/>
    </row>
    <row r="2100" spans="1:77" ht="15" customHeight="1" outlineLevel="1" x14ac:dyDescent="0.2">
      <c r="A2100" s="583" t="s">
        <v>37</v>
      </c>
      <c r="B2100" s="583"/>
      <c r="C2100" s="162" t="s">
        <v>1093</v>
      </c>
      <c r="D2100" s="812">
        <v>5.8259999999999996</v>
      </c>
      <c r="E2100" s="162" t="s">
        <v>631</v>
      </c>
      <c r="F2100" s="729"/>
      <c r="G2100" s="730"/>
      <c r="H2100" s="73"/>
      <c r="I2100" s="90">
        <v>2007</v>
      </c>
      <c r="J2100" s="73"/>
      <c r="K2100" s="734">
        <v>3.338E-2</v>
      </c>
      <c r="L2100" s="717"/>
      <c r="M2100" s="73"/>
      <c r="N2100" s="811"/>
      <c r="O2100" s="1041"/>
      <c r="P2100" s="73"/>
      <c r="Q2100" s="811"/>
      <c r="R2100" s="1041"/>
      <c r="S2100" s="73"/>
      <c r="T2100" s="811"/>
      <c r="U2100" s="73"/>
      <c r="V2100" s="66"/>
      <c r="W2100" s="740">
        <f t="shared" si="1888"/>
        <v>2.36998E-5</v>
      </c>
      <c r="X2100" s="741">
        <f t="shared" si="1889"/>
        <v>2.36998E-5</v>
      </c>
      <c r="Y2100" s="52">
        <v>2007</v>
      </c>
      <c r="Z2100" s="52"/>
      <c r="AA2100" s="739">
        <f t="shared" si="1895"/>
        <v>3.3380000000000002E-5</v>
      </c>
      <c r="AB2100" s="256">
        <v>-0.28999999999999998</v>
      </c>
      <c r="AC2100" s="688">
        <f t="shared" si="1890"/>
        <v>-0.28999999999999998</v>
      </c>
      <c r="AD2100" s="164"/>
      <c r="AE2100" s="164"/>
      <c r="AF2100" s="25"/>
      <c r="AG2100" s="26"/>
      <c r="AH2100" s="275"/>
      <c r="AI2100" s="52"/>
      <c r="AJ2100" s="35"/>
      <c r="AK2100" s="289"/>
      <c r="AL2100" s="290"/>
      <c r="AM2100" s="211"/>
      <c r="AN2100" s="164"/>
      <c r="AO2100" s="76"/>
      <c r="AP2100" s="44"/>
      <c r="AQ2100" s="275"/>
      <c r="AR2100" s="52"/>
      <c r="AS2100" s="35"/>
      <c r="AT2100" s="79"/>
      <c r="AU2100" s="212"/>
      <c r="AV2100" s="164"/>
      <c r="AW2100" s="164"/>
      <c r="AX2100" s="76"/>
      <c r="AY2100" s="44"/>
      <c r="AZ2100" s="275"/>
      <c r="BA2100" s="52"/>
      <c r="BB2100" s="35"/>
      <c r="BC2100" s="79"/>
      <c r="BD2100" s="230"/>
      <c r="BE2100" s="211"/>
      <c r="BF2100" s="164"/>
      <c r="BG2100" s="76"/>
      <c r="BH2100" s="44"/>
      <c r="BI2100" s="275"/>
      <c r="BJ2100" s="52"/>
      <c r="BK2100" s="35"/>
      <c r="BL2100" s="79"/>
      <c r="BM2100" s="230"/>
      <c r="BN2100" s="211"/>
      <c r="BO2100" s="164"/>
      <c r="BP2100" s="76"/>
      <c r="BQ2100" s="44"/>
      <c r="BR2100" s="299"/>
      <c r="BS2100" s="52"/>
      <c r="BT2100" s="35"/>
      <c r="BU2100" s="79"/>
      <c r="BV2100" s="212"/>
      <c r="BW2100" s="304"/>
      <c r="BX2100" s="313"/>
      <c r="BY2100" s="138"/>
    </row>
    <row r="2101" spans="1:77" ht="15" customHeight="1" outlineLevel="1" x14ac:dyDescent="0.2">
      <c r="A2101" s="583" t="s">
        <v>37</v>
      </c>
      <c r="B2101" s="583"/>
      <c r="C2101" s="162" t="s">
        <v>1044</v>
      </c>
      <c r="D2101" s="812">
        <v>3.8370000000000002</v>
      </c>
      <c r="E2101" s="162" t="s">
        <v>631</v>
      </c>
      <c r="F2101" s="729"/>
      <c r="G2101" s="730"/>
      <c r="H2101" s="73"/>
      <c r="I2101" s="90">
        <v>2007</v>
      </c>
      <c r="J2101" s="73"/>
      <c r="K2101" s="734">
        <v>1.6874E-2</v>
      </c>
      <c r="L2101" s="717"/>
      <c r="M2101" s="73"/>
      <c r="N2101" s="811"/>
      <c r="O2101" s="1041"/>
      <c r="P2101" s="73"/>
      <c r="Q2101" s="811"/>
      <c r="R2101" s="1041"/>
      <c r="S2101" s="73"/>
      <c r="T2101" s="811"/>
      <c r="U2101" s="73"/>
      <c r="V2101" s="66"/>
      <c r="W2101" s="788">
        <f t="shared" si="1888"/>
        <v>1.2486760000000001E-5</v>
      </c>
      <c r="X2101" s="789">
        <f t="shared" si="1889"/>
        <v>1.2486760000000001E-5</v>
      </c>
      <c r="Y2101" s="52">
        <v>2007</v>
      </c>
      <c r="Z2101" s="52"/>
      <c r="AA2101" s="787">
        <f t="shared" si="1895"/>
        <v>1.6874000000000001E-5</v>
      </c>
      <c r="AB2101" s="256">
        <v>-0.26</v>
      </c>
      <c r="AC2101" s="688">
        <f t="shared" si="1890"/>
        <v>-0.26</v>
      </c>
      <c r="AD2101" s="164"/>
      <c r="AE2101" s="164"/>
      <c r="AF2101" s="25"/>
      <c r="AG2101" s="26"/>
      <c r="AH2101" s="275"/>
      <c r="AI2101" s="52"/>
      <c r="AJ2101" s="35"/>
      <c r="AK2101" s="289"/>
      <c r="AL2101" s="290"/>
      <c r="AM2101" s="211"/>
      <c r="AN2101" s="164"/>
      <c r="AO2101" s="76"/>
      <c r="AP2101" s="44"/>
      <c r="AQ2101" s="275"/>
      <c r="AR2101" s="52"/>
      <c r="AS2101" s="35"/>
      <c r="AT2101" s="79"/>
      <c r="AU2101" s="212"/>
      <c r="AV2101" s="164"/>
      <c r="AW2101" s="164"/>
      <c r="AX2101" s="76"/>
      <c r="AY2101" s="44"/>
      <c r="AZ2101" s="275"/>
      <c r="BA2101" s="52"/>
      <c r="BB2101" s="35"/>
      <c r="BC2101" s="79"/>
      <c r="BD2101" s="230"/>
      <c r="BE2101" s="211"/>
      <c r="BF2101" s="164"/>
      <c r="BG2101" s="76"/>
      <c r="BH2101" s="44"/>
      <c r="BI2101" s="275"/>
      <c r="BJ2101" s="52"/>
      <c r="BK2101" s="35"/>
      <c r="BL2101" s="79"/>
      <c r="BM2101" s="230"/>
      <c r="BN2101" s="211"/>
      <c r="BO2101" s="164"/>
      <c r="BP2101" s="76"/>
      <c r="BQ2101" s="44"/>
      <c r="BR2101" s="299"/>
      <c r="BS2101" s="52"/>
      <c r="BT2101" s="35"/>
      <c r="BU2101" s="79"/>
      <c r="BV2101" s="212"/>
      <c r="BW2101" s="304"/>
      <c r="BX2101" s="313"/>
      <c r="BY2101" s="138"/>
    </row>
    <row r="2102" spans="1:77" ht="15" customHeight="1" outlineLevel="1" x14ac:dyDescent="0.2">
      <c r="A2102" s="583" t="s">
        <v>37</v>
      </c>
      <c r="B2102" s="583"/>
      <c r="C2102" s="162" t="s">
        <v>1138</v>
      </c>
      <c r="D2102" s="806">
        <v>0.33300000000000002</v>
      </c>
      <c r="E2102" s="162" t="s">
        <v>631</v>
      </c>
      <c r="F2102" s="729"/>
      <c r="G2102" s="730"/>
      <c r="H2102" s="73"/>
      <c r="I2102" s="90">
        <v>2007</v>
      </c>
      <c r="J2102" s="73"/>
      <c r="K2102" s="790">
        <v>1.8209999999999999E-3</v>
      </c>
      <c r="L2102" s="717"/>
      <c r="M2102" s="73"/>
      <c r="N2102" s="811"/>
      <c r="O2102" s="1041"/>
      <c r="P2102" s="73"/>
      <c r="Q2102" s="811"/>
      <c r="R2102" s="1041"/>
      <c r="S2102" s="73"/>
      <c r="T2102" s="811"/>
      <c r="U2102" s="73"/>
      <c r="V2102" s="66"/>
      <c r="W2102" s="788">
        <f t="shared" si="1888"/>
        <v>1.2746999999999998E-6</v>
      </c>
      <c r="X2102" s="789">
        <f t="shared" si="1889"/>
        <v>1.2746999999999998E-6</v>
      </c>
      <c r="Y2102" s="52">
        <v>2007</v>
      </c>
      <c r="Z2102" s="52"/>
      <c r="AA2102" s="787">
        <f t="shared" si="1895"/>
        <v>1.821E-6</v>
      </c>
      <c r="AB2102" s="256">
        <v>-0.3</v>
      </c>
      <c r="AC2102" s="688">
        <f t="shared" si="1890"/>
        <v>-0.3</v>
      </c>
      <c r="AD2102" s="164"/>
      <c r="AE2102" s="164"/>
      <c r="AF2102" s="25"/>
      <c r="AG2102" s="26"/>
      <c r="AH2102" s="275"/>
      <c r="AI2102" s="52"/>
      <c r="AJ2102" s="35"/>
      <c r="AK2102" s="289"/>
      <c r="AL2102" s="290"/>
      <c r="AM2102" s="211"/>
      <c r="AN2102" s="164"/>
      <c r="AO2102" s="76"/>
      <c r="AP2102" s="44"/>
      <c r="AQ2102" s="275"/>
      <c r="AR2102" s="52"/>
      <c r="AS2102" s="35"/>
      <c r="AT2102" s="79"/>
      <c r="AU2102" s="212"/>
      <c r="AV2102" s="164"/>
      <c r="AW2102" s="164"/>
      <c r="AX2102" s="76"/>
      <c r="AY2102" s="44"/>
      <c r="AZ2102" s="275"/>
      <c r="BA2102" s="52"/>
      <c r="BB2102" s="35"/>
      <c r="BC2102" s="79"/>
      <c r="BD2102" s="230"/>
      <c r="BE2102" s="211"/>
      <c r="BF2102" s="164"/>
      <c r="BG2102" s="76"/>
      <c r="BH2102" s="44"/>
      <c r="BI2102" s="275"/>
      <c r="BJ2102" s="52"/>
      <c r="BK2102" s="35"/>
      <c r="BL2102" s="79"/>
      <c r="BM2102" s="230"/>
      <c r="BN2102" s="211"/>
      <c r="BO2102" s="164"/>
      <c r="BP2102" s="76"/>
      <c r="BQ2102" s="44"/>
      <c r="BR2102" s="299"/>
      <c r="BS2102" s="52"/>
      <c r="BT2102" s="35"/>
      <c r="BU2102" s="79"/>
      <c r="BV2102" s="212"/>
      <c r="BW2102" s="304"/>
      <c r="BX2102" s="313"/>
      <c r="BY2102" s="138"/>
    </row>
    <row r="2103" spans="1:77" ht="15" customHeight="1" outlineLevel="1" x14ac:dyDescent="0.2">
      <c r="A2103" s="583" t="s">
        <v>37</v>
      </c>
      <c r="B2103" s="583"/>
      <c r="C2103" s="162" t="s">
        <v>1221</v>
      </c>
      <c r="D2103" s="806">
        <v>0.11</v>
      </c>
      <c r="E2103" s="162" t="s">
        <v>631</v>
      </c>
      <c r="F2103" s="729"/>
      <c r="G2103" s="730"/>
      <c r="H2103" s="73"/>
      <c r="I2103" s="90"/>
      <c r="J2103" s="73"/>
      <c r="K2103" s="734"/>
      <c r="L2103" s="717"/>
      <c r="M2103" s="73"/>
      <c r="N2103" s="816">
        <v>1.1E-4</v>
      </c>
      <c r="O2103" s="1041"/>
      <c r="P2103" s="73"/>
      <c r="Q2103" s="816"/>
      <c r="R2103" s="1041"/>
      <c r="S2103" s="73"/>
      <c r="T2103" s="816"/>
      <c r="U2103" s="73"/>
      <c r="V2103" s="66"/>
      <c r="W2103" s="808">
        <f t="shared" si="1888"/>
        <v>8.0299999999999998E-8</v>
      </c>
      <c r="X2103" s="809">
        <f t="shared" si="1889"/>
        <v>8.0299999999999998E-8</v>
      </c>
      <c r="Y2103" s="52">
        <v>2010</v>
      </c>
      <c r="Z2103" s="52"/>
      <c r="AA2103" s="807">
        <f>+N2103/1000</f>
        <v>1.1000000000000001E-7</v>
      </c>
      <c r="AB2103" s="256">
        <v>-0.27</v>
      </c>
      <c r="AC2103" s="688">
        <f t="shared" si="1890"/>
        <v>-0.27</v>
      </c>
      <c r="AD2103" s="164"/>
      <c r="AE2103" s="164"/>
      <c r="AF2103" s="25"/>
      <c r="AG2103" s="26"/>
      <c r="AH2103" s="275"/>
      <c r="AI2103" s="52"/>
      <c r="AJ2103" s="35"/>
      <c r="AK2103" s="289"/>
      <c r="AL2103" s="290"/>
      <c r="AM2103" s="211"/>
      <c r="AN2103" s="164"/>
      <c r="AO2103" s="76"/>
      <c r="AP2103" s="44"/>
      <c r="AQ2103" s="275"/>
      <c r="AR2103" s="52"/>
      <c r="AS2103" s="35"/>
      <c r="AT2103" s="79"/>
      <c r="AU2103" s="212"/>
      <c r="AV2103" s="164"/>
      <c r="AW2103" s="164"/>
      <c r="AX2103" s="76"/>
      <c r="AY2103" s="44"/>
      <c r="AZ2103" s="275"/>
      <c r="BA2103" s="52"/>
      <c r="BB2103" s="35"/>
      <c r="BC2103" s="79"/>
      <c r="BD2103" s="230"/>
      <c r="BE2103" s="211"/>
      <c r="BF2103" s="164"/>
      <c r="BG2103" s="76"/>
      <c r="BH2103" s="44"/>
      <c r="BI2103" s="275"/>
      <c r="BJ2103" s="52"/>
      <c r="BK2103" s="35"/>
      <c r="BL2103" s="79"/>
      <c r="BM2103" s="230"/>
      <c r="BN2103" s="211"/>
      <c r="BO2103" s="164"/>
      <c r="BP2103" s="76"/>
      <c r="BQ2103" s="44"/>
      <c r="BR2103" s="299"/>
      <c r="BS2103" s="52"/>
      <c r="BT2103" s="35"/>
      <c r="BU2103" s="79"/>
      <c r="BV2103" s="212"/>
      <c r="BW2103" s="304"/>
      <c r="BX2103" s="313"/>
      <c r="BY2103" s="138"/>
    </row>
    <row r="2104" spans="1:77" ht="15" customHeight="1" outlineLevel="1" x14ac:dyDescent="0.2">
      <c r="A2104" s="583" t="s">
        <v>37</v>
      </c>
      <c r="B2104" s="583"/>
      <c r="C2104" s="162" t="s">
        <v>1087</v>
      </c>
      <c r="D2104" s="812">
        <v>3.9</v>
      </c>
      <c r="E2104" s="162" t="s">
        <v>631</v>
      </c>
      <c r="F2104" s="729"/>
      <c r="G2104" s="730"/>
      <c r="H2104" s="73"/>
      <c r="I2104" s="90">
        <v>2007</v>
      </c>
      <c r="J2104" s="73"/>
      <c r="K2104" s="734">
        <v>2.8885000000000001E-2</v>
      </c>
      <c r="L2104" s="717"/>
      <c r="M2104" s="73"/>
      <c r="N2104" s="811"/>
      <c r="O2104" s="1041"/>
      <c r="P2104" s="73"/>
      <c r="Q2104" s="811"/>
      <c r="R2104" s="1041"/>
      <c r="S2104" s="73"/>
      <c r="T2104" s="811"/>
      <c r="U2104" s="73"/>
      <c r="V2104" s="66"/>
      <c r="W2104" s="788">
        <f t="shared" si="1888"/>
        <v>2.1086050000000001E-5</v>
      </c>
      <c r="X2104" s="789">
        <f t="shared" si="1889"/>
        <v>2.1086050000000001E-5</v>
      </c>
      <c r="Y2104" s="52">
        <v>2007</v>
      </c>
      <c r="Z2104" s="52"/>
      <c r="AA2104" s="787">
        <f t="shared" ref="AA2104:AA2110" si="1896">+K2104/1000</f>
        <v>2.8885000000000002E-5</v>
      </c>
      <c r="AB2104" s="256">
        <v>-0.27</v>
      </c>
      <c r="AC2104" s="688">
        <f t="shared" si="1890"/>
        <v>-0.27</v>
      </c>
      <c r="AD2104" s="164"/>
      <c r="AE2104" s="164"/>
      <c r="AF2104" s="25"/>
      <c r="AG2104" s="26"/>
      <c r="AH2104" s="275"/>
      <c r="AI2104" s="52"/>
      <c r="AJ2104" s="35"/>
      <c r="AK2104" s="289"/>
      <c r="AL2104" s="290"/>
      <c r="AM2104" s="211"/>
      <c r="AN2104" s="164"/>
      <c r="AO2104" s="76"/>
      <c r="AP2104" s="44"/>
      <c r="AQ2104" s="275"/>
      <c r="AR2104" s="52"/>
      <c r="AS2104" s="35"/>
      <c r="AT2104" s="79"/>
      <c r="AU2104" s="212"/>
      <c r="AV2104" s="164"/>
      <c r="AW2104" s="164"/>
      <c r="AX2104" s="76"/>
      <c r="AY2104" s="44"/>
      <c r="AZ2104" s="275"/>
      <c r="BA2104" s="52"/>
      <c r="BB2104" s="35"/>
      <c r="BC2104" s="79"/>
      <c r="BD2104" s="230"/>
      <c r="BE2104" s="211"/>
      <c r="BF2104" s="164"/>
      <c r="BG2104" s="76"/>
      <c r="BH2104" s="44"/>
      <c r="BI2104" s="275"/>
      <c r="BJ2104" s="52"/>
      <c r="BK2104" s="35"/>
      <c r="BL2104" s="79"/>
      <c r="BM2104" s="230"/>
      <c r="BN2104" s="211"/>
      <c r="BO2104" s="164"/>
      <c r="BP2104" s="76"/>
      <c r="BQ2104" s="44"/>
      <c r="BR2104" s="299"/>
      <c r="BS2104" s="52"/>
      <c r="BT2104" s="35"/>
      <c r="BU2104" s="79"/>
      <c r="BV2104" s="212"/>
      <c r="BW2104" s="304"/>
      <c r="BX2104" s="313"/>
      <c r="BY2104" s="138"/>
    </row>
    <row r="2105" spans="1:77" ht="15" customHeight="1" outlineLevel="1" x14ac:dyDescent="0.2">
      <c r="A2105" s="583" t="s">
        <v>37</v>
      </c>
      <c r="B2105" s="583"/>
      <c r="C2105" s="162" t="s">
        <v>1053</v>
      </c>
      <c r="D2105" s="812">
        <v>6.1680000000000001</v>
      </c>
      <c r="E2105" s="162" t="s">
        <v>631</v>
      </c>
      <c r="F2105" s="729"/>
      <c r="G2105" s="730"/>
      <c r="H2105" s="73"/>
      <c r="I2105" s="90">
        <v>2007</v>
      </c>
      <c r="J2105" s="73"/>
      <c r="K2105" s="734">
        <v>2.9772E-2</v>
      </c>
      <c r="L2105" s="717"/>
      <c r="M2105" s="73"/>
      <c r="N2105" s="811"/>
      <c r="O2105" s="1041"/>
      <c r="P2105" s="73"/>
      <c r="Q2105" s="811"/>
      <c r="R2105" s="1041"/>
      <c r="S2105" s="73"/>
      <c r="T2105" s="811"/>
      <c r="U2105" s="73"/>
      <c r="V2105" s="66"/>
      <c r="W2105" s="740">
        <f t="shared" si="1888"/>
        <v>1.6374600000000001E-5</v>
      </c>
      <c r="X2105" s="741">
        <f t="shared" si="1889"/>
        <v>1.6374600000000001E-5</v>
      </c>
      <c r="Y2105" s="52">
        <v>2007</v>
      </c>
      <c r="Z2105" s="52"/>
      <c r="AA2105" s="739">
        <f t="shared" si="1896"/>
        <v>2.9771999999999999E-5</v>
      </c>
      <c r="AB2105" s="256">
        <v>-0.45</v>
      </c>
      <c r="AC2105" s="688">
        <f t="shared" si="1890"/>
        <v>-0.45</v>
      </c>
      <c r="AD2105" s="164"/>
      <c r="AE2105" s="164"/>
      <c r="AF2105" s="25"/>
      <c r="AG2105" s="26"/>
      <c r="AH2105" s="275"/>
      <c r="AI2105" s="52"/>
      <c r="AJ2105" s="35"/>
      <c r="AK2105" s="289"/>
      <c r="AL2105" s="290"/>
      <c r="AM2105" s="211"/>
      <c r="AN2105" s="164"/>
      <c r="AO2105" s="76"/>
      <c r="AP2105" s="44"/>
      <c r="AQ2105" s="275"/>
      <c r="AR2105" s="52"/>
      <c r="AS2105" s="35"/>
      <c r="AT2105" s="79"/>
      <c r="AU2105" s="212"/>
      <c r="AV2105" s="164"/>
      <c r="AW2105" s="164"/>
      <c r="AX2105" s="76"/>
      <c r="AY2105" s="44"/>
      <c r="AZ2105" s="275"/>
      <c r="BA2105" s="52"/>
      <c r="BB2105" s="35"/>
      <c r="BC2105" s="79"/>
      <c r="BD2105" s="230"/>
      <c r="BE2105" s="211"/>
      <c r="BF2105" s="164"/>
      <c r="BG2105" s="76"/>
      <c r="BH2105" s="44"/>
      <c r="BI2105" s="275"/>
      <c r="BJ2105" s="52"/>
      <c r="BK2105" s="35"/>
      <c r="BL2105" s="79"/>
      <c r="BM2105" s="230"/>
      <c r="BN2105" s="211"/>
      <c r="BO2105" s="164"/>
      <c r="BP2105" s="76"/>
      <c r="BQ2105" s="44"/>
      <c r="BR2105" s="299"/>
      <c r="BS2105" s="52"/>
      <c r="BT2105" s="35"/>
      <c r="BU2105" s="79"/>
      <c r="BV2105" s="212"/>
      <c r="BW2105" s="304"/>
      <c r="BX2105" s="313"/>
      <c r="BY2105" s="138"/>
    </row>
    <row r="2106" spans="1:77" ht="15" customHeight="1" outlineLevel="1" x14ac:dyDescent="0.2">
      <c r="A2106" s="583" t="s">
        <v>37</v>
      </c>
      <c r="B2106" s="583"/>
      <c r="C2106" s="162" t="s">
        <v>2676</v>
      </c>
      <c r="D2106" s="806">
        <v>0.1</v>
      </c>
      <c r="E2106" s="162" t="s">
        <v>631</v>
      </c>
      <c r="F2106" s="729"/>
      <c r="G2106" s="730"/>
      <c r="H2106" s="73"/>
      <c r="I2106" s="90"/>
      <c r="J2106" s="73"/>
      <c r="K2106" s="734"/>
      <c r="L2106" s="717"/>
      <c r="M2106" s="73"/>
      <c r="N2106" s="816">
        <v>3.1199999999999999E-4</v>
      </c>
      <c r="O2106" s="1041"/>
      <c r="P2106" s="73"/>
      <c r="Q2106" s="811"/>
      <c r="R2106" s="1041"/>
      <c r="S2106" s="73"/>
      <c r="T2106" s="811"/>
      <c r="U2106" s="73"/>
      <c r="V2106" s="66"/>
      <c r="W2106" s="808">
        <f t="shared" ref="W2106" si="1897">AA2106*(1+AB2106)</f>
        <v>2.3087999999999999E-7</v>
      </c>
      <c r="X2106" s="809">
        <f t="shared" ref="X2106" si="1898">AA2106*(1+AC2106)</f>
        <v>2.3087999999999999E-7</v>
      </c>
      <c r="Y2106" s="52">
        <v>2010</v>
      </c>
      <c r="Z2106" s="52"/>
      <c r="AA2106" s="807">
        <f>+N2106/1000</f>
        <v>3.1199999999999999E-7</v>
      </c>
      <c r="AB2106" s="256">
        <v>-0.26</v>
      </c>
      <c r="AC2106" s="688">
        <f t="shared" ref="AC2106" si="1899">AB2106</f>
        <v>-0.26</v>
      </c>
      <c r="AD2106" s="164"/>
      <c r="AE2106" s="164"/>
      <c r="AF2106" s="25"/>
      <c r="AG2106" s="26"/>
      <c r="AH2106" s="275"/>
      <c r="AI2106" s="52"/>
      <c r="AJ2106" s="35"/>
      <c r="AK2106" s="289"/>
      <c r="AL2106" s="290"/>
      <c r="AM2106" s="211"/>
      <c r="AN2106" s="164"/>
      <c r="AO2106" s="76"/>
      <c r="AP2106" s="44"/>
      <c r="AQ2106" s="275"/>
      <c r="AR2106" s="52"/>
      <c r="AS2106" s="35"/>
      <c r="AT2106" s="79"/>
      <c r="AU2106" s="212"/>
      <c r="AV2106" s="164"/>
      <c r="AW2106" s="164"/>
      <c r="AX2106" s="76"/>
      <c r="AY2106" s="44"/>
      <c r="AZ2106" s="275"/>
      <c r="BA2106" s="52"/>
      <c r="BB2106" s="35"/>
      <c r="BC2106" s="79"/>
      <c r="BD2106" s="230"/>
      <c r="BE2106" s="211"/>
      <c r="BF2106" s="164"/>
      <c r="BG2106" s="76"/>
      <c r="BH2106" s="44"/>
      <c r="BI2106" s="275"/>
      <c r="BJ2106" s="52"/>
      <c r="BK2106" s="35"/>
      <c r="BL2106" s="79"/>
      <c r="BM2106" s="230"/>
      <c r="BN2106" s="211"/>
      <c r="BO2106" s="164"/>
      <c r="BP2106" s="76"/>
      <c r="BQ2106" s="44"/>
      <c r="BR2106" s="299"/>
      <c r="BS2106" s="52"/>
      <c r="BT2106" s="35"/>
      <c r="BU2106" s="79"/>
      <c r="BV2106" s="212"/>
      <c r="BW2106" s="304"/>
      <c r="BX2106" s="313"/>
      <c r="BY2106" s="138"/>
    </row>
    <row r="2107" spans="1:77" ht="15" customHeight="1" outlineLevel="1" x14ac:dyDescent="0.2">
      <c r="A2107" s="583" t="s">
        <v>37</v>
      </c>
      <c r="B2107" s="583"/>
      <c r="C2107" s="162" t="s">
        <v>1189</v>
      </c>
      <c r="D2107" s="812">
        <v>7.6340000000000003</v>
      </c>
      <c r="E2107" s="162" t="s">
        <v>631</v>
      </c>
      <c r="F2107" s="729"/>
      <c r="G2107" s="730"/>
      <c r="H2107" s="73"/>
      <c r="I2107" s="90">
        <v>2006</v>
      </c>
      <c r="J2107" s="73"/>
      <c r="K2107" s="734">
        <v>2.3310000000000001E-2</v>
      </c>
      <c r="L2107" s="717"/>
      <c r="M2107" s="73"/>
      <c r="N2107" s="811"/>
      <c r="O2107" s="1041"/>
      <c r="P2107" s="73"/>
      <c r="Q2107" s="811"/>
      <c r="R2107" s="1041"/>
      <c r="S2107" s="73"/>
      <c r="T2107" s="811"/>
      <c r="U2107" s="73"/>
      <c r="V2107" s="66"/>
      <c r="W2107" s="740">
        <f t="shared" si="1888"/>
        <v>1.6550099999999999E-5</v>
      </c>
      <c r="X2107" s="741">
        <f t="shared" si="1889"/>
        <v>1.6550099999999999E-5</v>
      </c>
      <c r="Y2107" s="52">
        <v>2006</v>
      </c>
      <c r="Z2107" s="52"/>
      <c r="AA2107" s="739">
        <f t="shared" si="1896"/>
        <v>2.3310000000000002E-5</v>
      </c>
      <c r="AB2107" s="256">
        <v>-0.28999999999999998</v>
      </c>
      <c r="AC2107" s="688">
        <f t="shared" si="1890"/>
        <v>-0.28999999999999998</v>
      </c>
      <c r="AD2107" s="164"/>
      <c r="AE2107" s="164"/>
      <c r="AF2107" s="25"/>
      <c r="AG2107" s="26"/>
      <c r="AH2107" s="275"/>
      <c r="AI2107" s="52"/>
      <c r="AJ2107" s="35"/>
      <c r="AK2107" s="289"/>
      <c r="AL2107" s="290"/>
      <c r="AM2107" s="211"/>
      <c r="AN2107" s="164"/>
      <c r="AO2107" s="76"/>
      <c r="AP2107" s="44"/>
      <c r="AQ2107" s="275"/>
      <c r="AR2107" s="52"/>
      <c r="AS2107" s="35"/>
      <c r="AT2107" s="79"/>
      <c r="AU2107" s="212"/>
      <c r="AV2107" s="164"/>
      <c r="AW2107" s="164"/>
      <c r="AX2107" s="76"/>
      <c r="AY2107" s="44"/>
      <c r="AZ2107" s="275"/>
      <c r="BA2107" s="52"/>
      <c r="BB2107" s="35"/>
      <c r="BC2107" s="79"/>
      <c r="BD2107" s="230"/>
      <c r="BE2107" s="211"/>
      <c r="BF2107" s="164"/>
      <c r="BG2107" s="76"/>
      <c r="BH2107" s="44"/>
      <c r="BI2107" s="275"/>
      <c r="BJ2107" s="52"/>
      <c r="BK2107" s="35"/>
      <c r="BL2107" s="79"/>
      <c r="BM2107" s="230"/>
      <c r="BN2107" s="211"/>
      <c r="BO2107" s="164"/>
      <c r="BP2107" s="76"/>
      <c r="BQ2107" s="44"/>
      <c r="BR2107" s="299"/>
      <c r="BS2107" s="52"/>
      <c r="BT2107" s="35"/>
      <c r="BU2107" s="79"/>
      <c r="BV2107" s="212"/>
      <c r="BW2107" s="304"/>
      <c r="BX2107" s="313"/>
      <c r="BY2107" s="138"/>
    </row>
    <row r="2108" spans="1:77" ht="15" customHeight="1" outlineLevel="1" x14ac:dyDescent="0.2">
      <c r="A2108" s="583" t="s">
        <v>37</v>
      </c>
      <c r="B2108" s="583"/>
      <c r="C2108" s="162" t="s">
        <v>999</v>
      </c>
      <c r="D2108" s="806">
        <v>0.13900000000000001</v>
      </c>
      <c r="E2108" s="162" t="s">
        <v>631</v>
      </c>
      <c r="F2108" s="729"/>
      <c r="G2108" s="730"/>
      <c r="H2108" s="73"/>
      <c r="I2108" s="90">
        <v>2007</v>
      </c>
      <c r="J2108" s="73"/>
      <c r="K2108" s="790">
        <v>6.3400000000000001E-4</v>
      </c>
      <c r="L2108" s="717"/>
      <c r="M2108" s="73"/>
      <c r="N2108" s="811"/>
      <c r="O2108" s="1041"/>
      <c r="P2108" s="73"/>
      <c r="Q2108" s="811"/>
      <c r="R2108" s="1041"/>
      <c r="S2108" s="73"/>
      <c r="T2108" s="811"/>
      <c r="U2108" s="73"/>
      <c r="V2108" s="66"/>
      <c r="W2108" s="808">
        <f t="shared" si="1888"/>
        <v>4.3111999999999996E-7</v>
      </c>
      <c r="X2108" s="809">
        <f t="shared" si="1889"/>
        <v>4.3111999999999996E-7</v>
      </c>
      <c r="Y2108" s="52">
        <v>2007</v>
      </c>
      <c r="Z2108" s="52"/>
      <c r="AA2108" s="807">
        <f t="shared" si="1896"/>
        <v>6.3399999999999999E-7</v>
      </c>
      <c r="AB2108" s="256">
        <v>-0.32</v>
      </c>
      <c r="AC2108" s="688">
        <f t="shared" si="1890"/>
        <v>-0.32</v>
      </c>
      <c r="AD2108" s="164"/>
      <c r="AE2108" s="164"/>
      <c r="AF2108" s="25"/>
      <c r="AG2108" s="26"/>
      <c r="AH2108" s="275"/>
      <c r="AI2108" s="52"/>
      <c r="AJ2108" s="35"/>
      <c r="AK2108" s="289"/>
      <c r="AL2108" s="290"/>
      <c r="AM2108" s="211"/>
      <c r="AN2108" s="164"/>
      <c r="AO2108" s="76"/>
      <c r="AP2108" s="44"/>
      <c r="AQ2108" s="275"/>
      <c r="AR2108" s="52"/>
      <c r="AS2108" s="35"/>
      <c r="AT2108" s="79"/>
      <c r="AU2108" s="212"/>
      <c r="AV2108" s="164"/>
      <c r="AW2108" s="164"/>
      <c r="AX2108" s="76"/>
      <c r="AY2108" s="44"/>
      <c r="AZ2108" s="275"/>
      <c r="BA2108" s="52"/>
      <c r="BB2108" s="35"/>
      <c r="BC2108" s="79"/>
      <c r="BD2108" s="230"/>
      <c r="BE2108" s="211"/>
      <c r="BF2108" s="164"/>
      <c r="BG2108" s="76"/>
      <c r="BH2108" s="44"/>
      <c r="BI2108" s="275"/>
      <c r="BJ2108" s="52"/>
      <c r="BK2108" s="35"/>
      <c r="BL2108" s="79"/>
      <c r="BM2108" s="230"/>
      <c r="BN2108" s="211"/>
      <c r="BO2108" s="164"/>
      <c r="BP2108" s="76"/>
      <c r="BQ2108" s="44"/>
      <c r="BR2108" s="299"/>
      <c r="BS2108" s="52"/>
      <c r="BT2108" s="35"/>
      <c r="BU2108" s="79"/>
      <c r="BV2108" s="212"/>
      <c r="BW2108" s="304"/>
      <c r="BX2108" s="313"/>
      <c r="BY2108" s="138"/>
    </row>
    <row r="2109" spans="1:77" ht="15" customHeight="1" outlineLevel="1" x14ac:dyDescent="0.2">
      <c r="A2109" s="583" t="s">
        <v>37</v>
      </c>
      <c r="B2109" s="583"/>
      <c r="C2109" s="162" t="s">
        <v>1015</v>
      </c>
      <c r="D2109" s="812">
        <v>3.5</v>
      </c>
      <c r="E2109" s="162" t="s">
        <v>631</v>
      </c>
      <c r="F2109" s="729"/>
      <c r="G2109" s="730"/>
      <c r="H2109" s="73"/>
      <c r="I2109" s="90"/>
      <c r="J2109" s="73"/>
      <c r="K2109" s="734">
        <v>1.286E-2</v>
      </c>
      <c r="L2109" s="717"/>
      <c r="M2109" s="73"/>
      <c r="N2109" s="811"/>
      <c r="O2109" s="1041"/>
      <c r="P2109" s="73"/>
      <c r="Q2109" s="811"/>
      <c r="R2109" s="1041"/>
      <c r="S2109" s="73"/>
      <c r="T2109" s="811"/>
      <c r="U2109" s="73"/>
      <c r="V2109" s="66"/>
      <c r="W2109" s="788">
        <f t="shared" si="1888"/>
        <v>9.645E-6</v>
      </c>
      <c r="X2109" s="789">
        <f t="shared" si="1889"/>
        <v>9.645E-6</v>
      </c>
      <c r="Y2109" s="52">
        <v>2005</v>
      </c>
      <c r="Z2109" s="52"/>
      <c r="AA2109" s="787">
        <f t="shared" si="1896"/>
        <v>1.2860000000000001E-5</v>
      </c>
      <c r="AB2109" s="256">
        <v>-0.25</v>
      </c>
      <c r="AC2109" s="688">
        <f t="shared" si="1890"/>
        <v>-0.25</v>
      </c>
      <c r="AD2109" s="164"/>
      <c r="AE2109" s="164"/>
      <c r="AF2109" s="25"/>
      <c r="AG2109" s="26"/>
      <c r="AH2109" s="275"/>
      <c r="AI2109" s="52"/>
      <c r="AJ2109" s="35"/>
      <c r="AK2109" s="289"/>
      <c r="AL2109" s="290"/>
      <c r="AM2109" s="211"/>
      <c r="AN2109" s="164"/>
      <c r="AO2109" s="76"/>
      <c r="AP2109" s="44"/>
      <c r="AQ2109" s="275"/>
      <c r="AR2109" s="52"/>
      <c r="AS2109" s="35"/>
      <c r="AT2109" s="79"/>
      <c r="AU2109" s="212"/>
      <c r="AV2109" s="164"/>
      <c r="AW2109" s="164"/>
      <c r="AX2109" s="76"/>
      <c r="AY2109" s="44"/>
      <c r="AZ2109" s="275"/>
      <c r="BA2109" s="52"/>
      <c r="BB2109" s="35"/>
      <c r="BC2109" s="79"/>
      <c r="BD2109" s="230"/>
      <c r="BE2109" s="211"/>
      <c r="BF2109" s="164"/>
      <c r="BG2109" s="76"/>
      <c r="BH2109" s="44"/>
      <c r="BI2109" s="275"/>
      <c r="BJ2109" s="52"/>
      <c r="BK2109" s="35"/>
      <c r="BL2109" s="79"/>
      <c r="BM2109" s="230"/>
      <c r="BN2109" s="211"/>
      <c r="BO2109" s="164"/>
      <c r="BP2109" s="76"/>
      <c r="BQ2109" s="44"/>
      <c r="BR2109" s="299"/>
      <c r="BS2109" s="52"/>
      <c r="BT2109" s="35"/>
      <c r="BU2109" s="79"/>
      <c r="BV2109" s="212"/>
      <c r="BW2109" s="304"/>
      <c r="BX2109" s="313"/>
      <c r="BY2109" s="138"/>
    </row>
    <row r="2110" spans="1:77" ht="15" customHeight="1" outlineLevel="1" x14ac:dyDescent="0.2">
      <c r="A2110" s="583" t="s">
        <v>37</v>
      </c>
      <c r="B2110" s="583"/>
      <c r="C2110" s="162" t="s">
        <v>1169</v>
      </c>
      <c r="D2110" s="812">
        <v>22.850999999999999</v>
      </c>
      <c r="E2110" s="162" t="s">
        <v>631</v>
      </c>
      <c r="F2110" s="729"/>
      <c r="G2110" s="730"/>
      <c r="H2110" s="73"/>
      <c r="I2110" s="90">
        <v>2007</v>
      </c>
      <c r="J2110" s="73"/>
      <c r="K2110" s="734">
        <v>8.4137000000000003E-2</v>
      </c>
      <c r="L2110" s="717"/>
      <c r="M2110" s="73"/>
      <c r="N2110" s="811"/>
      <c r="O2110" s="1041"/>
      <c r="P2110" s="73"/>
      <c r="Q2110" s="811"/>
      <c r="R2110" s="1041"/>
      <c r="S2110" s="73"/>
      <c r="T2110" s="811"/>
      <c r="U2110" s="73"/>
      <c r="V2110" s="66"/>
      <c r="W2110" s="740">
        <f t="shared" si="1888"/>
        <v>5.7213159999999993E-5</v>
      </c>
      <c r="X2110" s="741">
        <f t="shared" si="1889"/>
        <v>5.7213159999999993E-5</v>
      </c>
      <c r="Y2110" s="52">
        <v>2007</v>
      </c>
      <c r="Z2110" s="52"/>
      <c r="AA2110" s="739">
        <f t="shared" si="1896"/>
        <v>8.4136999999999998E-5</v>
      </c>
      <c r="AB2110" s="256">
        <v>-0.32</v>
      </c>
      <c r="AC2110" s="688">
        <f t="shared" si="1890"/>
        <v>-0.32</v>
      </c>
      <c r="AD2110" s="164"/>
      <c r="AE2110" s="164"/>
      <c r="AF2110" s="25"/>
      <c r="AG2110" s="26"/>
      <c r="AH2110" s="275"/>
      <c r="AI2110" s="52"/>
      <c r="AJ2110" s="35"/>
      <c r="AK2110" s="289"/>
      <c r="AL2110" s="290"/>
      <c r="AM2110" s="211"/>
      <c r="AN2110" s="164"/>
      <c r="AO2110" s="76"/>
      <c r="AP2110" s="44"/>
      <c r="AQ2110" s="275"/>
      <c r="AR2110" s="52"/>
      <c r="AS2110" s="35"/>
      <c r="AT2110" s="79"/>
      <c r="AU2110" s="212"/>
      <c r="AV2110" s="164"/>
      <c r="AW2110" s="164"/>
      <c r="AX2110" s="76"/>
      <c r="AY2110" s="44"/>
      <c r="AZ2110" s="275"/>
      <c r="BA2110" s="52"/>
      <c r="BB2110" s="35"/>
      <c r="BC2110" s="79"/>
      <c r="BD2110" s="230"/>
      <c r="BE2110" s="211"/>
      <c r="BF2110" s="164"/>
      <c r="BG2110" s="76"/>
      <c r="BH2110" s="44"/>
      <c r="BI2110" s="275"/>
      <c r="BJ2110" s="52"/>
      <c r="BK2110" s="35"/>
      <c r="BL2110" s="79"/>
      <c r="BM2110" s="230"/>
      <c r="BN2110" s="211"/>
      <c r="BO2110" s="164"/>
      <c r="BP2110" s="76"/>
      <c r="BQ2110" s="44"/>
      <c r="BR2110" s="299"/>
      <c r="BS2110" s="52"/>
      <c r="BT2110" s="35"/>
      <c r="BU2110" s="79"/>
      <c r="BV2110" s="212"/>
      <c r="BW2110" s="304"/>
      <c r="BX2110" s="313"/>
      <c r="BY2110" s="138"/>
    </row>
    <row r="2111" spans="1:77" ht="15" customHeight="1" outlineLevel="1" x14ac:dyDescent="0.2">
      <c r="A2111" s="583" t="s">
        <v>37</v>
      </c>
      <c r="B2111" s="583"/>
      <c r="C2111" s="162" t="s">
        <v>1222</v>
      </c>
      <c r="D2111" s="806">
        <v>0.32600000000000001</v>
      </c>
      <c r="E2111" s="162" t="s">
        <v>631</v>
      </c>
      <c r="F2111" s="729"/>
      <c r="G2111" s="730"/>
      <c r="H2111" s="73"/>
      <c r="I2111" s="90"/>
      <c r="J2111" s="73"/>
      <c r="K2111" s="734"/>
      <c r="L2111" s="717"/>
      <c r="M2111" s="73"/>
      <c r="N2111" s="816">
        <v>8.3593999999999997E-4</v>
      </c>
      <c r="O2111" s="1041"/>
      <c r="P2111" s="73"/>
      <c r="Q2111" s="816"/>
      <c r="R2111" s="1041"/>
      <c r="S2111" s="73"/>
      <c r="T2111" s="816"/>
      <c r="U2111" s="73"/>
      <c r="V2111" s="66"/>
      <c r="W2111" s="808">
        <f t="shared" si="1888"/>
        <v>6.2695499999999991E-7</v>
      </c>
      <c r="X2111" s="809">
        <f t="shared" si="1889"/>
        <v>6.2695499999999991E-7</v>
      </c>
      <c r="Y2111" s="52">
        <v>2010</v>
      </c>
      <c r="Z2111" s="52"/>
      <c r="AA2111" s="807">
        <f>+N2111/1000</f>
        <v>8.3593999999999995E-7</v>
      </c>
      <c r="AB2111" s="256">
        <v>-0.25</v>
      </c>
      <c r="AC2111" s="688">
        <f t="shared" si="1890"/>
        <v>-0.25</v>
      </c>
      <c r="AD2111" s="164"/>
      <c r="AE2111" s="164"/>
      <c r="AF2111" s="25"/>
      <c r="AG2111" s="26"/>
      <c r="AH2111" s="275"/>
      <c r="AI2111" s="52"/>
      <c r="AJ2111" s="35"/>
      <c r="AK2111" s="289"/>
      <c r="AL2111" s="290"/>
      <c r="AM2111" s="211"/>
      <c r="AN2111" s="164"/>
      <c r="AO2111" s="76"/>
      <c r="AP2111" s="44"/>
      <c r="AQ2111" s="275"/>
      <c r="AR2111" s="52"/>
      <c r="AS2111" s="35"/>
      <c r="AT2111" s="79"/>
      <c r="AU2111" s="212"/>
      <c r="AV2111" s="164"/>
      <c r="AW2111" s="164"/>
      <c r="AX2111" s="76"/>
      <c r="AY2111" s="44"/>
      <c r="AZ2111" s="275"/>
      <c r="BA2111" s="52"/>
      <c r="BB2111" s="35"/>
      <c r="BC2111" s="79"/>
      <c r="BD2111" s="230"/>
      <c r="BE2111" s="211"/>
      <c r="BF2111" s="164"/>
      <c r="BG2111" s="76"/>
      <c r="BH2111" s="44"/>
      <c r="BI2111" s="275"/>
      <c r="BJ2111" s="52"/>
      <c r="BK2111" s="35"/>
      <c r="BL2111" s="79"/>
      <c r="BM2111" s="230"/>
      <c r="BN2111" s="211"/>
      <c r="BO2111" s="164"/>
      <c r="BP2111" s="76"/>
      <c r="BQ2111" s="44"/>
      <c r="BR2111" s="299"/>
      <c r="BS2111" s="52"/>
      <c r="BT2111" s="35"/>
      <c r="BU2111" s="79"/>
      <c r="BV2111" s="212"/>
      <c r="BW2111" s="304"/>
      <c r="BX2111" s="313"/>
      <c r="BY2111" s="138"/>
    </row>
    <row r="2112" spans="1:77" ht="15" customHeight="1" outlineLevel="1" x14ac:dyDescent="0.2">
      <c r="A2112" s="583" t="s">
        <v>37</v>
      </c>
      <c r="B2112" s="583"/>
      <c r="C2112" s="162" t="s">
        <v>1052</v>
      </c>
      <c r="D2112" s="812">
        <v>42.656999999999996</v>
      </c>
      <c r="E2112" s="162" t="s">
        <v>631</v>
      </c>
      <c r="F2112" s="729"/>
      <c r="G2112" s="730"/>
      <c r="H2112" s="73"/>
      <c r="I2112" s="90">
        <v>2007</v>
      </c>
      <c r="J2112" s="73"/>
      <c r="K2112" s="66">
        <v>0.155832</v>
      </c>
      <c r="L2112" s="717"/>
      <c r="M2112" s="73"/>
      <c r="N2112" s="811"/>
      <c r="O2112" s="1041"/>
      <c r="P2112" s="73"/>
      <c r="Q2112" s="811"/>
      <c r="R2112" s="1041"/>
      <c r="S2112" s="73"/>
      <c r="T2112" s="811"/>
      <c r="U2112" s="73"/>
      <c r="V2112" s="66"/>
      <c r="W2112" s="594">
        <f t="shared" si="1888"/>
        <v>1.0440744E-4</v>
      </c>
      <c r="X2112" s="595">
        <f t="shared" si="1889"/>
        <v>1.0440744E-4</v>
      </c>
      <c r="Y2112" s="52">
        <v>2007</v>
      </c>
      <c r="Z2112" s="52"/>
      <c r="AA2112" s="596">
        <f t="shared" ref="AA2112:AA2125" si="1900">+K2112/1000</f>
        <v>1.5583200000000001E-4</v>
      </c>
      <c r="AB2112" s="256">
        <v>-0.33</v>
      </c>
      <c r="AC2112" s="688">
        <f t="shared" si="1890"/>
        <v>-0.33</v>
      </c>
      <c r="AD2112" s="164"/>
      <c r="AE2112" s="164"/>
      <c r="AF2112" s="25"/>
      <c r="AG2112" s="26"/>
      <c r="AH2112" s="275"/>
      <c r="AI2112" s="52"/>
      <c r="AJ2112" s="35"/>
      <c r="AK2112" s="289"/>
      <c r="AL2112" s="290"/>
      <c r="AM2112" s="211"/>
      <c r="AN2112" s="164"/>
      <c r="AO2112" s="76"/>
      <c r="AP2112" s="44"/>
      <c r="AQ2112" s="275"/>
      <c r="AR2112" s="52"/>
      <c r="AS2112" s="35"/>
      <c r="AT2112" s="79"/>
      <c r="AU2112" s="212"/>
      <c r="AV2112" s="164"/>
      <c r="AW2112" s="164"/>
      <c r="AX2112" s="76"/>
      <c r="AY2112" s="44"/>
      <c r="AZ2112" s="275"/>
      <c r="BA2112" s="52"/>
      <c r="BB2112" s="35"/>
      <c r="BC2112" s="79"/>
      <c r="BD2112" s="230"/>
      <c r="BE2112" s="211"/>
      <c r="BF2112" s="164"/>
      <c r="BG2112" s="76"/>
      <c r="BH2112" s="44"/>
      <c r="BI2112" s="275"/>
      <c r="BJ2112" s="52"/>
      <c r="BK2112" s="35"/>
      <c r="BL2112" s="79"/>
      <c r="BM2112" s="230"/>
      <c r="BN2112" s="211"/>
      <c r="BO2112" s="164"/>
      <c r="BP2112" s="76"/>
      <c r="BQ2112" s="44"/>
      <c r="BR2112" s="299"/>
      <c r="BS2112" s="52"/>
      <c r="BT2112" s="35"/>
      <c r="BU2112" s="79"/>
      <c r="BV2112" s="212"/>
      <c r="BW2112" s="304"/>
      <c r="BX2112" s="313"/>
      <c r="BY2112" s="138"/>
    </row>
    <row r="2113" spans="1:77" ht="15" customHeight="1" outlineLevel="1" x14ac:dyDescent="0.2">
      <c r="A2113" s="583" t="s">
        <v>37</v>
      </c>
      <c r="B2113" s="583"/>
      <c r="C2113" s="162" t="s">
        <v>1082</v>
      </c>
      <c r="D2113" s="812">
        <v>5.5789999999999997</v>
      </c>
      <c r="E2113" s="162" t="s">
        <v>631</v>
      </c>
      <c r="F2113" s="729"/>
      <c r="G2113" s="730"/>
      <c r="H2113" s="73"/>
      <c r="I2113" s="90">
        <v>2007</v>
      </c>
      <c r="J2113" s="73"/>
      <c r="K2113" s="734">
        <v>3.3661000000000003E-2</v>
      </c>
      <c r="L2113" s="717"/>
      <c r="M2113" s="73"/>
      <c r="N2113" s="811"/>
      <c r="O2113" s="1041"/>
      <c r="P2113" s="73"/>
      <c r="Q2113" s="811"/>
      <c r="R2113" s="1041"/>
      <c r="S2113" s="73"/>
      <c r="T2113" s="811"/>
      <c r="U2113" s="73"/>
      <c r="V2113" s="66"/>
      <c r="W2113" s="740">
        <f t="shared" si="1888"/>
        <v>2.3899310000000001E-5</v>
      </c>
      <c r="X2113" s="741">
        <f t="shared" si="1889"/>
        <v>2.3899310000000001E-5</v>
      </c>
      <c r="Y2113" s="52">
        <v>2007</v>
      </c>
      <c r="Z2113" s="52"/>
      <c r="AA2113" s="739">
        <f t="shared" si="1900"/>
        <v>3.3661000000000002E-5</v>
      </c>
      <c r="AB2113" s="256">
        <v>-0.28999999999999998</v>
      </c>
      <c r="AC2113" s="688">
        <f t="shared" si="1890"/>
        <v>-0.28999999999999998</v>
      </c>
      <c r="AD2113" s="164"/>
      <c r="AE2113" s="164"/>
      <c r="AF2113" s="25"/>
      <c r="AG2113" s="26"/>
      <c r="AH2113" s="275"/>
      <c r="AI2113" s="52"/>
      <c r="AJ2113" s="35"/>
      <c r="AK2113" s="289"/>
      <c r="AL2113" s="290"/>
      <c r="AM2113" s="211"/>
      <c r="AN2113" s="164"/>
      <c r="AO2113" s="76"/>
      <c r="AP2113" s="44"/>
      <c r="AQ2113" s="275"/>
      <c r="AR2113" s="52"/>
      <c r="AS2113" s="35"/>
      <c r="AT2113" s="79"/>
      <c r="AU2113" s="212"/>
      <c r="AV2113" s="164"/>
      <c r="AW2113" s="164"/>
      <c r="AX2113" s="76"/>
      <c r="AY2113" s="44"/>
      <c r="AZ2113" s="275"/>
      <c r="BA2113" s="52"/>
      <c r="BB2113" s="35"/>
      <c r="BC2113" s="79"/>
      <c r="BD2113" s="230"/>
      <c r="BE2113" s="211"/>
      <c r="BF2113" s="164"/>
      <c r="BG2113" s="76"/>
      <c r="BH2113" s="44"/>
      <c r="BI2113" s="275"/>
      <c r="BJ2113" s="52"/>
      <c r="BK2113" s="35"/>
      <c r="BL2113" s="79"/>
      <c r="BM2113" s="230"/>
      <c r="BN2113" s="211"/>
      <c r="BO2113" s="164"/>
      <c r="BP2113" s="76"/>
      <c r="BQ2113" s="44"/>
      <c r="BR2113" s="299"/>
      <c r="BS2113" s="52"/>
      <c r="BT2113" s="35"/>
      <c r="BU2113" s="79"/>
      <c r="BV2113" s="212"/>
      <c r="BW2113" s="304"/>
      <c r="BX2113" s="313"/>
      <c r="BY2113" s="138"/>
    </row>
    <row r="2114" spans="1:77" ht="15" customHeight="1" outlineLevel="1" x14ac:dyDescent="0.2">
      <c r="A2114" s="583" t="s">
        <v>37</v>
      </c>
      <c r="B2114" s="583"/>
      <c r="C2114" s="162" t="s">
        <v>1026</v>
      </c>
      <c r="D2114" s="812">
        <v>5.3940000000000001</v>
      </c>
      <c r="E2114" s="162" t="s">
        <v>631</v>
      </c>
      <c r="F2114" s="729"/>
      <c r="G2114" s="730"/>
      <c r="H2114" s="73"/>
      <c r="I2114" s="90">
        <v>2007</v>
      </c>
      <c r="J2114" s="73"/>
      <c r="K2114" s="734">
        <v>6.9369999999999996E-3</v>
      </c>
      <c r="L2114" s="717"/>
      <c r="M2114" s="73"/>
      <c r="N2114" s="811"/>
      <c r="O2114" s="1041"/>
      <c r="P2114" s="73"/>
      <c r="Q2114" s="811"/>
      <c r="R2114" s="1041"/>
      <c r="S2114" s="73"/>
      <c r="T2114" s="811"/>
      <c r="U2114" s="73"/>
      <c r="V2114" s="66"/>
      <c r="W2114" s="788">
        <f t="shared" si="1888"/>
        <v>4.9252699999999997E-6</v>
      </c>
      <c r="X2114" s="789">
        <f t="shared" si="1889"/>
        <v>4.9252699999999997E-6</v>
      </c>
      <c r="Y2114" s="52">
        <v>2007</v>
      </c>
      <c r="Z2114" s="52"/>
      <c r="AA2114" s="787">
        <f t="shared" si="1900"/>
        <v>6.9369999999999998E-6</v>
      </c>
      <c r="AB2114" s="256">
        <v>-0.28999999999999998</v>
      </c>
      <c r="AC2114" s="688">
        <f t="shared" si="1890"/>
        <v>-0.28999999999999998</v>
      </c>
      <c r="AD2114" s="164"/>
      <c r="AE2114" s="164"/>
      <c r="AF2114" s="25"/>
      <c r="AG2114" s="26"/>
      <c r="AH2114" s="275"/>
      <c r="AI2114" s="52"/>
      <c r="AJ2114" s="35"/>
      <c r="AK2114" s="289"/>
      <c r="AL2114" s="290"/>
      <c r="AM2114" s="211"/>
      <c r="AN2114" s="164"/>
      <c r="AO2114" s="76"/>
      <c r="AP2114" s="44"/>
      <c r="AQ2114" s="275"/>
      <c r="AR2114" s="52"/>
      <c r="AS2114" s="35"/>
      <c r="AT2114" s="79"/>
      <c r="AU2114" s="212"/>
      <c r="AV2114" s="164"/>
      <c r="AW2114" s="164"/>
      <c r="AX2114" s="76"/>
      <c r="AY2114" s="44"/>
      <c r="AZ2114" s="275"/>
      <c r="BA2114" s="52"/>
      <c r="BB2114" s="35"/>
      <c r="BC2114" s="79"/>
      <c r="BD2114" s="230"/>
      <c r="BE2114" s="211"/>
      <c r="BF2114" s="164"/>
      <c r="BG2114" s="76"/>
      <c r="BH2114" s="44"/>
      <c r="BI2114" s="275"/>
      <c r="BJ2114" s="52"/>
      <c r="BK2114" s="35"/>
      <c r="BL2114" s="79"/>
      <c r="BM2114" s="230"/>
      <c r="BN2114" s="211"/>
      <c r="BO2114" s="164"/>
      <c r="BP2114" s="76"/>
      <c r="BQ2114" s="44"/>
      <c r="BR2114" s="299"/>
      <c r="BS2114" s="52"/>
      <c r="BT2114" s="35"/>
      <c r="BU2114" s="79"/>
      <c r="BV2114" s="212"/>
      <c r="BW2114" s="304"/>
      <c r="BX2114" s="313"/>
      <c r="BY2114" s="138"/>
    </row>
    <row r="2115" spans="1:77" ht="15" customHeight="1" outlineLevel="1" x14ac:dyDescent="0.2">
      <c r="A2115" s="583" t="s">
        <v>37</v>
      </c>
      <c r="B2115" s="583"/>
      <c r="C2115" s="162" t="s">
        <v>1027</v>
      </c>
      <c r="D2115" s="812">
        <v>1.859</v>
      </c>
      <c r="E2115" s="162" t="s">
        <v>631</v>
      </c>
      <c r="F2115" s="729"/>
      <c r="G2115" s="730"/>
      <c r="H2115" s="73"/>
      <c r="I2115" s="90">
        <v>2007</v>
      </c>
      <c r="J2115" s="73"/>
      <c r="K2115" s="790">
        <v>2.6129999999999999E-3</v>
      </c>
      <c r="L2115" s="717"/>
      <c r="M2115" s="73"/>
      <c r="N2115" s="811"/>
      <c r="O2115" s="1041"/>
      <c r="P2115" s="73"/>
      <c r="Q2115" s="811"/>
      <c r="R2115" s="1041"/>
      <c r="S2115" s="73"/>
      <c r="T2115" s="811"/>
      <c r="U2115" s="73"/>
      <c r="V2115" s="66"/>
      <c r="W2115" s="788">
        <f t="shared" si="1888"/>
        <v>1.9336199999999997E-6</v>
      </c>
      <c r="X2115" s="789">
        <f t="shared" si="1889"/>
        <v>1.9336199999999997E-6</v>
      </c>
      <c r="Y2115" s="52">
        <v>2007</v>
      </c>
      <c r="Z2115" s="52"/>
      <c r="AA2115" s="787">
        <f t="shared" si="1900"/>
        <v>2.6129999999999998E-6</v>
      </c>
      <c r="AB2115" s="256">
        <v>-0.26</v>
      </c>
      <c r="AC2115" s="688">
        <f t="shared" si="1890"/>
        <v>-0.26</v>
      </c>
      <c r="AD2115" s="164"/>
      <c r="AE2115" s="164"/>
      <c r="AF2115" s="25"/>
      <c r="AG2115" s="26"/>
      <c r="AH2115" s="275"/>
      <c r="AI2115" s="52"/>
      <c r="AJ2115" s="35"/>
      <c r="AK2115" s="289"/>
      <c r="AL2115" s="290"/>
      <c r="AM2115" s="211"/>
      <c r="AN2115" s="164"/>
      <c r="AO2115" s="76"/>
      <c r="AP2115" s="44"/>
      <c r="AQ2115" s="275"/>
      <c r="AR2115" s="52"/>
      <c r="AS2115" s="35"/>
      <c r="AT2115" s="79"/>
      <c r="AU2115" s="212"/>
      <c r="AV2115" s="164"/>
      <c r="AW2115" s="164"/>
      <c r="AX2115" s="76"/>
      <c r="AY2115" s="44"/>
      <c r="AZ2115" s="275"/>
      <c r="BA2115" s="52"/>
      <c r="BB2115" s="35"/>
      <c r="BC2115" s="79"/>
      <c r="BD2115" s="230"/>
      <c r="BE2115" s="211"/>
      <c r="BF2115" s="164"/>
      <c r="BG2115" s="76"/>
      <c r="BH2115" s="44"/>
      <c r="BI2115" s="275"/>
      <c r="BJ2115" s="52"/>
      <c r="BK2115" s="35"/>
      <c r="BL2115" s="79"/>
      <c r="BM2115" s="230"/>
      <c r="BN2115" s="211"/>
      <c r="BO2115" s="164"/>
      <c r="BP2115" s="76"/>
      <c r="BQ2115" s="44"/>
      <c r="BR2115" s="299"/>
      <c r="BS2115" s="52"/>
      <c r="BT2115" s="35"/>
      <c r="BU2115" s="79"/>
      <c r="BV2115" s="212"/>
      <c r="BW2115" s="304"/>
      <c r="BX2115" s="313"/>
      <c r="BY2115" s="138"/>
    </row>
    <row r="2116" spans="1:77" ht="15" customHeight="1" outlineLevel="1" x14ac:dyDescent="0.2">
      <c r="A2116" s="583" t="s">
        <v>37</v>
      </c>
      <c r="B2116" s="583"/>
      <c r="C2116" s="162" t="s">
        <v>1004</v>
      </c>
      <c r="D2116" s="806">
        <v>0.20799999999999999</v>
      </c>
      <c r="E2116" s="162" t="s">
        <v>631</v>
      </c>
      <c r="F2116" s="729"/>
      <c r="G2116" s="730"/>
      <c r="H2116" s="73"/>
      <c r="I2116" s="90">
        <v>2007</v>
      </c>
      <c r="J2116" s="73"/>
      <c r="K2116" s="790">
        <v>9.2100000000000005E-4</v>
      </c>
      <c r="L2116" s="717"/>
      <c r="M2116" s="73"/>
      <c r="N2116" s="811"/>
      <c r="O2116" s="1041"/>
      <c r="P2116" s="73"/>
      <c r="Q2116" s="811"/>
      <c r="R2116" s="1041"/>
      <c r="S2116" s="73"/>
      <c r="T2116" s="811"/>
      <c r="U2116" s="73"/>
      <c r="V2116" s="66"/>
      <c r="W2116" s="788">
        <f t="shared" si="1888"/>
        <v>6.5390999999999996E-7</v>
      </c>
      <c r="X2116" s="789">
        <f t="shared" si="1889"/>
        <v>6.5390999999999996E-7</v>
      </c>
      <c r="Y2116" s="52">
        <v>2007</v>
      </c>
      <c r="Z2116" s="52"/>
      <c r="AA2116" s="787">
        <f t="shared" si="1900"/>
        <v>9.2100000000000005E-7</v>
      </c>
      <c r="AB2116" s="256">
        <v>-0.28999999999999998</v>
      </c>
      <c r="AC2116" s="688">
        <f t="shared" si="1890"/>
        <v>-0.28999999999999998</v>
      </c>
      <c r="AD2116" s="164"/>
      <c r="AE2116" s="164"/>
      <c r="AF2116" s="25"/>
      <c r="AG2116" s="26"/>
      <c r="AH2116" s="275"/>
      <c r="AI2116" s="52"/>
      <c r="AJ2116" s="35"/>
      <c r="AK2116" s="289"/>
      <c r="AL2116" s="290"/>
      <c r="AM2116" s="211"/>
      <c r="AN2116" s="164"/>
      <c r="AO2116" s="76"/>
      <c r="AP2116" s="44"/>
      <c r="AQ2116" s="275"/>
      <c r="AR2116" s="52"/>
      <c r="AS2116" s="35"/>
      <c r="AT2116" s="79"/>
      <c r="AU2116" s="212"/>
      <c r="AV2116" s="164"/>
      <c r="AW2116" s="164"/>
      <c r="AX2116" s="76"/>
      <c r="AY2116" s="44"/>
      <c r="AZ2116" s="275"/>
      <c r="BA2116" s="52"/>
      <c r="BB2116" s="35"/>
      <c r="BC2116" s="79"/>
      <c r="BD2116" s="230"/>
      <c r="BE2116" s="211"/>
      <c r="BF2116" s="164"/>
      <c r="BG2116" s="76"/>
      <c r="BH2116" s="44"/>
      <c r="BI2116" s="275"/>
      <c r="BJ2116" s="52"/>
      <c r="BK2116" s="35"/>
      <c r="BL2116" s="79"/>
      <c r="BM2116" s="230"/>
      <c r="BN2116" s="211"/>
      <c r="BO2116" s="164"/>
      <c r="BP2116" s="76"/>
      <c r="BQ2116" s="44"/>
      <c r="BR2116" s="299"/>
      <c r="BS2116" s="52"/>
      <c r="BT2116" s="35"/>
      <c r="BU2116" s="79"/>
      <c r="BV2116" s="212"/>
      <c r="BW2116" s="304"/>
      <c r="BX2116" s="313"/>
      <c r="BY2116" s="138"/>
    </row>
    <row r="2117" spans="1:77" ht="15" customHeight="1" outlineLevel="1" x14ac:dyDescent="0.2">
      <c r="A2117" s="583" t="s">
        <v>37</v>
      </c>
      <c r="B2117" s="583"/>
      <c r="C2117" s="162" t="s">
        <v>1116</v>
      </c>
      <c r="D2117" s="812">
        <v>1.1890000000000001</v>
      </c>
      <c r="E2117" s="162" t="s">
        <v>631</v>
      </c>
      <c r="F2117" s="729"/>
      <c r="G2117" s="730"/>
      <c r="H2117" s="73"/>
      <c r="I2117" s="90">
        <v>2007</v>
      </c>
      <c r="J2117" s="73"/>
      <c r="K2117" s="790">
        <v>2.48E-3</v>
      </c>
      <c r="L2117" s="717"/>
      <c r="M2117" s="73"/>
      <c r="N2117" s="811"/>
      <c r="O2117" s="1041"/>
      <c r="P2117" s="73"/>
      <c r="Q2117" s="811"/>
      <c r="R2117" s="1041"/>
      <c r="S2117" s="73"/>
      <c r="T2117" s="811"/>
      <c r="U2117" s="73"/>
      <c r="V2117" s="66"/>
      <c r="W2117" s="788">
        <f t="shared" si="1888"/>
        <v>1.4632000000000002E-6</v>
      </c>
      <c r="X2117" s="789">
        <f t="shared" si="1889"/>
        <v>1.4632000000000002E-6</v>
      </c>
      <c r="Y2117" s="52">
        <v>2007</v>
      </c>
      <c r="Z2117" s="52"/>
      <c r="AA2117" s="787">
        <f t="shared" si="1900"/>
        <v>2.48E-6</v>
      </c>
      <c r="AB2117" s="256">
        <v>-0.41</v>
      </c>
      <c r="AC2117" s="688">
        <f t="shared" si="1890"/>
        <v>-0.41</v>
      </c>
      <c r="AD2117" s="164"/>
      <c r="AE2117" s="164"/>
      <c r="AF2117" s="25"/>
      <c r="AG2117" s="26"/>
      <c r="AH2117" s="275"/>
      <c r="AI2117" s="52"/>
      <c r="AJ2117" s="35"/>
      <c r="AK2117" s="289"/>
      <c r="AL2117" s="290"/>
      <c r="AM2117" s="211"/>
      <c r="AN2117" s="164"/>
      <c r="AO2117" s="76"/>
      <c r="AP2117" s="44"/>
      <c r="AQ2117" s="275"/>
      <c r="AR2117" s="52"/>
      <c r="AS2117" s="35"/>
      <c r="AT2117" s="79"/>
      <c r="AU2117" s="212"/>
      <c r="AV2117" s="164"/>
      <c r="AW2117" s="164"/>
      <c r="AX2117" s="76"/>
      <c r="AY2117" s="44"/>
      <c r="AZ2117" s="275"/>
      <c r="BA2117" s="52"/>
      <c r="BB2117" s="35"/>
      <c r="BC2117" s="79"/>
      <c r="BD2117" s="230"/>
      <c r="BE2117" s="211"/>
      <c r="BF2117" s="164"/>
      <c r="BG2117" s="76"/>
      <c r="BH2117" s="44"/>
      <c r="BI2117" s="275"/>
      <c r="BJ2117" s="52"/>
      <c r="BK2117" s="35"/>
      <c r="BL2117" s="79"/>
      <c r="BM2117" s="230"/>
      <c r="BN2117" s="211"/>
      <c r="BO2117" s="164"/>
      <c r="BP2117" s="76"/>
      <c r="BQ2117" s="44"/>
      <c r="BR2117" s="299"/>
      <c r="BS2117" s="52"/>
      <c r="BT2117" s="35"/>
      <c r="BU2117" s="79"/>
      <c r="BV2117" s="212"/>
      <c r="BW2117" s="304"/>
      <c r="BX2117" s="313"/>
      <c r="BY2117" s="138"/>
    </row>
    <row r="2118" spans="1:77" ht="15" customHeight="1" outlineLevel="1" x14ac:dyDescent="0.2">
      <c r="A2118" s="583" t="s">
        <v>37</v>
      </c>
      <c r="B2118" s="583"/>
      <c r="C2118" s="162" t="s">
        <v>1103</v>
      </c>
      <c r="D2118" s="806">
        <v>0.16800000000000001</v>
      </c>
      <c r="E2118" s="162" t="s">
        <v>631</v>
      </c>
      <c r="F2118" s="729"/>
      <c r="G2118" s="730"/>
      <c r="H2118" s="73"/>
      <c r="I2118" s="90">
        <v>2007</v>
      </c>
      <c r="J2118" s="73"/>
      <c r="K2118" s="815">
        <v>2.8425E-4</v>
      </c>
      <c r="L2118" s="717"/>
      <c r="M2118" s="73"/>
      <c r="N2118" s="811"/>
      <c r="O2118" s="1041"/>
      <c r="P2118" s="73"/>
      <c r="Q2118" s="811"/>
      <c r="R2118" s="1041"/>
      <c r="S2118" s="73"/>
      <c r="T2118" s="811"/>
      <c r="U2118" s="73"/>
      <c r="V2118" s="66"/>
      <c r="W2118" s="808">
        <f t="shared" si="1888"/>
        <v>2.0750250000000001E-7</v>
      </c>
      <c r="X2118" s="809">
        <f t="shared" si="1889"/>
        <v>2.0750250000000001E-7</v>
      </c>
      <c r="Y2118" s="52">
        <v>2007</v>
      </c>
      <c r="Z2118" s="52"/>
      <c r="AA2118" s="807">
        <f t="shared" si="1900"/>
        <v>2.8425000000000002E-7</v>
      </c>
      <c r="AB2118" s="256">
        <v>-0.27</v>
      </c>
      <c r="AC2118" s="688">
        <f t="shared" si="1890"/>
        <v>-0.27</v>
      </c>
      <c r="AD2118" s="164"/>
      <c r="AE2118" s="164"/>
      <c r="AF2118" s="25"/>
      <c r="AG2118" s="26"/>
      <c r="AH2118" s="275"/>
      <c r="AI2118" s="52"/>
      <c r="AJ2118" s="35"/>
      <c r="AK2118" s="289"/>
      <c r="AL2118" s="290"/>
      <c r="AM2118" s="211"/>
      <c r="AN2118" s="164"/>
      <c r="AO2118" s="76"/>
      <c r="AP2118" s="44"/>
      <c r="AQ2118" s="275"/>
      <c r="AR2118" s="52"/>
      <c r="AS2118" s="35"/>
      <c r="AT2118" s="79"/>
      <c r="AU2118" s="212"/>
      <c r="AV2118" s="164"/>
      <c r="AW2118" s="164"/>
      <c r="AX2118" s="76"/>
      <c r="AY2118" s="44"/>
      <c r="AZ2118" s="275"/>
      <c r="BA2118" s="52"/>
      <c r="BB2118" s="35"/>
      <c r="BC2118" s="79"/>
      <c r="BD2118" s="230"/>
      <c r="BE2118" s="211"/>
      <c r="BF2118" s="164"/>
      <c r="BG2118" s="76"/>
      <c r="BH2118" s="44"/>
      <c r="BI2118" s="275"/>
      <c r="BJ2118" s="52"/>
      <c r="BK2118" s="35"/>
      <c r="BL2118" s="79"/>
      <c r="BM2118" s="230"/>
      <c r="BN2118" s="211"/>
      <c r="BO2118" s="164"/>
      <c r="BP2118" s="76"/>
      <c r="BQ2118" s="44"/>
      <c r="BR2118" s="299"/>
      <c r="BS2118" s="52"/>
      <c r="BT2118" s="35"/>
      <c r="BU2118" s="79"/>
      <c r="BV2118" s="212"/>
      <c r="BW2118" s="304"/>
      <c r="BX2118" s="313"/>
      <c r="BY2118" s="138"/>
    </row>
    <row r="2119" spans="1:77" ht="15" customHeight="1" outlineLevel="1" x14ac:dyDescent="0.2">
      <c r="A2119" s="583" t="s">
        <v>37</v>
      </c>
      <c r="B2119" s="583"/>
      <c r="C2119" s="162" t="s">
        <v>1111</v>
      </c>
      <c r="D2119" s="812">
        <v>0.50800000000000001</v>
      </c>
      <c r="E2119" s="162" t="s">
        <v>631</v>
      </c>
      <c r="F2119" s="729"/>
      <c r="G2119" s="730"/>
      <c r="H2119" s="73"/>
      <c r="I2119" s="90">
        <v>2007</v>
      </c>
      <c r="J2119" s="73"/>
      <c r="K2119" s="790">
        <v>1.2210000000000001E-3</v>
      </c>
      <c r="L2119" s="717"/>
      <c r="M2119" s="73"/>
      <c r="N2119" s="811"/>
      <c r="O2119" s="1041"/>
      <c r="P2119" s="73"/>
      <c r="Q2119" s="811"/>
      <c r="R2119" s="1041"/>
      <c r="S2119" s="73"/>
      <c r="T2119" s="811"/>
      <c r="U2119" s="73"/>
      <c r="V2119" s="66"/>
      <c r="W2119" s="788">
        <f t="shared" si="1888"/>
        <v>7.3259999999999998E-7</v>
      </c>
      <c r="X2119" s="789">
        <f t="shared" si="1889"/>
        <v>7.3259999999999998E-7</v>
      </c>
      <c r="Y2119" s="52">
        <v>2007</v>
      </c>
      <c r="Z2119" s="52"/>
      <c r="AA2119" s="787">
        <f t="shared" si="1900"/>
        <v>1.221E-6</v>
      </c>
      <c r="AB2119" s="256">
        <v>-0.4</v>
      </c>
      <c r="AC2119" s="688">
        <f t="shared" si="1890"/>
        <v>-0.4</v>
      </c>
      <c r="AD2119" s="164"/>
      <c r="AE2119" s="164"/>
      <c r="AF2119" s="25"/>
      <c r="AG2119" s="26"/>
      <c r="AH2119" s="275"/>
      <c r="AI2119" s="52"/>
      <c r="AJ2119" s="35"/>
      <c r="AK2119" s="289"/>
      <c r="AL2119" s="290"/>
      <c r="AM2119" s="211"/>
      <c r="AN2119" s="164"/>
      <c r="AO2119" s="76"/>
      <c r="AP2119" s="44"/>
      <c r="AQ2119" s="275"/>
      <c r="AR2119" s="52"/>
      <c r="AS2119" s="35"/>
      <c r="AT2119" s="79"/>
      <c r="AU2119" s="212"/>
      <c r="AV2119" s="164"/>
      <c r="AW2119" s="164"/>
      <c r="AX2119" s="76"/>
      <c r="AY2119" s="44"/>
      <c r="AZ2119" s="275"/>
      <c r="BA2119" s="52"/>
      <c r="BB2119" s="35"/>
      <c r="BC2119" s="79"/>
      <c r="BD2119" s="230"/>
      <c r="BE2119" s="211"/>
      <c r="BF2119" s="164"/>
      <c r="BG2119" s="76"/>
      <c r="BH2119" s="44"/>
      <c r="BI2119" s="275"/>
      <c r="BJ2119" s="52"/>
      <c r="BK2119" s="35"/>
      <c r="BL2119" s="79"/>
      <c r="BM2119" s="230"/>
      <c r="BN2119" s="211"/>
      <c r="BO2119" s="164"/>
      <c r="BP2119" s="76"/>
      <c r="BQ2119" s="44"/>
      <c r="BR2119" s="299"/>
      <c r="BS2119" s="52"/>
      <c r="BT2119" s="35"/>
      <c r="BU2119" s="79"/>
      <c r="BV2119" s="212"/>
      <c r="BW2119" s="304"/>
      <c r="BX2119" s="313"/>
      <c r="BY2119" s="138"/>
    </row>
    <row r="2120" spans="1:77" ht="15" customHeight="1" outlineLevel="1" x14ac:dyDescent="0.2">
      <c r="A2120" s="583" t="s">
        <v>37</v>
      </c>
      <c r="B2120" s="583"/>
      <c r="C2120" s="162" t="s">
        <v>1127</v>
      </c>
      <c r="D2120" s="806">
        <v>0.113</v>
      </c>
      <c r="E2120" s="162" t="s">
        <v>631</v>
      </c>
      <c r="F2120" s="729"/>
      <c r="G2120" s="730"/>
      <c r="H2120" s="73"/>
      <c r="I2120" s="90">
        <v>2007</v>
      </c>
      <c r="J2120" s="73"/>
      <c r="K2120" s="815">
        <v>1.9029999999999999E-4</v>
      </c>
      <c r="L2120" s="717"/>
      <c r="M2120" s="73"/>
      <c r="N2120" s="811"/>
      <c r="O2120" s="1041"/>
      <c r="P2120" s="73"/>
      <c r="Q2120" s="811"/>
      <c r="R2120" s="1041"/>
      <c r="S2120" s="73"/>
      <c r="T2120" s="811"/>
      <c r="U2120" s="73"/>
      <c r="V2120" s="66"/>
      <c r="W2120" s="808">
        <f t="shared" si="1888"/>
        <v>1.42725E-7</v>
      </c>
      <c r="X2120" s="809">
        <f t="shared" si="1889"/>
        <v>1.42725E-7</v>
      </c>
      <c r="Y2120" s="52">
        <v>2007</v>
      </c>
      <c r="Z2120" s="52"/>
      <c r="AA2120" s="807">
        <f t="shared" si="1900"/>
        <v>1.903E-7</v>
      </c>
      <c r="AB2120" s="256">
        <v>-0.25</v>
      </c>
      <c r="AC2120" s="688">
        <f t="shared" si="1890"/>
        <v>-0.25</v>
      </c>
      <c r="AD2120" s="164"/>
      <c r="AE2120" s="164"/>
      <c r="AF2120" s="25"/>
      <c r="AG2120" s="26"/>
      <c r="AH2120" s="275"/>
      <c r="AI2120" s="52"/>
      <c r="AJ2120" s="35"/>
      <c r="AK2120" s="289"/>
      <c r="AL2120" s="290"/>
      <c r="AM2120" s="211"/>
      <c r="AN2120" s="164"/>
      <c r="AO2120" s="76"/>
      <c r="AP2120" s="44"/>
      <c r="AQ2120" s="275"/>
      <c r="AR2120" s="52"/>
      <c r="AS2120" s="35"/>
      <c r="AT2120" s="79"/>
      <c r="AU2120" s="212"/>
      <c r="AV2120" s="164"/>
      <c r="AW2120" s="164"/>
      <c r="AX2120" s="76"/>
      <c r="AY2120" s="44"/>
      <c r="AZ2120" s="275"/>
      <c r="BA2120" s="52"/>
      <c r="BB2120" s="35"/>
      <c r="BC2120" s="79"/>
      <c r="BD2120" s="230"/>
      <c r="BE2120" s="211"/>
      <c r="BF2120" s="164"/>
      <c r="BG2120" s="76"/>
      <c r="BH2120" s="44"/>
      <c r="BI2120" s="275"/>
      <c r="BJ2120" s="52"/>
      <c r="BK2120" s="35"/>
      <c r="BL2120" s="79"/>
      <c r="BM2120" s="230"/>
      <c r="BN2120" s="211"/>
      <c r="BO2120" s="164"/>
      <c r="BP2120" s="76"/>
      <c r="BQ2120" s="44"/>
      <c r="BR2120" s="299"/>
      <c r="BS2120" s="52"/>
      <c r="BT2120" s="35"/>
      <c r="BU2120" s="79"/>
      <c r="BV2120" s="212"/>
      <c r="BW2120" s="304"/>
      <c r="BX2120" s="313"/>
      <c r="BY2120" s="138"/>
    </row>
    <row r="2121" spans="1:77" ht="15" customHeight="1" outlineLevel="1" x14ac:dyDescent="0.2">
      <c r="A2121" s="583" t="s">
        <v>37</v>
      </c>
      <c r="B2121" s="583"/>
      <c r="C2121" s="162" t="s">
        <v>1117</v>
      </c>
      <c r="D2121" s="806">
        <v>0.41899999999999998</v>
      </c>
      <c r="E2121" s="162" t="s">
        <v>631</v>
      </c>
      <c r="F2121" s="729"/>
      <c r="G2121" s="730"/>
      <c r="H2121" s="73"/>
      <c r="I2121" s="90">
        <v>2007</v>
      </c>
      <c r="J2121" s="73"/>
      <c r="K2121" s="790">
        <v>9.1518999999999997E-4</v>
      </c>
      <c r="L2121" s="717"/>
      <c r="M2121" s="73"/>
      <c r="N2121" s="811"/>
      <c r="O2121" s="1041"/>
      <c r="P2121" s="73"/>
      <c r="Q2121" s="811"/>
      <c r="R2121" s="1041"/>
      <c r="S2121" s="73"/>
      <c r="T2121" s="811"/>
      <c r="U2121" s="73"/>
      <c r="V2121" s="66"/>
      <c r="W2121" s="788">
        <f t="shared" si="1888"/>
        <v>5.4911399999999992E-7</v>
      </c>
      <c r="X2121" s="789">
        <f t="shared" si="1889"/>
        <v>5.4911399999999992E-7</v>
      </c>
      <c r="Y2121" s="52">
        <v>2007</v>
      </c>
      <c r="Z2121" s="52"/>
      <c r="AA2121" s="787">
        <f t="shared" si="1900"/>
        <v>9.1518999999999998E-7</v>
      </c>
      <c r="AB2121" s="256">
        <v>-0.4</v>
      </c>
      <c r="AC2121" s="688">
        <f t="shared" si="1890"/>
        <v>-0.4</v>
      </c>
      <c r="AD2121" s="164"/>
      <c r="AE2121" s="164"/>
      <c r="AF2121" s="25"/>
      <c r="AG2121" s="26"/>
      <c r="AH2121" s="275"/>
      <c r="AI2121" s="52"/>
      <c r="AJ2121" s="35"/>
      <c r="AK2121" s="289"/>
      <c r="AL2121" s="290"/>
      <c r="AM2121" s="211"/>
      <c r="AN2121" s="164"/>
      <c r="AO2121" s="76"/>
      <c r="AP2121" s="44"/>
      <c r="AQ2121" s="275"/>
      <c r="AR2121" s="52"/>
      <c r="AS2121" s="35"/>
      <c r="AT2121" s="79"/>
      <c r="AU2121" s="212"/>
      <c r="AV2121" s="164"/>
      <c r="AW2121" s="164"/>
      <c r="AX2121" s="76"/>
      <c r="AY2121" s="44"/>
      <c r="AZ2121" s="275"/>
      <c r="BA2121" s="52"/>
      <c r="BB2121" s="35"/>
      <c r="BC2121" s="79"/>
      <c r="BD2121" s="230"/>
      <c r="BE2121" s="211"/>
      <c r="BF2121" s="164"/>
      <c r="BG2121" s="76"/>
      <c r="BH2121" s="44"/>
      <c r="BI2121" s="275"/>
      <c r="BJ2121" s="52"/>
      <c r="BK2121" s="35"/>
      <c r="BL2121" s="79"/>
      <c r="BM2121" s="230"/>
      <c r="BN2121" s="211"/>
      <c r="BO2121" s="164"/>
      <c r="BP2121" s="76"/>
      <c r="BQ2121" s="44"/>
      <c r="BR2121" s="299"/>
      <c r="BS2121" s="52"/>
      <c r="BT2121" s="35"/>
      <c r="BU2121" s="79"/>
      <c r="BV2121" s="212"/>
      <c r="BW2121" s="304"/>
      <c r="BX2121" s="313"/>
      <c r="BY2121" s="138"/>
    </row>
    <row r="2122" spans="1:77" ht="15" customHeight="1" outlineLevel="1" x14ac:dyDescent="0.2">
      <c r="A2122" s="583" t="s">
        <v>37</v>
      </c>
      <c r="B2122" s="583"/>
      <c r="C2122" s="162" t="s">
        <v>1139</v>
      </c>
      <c r="D2122" s="806">
        <v>6.5000000000000002E-2</v>
      </c>
      <c r="E2122" s="162" t="s">
        <v>631</v>
      </c>
      <c r="F2122" s="729"/>
      <c r="G2122" s="730"/>
      <c r="H2122" s="73"/>
      <c r="I2122" s="90">
        <v>2007</v>
      </c>
      <c r="J2122" s="73"/>
      <c r="K2122" s="815">
        <v>2.3368E-4</v>
      </c>
      <c r="L2122" s="717"/>
      <c r="M2122" s="73"/>
      <c r="N2122" s="811"/>
      <c r="O2122" s="1041"/>
      <c r="P2122" s="73"/>
      <c r="Q2122" s="811"/>
      <c r="R2122" s="1041"/>
      <c r="S2122" s="73"/>
      <c r="T2122" s="811"/>
      <c r="U2122" s="73"/>
      <c r="V2122" s="66"/>
      <c r="W2122" s="808">
        <f t="shared" si="1888"/>
        <v>1.6357600000000001E-7</v>
      </c>
      <c r="X2122" s="809">
        <f t="shared" si="1889"/>
        <v>1.6357600000000001E-7</v>
      </c>
      <c r="Y2122" s="52">
        <v>2007</v>
      </c>
      <c r="Z2122" s="52"/>
      <c r="AA2122" s="807">
        <f t="shared" si="1900"/>
        <v>2.3368000000000001E-7</v>
      </c>
      <c r="AB2122" s="256">
        <v>-0.3</v>
      </c>
      <c r="AC2122" s="688">
        <f t="shared" si="1890"/>
        <v>-0.3</v>
      </c>
      <c r="AD2122" s="164"/>
      <c r="AE2122" s="164"/>
      <c r="AF2122" s="25"/>
      <c r="AG2122" s="26"/>
      <c r="AH2122" s="275"/>
      <c r="AI2122" s="52"/>
      <c r="AJ2122" s="35"/>
      <c r="AK2122" s="289"/>
      <c r="AL2122" s="290"/>
      <c r="AM2122" s="211"/>
      <c r="AN2122" s="164"/>
      <c r="AO2122" s="76"/>
      <c r="AP2122" s="44"/>
      <c r="AQ2122" s="275"/>
      <c r="AR2122" s="52"/>
      <c r="AS2122" s="35"/>
      <c r="AT2122" s="79"/>
      <c r="AU2122" s="212"/>
      <c r="AV2122" s="164"/>
      <c r="AW2122" s="164"/>
      <c r="AX2122" s="76"/>
      <c r="AY2122" s="44"/>
      <c r="AZ2122" s="275"/>
      <c r="BA2122" s="52"/>
      <c r="BB2122" s="35"/>
      <c r="BC2122" s="79"/>
      <c r="BD2122" s="230"/>
      <c r="BE2122" s="211"/>
      <c r="BF2122" s="164"/>
      <c r="BG2122" s="76"/>
      <c r="BH2122" s="44"/>
      <c r="BI2122" s="275"/>
      <c r="BJ2122" s="52"/>
      <c r="BK2122" s="35"/>
      <c r="BL2122" s="79"/>
      <c r="BM2122" s="230"/>
      <c r="BN2122" s="211"/>
      <c r="BO2122" s="164"/>
      <c r="BP2122" s="76"/>
      <c r="BQ2122" s="44"/>
      <c r="BR2122" s="299"/>
      <c r="BS2122" s="52"/>
      <c r="BT2122" s="35"/>
      <c r="BU2122" s="79"/>
      <c r="BV2122" s="212"/>
      <c r="BW2122" s="304"/>
      <c r="BX2122" s="313"/>
      <c r="BY2122" s="138"/>
    </row>
    <row r="2123" spans="1:77" ht="15" customHeight="1" outlineLevel="1" x14ac:dyDescent="0.2">
      <c r="A2123" s="583" t="s">
        <v>37</v>
      </c>
      <c r="B2123" s="583"/>
      <c r="C2123" s="162" t="s">
        <v>1162</v>
      </c>
      <c r="D2123" s="812">
        <v>14.249000000000001</v>
      </c>
      <c r="E2123" s="162" t="s">
        <v>631</v>
      </c>
      <c r="F2123" s="729"/>
      <c r="G2123" s="730"/>
      <c r="H2123" s="73"/>
      <c r="I2123" s="90">
        <v>2007</v>
      </c>
      <c r="J2123" s="73"/>
      <c r="K2123" s="734">
        <v>6.8668999999999994E-2</v>
      </c>
      <c r="L2123" s="717"/>
      <c r="M2123" s="73"/>
      <c r="N2123" s="811"/>
      <c r="O2123" s="1041"/>
      <c r="P2123" s="73"/>
      <c r="Q2123" s="811"/>
      <c r="R2123" s="1041"/>
      <c r="S2123" s="73"/>
      <c r="T2123" s="811"/>
      <c r="U2123" s="73"/>
      <c r="V2123" s="66"/>
      <c r="W2123" s="740">
        <f t="shared" si="1888"/>
        <v>5.012836999999999E-5</v>
      </c>
      <c r="X2123" s="741">
        <f t="shared" si="1889"/>
        <v>5.012836999999999E-5</v>
      </c>
      <c r="Y2123" s="52">
        <v>2007</v>
      </c>
      <c r="Z2123" s="52"/>
      <c r="AA2123" s="739">
        <f t="shared" si="1900"/>
        <v>6.8668999999999989E-5</v>
      </c>
      <c r="AB2123" s="256">
        <v>-0.27</v>
      </c>
      <c r="AC2123" s="688">
        <f t="shared" si="1890"/>
        <v>-0.27</v>
      </c>
      <c r="AD2123" s="164"/>
      <c r="AE2123" s="164"/>
      <c r="AF2123" s="25"/>
      <c r="AG2123" s="26"/>
      <c r="AH2123" s="275"/>
      <c r="AI2123" s="52"/>
      <c r="AJ2123" s="35"/>
      <c r="AK2123" s="289"/>
      <c r="AL2123" s="290"/>
      <c r="AM2123" s="211"/>
      <c r="AN2123" s="164"/>
      <c r="AO2123" s="76"/>
      <c r="AP2123" s="44"/>
      <c r="AQ2123" s="275"/>
      <c r="AR2123" s="52"/>
      <c r="AS2123" s="35"/>
      <c r="AT2123" s="79"/>
      <c r="AU2123" s="212"/>
      <c r="AV2123" s="164"/>
      <c r="AW2123" s="164"/>
      <c r="AX2123" s="76"/>
      <c r="AY2123" s="44"/>
      <c r="AZ2123" s="275"/>
      <c r="BA2123" s="52"/>
      <c r="BB2123" s="35"/>
      <c r="BC2123" s="79"/>
      <c r="BD2123" s="230"/>
      <c r="BE2123" s="211"/>
      <c r="BF2123" s="164"/>
      <c r="BG2123" s="76"/>
      <c r="BH2123" s="44"/>
      <c r="BI2123" s="275"/>
      <c r="BJ2123" s="52"/>
      <c r="BK2123" s="35"/>
      <c r="BL2123" s="79"/>
      <c r="BM2123" s="230"/>
      <c r="BN2123" s="211"/>
      <c r="BO2123" s="164"/>
      <c r="BP2123" s="76"/>
      <c r="BQ2123" s="44"/>
      <c r="BR2123" s="299"/>
      <c r="BS2123" s="52"/>
      <c r="BT2123" s="35"/>
      <c r="BU2123" s="79"/>
      <c r="BV2123" s="212"/>
      <c r="BW2123" s="304"/>
      <c r="BX2123" s="313"/>
      <c r="BY2123" s="138"/>
    </row>
    <row r="2124" spans="1:77" ht="15" customHeight="1" outlineLevel="1" x14ac:dyDescent="0.2">
      <c r="A2124" s="583" t="s">
        <v>37</v>
      </c>
      <c r="B2124" s="583"/>
      <c r="C2124" s="162" t="s">
        <v>2677</v>
      </c>
      <c r="D2124" s="806">
        <v>0.16800000000000001</v>
      </c>
      <c r="E2124" s="162" t="s">
        <v>631</v>
      </c>
      <c r="F2124" s="729"/>
      <c r="G2124" s="730"/>
      <c r="H2124" s="73"/>
      <c r="I2124" s="90"/>
      <c r="J2124" s="73"/>
      <c r="K2124" s="734"/>
      <c r="L2124" s="717"/>
      <c r="M2124" s="73"/>
      <c r="N2124" s="816">
        <v>4.9899999999999999E-4</v>
      </c>
      <c r="O2124" s="1041"/>
      <c r="P2124" s="73"/>
      <c r="Q2124" s="811"/>
      <c r="R2124" s="1041"/>
      <c r="S2124" s="73"/>
      <c r="T2124" s="811"/>
      <c r="U2124" s="73"/>
      <c r="V2124" s="66"/>
      <c r="W2124" s="808">
        <f t="shared" ref="W2124" si="1901">AA2124*(1+AB2124)</f>
        <v>3.6926000000000001E-7</v>
      </c>
      <c r="X2124" s="809">
        <f t="shared" ref="X2124" si="1902">AA2124*(1+AC2124)</f>
        <v>3.6926000000000001E-7</v>
      </c>
      <c r="Y2124" s="52">
        <v>2010</v>
      </c>
      <c r="Z2124" s="52"/>
      <c r="AA2124" s="807">
        <f>+N2124/1000</f>
        <v>4.9900000000000001E-7</v>
      </c>
      <c r="AB2124" s="256">
        <v>-0.26</v>
      </c>
      <c r="AC2124" s="688">
        <f t="shared" ref="AC2124" si="1903">AB2124</f>
        <v>-0.26</v>
      </c>
      <c r="AD2124" s="164"/>
      <c r="AE2124" s="164"/>
      <c r="AF2124" s="25"/>
      <c r="AG2124" s="26"/>
      <c r="AH2124" s="275"/>
      <c r="AI2124" s="52"/>
      <c r="AJ2124" s="35"/>
      <c r="AK2124" s="289"/>
      <c r="AL2124" s="290"/>
      <c r="AM2124" s="211"/>
      <c r="AN2124" s="164"/>
      <c r="AO2124" s="76"/>
      <c r="AP2124" s="44"/>
      <c r="AQ2124" s="275"/>
      <c r="AR2124" s="52"/>
      <c r="AS2124" s="35"/>
      <c r="AT2124" s="79"/>
      <c r="AU2124" s="212"/>
      <c r="AV2124" s="164"/>
      <c r="AW2124" s="164"/>
      <c r="AX2124" s="76"/>
      <c r="AY2124" s="44"/>
      <c r="AZ2124" s="275"/>
      <c r="BA2124" s="52"/>
      <c r="BB2124" s="35"/>
      <c r="BC2124" s="79"/>
      <c r="BD2124" s="230"/>
      <c r="BE2124" s="211"/>
      <c r="BF2124" s="164"/>
      <c r="BG2124" s="76"/>
      <c r="BH2124" s="44"/>
      <c r="BI2124" s="275"/>
      <c r="BJ2124" s="52"/>
      <c r="BK2124" s="35"/>
      <c r="BL2124" s="79"/>
      <c r="BM2124" s="230"/>
      <c r="BN2124" s="211"/>
      <c r="BO2124" s="164"/>
      <c r="BP2124" s="76"/>
      <c r="BQ2124" s="44"/>
      <c r="BR2124" s="299"/>
      <c r="BS2124" s="52"/>
      <c r="BT2124" s="35"/>
      <c r="BU2124" s="79"/>
      <c r="BV2124" s="212"/>
      <c r="BW2124" s="304"/>
      <c r="BX2124" s="313"/>
      <c r="BY2124" s="138"/>
    </row>
    <row r="2125" spans="1:77" ht="15" customHeight="1" outlineLevel="1" x14ac:dyDescent="0.2">
      <c r="A2125" s="583" t="s">
        <v>37</v>
      </c>
      <c r="B2125" s="583"/>
      <c r="C2125" s="162" t="s">
        <v>1204</v>
      </c>
      <c r="D2125" s="812">
        <v>8.4009999999999998</v>
      </c>
      <c r="E2125" s="162" t="s">
        <v>631</v>
      </c>
      <c r="F2125" s="729"/>
      <c r="G2125" s="730"/>
      <c r="H2125" s="73"/>
      <c r="I2125" s="90"/>
      <c r="J2125" s="73"/>
      <c r="K2125" s="734">
        <v>3.3903999999999997E-2</v>
      </c>
      <c r="L2125" s="717"/>
      <c r="M2125" s="73"/>
      <c r="N2125" s="811"/>
      <c r="O2125" s="1041"/>
      <c r="P2125" s="73"/>
      <c r="Q2125" s="811"/>
      <c r="R2125" s="1041"/>
      <c r="S2125" s="73"/>
      <c r="T2125" s="811"/>
      <c r="U2125" s="73"/>
      <c r="V2125" s="66"/>
      <c r="W2125" s="740">
        <f t="shared" si="1888"/>
        <v>1.6952E-5</v>
      </c>
      <c r="X2125" s="741">
        <f t="shared" si="1889"/>
        <v>1.6952E-5</v>
      </c>
      <c r="Y2125" s="52">
        <v>2005</v>
      </c>
      <c r="Z2125" s="52"/>
      <c r="AA2125" s="739">
        <f t="shared" si="1900"/>
        <v>3.3903999999999999E-5</v>
      </c>
      <c r="AB2125" s="256">
        <v>-0.5</v>
      </c>
      <c r="AC2125" s="688">
        <f t="shared" si="1890"/>
        <v>-0.5</v>
      </c>
      <c r="AD2125" s="164"/>
      <c r="AE2125" s="164"/>
      <c r="AF2125" s="25"/>
      <c r="AG2125" s="26"/>
      <c r="AH2125" s="275"/>
      <c r="AI2125" s="52"/>
      <c r="AJ2125" s="35"/>
      <c r="AK2125" s="289"/>
      <c r="AL2125" s="290"/>
      <c r="AM2125" s="211"/>
      <c r="AN2125" s="164"/>
      <c r="AO2125" s="76"/>
      <c r="AP2125" s="44"/>
      <c r="AQ2125" s="275"/>
      <c r="AR2125" s="52"/>
      <c r="AS2125" s="35"/>
      <c r="AT2125" s="79"/>
      <c r="AU2125" s="212"/>
      <c r="AV2125" s="164"/>
      <c r="AW2125" s="164"/>
      <c r="AX2125" s="76"/>
      <c r="AY2125" s="44"/>
      <c r="AZ2125" s="275"/>
      <c r="BA2125" s="52"/>
      <c r="BB2125" s="35"/>
      <c r="BC2125" s="79"/>
      <c r="BD2125" s="230"/>
      <c r="BE2125" s="211"/>
      <c r="BF2125" s="164"/>
      <c r="BG2125" s="76"/>
      <c r="BH2125" s="44"/>
      <c r="BI2125" s="275"/>
      <c r="BJ2125" s="52"/>
      <c r="BK2125" s="35"/>
      <c r="BL2125" s="79"/>
      <c r="BM2125" s="230"/>
      <c r="BN2125" s="211"/>
      <c r="BO2125" s="164"/>
      <c r="BP2125" s="76"/>
      <c r="BQ2125" s="44"/>
      <c r="BR2125" s="299"/>
      <c r="BS2125" s="52"/>
      <c r="BT2125" s="35"/>
      <c r="BU2125" s="79"/>
      <c r="BV2125" s="212"/>
      <c r="BW2125" s="304"/>
      <c r="BX2125" s="313"/>
      <c r="BY2125" s="138"/>
    </row>
    <row r="2126" spans="1:77" ht="15" customHeight="1" outlineLevel="1" x14ac:dyDescent="0.2">
      <c r="A2126" s="583" t="s">
        <v>37</v>
      </c>
      <c r="B2126" s="583"/>
      <c r="C2126" s="162" t="s">
        <v>1223</v>
      </c>
      <c r="D2126" s="806">
        <v>0.115</v>
      </c>
      <c r="E2126" s="162" t="s">
        <v>631</v>
      </c>
      <c r="F2126" s="729"/>
      <c r="G2126" s="730"/>
      <c r="H2126" s="73"/>
      <c r="I2126" s="90"/>
      <c r="J2126" s="73"/>
      <c r="K2126" s="734"/>
      <c r="L2126" s="717"/>
      <c r="M2126" s="73"/>
      <c r="N2126" s="816">
        <v>1.9205000000000001E-4</v>
      </c>
      <c r="O2126" s="1041"/>
      <c r="P2126" s="73"/>
      <c r="Q2126" s="816"/>
      <c r="R2126" s="1041"/>
      <c r="S2126" s="73"/>
      <c r="T2126" s="816"/>
      <c r="U2126" s="73"/>
      <c r="V2126" s="66"/>
      <c r="W2126" s="808">
        <f t="shared" si="1888"/>
        <v>1.42117E-7</v>
      </c>
      <c r="X2126" s="809">
        <f t="shared" si="1889"/>
        <v>1.42117E-7</v>
      </c>
      <c r="Y2126" s="52">
        <v>2010</v>
      </c>
      <c r="Z2126" s="52"/>
      <c r="AA2126" s="807">
        <f>+N2126/1000</f>
        <v>1.9205E-7</v>
      </c>
      <c r="AB2126" s="256">
        <v>-0.26</v>
      </c>
      <c r="AC2126" s="688">
        <f t="shared" si="1890"/>
        <v>-0.26</v>
      </c>
      <c r="AD2126" s="164"/>
      <c r="AE2126" s="164"/>
      <c r="AF2126" s="25"/>
      <c r="AG2126" s="26"/>
      <c r="AH2126" s="275"/>
      <c r="AI2126" s="52"/>
      <c r="AJ2126" s="35"/>
      <c r="AK2126" s="289"/>
      <c r="AL2126" s="290"/>
      <c r="AM2126" s="211"/>
      <c r="AN2126" s="164"/>
      <c r="AO2126" s="76"/>
      <c r="AP2126" s="44"/>
      <c r="AQ2126" s="275"/>
      <c r="AR2126" s="52"/>
      <c r="AS2126" s="35"/>
      <c r="AT2126" s="79"/>
      <c r="AU2126" s="212"/>
      <c r="AV2126" s="164"/>
      <c r="AW2126" s="164"/>
      <c r="AX2126" s="76"/>
      <c r="AY2126" s="44"/>
      <c r="AZ2126" s="275"/>
      <c r="BA2126" s="52"/>
      <c r="BB2126" s="35"/>
      <c r="BC2126" s="79"/>
      <c r="BD2126" s="230"/>
      <c r="BE2126" s="211"/>
      <c r="BF2126" s="164"/>
      <c r="BG2126" s="76"/>
      <c r="BH2126" s="44"/>
      <c r="BI2126" s="275"/>
      <c r="BJ2126" s="52"/>
      <c r="BK2126" s="35"/>
      <c r="BL2126" s="79"/>
      <c r="BM2126" s="230"/>
      <c r="BN2126" s="211"/>
      <c r="BO2126" s="164"/>
      <c r="BP2126" s="76"/>
      <c r="BQ2126" s="44"/>
      <c r="BR2126" s="299"/>
      <c r="BS2126" s="52"/>
      <c r="BT2126" s="35"/>
      <c r="BU2126" s="79"/>
      <c r="BV2126" s="212"/>
      <c r="BW2126" s="304"/>
      <c r="BX2126" s="313"/>
      <c r="BY2126" s="138"/>
    </row>
    <row r="2127" spans="1:77" ht="15" customHeight="1" outlineLevel="1" x14ac:dyDescent="0.2">
      <c r="A2127" s="583" t="s">
        <v>37</v>
      </c>
      <c r="B2127" s="583"/>
      <c r="C2127" s="162" t="s">
        <v>1104</v>
      </c>
      <c r="D2127" s="806">
        <v>0.42099999999999999</v>
      </c>
      <c r="E2127" s="162" t="s">
        <v>631</v>
      </c>
      <c r="F2127" s="729"/>
      <c r="G2127" s="730"/>
      <c r="H2127" s="73"/>
      <c r="I2127" s="90">
        <v>2007</v>
      </c>
      <c r="J2127" s="73"/>
      <c r="K2127" s="815">
        <v>4.3438E-4</v>
      </c>
      <c r="L2127" s="717"/>
      <c r="M2127" s="73"/>
      <c r="N2127" s="811"/>
      <c r="O2127" s="1041"/>
      <c r="P2127" s="73"/>
      <c r="Q2127" s="811"/>
      <c r="R2127" s="1041"/>
      <c r="S2127" s="73"/>
      <c r="T2127" s="811"/>
      <c r="U2127" s="73"/>
      <c r="V2127" s="66"/>
      <c r="W2127" s="808">
        <f t="shared" si="1888"/>
        <v>3.1275359999999997E-7</v>
      </c>
      <c r="X2127" s="809">
        <f t="shared" si="1889"/>
        <v>3.1275359999999997E-7</v>
      </c>
      <c r="Y2127" s="52">
        <v>2007</v>
      </c>
      <c r="Z2127" s="52"/>
      <c r="AA2127" s="807">
        <f>+K2127/1000</f>
        <v>4.3438E-7</v>
      </c>
      <c r="AB2127" s="256">
        <v>-0.28000000000000003</v>
      </c>
      <c r="AC2127" s="688">
        <f t="shared" si="1890"/>
        <v>-0.28000000000000003</v>
      </c>
      <c r="AD2127" s="164"/>
      <c r="AE2127" s="164"/>
      <c r="AF2127" s="25"/>
      <c r="AG2127" s="26"/>
      <c r="AH2127" s="275"/>
      <c r="AI2127" s="52"/>
      <c r="AJ2127" s="35"/>
      <c r="AK2127" s="289"/>
      <c r="AL2127" s="290"/>
      <c r="AM2127" s="211"/>
      <c r="AN2127" s="164"/>
      <c r="AO2127" s="76"/>
      <c r="AP2127" s="44"/>
      <c r="AQ2127" s="275"/>
      <c r="AR2127" s="52"/>
      <c r="AS2127" s="35"/>
      <c r="AT2127" s="79"/>
      <c r="AU2127" s="212"/>
      <c r="AV2127" s="164"/>
      <c r="AW2127" s="164"/>
      <c r="AX2127" s="76"/>
      <c r="AY2127" s="44"/>
      <c r="AZ2127" s="275"/>
      <c r="BA2127" s="52"/>
      <c r="BB2127" s="35"/>
      <c r="BC2127" s="79"/>
      <c r="BD2127" s="230"/>
      <c r="BE2127" s="211"/>
      <c r="BF2127" s="164"/>
      <c r="BG2127" s="76"/>
      <c r="BH2127" s="44"/>
      <c r="BI2127" s="275"/>
      <c r="BJ2127" s="52"/>
      <c r="BK2127" s="35"/>
      <c r="BL2127" s="79"/>
      <c r="BM2127" s="230"/>
      <c r="BN2127" s="211"/>
      <c r="BO2127" s="164"/>
      <c r="BP2127" s="76"/>
      <c r="BQ2127" s="44"/>
      <c r="BR2127" s="299"/>
      <c r="BS2127" s="52"/>
      <c r="BT2127" s="35"/>
      <c r="BU2127" s="79"/>
      <c r="BV2127" s="212"/>
      <c r="BW2127" s="304"/>
      <c r="BX2127" s="313"/>
      <c r="BY2127" s="138"/>
    </row>
    <row r="2128" spans="1:77" ht="15" customHeight="1" outlineLevel="1" x14ac:dyDescent="0.2">
      <c r="A2128" s="583" t="s">
        <v>37</v>
      </c>
      <c r="B2128" s="583"/>
      <c r="C2128" s="162" t="s">
        <v>1224</v>
      </c>
      <c r="D2128" s="812">
        <v>1.8160000000000001</v>
      </c>
      <c r="E2128" s="162" t="s">
        <v>631</v>
      </c>
      <c r="F2128" s="729"/>
      <c r="G2128" s="730"/>
      <c r="H2128" s="73"/>
      <c r="I2128" s="90"/>
      <c r="J2128" s="73"/>
      <c r="K2128" s="734"/>
      <c r="L2128" s="717"/>
      <c r="M2128" s="73"/>
      <c r="N2128" s="817">
        <v>4.4279999999999996E-3</v>
      </c>
      <c r="O2128" s="1041"/>
      <c r="P2128" s="73"/>
      <c r="Q2128" s="817"/>
      <c r="R2128" s="1041"/>
      <c r="S2128" s="73"/>
      <c r="T2128" s="817"/>
      <c r="U2128" s="73"/>
      <c r="V2128" s="66"/>
      <c r="W2128" s="788">
        <f t="shared" si="1888"/>
        <v>3.2767199999999996E-6</v>
      </c>
      <c r="X2128" s="789">
        <f t="shared" si="1889"/>
        <v>3.2767199999999996E-6</v>
      </c>
      <c r="Y2128" s="52">
        <v>2010</v>
      </c>
      <c r="Z2128" s="52"/>
      <c r="AA2128" s="787">
        <f>+N2128/1000</f>
        <v>4.4279999999999998E-6</v>
      </c>
      <c r="AB2128" s="256">
        <v>-0.26</v>
      </c>
      <c r="AC2128" s="688">
        <f t="shared" si="1890"/>
        <v>-0.26</v>
      </c>
      <c r="AD2128" s="164"/>
      <c r="AE2128" s="164"/>
      <c r="AF2128" s="25"/>
      <c r="AG2128" s="26"/>
      <c r="AH2128" s="275"/>
      <c r="AI2128" s="52"/>
      <c r="AJ2128" s="35"/>
      <c r="AK2128" s="289"/>
      <c r="AL2128" s="290"/>
      <c r="AM2128" s="211"/>
      <c r="AN2128" s="164"/>
      <c r="AO2128" s="76"/>
      <c r="AP2128" s="44"/>
      <c r="AQ2128" s="275"/>
      <c r="AR2128" s="52"/>
      <c r="AS2128" s="35"/>
      <c r="AT2128" s="79"/>
      <c r="AU2128" s="212"/>
      <c r="AV2128" s="164"/>
      <c r="AW2128" s="164"/>
      <c r="AX2128" s="76"/>
      <c r="AY2128" s="44"/>
      <c r="AZ2128" s="275"/>
      <c r="BA2128" s="52"/>
      <c r="BB2128" s="35"/>
      <c r="BC2128" s="79"/>
      <c r="BD2128" s="230"/>
      <c r="BE2128" s="211"/>
      <c r="BF2128" s="164"/>
      <c r="BG2128" s="76"/>
      <c r="BH2128" s="44"/>
      <c r="BI2128" s="275"/>
      <c r="BJ2128" s="52"/>
      <c r="BK2128" s="35"/>
      <c r="BL2128" s="79"/>
      <c r="BM2128" s="230"/>
      <c r="BN2128" s="211"/>
      <c r="BO2128" s="164"/>
      <c r="BP2128" s="76"/>
      <c r="BQ2128" s="44"/>
      <c r="BR2128" s="299"/>
      <c r="BS2128" s="52"/>
      <c r="BT2128" s="35"/>
      <c r="BU2128" s="79"/>
      <c r="BV2128" s="212"/>
      <c r="BW2128" s="304"/>
      <c r="BX2128" s="313"/>
      <c r="BY2128" s="138"/>
    </row>
    <row r="2129" spans="1:77" ht="15" customHeight="1" outlineLevel="1" x14ac:dyDescent="0.2">
      <c r="A2129" s="583" t="s">
        <v>37</v>
      </c>
      <c r="B2129" s="583"/>
      <c r="C2129" s="162" t="s">
        <v>2678</v>
      </c>
      <c r="D2129" s="806">
        <v>0.5</v>
      </c>
      <c r="E2129" s="162" t="s">
        <v>631</v>
      </c>
      <c r="F2129" s="729"/>
      <c r="G2129" s="730"/>
      <c r="H2129" s="73"/>
      <c r="I2129" s="90"/>
      <c r="J2129" s="73"/>
      <c r="K2129" s="734"/>
      <c r="L2129" s="717"/>
      <c r="M2129" s="73"/>
      <c r="N2129" s="817">
        <v>1.5870000000000001E-3</v>
      </c>
      <c r="O2129" s="1041"/>
      <c r="P2129" s="73"/>
      <c r="Q2129" s="817"/>
      <c r="R2129" s="1041"/>
      <c r="S2129" s="73"/>
      <c r="T2129" s="817"/>
      <c r="U2129" s="73"/>
      <c r="V2129" s="66"/>
      <c r="W2129" s="788">
        <f t="shared" ref="W2129" si="1904">AA2129*(1+AB2129)</f>
        <v>1.17438E-6</v>
      </c>
      <c r="X2129" s="789">
        <f t="shared" ref="X2129" si="1905">AA2129*(1+AC2129)</f>
        <v>1.17438E-6</v>
      </c>
      <c r="Y2129" s="52">
        <v>2010</v>
      </c>
      <c r="Z2129" s="52"/>
      <c r="AA2129" s="787">
        <f>+N2129/1000</f>
        <v>1.587E-6</v>
      </c>
      <c r="AB2129" s="256">
        <v>-0.26</v>
      </c>
      <c r="AC2129" s="688">
        <f t="shared" ref="AC2129" si="1906">AB2129</f>
        <v>-0.26</v>
      </c>
      <c r="AD2129" s="164"/>
      <c r="AE2129" s="164"/>
      <c r="AF2129" s="25"/>
      <c r="AG2129" s="26"/>
      <c r="AH2129" s="275"/>
      <c r="AI2129" s="52"/>
      <c r="AJ2129" s="35"/>
      <c r="AK2129" s="289"/>
      <c r="AL2129" s="290"/>
      <c r="AM2129" s="211"/>
      <c r="AN2129" s="164"/>
      <c r="AO2129" s="76"/>
      <c r="AP2129" s="44"/>
      <c r="AQ2129" s="275"/>
      <c r="AR2129" s="52"/>
      <c r="AS2129" s="35"/>
      <c r="AT2129" s="79"/>
      <c r="AU2129" s="212"/>
      <c r="AV2129" s="164"/>
      <c r="AW2129" s="164"/>
      <c r="AX2129" s="76"/>
      <c r="AY2129" s="44"/>
      <c r="AZ2129" s="275"/>
      <c r="BA2129" s="52"/>
      <c r="BB2129" s="35"/>
      <c r="BC2129" s="79"/>
      <c r="BD2129" s="230"/>
      <c r="BE2129" s="211"/>
      <c r="BF2129" s="164"/>
      <c r="BG2129" s="76"/>
      <c r="BH2129" s="44"/>
      <c r="BI2129" s="275"/>
      <c r="BJ2129" s="52"/>
      <c r="BK2129" s="35"/>
      <c r="BL2129" s="79"/>
      <c r="BM2129" s="230"/>
      <c r="BN2129" s="211"/>
      <c r="BO2129" s="164"/>
      <c r="BP2129" s="76"/>
      <c r="BQ2129" s="44"/>
      <c r="BR2129" s="299"/>
      <c r="BS2129" s="52"/>
      <c r="BT2129" s="35"/>
      <c r="BU2129" s="79"/>
      <c r="BV2129" s="212"/>
      <c r="BW2129" s="304"/>
      <c r="BX2129" s="313"/>
      <c r="BY2129" s="138"/>
    </row>
    <row r="2130" spans="1:77" ht="15" customHeight="1" outlineLevel="1" x14ac:dyDescent="0.2">
      <c r="A2130" s="583" t="s">
        <v>37</v>
      </c>
      <c r="B2130" s="583"/>
      <c r="C2130" s="162" t="s">
        <v>1225</v>
      </c>
      <c r="D2130" s="812">
        <v>20.837</v>
      </c>
      <c r="E2130" s="162" t="s">
        <v>631</v>
      </c>
      <c r="F2130" s="729"/>
      <c r="G2130" s="730"/>
      <c r="H2130" s="73"/>
      <c r="I2130" s="90"/>
      <c r="J2130" s="73"/>
      <c r="K2130" s="734"/>
      <c r="L2130" s="717">
        <v>2013</v>
      </c>
      <c r="M2130" s="73"/>
      <c r="N2130" s="738">
        <v>5.0179000000000001E-2</v>
      </c>
      <c r="O2130" s="1041">
        <v>2013</v>
      </c>
      <c r="P2130" s="73"/>
      <c r="Q2130" s="738">
        <v>5.0179000000000001E-2</v>
      </c>
      <c r="R2130" s="1041"/>
      <c r="S2130" s="73"/>
      <c r="T2130" s="738"/>
      <c r="U2130" s="73"/>
      <c r="V2130" s="66"/>
      <c r="W2130" s="740">
        <f t="shared" si="1888"/>
        <v>3.5125300000000001E-5</v>
      </c>
      <c r="X2130" s="741">
        <f t="shared" si="1889"/>
        <v>3.5125300000000001E-5</v>
      </c>
      <c r="Y2130" s="52">
        <v>2013</v>
      </c>
      <c r="Z2130" s="52"/>
      <c r="AA2130" s="739">
        <f>+N2130/1000</f>
        <v>5.0179000000000002E-5</v>
      </c>
      <c r="AB2130" s="256">
        <v>-0.3</v>
      </c>
      <c r="AC2130" s="688">
        <f t="shared" si="1890"/>
        <v>-0.3</v>
      </c>
      <c r="AD2130" s="164"/>
      <c r="AE2130" s="164"/>
      <c r="AF2130" s="25"/>
      <c r="AG2130" s="26"/>
      <c r="AH2130" s="275"/>
      <c r="AI2130" s="52"/>
      <c r="AJ2130" s="35"/>
      <c r="AK2130" s="289"/>
      <c r="AL2130" s="290"/>
      <c r="AM2130" s="211"/>
      <c r="AN2130" s="164"/>
      <c r="AO2130" s="76"/>
      <c r="AP2130" s="44"/>
      <c r="AQ2130" s="275"/>
      <c r="AR2130" s="52"/>
      <c r="AS2130" s="35"/>
      <c r="AT2130" s="79"/>
      <c r="AU2130" s="212"/>
      <c r="AV2130" s="164"/>
      <c r="AW2130" s="164"/>
      <c r="AX2130" s="76"/>
      <c r="AY2130" s="44"/>
      <c r="AZ2130" s="275"/>
      <c r="BA2130" s="52"/>
      <c r="BB2130" s="35"/>
      <c r="BC2130" s="79"/>
      <c r="BD2130" s="230"/>
      <c r="BE2130" s="211"/>
      <c r="BF2130" s="164"/>
      <c r="BG2130" s="76"/>
      <c r="BH2130" s="44"/>
      <c r="BI2130" s="275"/>
      <c r="BJ2130" s="52"/>
      <c r="BK2130" s="35"/>
      <c r="BL2130" s="79"/>
      <c r="BM2130" s="230"/>
      <c r="BN2130" s="211"/>
      <c r="BO2130" s="164"/>
      <c r="BP2130" s="76"/>
      <c r="BQ2130" s="44"/>
      <c r="BR2130" s="299"/>
      <c r="BS2130" s="52"/>
      <c r="BT2130" s="35"/>
      <c r="BU2130" s="79"/>
      <c r="BV2130" s="212"/>
      <c r="BW2130" s="304"/>
      <c r="BX2130" s="313"/>
      <c r="BY2130" s="138"/>
    </row>
    <row r="2131" spans="1:77" ht="15" customHeight="1" outlineLevel="1" x14ac:dyDescent="0.2">
      <c r="A2131" s="583" t="s">
        <v>37</v>
      </c>
      <c r="B2131" s="583"/>
      <c r="C2131" s="162" t="s">
        <v>973</v>
      </c>
      <c r="D2131" s="728">
        <v>3.0539999999999998</v>
      </c>
      <c r="E2131" s="162" t="s">
        <v>631</v>
      </c>
      <c r="F2131" s="729"/>
      <c r="G2131" s="730"/>
      <c r="H2131" s="73"/>
      <c r="I2131" s="90"/>
      <c r="J2131" s="73"/>
      <c r="K2131" s="66"/>
      <c r="L2131" s="717">
        <v>2013</v>
      </c>
      <c r="M2131" s="73"/>
      <c r="N2131" s="738">
        <v>1.1466E-2</v>
      </c>
      <c r="O2131" s="1041">
        <v>2013</v>
      </c>
      <c r="P2131" s="73"/>
      <c r="Q2131" s="738">
        <v>1.1466E-2</v>
      </c>
      <c r="R2131" s="1041"/>
      <c r="S2131" s="73"/>
      <c r="T2131" s="738"/>
      <c r="U2131" s="73"/>
      <c r="V2131" s="66"/>
      <c r="W2131" s="788">
        <f t="shared" si="1888"/>
        <v>8.4848399999999999E-6</v>
      </c>
      <c r="X2131" s="789">
        <f t="shared" si="1889"/>
        <v>8.4848399999999999E-6</v>
      </c>
      <c r="Y2131" s="52">
        <v>2013</v>
      </c>
      <c r="Z2131" s="52"/>
      <c r="AA2131" s="787">
        <f>+N2131/1000</f>
        <v>1.1466E-5</v>
      </c>
      <c r="AB2131" s="256">
        <v>-0.26</v>
      </c>
      <c r="AC2131" s="688">
        <f t="shared" si="1890"/>
        <v>-0.26</v>
      </c>
      <c r="AD2131" s="164"/>
      <c r="AE2131" s="164"/>
      <c r="AF2131" s="25"/>
      <c r="AG2131" s="26"/>
      <c r="AH2131" s="275"/>
      <c r="AI2131" s="52"/>
      <c r="AJ2131" s="35"/>
      <c r="AK2131" s="289"/>
      <c r="AL2131" s="290"/>
      <c r="AM2131" s="211"/>
      <c r="AN2131" s="164"/>
      <c r="AO2131" s="76"/>
      <c r="AP2131" s="44"/>
      <c r="AQ2131" s="275"/>
      <c r="AR2131" s="52"/>
      <c r="AS2131" s="35"/>
      <c r="AT2131" s="79"/>
      <c r="AU2131" s="212"/>
      <c r="AV2131" s="164"/>
      <c r="AW2131" s="164"/>
      <c r="AX2131" s="76"/>
      <c r="AY2131" s="44"/>
      <c r="AZ2131" s="275"/>
      <c r="BA2131" s="52"/>
      <c r="BB2131" s="35"/>
      <c r="BC2131" s="79"/>
      <c r="BD2131" s="230"/>
      <c r="BE2131" s="211"/>
      <c r="BF2131" s="164"/>
      <c r="BG2131" s="76"/>
      <c r="BH2131" s="44"/>
      <c r="BI2131" s="275"/>
      <c r="BJ2131" s="52"/>
      <c r="BK2131" s="35"/>
      <c r="BL2131" s="79"/>
      <c r="BM2131" s="230"/>
      <c r="BN2131" s="211"/>
      <c r="BO2131" s="164"/>
      <c r="BP2131" s="76"/>
      <c r="BQ2131" s="44"/>
      <c r="BR2131" s="299"/>
      <c r="BS2131" s="52"/>
      <c r="BT2131" s="35"/>
      <c r="BU2131" s="79"/>
      <c r="BV2131" s="212"/>
      <c r="BW2131" s="304"/>
      <c r="BX2131" s="313"/>
      <c r="BY2131" s="138"/>
    </row>
    <row r="2132" spans="1:77" ht="15" customHeight="1" outlineLevel="1" x14ac:dyDescent="0.2">
      <c r="A2132" s="583" t="s">
        <v>37</v>
      </c>
      <c r="B2132" s="583"/>
      <c r="C2132" s="162" t="s">
        <v>1072</v>
      </c>
      <c r="D2132" s="812">
        <v>22.437000000000001</v>
      </c>
      <c r="E2132" s="162" t="s">
        <v>631</v>
      </c>
      <c r="F2132" s="729"/>
      <c r="G2132" s="730"/>
      <c r="H2132" s="73"/>
      <c r="I2132" s="90">
        <v>2007</v>
      </c>
      <c r="J2132" s="73"/>
      <c r="K2132" s="813">
        <v>9.1136999999999996E-2</v>
      </c>
      <c r="L2132" s="717"/>
      <c r="M2132" s="73"/>
      <c r="N2132" s="811"/>
      <c r="O2132" s="1041"/>
      <c r="P2132" s="73"/>
      <c r="Q2132" s="811"/>
      <c r="R2132" s="1041"/>
      <c r="S2132" s="73"/>
      <c r="T2132" s="811"/>
      <c r="U2132" s="73"/>
      <c r="V2132" s="66"/>
      <c r="W2132" s="788">
        <f t="shared" si="1888"/>
        <v>5.1948089999999997E-5</v>
      </c>
      <c r="X2132" s="789">
        <f t="shared" si="1889"/>
        <v>5.1948089999999997E-5</v>
      </c>
      <c r="Y2132" s="52">
        <v>2007</v>
      </c>
      <c r="Z2132" s="52"/>
      <c r="AA2132" s="787">
        <f t="shared" ref="AA2132:AA2138" si="1907">+K2132/1000</f>
        <v>9.1136999999999992E-5</v>
      </c>
      <c r="AB2132" s="256">
        <v>-0.43</v>
      </c>
      <c r="AC2132" s="688">
        <f t="shared" si="1890"/>
        <v>-0.43</v>
      </c>
      <c r="AD2132" s="164"/>
      <c r="AE2132" s="164"/>
      <c r="AF2132" s="25"/>
      <c r="AG2132" s="26"/>
      <c r="AH2132" s="275"/>
      <c r="AI2132" s="52"/>
      <c r="AJ2132" s="35"/>
      <c r="AK2132" s="289"/>
      <c r="AL2132" s="290"/>
      <c r="AM2132" s="211"/>
      <c r="AN2132" s="164"/>
      <c r="AO2132" s="76"/>
      <c r="AP2132" s="44"/>
      <c r="AQ2132" s="275"/>
      <c r="AR2132" s="52"/>
      <c r="AS2132" s="35"/>
      <c r="AT2132" s="79"/>
      <c r="AU2132" s="212"/>
      <c r="AV2132" s="164"/>
      <c r="AW2132" s="164"/>
      <c r="AX2132" s="76"/>
      <c r="AY2132" s="44"/>
      <c r="AZ2132" s="275"/>
      <c r="BA2132" s="52"/>
      <c r="BB2132" s="35"/>
      <c r="BC2132" s="79"/>
      <c r="BD2132" s="230"/>
      <c r="BE2132" s="211"/>
      <c r="BF2132" s="164"/>
      <c r="BG2132" s="76"/>
      <c r="BH2132" s="44"/>
      <c r="BI2132" s="275"/>
      <c r="BJ2132" s="52"/>
      <c r="BK2132" s="35"/>
      <c r="BL2132" s="79"/>
      <c r="BM2132" s="230"/>
      <c r="BN2132" s="211"/>
      <c r="BO2132" s="164"/>
      <c r="BP2132" s="76"/>
      <c r="BQ2132" s="44"/>
      <c r="BR2132" s="299"/>
      <c r="BS2132" s="52"/>
      <c r="BT2132" s="35"/>
      <c r="BU2132" s="79"/>
      <c r="BV2132" s="212"/>
      <c r="BW2132" s="304"/>
      <c r="BX2132" s="313"/>
      <c r="BY2132" s="138"/>
    </row>
    <row r="2133" spans="1:77" ht="15" customHeight="1" outlineLevel="1" x14ac:dyDescent="0.2">
      <c r="A2133" s="583" t="s">
        <v>37</v>
      </c>
      <c r="B2133" s="583"/>
      <c r="C2133" s="162" t="s">
        <v>2679</v>
      </c>
      <c r="D2133" s="806">
        <v>0.67</v>
      </c>
      <c r="E2133" s="162" t="s">
        <v>631</v>
      </c>
      <c r="F2133" s="729"/>
      <c r="G2133" s="730"/>
      <c r="H2133" s="73"/>
      <c r="I2133" s="90"/>
      <c r="J2133" s="73"/>
      <c r="K2133" s="814">
        <v>3.7450000000000001E-3</v>
      </c>
      <c r="L2133" s="717"/>
      <c r="M2133" s="73"/>
      <c r="N2133" s="811"/>
      <c r="O2133" s="1041"/>
      <c r="P2133" s="73"/>
      <c r="Q2133" s="811"/>
      <c r="R2133" s="1041"/>
      <c r="S2133" s="73"/>
      <c r="T2133" s="811"/>
      <c r="U2133" s="73"/>
      <c r="V2133" s="66"/>
      <c r="W2133" s="788">
        <f t="shared" ref="W2133" si="1908">AA2133*(1+AB2133)</f>
        <v>2.7713E-6</v>
      </c>
      <c r="X2133" s="789">
        <f t="shared" ref="X2133" si="1909">AA2133*(1+AC2133)</f>
        <v>2.7713E-6</v>
      </c>
      <c r="Y2133" s="52">
        <v>2005</v>
      </c>
      <c r="Z2133" s="52"/>
      <c r="AA2133" s="787">
        <f t="shared" ref="AA2133" si="1910">+K2133/1000</f>
        <v>3.7450000000000001E-6</v>
      </c>
      <c r="AB2133" s="256">
        <v>-0.26</v>
      </c>
      <c r="AC2133" s="688">
        <f t="shared" ref="AC2133" si="1911">AB2133</f>
        <v>-0.26</v>
      </c>
      <c r="AD2133" s="164"/>
      <c r="AE2133" s="164"/>
      <c r="AF2133" s="25"/>
      <c r="AG2133" s="26"/>
      <c r="AH2133" s="275"/>
      <c r="AI2133" s="52"/>
      <c r="AJ2133" s="35"/>
      <c r="AK2133" s="289"/>
      <c r="AL2133" s="290"/>
      <c r="AM2133" s="211"/>
      <c r="AN2133" s="164"/>
      <c r="AO2133" s="76"/>
      <c r="AP2133" s="44"/>
      <c r="AQ2133" s="275"/>
      <c r="AR2133" s="52"/>
      <c r="AS2133" s="35"/>
      <c r="AT2133" s="79"/>
      <c r="AU2133" s="212"/>
      <c r="AV2133" s="164"/>
      <c r="AW2133" s="164"/>
      <c r="AX2133" s="76"/>
      <c r="AY2133" s="44"/>
      <c r="AZ2133" s="275"/>
      <c r="BA2133" s="52"/>
      <c r="BB2133" s="35"/>
      <c r="BC2133" s="79"/>
      <c r="BD2133" s="230"/>
      <c r="BE2133" s="211"/>
      <c r="BF2133" s="164"/>
      <c r="BG2133" s="76"/>
      <c r="BH2133" s="44"/>
      <c r="BI2133" s="275"/>
      <c r="BJ2133" s="52"/>
      <c r="BK2133" s="35"/>
      <c r="BL2133" s="79"/>
      <c r="BM2133" s="230"/>
      <c r="BN2133" s="211"/>
      <c r="BO2133" s="164"/>
      <c r="BP2133" s="76"/>
      <c r="BQ2133" s="44"/>
      <c r="BR2133" s="299"/>
      <c r="BS2133" s="52"/>
      <c r="BT2133" s="35"/>
      <c r="BU2133" s="79"/>
      <c r="BV2133" s="212"/>
      <c r="BW2133" s="304"/>
      <c r="BX2133" s="313"/>
      <c r="BY2133" s="138"/>
    </row>
    <row r="2134" spans="1:77" ht="15" customHeight="1" outlineLevel="1" x14ac:dyDescent="0.2">
      <c r="A2134" s="583" t="s">
        <v>37</v>
      </c>
      <c r="B2134" s="583"/>
      <c r="C2134" s="162" t="s">
        <v>1083</v>
      </c>
      <c r="D2134" s="812">
        <v>7.76</v>
      </c>
      <c r="E2134" s="162" t="s">
        <v>631</v>
      </c>
      <c r="F2134" s="729"/>
      <c r="G2134" s="730"/>
      <c r="H2134" s="73"/>
      <c r="I2134" s="90">
        <v>2007</v>
      </c>
      <c r="J2134" s="73"/>
      <c r="K2134" s="734">
        <v>4.5226000000000002E-2</v>
      </c>
      <c r="L2134" s="717"/>
      <c r="M2134" s="73"/>
      <c r="N2134" s="811"/>
      <c r="O2134" s="1041"/>
      <c r="P2134" s="73"/>
      <c r="Q2134" s="811"/>
      <c r="R2134" s="1041"/>
      <c r="S2134" s="73"/>
      <c r="T2134" s="811"/>
      <c r="U2134" s="73"/>
      <c r="V2134" s="66"/>
      <c r="W2134" s="740">
        <f t="shared" si="1888"/>
        <v>2.5326560000000003E-5</v>
      </c>
      <c r="X2134" s="741">
        <f t="shared" si="1889"/>
        <v>2.5326560000000003E-5</v>
      </c>
      <c r="Y2134" s="52">
        <v>2007</v>
      </c>
      <c r="Z2134" s="52"/>
      <c r="AA2134" s="739">
        <f t="shared" si="1907"/>
        <v>4.5226000000000004E-5</v>
      </c>
      <c r="AB2134" s="256">
        <v>-0.44</v>
      </c>
      <c r="AC2134" s="688">
        <f t="shared" si="1890"/>
        <v>-0.44</v>
      </c>
      <c r="AD2134" s="164"/>
      <c r="AE2134" s="164"/>
      <c r="AF2134" s="25"/>
      <c r="AG2134" s="26"/>
      <c r="AH2134" s="275"/>
      <c r="AI2134" s="52"/>
      <c r="AJ2134" s="35"/>
      <c r="AK2134" s="289"/>
      <c r="AL2134" s="290"/>
      <c r="AM2134" s="211"/>
      <c r="AN2134" s="164"/>
      <c r="AO2134" s="76"/>
      <c r="AP2134" s="44"/>
      <c r="AQ2134" s="275"/>
      <c r="AR2134" s="52"/>
      <c r="AS2134" s="35"/>
      <c r="AT2134" s="79"/>
      <c r="AU2134" s="212"/>
      <c r="AV2134" s="164"/>
      <c r="AW2134" s="164"/>
      <c r="AX2134" s="76"/>
      <c r="AY2134" s="44"/>
      <c r="AZ2134" s="275"/>
      <c r="BA2134" s="52"/>
      <c r="BB2134" s="35"/>
      <c r="BC2134" s="79"/>
      <c r="BD2134" s="230"/>
      <c r="BE2134" s="211"/>
      <c r="BF2134" s="164"/>
      <c r="BG2134" s="76"/>
      <c r="BH2134" s="44"/>
      <c r="BI2134" s="275"/>
      <c r="BJ2134" s="52"/>
      <c r="BK2134" s="35"/>
      <c r="BL2134" s="79"/>
      <c r="BM2134" s="230"/>
      <c r="BN2134" s="211"/>
      <c r="BO2134" s="164"/>
      <c r="BP2134" s="76"/>
      <c r="BQ2134" s="44"/>
      <c r="BR2134" s="299"/>
      <c r="BS2134" s="52"/>
      <c r="BT2134" s="35"/>
      <c r="BU2134" s="79"/>
      <c r="BV2134" s="212"/>
      <c r="BW2134" s="304"/>
      <c r="BX2134" s="313"/>
      <c r="BY2134" s="138"/>
    </row>
    <row r="2135" spans="1:77" ht="15" customHeight="1" outlineLevel="1" x14ac:dyDescent="0.2">
      <c r="A2135" s="583" t="s">
        <v>37</v>
      </c>
      <c r="B2135" s="583"/>
      <c r="C2135" s="162" t="s">
        <v>1073</v>
      </c>
      <c r="D2135" s="812">
        <v>3.085</v>
      </c>
      <c r="E2135" s="162" t="s">
        <v>631</v>
      </c>
      <c r="F2135" s="729"/>
      <c r="G2135" s="730"/>
      <c r="H2135" s="73"/>
      <c r="I2135" s="90">
        <v>2007</v>
      </c>
      <c r="J2135" s="73"/>
      <c r="K2135" s="813">
        <v>1.2862E-2</v>
      </c>
      <c r="L2135" s="717"/>
      <c r="M2135" s="73"/>
      <c r="N2135" s="811"/>
      <c r="O2135" s="1041"/>
      <c r="P2135" s="73"/>
      <c r="Q2135" s="811"/>
      <c r="R2135" s="1041"/>
      <c r="S2135" s="73"/>
      <c r="T2135" s="811"/>
      <c r="U2135" s="73"/>
      <c r="V2135" s="66"/>
      <c r="W2135" s="788">
        <f t="shared" si="1888"/>
        <v>9.2606400000000002E-6</v>
      </c>
      <c r="X2135" s="789">
        <f t="shared" si="1889"/>
        <v>9.2606400000000002E-6</v>
      </c>
      <c r="Y2135" s="52">
        <v>2007</v>
      </c>
      <c r="Z2135" s="52"/>
      <c r="AA2135" s="787">
        <f t="shared" si="1907"/>
        <v>1.2862E-5</v>
      </c>
      <c r="AB2135" s="256">
        <v>-0.28000000000000003</v>
      </c>
      <c r="AC2135" s="688">
        <f t="shared" si="1890"/>
        <v>-0.28000000000000003</v>
      </c>
      <c r="AD2135" s="164"/>
      <c r="AE2135" s="164"/>
      <c r="AF2135" s="25"/>
      <c r="AG2135" s="26"/>
      <c r="AH2135" s="275"/>
      <c r="AI2135" s="52"/>
      <c r="AJ2135" s="35"/>
      <c r="AK2135" s="289"/>
      <c r="AL2135" s="290"/>
      <c r="AM2135" s="211"/>
      <c r="AN2135" s="164"/>
      <c r="AO2135" s="76"/>
      <c r="AP2135" s="44"/>
      <c r="AQ2135" s="275"/>
      <c r="AR2135" s="52"/>
      <c r="AS2135" s="35"/>
      <c r="AT2135" s="79"/>
      <c r="AU2135" s="212"/>
      <c r="AV2135" s="164"/>
      <c r="AW2135" s="164"/>
      <c r="AX2135" s="76"/>
      <c r="AY2135" s="44"/>
      <c r="AZ2135" s="275"/>
      <c r="BA2135" s="52"/>
      <c r="BB2135" s="35"/>
      <c r="BC2135" s="79"/>
      <c r="BD2135" s="230"/>
      <c r="BE2135" s="211"/>
      <c r="BF2135" s="164"/>
      <c r="BG2135" s="76"/>
      <c r="BH2135" s="44"/>
      <c r="BI2135" s="275"/>
      <c r="BJ2135" s="52"/>
      <c r="BK2135" s="35"/>
      <c r="BL2135" s="79"/>
      <c r="BM2135" s="230"/>
      <c r="BN2135" s="211"/>
      <c r="BO2135" s="164"/>
      <c r="BP2135" s="76"/>
      <c r="BQ2135" s="44"/>
      <c r="BR2135" s="299"/>
      <c r="BS2135" s="52"/>
      <c r="BT2135" s="35"/>
      <c r="BU2135" s="79"/>
      <c r="BV2135" s="212"/>
      <c r="BW2135" s="304"/>
      <c r="BX2135" s="313"/>
      <c r="BY2135" s="138"/>
    </row>
    <row r="2136" spans="1:77" ht="15" customHeight="1" outlineLevel="1" x14ac:dyDescent="0.2">
      <c r="A2136" s="583" t="s">
        <v>37</v>
      </c>
      <c r="B2136" s="583"/>
      <c r="C2136" s="162" t="s">
        <v>1154</v>
      </c>
      <c r="D2136" s="812">
        <v>4.8490000000000002</v>
      </c>
      <c r="E2136" s="162" t="s">
        <v>631</v>
      </c>
      <c r="F2136" s="729"/>
      <c r="G2136" s="730"/>
      <c r="H2136" s="73"/>
      <c r="I2136" s="90">
        <v>2007</v>
      </c>
      <c r="J2136" s="73"/>
      <c r="K2136" s="734">
        <v>3.1748999999999999E-2</v>
      </c>
      <c r="L2136" s="717"/>
      <c r="M2136" s="73"/>
      <c r="N2136" s="811"/>
      <c r="O2136" s="1041"/>
      <c r="P2136" s="73"/>
      <c r="Q2136" s="811"/>
      <c r="R2136" s="1041"/>
      <c r="S2136" s="73"/>
      <c r="T2136" s="811"/>
      <c r="U2136" s="73"/>
      <c r="V2136" s="66"/>
      <c r="W2136" s="740">
        <f t="shared" si="1888"/>
        <v>2.0636849999999999E-5</v>
      </c>
      <c r="X2136" s="741">
        <f t="shared" si="1889"/>
        <v>2.0636849999999999E-5</v>
      </c>
      <c r="Y2136" s="52">
        <v>2007</v>
      </c>
      <c r="Z2136" s="52"/>
      <c r="AA2136" s="739">
        <f t="shared" si="1907"/>
        <v>3.1748999999999997E-5</v>
      </c>
      <c r="AB2136" s="256">
        <v>-0.35</v>
      </c>
      <c r="AC2136" s="688">
        <f t="shared" si="1890"/>
        <v>-0.35</v>
      </c>
      <c r="AD2136" s="164"/>
      <c r="AE2136" s="164"/>
      <c r="AF2136" s="25"/>
      <c r="AG2136" s="26"/>
      <c r="AH2136" s="275"/>
      <c r="AI2136" s="52"/>
      <c r="AJ2136" s="35"/>
      <c r="AK2136" s="289"/>
      <c r="AL2136" s="290"/>
      <c r="AM2136" s="211"/>
      <c r="AN2136" s="164"/>
      <c r="AO2136" s="76"/>
      <c r="AP2136" s="44"/>
      <c r="AQ2136" s="275"/>
      <c r="AR2136" s="52"/>
      <c r="AS2136" s="35"/>
      <c r="AT2136" s="79"/>
      <c r="AU2136" s="212"/>
      <c r="AV2136" s="164"/>
      <c r="AW2136" s="164"/>
      <c r="AX2136" s="76"/>
      <c r="AY2136" s="44"/>
      <c r="AZ2136" s="275"/>
      <c r="BA2136" s="52"/>
      <c r="BB2136" s="35"/>
      <c r="BC2136" s="79"/>
      <c r="BD2136" s="230"/>
      <c r="BE2136" s="211"/>
      <c r="BF2136" s="164"/>
      <c r="BG2136" s="76"/>
      <c r="BH2136" s="44"/>
      <c r="BI2136" s="275"/>
      <c r="BJ2136" s="52"/>
      <c r="BK2136" s="35"/>
      <c r="BL2136" s="79"/>
      <c r="BM2136" s="230"/>
      <c r="BN2136" s="211"/>
      <c r="BO2136" s="164"/>
      <c r="BP2136" s="76"/>
      <c r="BQ2136" s="44"/>
      <c r="BR2136" s="299"/>
      <c r="BS2136" s="52"/>
      <c r="BT2136" s="35"/>
      <c r="BU2136" s="79"/>
      <c r="BV2136" s="212"/>
      <c r="BW2136" s="304"/>
      <c r="BX2136" s="313"/>
      <c r="BY2136" s="138"/>
    </row>
    <row r="2137" spans="1:77" ht="15" customHeight="1" outlineLevel="1" x14ac:dyDescent="0.2">
      <c r="A2137" s="583" t="s">
        <v>37</v>
      </c>
      <c r="B2137" s="583"/>
      <c r="C2137" s="162" t="s">
        <v>1035</v>
      </c>
      <c r="D2137" s="806">
        <v>0.63300000000000001</v>
      </c>
      <c r="E2137" s="162" t="s">
        <v>631</v>
      </c>
      <c r="F2137" s="729"/>
      <c r="G2137" s="730"/>
      <c r="H2137" s="73"/>
      <c r="I2137" s="90"/>
      <c r="J2137" s="73"/>
      <c r="K2137" s="790">
        <v>4.1539999999999997E-3</v>
      </c>
      <c r="L2137" s="717"/>
      <c r="M2137" s="73"/>
      <c r="N2137" s="811"/>
      <c r="O2137" s="1041"/>
      <c r="P2137" s="73"/>
      <c r="Q2137" s="811"/>
      <c r="R2137" s="1041"/>
      <c r="S2137" s="73"/>
      <c r="T2137" s="811"/>
      <c r="U2137" s="73"/>
      <c r="V2137" s="66"/>
      <c r="W2137" s="788">
        <f t="shared" si="1888"/>
        <v>2.3677799999999999E-6</v>
      </c>
      <c r="X2137" s="789">
        <f t="shared" si="1889"/>
        <v>2.3677799999999999E-6</v>
      </c>
      <c r="Y2137" s="52">
        <v>2005</v>
      </c>
      <c r="Z2137" s="52"/>
      <c r="AA2137" s="787">
        <f t="shared" si="1907"/>
        <v>4.1539999999999995E-6</v>
      </c>
      <c r="AB2137" s="256">
        <v>-0.43</v>
      </c>
      <c r="AC2137" s="688">
        <f t="shared" si="1890"/>
        <v>-0.43</v>
      </c>
      <c r="AD2137" s="164"/>
      <c r="AE2137" s="164"/>
      <c r="AF2137" s="25"/>
      <c r="AG2137" s="26"/>
      <c r="AH2137" s="275"/>
      <c r="AI2137" s="52"/>
      <c r="AJ2137" s="35"/>
      <c r="AK2137" s="289"/>
      <c r="AL2137" s="290"/>
      <c r="AM2137" s="211"/>
      <c r="AN2137" s="164"/>
      <c r="AO2137" s="76"/>
      <c r="AP2137" s="44"/>
      <c r="AQ2137" s="275"/>
      <c r="AR2137" s="52"/>
      <c r="AS2137" s="35"/>
      <c r="AT2137" s="79"/>
      <c r="AU2137" s="212"/>
      <c r="AV2137" s="164"/>
      <c r="AW2137" s="164"/>
      <c r="AX2137" s="76"/>
      <c r="AY2137" s="44"/>
      <c r="AZ2137" s="275"/>
      <c r="BA2137" s="52"/>
      <c r="BB2137" s="35"/>
      <c r="BC2137" s="79"/>
      <c r="BD2137" s="230"/>
      <c r="BE2137" s="211"/>
      <c r="BF2137" s="164"/>
      <c r="BG2137" s="76"/>
      <c r="BH2137" s="44"/>
      <c r="BI2137" s="275"/>
      <c r="BJ2137" s="52"/>
      <c r="BK2137" s="35"/>
      <c r="BL2137" s="79"/>
      <c r="BM2137" s="230"/>
      <c r="BN2137" s="211"/>
      <c r="BO2137" s="164"/>
      <c r="BP2137" s="76"/>
      <c r="BQ2137" s="44"/>
      <c r="BR2137" s="299"/>
      <c r="BS2137" s="52"/>
      <c r="BT2137" s="35"/>
      <c r="BU2137" s="79"/>
      <c r="BV2137" s="212"/>
      <c r="BW2137" s="304"/>
      <c r="BX2137" s="313"/>
      <c r="BY2137" s="138"/>
    </row>
    <row r="2138" spans="1:77" ht="15" customHeight="1" outlineLevel="1" x14ac:dyDescent="0.2">
      <c r="A2138" s="583" t="s">
        <v>37</v>
      </c>
      <c r="B2138" s="583"/>
      <c r="C2138" s="162" t="s">
        <v>1205</v>
      </c>
      <c r="D2138" s="812">
        <v>0.67100000000000004</v>
      </c>
      <c r="E2138" s="162" t="s">
        <v>631</v>
      </c>
      <c r="F2138" s="729"/>
      <c r="G2138" s="730"/>
      <c r="H2138" s="73"/>
      <c r="I2138" s="90">
        <v>2007</v>
      </c>
      <c r="J2138" s="73"/>
      <c r="K2138" s="790">
        <v>3.8549999999999999E-3</v>
      </c>
      <c r="L2138" s="717"/>
      <c r="M2138" s="73"/>
      <c r="N2138" s="811"/>
      <c r="O2138" s="1041"/>
      <c r="P2138" s="73"/>
      <c r="Q2138" s="811"/>
      <c r="R2138" s="1041"/>
      <c r="S2138" s="73"/>
      <c r="T2138" s="811"/>
      <c r="U2138" s="73"/>
      <c r="V2138" s="66"/>
      <c r="W2138" s="788">
        <f t="shared" si="1888"/>
        <v>2.8912499999999996E-6</v>
      </c>
      <c r="X2138" s="789">
        <f t="shared" si="1889"/>
        <v>2.8912499999999996E-6</v>
      </c>
      <c r="Y2138" s="52">
        <v>2007</v>
      </c>
      <c r="Z2138" s="52"/>
      <c r="AA2138" s="787">
        <f t="shared" si="1907"/>
        <v>3.8549999999999995E-6</v>
      </c>
      <c r="AB2138" s="256">
        <v>-0.25</v>
      </c>
      <c r="AC2138" s="688">
        <f t="shared" si="1890"/>
        <v>-0.25</v>
      </c>
      <c r="AD2138" s="164"/>
      <c r="AE2138" s="164"/>
      <c r="AF2138" s="25"/>
      <c r="AG2138" s="26"/>
      <c r="AH2138" s="275"/>
      <c r="AI2138" s="52"/>
      <c r="AJ2138" s="35"/>
      <c r="AK2138" s="289"/>
      <c r="AL2138" s="290"/>
      <c r="AM2138" s="211"/>
      <c r="AN2138" s="164"/>
      <c r="AO2138" s="76"/>
      <c r="AP2138" s="44"/>
      <c r="AQ2138" s="275"/>
      <c r="AR2138" s="52"/>
      <c r="AS2138" s="35"/>
      <c r="AT2138" s="79"/>
      <c r="AU2138" s="212"/>
      <c r="AV2138" s="164"/>
      <c r="AW2138" s="164"/>
      <c r="AX2138" s="76"/>
      <c r="AY2138" s="44"/>
      <c r="AZ2138" s="275"/>
      <c r="BA2138" s="52"/>
      <c r="BB2138" s="35"/>
      <c r="BC2138" s="79"/>
      <c r="BD2138" s="230"/>
      <c r="BE2138" s="211"/>
      <c r="BF2138" s="164"/>
      <c r="BG2138" s="76"/>
      <c r="BH2138" s="44"/>
      <c r="BI2138" s="275"/>
      <c r="BJ2138" s="52"/>
      <c r="BK2138" s="35"/>
      <c r="BL2138" s="79"/>
      <c r="BM2138" s="230"/>
      <c r="BN2138" s="211"/>
      <c r="BO2138" s="164"/>
      <c r="BP2138" s="76"/>
      <c r="BQ2138" s="44"/>
      <c r="BR2138" s="299"/>
      <c r="BS2138" s="52"/>
      <c r="BT2138" s="35"/>
      <c r="BU2138" s="79"/>
      <c r="BV2138" s="212"/>
      <c r="BW2138" s="304"/>
      <c r="BX2138" s="313"/>
      <c r="BY2138" s="138"/>
    </row>
    <row r="2139" spans="1:77" ht="15" customHeight="1" outlineLevel="1" x14ac:dyDescent="0.2">
      <c r="A2139" s="583" t="s">
        <v>37</v>
      </c>
      <c r="B2139" s="583"/>
      <c r="C2139" s="162" t="s">
        <v>974</v>
      </c>
      <c r="D2139" s="728">
        <v>9.8710000000000004</v>
      </c>
      <c r="E2139" s="162" t="s">
        <v>631</v>
      </c>
      <c r="F2139" s="729"/>
      <c r="G2139" s="730"/>
      <c r="H2139" s="73"/>
      <c r="I2139" s="90"/>
      <c r="J2139" s="73"/>
      <c r="K2139" s="66"/>
      <c r="L2139" s="717"/>
      <c r="M2139" s="73"/>
      <c r="N2139" s="738">
        <v>2.4639000000000001E-2</v>
      </c>
      <c r="O2139" s="1041"/>
      <c r="P2139" s="73"/>
      <c r="Q2139" s="738"/>
      <c r="R2139" s="1041"/>
      <c r="S2139" s="73"/>
      <c r="T2139" s="738"/>
      <c r="U2139" s="73"/>
      <c r="V2139" s="66"/>
      <c r="W2139" s="788">
        <f t="shared" si="1888"/>
        <v>1.823286E-5</v>
      </c>
      <c r="X2139" s="789">
        <f t="shared" si="1889"/>
        <v>1.823286E-5</v>
      </c>
      <c r="Y2139" s="52">
        <v>2013</v>
      </c>
      <c r="Z2139" s="52"/>
      <c r="AA2139" s="787">
        <f>+N2139/1000</f>
        <v>2.4639000000000002E-5</v>
      </c>
      <c r="AB2139" s="256">
        <v>-0.26</v>
      </c>
      <c r="AC2139" s="688">
        <f t="shared" si="1890"/>
        <v>-0.26</v>
      </c>
      <c r="AD2139" s="164"/>
      <c r="AE2139" s="164"/>
      <c r="AF2139" s="25"/>
      <c r="AG2139" s="26"/>
      <c r="AH2139" s="275"/>
      <c r="AI2139" s="52"/>
      <c r="AJ2139" s="35"/>
      <c r="AK2139" s="289"/>
      <c r="AL2139" s="290"/>
      <c r="AM2139" s="211"/>
      <c r="AN2139" s="164"/>
      <c r="AO2139" s="76"/>
      <c r="AP2139" s="44"/>
      <c r="AQ2139" s="275"/>
      <c r="AR2139" s="52"/>
      <c r="AS2139" s="35"/>
      <c r="AT2139" s="79"/>
      <c r="AU2139" s="212"/>
      <c r="AV2139" s="164"/>
      <c r="AW2139" s="164"/>
      <c r="AX2139" s="76"/>
      <c r="AY2139" s="44"/>
      <c r="AZ2139" s="275"/>
      <c r="BA2139" s="52"/>
      <c r="BB2139" s="35"/>
      <c r="BC2139" s="79"/>
      <c r="BD2139" s="230"/>
      <c r="BE2139" s="211"/>
      <c r="BF2139" s="164"/>
      <c r="BG2139" s="76"/>
      <c r="BH2139" s="44"/>
      <c r="BI2139" s="275"/>
      <c r="BJ2139" s="52"/>
      <c r="BK2139" s="35"/>
      <c r="BL2139" s="79"/>
      <c r="BM2139" s="230"/>
      <c r="BN2139" s="211"/>
      <c r="BO2139" s="164"/>
      <c r="BP2139" s="76"/>
      <c r="BQ2139" s="44"/>
      <c r="BR2139" s="299"/>
      <c r="BS2139" s="52"/>
      <c r="BT2139" s="35"/>
      <c r="BU2139" s="79"/>
      <c r="BV2139" s="212"/>
      <c r="BW2139" s="304"/>
      <c r="BX2139" s="313"/>
      <c r="BY2139" s="138"/>
    </row>
    <row r="2140" spans="1:77" ht="15" customHeight="1" outlineLevel="1" x14ac:dyDescent="0.2">
      <c r="A2140" s="583" t="s">
        <v>37</v>
      </c>
      <c r="B2140" s="583"/>
      <c r="C2140" s="162" t="s">
        <v>975</v>
      </c>
      <c r="D2140" s="806">
        <v>0.27400000000000002</v>
      </c>
      <c r="E2140" s="162" t="s">
        <v>631</v>
      </c>
      <c r="F2140" s="729"/>
      <c r="G2140" s="730"/>
      <c r="H2140" s="73"/>
      <c r="I2140" s="90"/>
      <c r="J2140" s="73"/>
      <c r="K2140" s="66"/>
      <c r="L2140" s="717"/>
      <c r="M2140" s="73"/>
      <c r="N2140" s="786">
        <v>6.5143000000000004E-4</v>
      </c>
      <c r="O2140" s="1041"/>
      <c r="P2140" s="73"/>
      <c r="Q2140" s="786"/>
      <c r="R2140" s="1041"/>
      <c r="S2140" s="73"/>
      <c r="T2140" s="786"/>
      <c r="U2140" s="73"/>
      <c r="V2140" s="66"/>
      <c r="W2140" s="808">
        <f t="shared" si="1888"/>
        <v>4.7554389999999999E-7</v>
      </c>
      <c r="X2140" s="809">
        <f t="shared" si="1889"/>
        <v>4.7554389999999999E-7</v>
      </c>
      <c r="Y2140" s="52">
        <v>2010</v>
      </c>
      <c r="Z2140" s="52"/>
      <c r="AA2140" s="787">
        <f>+N2140/1000</f>
        <v>6.5143E-7</v>
      </c>
      <c r="AB2140" s="256">
        <v>-0.27</v>
      </c>
      <c r="AC2140" s="688">
        <f t="shared" si="1890"/>
        <v>-0.27</v>
      </c>
      <c r="AD2140" s="164"/>
      <c r="AE2140" s="164"/>
      <c r="AF2140" s="25"/>
      <c r="AG2140" s="26"/>
      <c r="AH2140" s="275"/>
      <c r="AI2140" s="52"/>
      <c r="AJ2140" s="35"/>
      <c r="AK2140" s="289"/>
      <c r="AL2140" s="290"/>
      <c r="AM2140" s="211"/>
      <c r="AN2140" s="164"/>
      <c r="AO2140" s="76"/>
      <c r="AP2140" s="44"/>
      <c r="AQ2140" s="275"/>
      <c r="AR2140" s="52"/>
      <c r="AS2140" s="35"/>
      <c r="AT2140" s="79"/>
      <c r="AU2140" s="212"/>
      <c r="AV2140" s="164"/>
      <c r="AW2140" s="164"/>
      <c r="AX2140" s="76"/>
      <c r="AY2140" s="44"/>
      <c r="AZ2140" s="275"/>
      <c r="BA2140" s="52"/>
      <c r="BB2140" s="35"/>
      <c r="BC2140" s="79"/>
      <c r="BD2140" s="230"/>
      <c r="BE2140" s="211"/>
      <c r="BF2140" s="164"/>
      <c r="BG2140" s="76"/>
      <c r="BH2140" s="44"/>
      <c r="BI2140" s="275"/>
      <c r="BJ2140" s="52"/>
      <c r="BK2140" s="35"/>
      <c r="BL2140" s="79"/>
      <c r="BM2140" s="230"/>
      <c r="BN2140" s="211"/>
      <c r="BO2140" s="164"/>
      <c r="BP2140" s="76"/>
      <c r="BQ2140" s="44"/>
      <c r="BR2140" s="299"/>
      <c r="BS2140" s="52"/>
      <c r="BT2140" s="35"/>
      <c r="BU2140" s="79"/>
      <c r="BV2140" s="212"/>
      <c r="BW2140" s="304"/>
      <c r="BX2140" s="313"/>
      <c r="BY2140" s="138"/>
    </row>
    <row r="2141" spans="1:77" ht="15" customHeight="1" outlineLevel="1" x14ac:dyDescent="0.2">
      <c r="A2141" s="583" t="s">
        <v>37</v>
      </c>
      <c r="B2141" s="583"/>
      <c r="C2141" s="162" t="s">
        <v>1128</v>
      </c>
      <c r="D2141" s="806">
        <v>0.442</v>
      </c>
      <c r="E2141" s="162" t="s">
        <v>631</v>
      </c>
      <c r="F2141" s="729"/>
      <c r="G2141" s="730"/>
      <c r="H2141" s="73"/>
      <c r="I2141" s="90">
        <v>2007</v>
      </c>
      <c r="J2141" s="73"/>
      <c r="K2141" s="815">
        <v>8.4210000000000003E-4</v>
      </c>
      <c r="L2141" s="717"/>
      <c r="M2141" s="73"/>
      <c r="N2141" s="811"/>
      <c r="O2141" s="1041"/>
      <c r="P2141" s="73"/>
      <c r="Q2141" s="811"/>
      <c r="R2141" s="1041"/>
      <c r="S2141" s="73"/>
      <c r="T2141" s="811"/>
      <c r="U2141" s="73"/>
      <c r="V2141" s="66"/>
      <c r="W2141" s="808">
        <f t="shared" si="1888"/>
        <v>6.3157500000000007E-7</v>
      </c>
      <c r="X2141" s="809">
        <f t="shared" si="1889"/>
        <v>6.3157500000000007E-7</v>
      </c>
      <c r="Y2141" s="52">
        <v>2007</v>
      </c>
      <c r="Z2141" s="52"/>
      <c r="AA2141" s="807">
        <f t="shared" ref="AA2141:AA2145" si="1912">+K2141/1000</f>
        <v>8.4210000000000006E-7</v>
      </c>
      <c r="AB2141" s="256">
        <v>-0.25</v>
      </c>
      <c r="AC2141" s="688">
        <f t="shared" si="1890"/>
        <v>-0.25</v>
      </c>
      <c r="AD2141" s="164"/>
      <c r="AE2141" s="164"/>
      <c r="AF2141" s="25"/>
      <c r="AG2141" s="26"/>
      <c r="AH2141" s="275"/>
      <c r="AI2141" s="52"/>
      <c r="AJ2141" s="35"/>
      <c r="AK2141" s="289"/>
      <c r="AL2141" s="290"/>
      <c r="AM2141" s="211"/>
      <c r="AN2141" s="164"/>
      <c r="AO2141" s="76"/>
      <c r="AP2141" s="44"/>
      <c r="AQ2141" s="275"/>
      <c r="AR2141" s="52"/>
      <c r="AS2141" s="35"/>
      <c r="AT2141" s="79"/>
      <c r="AU2141" s="212"/>
      <c r="AV2141" s="164"/>
      <c r="AW2141" s="164"/>
      <c r="AX2141" s="76"/>
      <c r="AY2141" s="44"/>
      <c r="AZ2141" s="275"/>
      <c r="BA2141" s="52"/>
      <c r="BB2141" s="35"/>
      <c r="BC2141" s="79"/>
      <c r="BD2141" s="230"/>
      <c r="BE2141" s="211"/>
      <c r="BF2141" s="164"/>
      <c r="BG2141" s="76"/>
      <c r="BH2141" s="44"/>
      <c r="BI2141" s="275"/>
      <c r="BJ2141" s="52"/>
      <c r="BK2141" s="35"/>
      <c r="BL2141" s="79"/>
      <c r="BM2141" s="230"/>
      <c r="BN2141" s="211"/>
      <c r="BO2141" s="164"/>
      <c r="BP2141" s="76"/>
      <c r="BQ2141" s="44"/>
      <c r="BR2141" s="299"/>
      <c r="BS2141" s="52"/>
      <c r="BT2141" s="35"/>
      <c r="BU2141" s="79"/>
      <c r="BV2141" s="212"/>
      <c r="BW2141" s="304"/>
      <c r="BX2141" s="313"/>
      <c r="BY2141" s="138"/>
    </row>
    <row r="2142" spans="1:77" ht="15" customHeight="1" outlineLevel="1" x14ac:dyDescent="0.2">
      <c r="A2142" s="583" t="s">
        <v>37</v>
      </c>
      <c r="B2142" s="583"/>
      <c r="C2142" s="162" t="s">
        <v>1197</v>
      </c>
      <c r="D2142" s="806">
        <v>0.14699999999999999</v>
      </c>
      <c r="E2142" s="162" t="s">
        <v>631</v>
      </c>
      <c r="F2142" s="729"/>
      <c r="G2142" s="730"/>
      <c r="H2142" s="73"/>
      <c r="I2142" s="90"/>
      <c r="J2142" s="73"/>
      <c r="K2142" s="790">
        <v>9.2046599999999999E-4</v>
      </c>
      <c r="L2142" s="717"/>
      <c r="M2142" s="73"/>
      <c r="N2142" s="811"/>
      <c r="O2142" s="1041"/>
      <c r="P2142" s="73"/>
      <c r="Q2142" s="811"/>
      <c r="R2142" s="1041"/>
      <c r="S2142" s="73"/>
      <c r="T2142" s="811"/>
      <c r="U2142" s="73"/>
      <c r="V2142" s="66"/>
      <c r="W2142" s="788">
        <f t="shared" si="1888"/>
        <v>3.3136776000000001E-7</v>
      </c>
      <c r="X2142" s="789">
        <f t="shared" si="1889"/>
        <v>3.3136776000000001E-7</v>
      </c>
      <c r="Y2142" s="52">
        <v>2007</v>
      </c>
      <c r="Z2142" s="52"/>
      <c r="AA2142" s="787">
        <f t="shared" si="1912"/>
        <v>9.2046600000000003E-7</v>
      </c>
      <c r="AB2142" s="256">
        <v>-0.64</v>
      </c>
      <c r="AC2142" s="688">
        <f t="shared" si="1890"/>
        <v>-0.64</v>
      </c>
      <c r="AD2142" s="164"/>
      <c r="AE2142" s="164"/>
      <c r="AF2142" s="25"/>
      <c r="AG2142" s="26"/>
      <c r="AH2142" s="275"/>
      <c r="AI2142" s="52"/>
      <c r="AJ2142" s="35"/>
      <c r="AK2142" s="289"/>
      <c r="AL2142" s="290"/>
      <c r="AM2142" s="211"/>
      <c r="AN2142" s="164"/>
      <c r="AO2142" s="76"/>
      <c r="AP2142" s="44"/>
      <c r="AQ2142" s="275"/>
      <c r="AR2142" s="52"/>
      <c r="AS2142" s="35"/>
      <c r="AT2142" s="79"/>
      <c r="AU2142" s="212"/>
      <c r="AV2142" s="164"/>
      <c r="AW2142" s="164"/>
      <c r="AX2142" s="76"/>
      <c r="AY2142" s="44"/>
      <c r="AZ2142" s="275"/>
      <c r="BA2142" s="52"/>
      <c r="BB2142" s="35"/>
      <c r="BC2142" s="79"/>
      <c r="BD2142" s="230"/>
      <c r="BE2142" s="211"/>
      <c r="BF2142" s="164"/>
      <c r="BG2142" s="76"/>
      <c r="BH2142" s="44"/>
      <c r="BI2142" s="275"/>
      <c r="BJ2142" s="52"/>
      <c r="BK2142" s="35"/>
      <c r="BL2142" s="79"/>
      <c r="BM2142" s="230"/>
      <c r="BN2142" s="211"/>
      <c r="BO2142" s="164"/>
      <c r="BP2142" s="76"/>
      <c r="BQ2142" s="44"/>
      <c r="BR2142" s="299"/>
      <c r="BS2142" s="52"/>
      <c r="BT2142" s="35"/>
      <c r="BU2142" s="79"/>
      <c r="BV2142" s="212"/>
      <c r="BW2142" s="304"/>
      <c r="BX2142" s="313"/>
      <c r="BY2142" s="138"/>
    </row>
    <row r="2143" spans="1:77" ht="15" customHeight="1" outlineLevel="1" x14ac:dyDescent="0.2">
      <c r="A2143" s="583" t="s">
        <v>37</v>
      </c>
      <c r="B2143" s="583"/>
      <c r="C2143" s="162" t="s">
        <v>1081</v>
      </c>
      <c r="D2143" s="812">
        <v>2.4510000000000001</v>
      </c>
      <c r="E2143" s="162" t="s">
        <v>631</v>
      </c>
      <c r="F2143" s="729"/>
      <c r="G2143" s="730"/>
      <c r="H2143" s="73"/>
      <c r="I2143" s="90">
        <v>2007</v>
      </c>
      <c r="J2143" s="73"/>
      <c r="K2143" s="734">
        <v>1.5245999999999999E-2</v>
      </c>
      <c r="L2143" s="717"/>
      <c r="M2143" s="73"/>
      <c r="N2143" s="811"/>
      <c r="O2143" s="1041"/>
      <c r="P2143" s="73"/>
      <c r="Q2143" s="811"/>
      <c r="R2143" s="1041"/>
      <c r="S2143" s="73"/>
      <c r="T2143" s="811"/>
      <c r="U2143" s="73"/>
      <c r="V2143" s="66"/>
      <c r="W2143" s="740">
        <f t="shared" si="1888"/>
        <v>1.14345E-5</v>
      </c>
      <c r="X2143" s="741">
        <f t="shared" si="1889"/>
        <v>1.14345E-5</v>
      </c>
      <c r="Y2143" s="52">
        <v>2007</v>
      </c>
      <c r="Z2143" s="52"/>
      <c r="AA2143" s="739">
        <f t="shared" si="1912"/>
        <v>1.5245999999999999E-5</v>
      </c>
      <c r="AB2143" s="256">
        <v>-0.25</v>
      </c>
      <c r="AC2143" s="688">
        <f t="shared" si="1890"/>
        <v>-0.25</v>
      </c>
      <c r="AD2143" s="164"/>
      <c r="AE2143" s="164"/>
      <c r="AF2143" s="25"/>
      <c r="AG2143" s="26"/>
      <c r="AH2143" s="275"/>
      <c r="AI2143" s="52"/>
      <c r="AJ2143" s="35"/>
      <c r="AK2143" s="289"/>
      <c r="AL2143" s="290"/>
      <c r="AM2143" s="211"/>
      <c r="AN2143" s="164"/>
      <c r="AO2143" s="76"/>
      <c r="AP2143" s="44"/>
      <c r="AQ2143" s="275"/>
      <c r="AR2143" s="52"/>
      <c r="AS2143" s="35"/>
      <c r="AT2143" s="79"/>
      <c r="AU2143" s="212"/>
      <c r="AV2143" s="164"/>
      <c r="AW2143" s="164"/>
      <c r="AX2143" s="76"/>
      <c r="AY2143" s="44"/>
      <c r="AZ2143" s="275"/>
      <c r="BA2143" s="52"/>
      <c r="BB2143" s="35"/>
      <c r="BC2143" s="79"/>
      <c r="BD2143" s="230"/>
      <c r="BE2143" s="211"/>
      <c r="BF2143" s="164"/>
      <c r="BG2143" s="76"/>
      <c r="BH2143" s="44"/>
      <c r="BI2143" s="275"/>
      <c r="BJ2143" s="52"/>
      <c r="BK2143" s="35"/>
      <c r="BL2143" s="79"/>
      <c r="BM2143" s="230"/>
      <c r="BN2143" s="211"/>
      <c r="BO2143" s="164"/>
      <c r="BP2143" s="76"/>
      <c r="BQ2143" s="44"/>
      <c r="BR2143" s="299"/>
      <c r="BS2143" s="52"/>
      <c r="BT2143" s="35"/>
      <c r="BU2143" s="79"/>
      <c r="BV2143" s="212"/>
      <c r="BW2143" s="304"/>
      <c r="BX2143" s="313"/>
      <c r="BY2143" s="138"/>
    </row>
    <row r="2144" spans="1:77" ht="15" customHeight="1" outlineLevel="1" x14ac:dyDescent="0.2">
      <c r="A2144" s="583" t="s">
        <v>37</v>
      </c>
      <c r="B2144" s="583"/>
      <c r="C2144" s="162" t="s">
        <v>1126</v>
      </c>
      <c r="D2144" s="806">
        <v>0.16300000000000001</v>
      </c>
      <c r="E2144" s="162" t="s">
        <v>631</v>
      </c>
      <c r="F2144" s="729"/>
      <c r="G2144" s="730"/>
      <c r="H2144" s="73"/>
      <c r="I2144" s="90">
        <v>2007</v>
      </c>
      <c r="J2144" s="73"/>
      <c r="K2144" s="815">
        <v>5.3439999999999998E-4</v>
      </c>
      <c r="L2144" s="717"/>
      <c r="M2144" s="73"/>
      <c r="N2144" s="811"/>
      <c r="O2144" s="1041"/>
      <c r="P2144" s="73"/>
      <c r="Q2144" s="811"/>
      <c r="R2144" s="1041"/>
      <c r="S2144" s="73"/>
      <c r="T2144" s="811"/>
      <c r="U2144" s="73"/>
      <c r="V2144" s="66"/>
      <c r="W2144" s="808">
        <f t="shared" ref="W2144:W2214" si="1913">AA2144*(1+AB2144)</f>
        <v>3.9545600000000002E-7</v>
      </c>
      <c r="X2144" s="809">
        <f t="shared" ref="X2144:X2214" si="1914">AA2144*(1+AC2144)</f>
        <v>3.9545600000000002E-7</v>
      </c>
      <c r="Y2144" s="52">
        <v>2007</v>
      </c>
      <c r="Z2144" s="52"/>
      <c r="AA2144" s="807">
        <f t="shared" si="1912"/>
        <v>5.3440000000000002E-7</v>
      </c>
      <c r="AB2144" s="256">
        <v>-0.26</v>
      </c>
      <c r="AC2144" s="688">
        <f t="shared" ref="AC2144:AC2214" si="1915">AB2144</f>
        <v>-0.26</v>
      </c>
      <c r="AD2144" s="164"/>
      <c r="AE2144" s="164"/>
      <c r="AF2144" s="25"/>
      <c r="AG2144" s="26"/>
      <c r="AH2144" s="275"/>
      <c r="AI2144" s="52"/>
      <c r="AJ2144" s="35"/>
      <c r="AK2144" s="289"/>
      <c r="AL2144" s="290"/>
      <c r="AM2144" s="211"/>
      <c r="AN2144" s="164"/>
      <c r="AO2144" s="76"/>
      <c r="AP2144" s="44"/>
      <c r="AQ2144" s="275"/>
      <c r="AR2144" s="52"/>
      <c r="AS2144" s="35"/>
      <c r="AT2144" s="79"/>
      <c r="AU2144" s="212"/>
      <c r="AV2144" s="164"/>
      <c r="AW2144" s="164"/>
      <c r="AX2144" s="76"/>
      <c r="AY2144" s="44"/>
      <c r="AZ2144" s="275"/>
      <c r="BA2144" s="52"/>
      <c r="BB2144" s="35"/>
      <c r="BC2144" s="79"/>
      <c r="BD2144" s="230"/>
      <c r="BE2144" s="211"/>
      <c r="BF2144" s="164"/>
      <c r="BG2144" s="76"/>
      <c r="BH2144" s="44"/>
      <c r="BI2144" s="275"/>
      <c r="BJ2144" s="52"/>
      <c r="BK2144" s="35"/>
      <c r="BL2144" s="79"/>
      <c r="BM2144" s="230"/>
      <c r="BN2144" s="211"/>
      <c r="BO2144" s="164"/>
      <c r="BP2144" s="76"/>
      <c r="BQ2144" s="44"/>
      <c r="BR2144" s="299"/>
      <c r="BS2144" s="52"/>
      <c r="BT2144" s="35"/>
      <c r="BU2144" s="79"/>
      <c r="BV2144" s="212"/>
      <c r="BW2144" s="304"/>
      <c r="BX2144" s="313"/>
      <c r="BY2144" s="138"/>
    </row>
    <row r="2145" spans="1:77" ht="15" customHeight="1" outlineLevel="1" x14ac:dyDescent="0.2">
      <c r="A2145" s="583" t="s">
        <v>37</v>
      </c>
      <c r="B2145" s="583"/>
      <c r="C2145" s="162" t="s">
        <v>1028</v>
      </c>
      <c r="D2145" s="812">
        <v>8.6630000000000003</v>
      </c>
      <c r="E2145" s="162" t="s">
        <v>631</v>
      </c>
      <c r="F2145" s="729"/>
      <c r="G2145" s="730"/>
      <c r="H2145" s="73"/>
      <c r="I2145" s="90">
        <v>2007</v>
      </c>
      <c r="J2145" s="73"/>
      <c r="K2145" s="734">
        <v>1.3856E-2</v>
      </c>
      <c r="L2145" s="717"/>
      <c r="M2145" s="73"/>
      <c r="N2145" s="811"/>
      <c r="O2145" s="1041"/>
      <c r="P2145" s="73"/>
      <c r="Q2145" s="811"/>
      <c r="R2145" s="1041"/>
      <c r="S2145" s="73"/>
      <c r="T2145" s="811"/>
      <c r="U2145" s="73"/>
      <c r="V2145" s="66"/>
      <c r="W2145" s="788">
        <f t="shared" si="1913"/>
        <v>1.025344E-5</v>
      </c>
      <c r="X2145" s="789">
        <f t="shared" si="1914"/>
        <v>1.025344E-5</v>
      </c>
      <c r="Y2145" s="52">
        <v>2007</v>
      </c>
      <c r="Z2145" s="52"/>
      <c r="AA2145" s="787">
        <f t="shared" si="1912"/>
        <v>1.3856000000000001E-5</v>
      </c>
      <c r="AB2145" s="256">
        <v>-0.26</v>
      </c>
      <c r="AC2145" s="688">
        <f t="shared" si="1915"/>
        <v>-0.26</v>
      </c>
      <c r="AD2145" s="164"/>
      <c r="AE2145" s="164"/>
      <c r="AF2145" s="25"/>
      <c r="AG2145" s="26"/>
      <c r="AH2145" s="275"/>
      <c r="AI2145" s="52"/>
      <c r="AJ2145" s="35"/>
      <c r="AK2145" s="289"/>
      <c r="AL2145" s="290"/>
      <c r="AM2145" s="211"/>
      <c r="AN2145" s="164"/>
      <c r="AO2145" s="76"/>
      <c r="AP2145" s="44"/>
      <c r="AQ2145" s="275"/>
      <c r="AR2145" s="52"/>
      <c r="AS2145" s="35"/>
      <c r="AT2145" s="79"/>
      <c r="AU2145" s="212"/>
      <c r="AV2145" s="164"/>
      <c r="AW2145" s="164"/>
      <c r="AX2145" s="76"/>
      <c r="AY2145" s="44"/>
      <c r="AZ2145" s="275"/>
      <c r="BA2145" s="52"/>
      <c r="BB2145" s="35"/>
      <c r="BC2145" s="79"/>
      <c r="BD2145" s="230"/>
      <c r="BE2145" s="211"/>
      <c r="BF2145" s="164"/>
      <c r="BG2145" s="76"/>
      <c r="BH2145" s="44"/>
      <c r="BI2145" s="275"/>
      <c r="BJ2145" s="52"/>
      <c r="BK2145" s="35"/>
      <c r="BL2145" s="79"/>
      <c r="BM2145" s="230"/>
      <c r="BN2145" s="211"/>
      <c r="BO2145" s="164"/>
      <c r="BP2145" s="76"/>
      <c r="BQ2145" s="44"/>
      <c r="BR2145" s="299"/>
      <c r="BS2145" s="52"/>
      <c r="BT2145" s="35"/>
      <c r="BU2145" s="79"/>
      <c r="BV2145" s="212"/>
      <c r="BW2145" s="304"/>
      <c r="BX2145" s="313"/>
      <c r="BY2145" s="138"/>
    </row>
    <row r="2146" spans="1:77" ht="15" customHeight="1" outlineLevel="1" x14ac:dyDescent="0.2">
      <c r="A2146" s="583" t="s">
        <v>37</v>
      </c>
      <c r="B2146" s="583"/>
      <c r="C2146" s="162" t="s">
        <v>976</v>
      </c>
      <c r="D2146" s="806">
        <v>4.5999999999999999E-2</v>
      </c>
      <c r="E2146" s="162" t="s">
        <v>631</v>
      </c>
      <c r="F2146" s="729"/>
      <c r="G2146" s="730"/>
      <c r="H2146" s="73"/>
      <c r="I2146" s="90"/>
      <c r="J2146" s="73"/>
      <c r="K2146" s="66"/>
      <c r="L2146" s="717">
        <v>2012</v>
      </c>
      <c r="M2146" s="73"/>
      <c r="N2146" s="811">
        <v>1.08554E-4</v>
      </c>
      <c r="O2146" s="1041"/>
      <c r="P2146" s="73"/>
      <c r="Q2146" s="811"/>
      <c r="R2146" s="1041"/>
      <c r="S2146" s="73"/>
      <c r="T2146" s="811"/>
      <c r="U2146" s="73"/>
      <c r="V2146" s="66"/>
      <c r="W2146" s="808">
        <f t="shared" si="1913"/>
        <v>8.1415500000000005E-8</v>
      </c>
      <c r="X2146" s="809">
        <f t="shared" si="1914"/>
        <v>8.1415500000000005E-8</v>
      </c>
      <c r="Y2146" s="52">
        <v>2012</v>
      </c>
      <c r="Z2146" s="52"/>
      <c r="AA2146" s="787">
        <f>+N2146/1000</f>
        <v>1.0855400000000001E-7</v>
      </c>
      <c r="AB2146" s="256">
        <v>-0.25</v>
      </c>
      <c r="AC2146" s="688">
        <f t="shared" si="1915"/>
        <v>-0.25</v>
      </c>
      <c r="AD2146" s="164"/>
      <c r="AE2146" s="164"/>
      <c r="AF2146" s="25"/>
      <c r="AG2146" s="26"/>
      <c r="AH2146" s="275"/>
      <c r="AI2146" s="52"/>
      <c r="AJ2146" s="35"/>
      <c r="AK2146" s="289"/>
      <c r="AL2146" s="290"/>
      <c r="AM2146" s="211"/>
      <c r="AN2146" s="164"/>
      <c r="AO2146" s="76"/>
      <c r="AP2146" s="44"/>
      <c r="AQ2146" s="275"/>
      <c r="AR2146" s="52"/>
      <c r="AS2146" s="35"/>
      <c r="AT2146" s="79"/>
      <c r="AU2146" s="212"/>
      <c r="AV2146" s="164"/>
      <c r="AW2146" s="164"/>
      <c r="AX2146" s="76"/>
      <c r="AY2146" s="44"/>
      <c r="AZ2146" s="275"/>
      <c r="BA2146" s="52"/>
      <c r="BB2146" s="35"/>
      <c r="BC2146" s="79"/>
      <c r="BD2146" s="230"/>
      <c r="BE2146" s="211"/>
      <c r="BF2146" s="164"/>
      <c r="BG2146" s="76"/>
      <c r="BH2146" s="44"/>
      <c r="BI2146" s="275"/>
      <c r="BJ2146" s="52"/>
      <c r="BK2146" s="35"/>
      <c r="BL2146" s="79"/>
      <c r="BM2146" s="230"/>
      <c r="BN2146" s="211"/>
      <c r="BO2146" s="164"/>
      <c r="BP2146" s="76"/>
      <c r="BQ2146" s="44"/>
      <c r="BR2146" s="299"/>
      <c r="BS2146" s="52"/>
      <c r="BT2146" s="35"/>
      <c r="BU2146" s="79"/>
      <c r="BV2146" s="212"/>
      <c r="BW2146" s="304"/>
      <c r="BX2146" s="313"/>
      <c r="BY2146" s="138"/>
    </row>
    <row r="2147" spans="1:77" ht="15" customHeight="1" outlineLevel="1" x14ac:dyDescent="0.2">
      <c r="A2147" s="583" t="s">
        <v>37</v>
      </c>
      <c r="B2147" s="583"/>
      <c r="C2147" s="162" t="s">
        <v>1140</v>
      </c>
      <c r="D2147" s="806">
        <v>0.29499999999999998</v>
      </c>
      <c r="E2147" s="162" t="s">
        <v>631</v>
      </c>
      <c r="F2147" s="729"/>
      <c r="G2147" s="730"/>
      <c r="H2147" s="73"/>
      <c r="I2147" s="90">
        <v>2007</v>
      </c>
      <c r="J2147" s="73"/>
      <c r="K2147" s="815">
        <v>2.9500000000000001E-4</v>
      </c>
      <c r="L2147" s="717"/>
      <c r="M2147" s="73"/>
      <c r="N2147" s="811"/>
      <c r="O2147" s="1041"/>
      <c r="P2147" s="73"/>
      <c r="Q2147" s="811"/>
      <c r="R2147" s="1041"/>
      <c r="S2147" s="73"/>
      <c r="T2147" s="811"/>
      <c r="U2147" s="73"/>
      <c r="V2147" s="66"/>
      <c r="W2147" s="808">
        <f t="shared" si="1913"/>
        <v>2.2125000000000003E-7</v>
      </c>
      <c r="X2147" s="809">
        <f t="shared" si="1914"/>
        <v>2.2125000000000003E-7</v>
      </c>
      <c r="Y2147" s="52">
        <v>2007</v>
      </c>
      <c r="Z2147" s="52"/>
      <c r="AA2147" s="807">
        <f t="shared" ref="AA2147:AA2153" si="1916">+K2147/1000</f>
        <v>2.9500000000000003E-7</v>
      </c>
      <c r="AB2147" s="256">
        <v>-0.25</v>
      </c>
      <c r="AC2147" s="688">
        <f t="shared" si="1915"/>
        <v>-0.25</v>
      </c>
      <c r="AD2147" s="164"/>
      <c r="AE2147" s="164"/>
      <c r="AF2147" s="25"/>
      <c r="AG2147" s="26"/>
      <c r="AH2147" s="275"/>
      <c r="AI2147" s="52"/>
      <c r="AJ2147" s="35"/>
      <c r="AK2147" s="289"/>
      <c r="AL2147" s="290"/>
      <c r="AM2147" s="211"/>
      <c r="AN2147" s="164"/>
      <c r="AO2147" s="76"/>
      <c r="AP2147" s="44"/>
      <c r="AQ2147" s="275"/>
      <c r="AR2147" s="52"/>
      <c r="AS2147" s="35"/>
      <c r="AT2147" s="79"/>
      <c r="AU2147" s="212"/>
      <c r="AV2147" s="164"/>
      <c r="AW2147" s="164"/>
      <c r="AX2147" s="76"/>
      <c r="AY2147" s="44"/>
      <c r="AZ2147" s="275"/>
      <c r="BA2147" s="52"/>
      <c r="BB2147" s="35"/>
      <c r="BC2147" s="79"/>
      <c r="BD2147" s="230"/>
      <c r="BE2147" s="211"/>
      <c r="BF2147" s="164"/>
      <c r="BG2147" s="76"/>
      <c r="BH2147" s="44"/>
      <c r="BI2147" s="275"/>
      <c r="BJ2147" s="52"/>
      <c r="BK2147" s="35"/>
      <c r="BL2147" s="79"/>
      <c r="BM2147" s="230"/>
      <c r="BN2147" s="211"/>
      <c r="BO2147" s="164"/>
      <c r="BP2147" s="76"/>
      <c r="BQ2147" s="44"/>
      <c r="BR2147" s="299"/>
      <c r="BS2147" s="52"/>
      <c r="BT2147" s="35"/>
      <c r="BU2147" s="79"/>
      <c r="BV2147" s="212"/>
      <c r="BW2147" s="304"/>
      <c r="BX2147" s="313"/>
      <c r="BY2147" s="138"/>
    </row>
    <row r="2148" spans="1:77" ht="15" customHeight="1" outlineLevel="1" x14ac:dyDescent="0.2">
      <c r="A2148" s="583" t="s">
        <v>37</v>
      </c>
      <c r="B2148" s="583"/>
      <c r="C2148" s="162" t="s">
        <v>1101</v>
      </c>
      <c r="D2148" s="812">
        <v>29.2</v>
      </c>
      <c r="E2148" s="162" t="s">
        <v>631</v>
      </c>
      <c r="F2148" s="729"/>
      <c r="G2148" s="730"/>
      <c r="H2148" s="73"/>
      <c r="I2148" s="90"/>
      <c r="J2148" s="73"/>
      <c r="K2148" s="734">
        <v>6.9699999999999996E-3</v>
      </c>
      <c r="L2148" s="717"/>
      <c r="M2148" s="73"/>
      <c r="N2148" s="811"/>
      <c r="O2148" s="1041"/>
      <c r="P2148" s="73"/>
      <c r="Q2148" s="811"/>
      <c r="R2148" s="1041"/>
      <c r="S2148" s="73"/>
      <c r="T2148" s="811"/>
      <c r="U2148" s="73"/>
      <c r="V2148" s="66"/>
      <c r="W2148" s="788">
        <f t="shared" si="1913"/>
        <v>4.8789999999999994E-6</v>
      </c>
      <c r="X2148" s="789">
        <f t="shared" si="1914"/>
        <v>4.8789999999999994E-6</v>
      </c>
      <c r="Y2148" s="52">
        <v>2005</v>
      </c>
      <c r="Z2148" s="52"/>
      <c r="AA2148" s="787">
        <f t="shared" si="1916"/>
        <v>6.9699999999999993E-6</v>
      </c>
      <c r="AB2148" s="256">
        <v>-0.3</v>
      </c>
      <c r="AC2148" s="688">
        <f t="shared" si="1915"/>
        <v>-0.3</v>
      </c>
      <c r="AD2148" s="164"/>
      <c r="AE2148" s="164"/>
      <c r="AF2148" s="25"/>
      <c r="AG2148" s="26"/>
      <c r="AH2148" s="275"/>
      <c r="AI2148" s="52"/>
      <c r="AJ2148" s="35"/>
      <c r="AK2148" s="289"/>
      <c r="AL2148" s="290"/>
      <c r="AM2148" s="211"/>
      <c r="AN2148" s="164"/>
      <c r="AO2148" s="76"/>
      <c r="AP2148" s="44"/>
      <c r="AQ2148" s="275"/>
      <c r="AR2148" s="52"/>
      <c r="AS2148" s="35"/>
      <c r="AT2148" s="79"/>
      <c r="AU2148" s="212"/>
      <c r="AV2148" s="164"/>
      <c r="AW2148" s="164"/>
      <c r="AX2148" s="76"/>
      <c r="AY2148" s="44"/>
      <c r="AZ2148" s="275"/>
      <c r="BA2148" s="52"/>
      <c r="BB2148" s="35"/>
      <c r="BC2148" s="79"/>
      <c r="BD2148" s="230"/>
      <c r="BE2148" s="211"/>
      <c r="BF2148" s="164"/>
      <c r="BG2148" s="76"/>
      <c r="BH2148" s="44"/>
      <c r="BI2148" s="275"/>
      <c r="BJ2148" s="52"/>
      <c r="BK2148" s="35"/>
      <c r="BL2148" s="79"/>
      <c r="BM2148" s="230"/>
      <c r="BN2148" s="211"/>
      <c r="BO2148" s="164"/>
      <c r="BP2148" s="76"/>
      <c r="BQ2148" s="44"/>
      <c r="BR2148" s="299"/>
      <c r="BS2148" s="52"/>
      <c r="BT2148" s="35"/>
      <c r="BU2148" s="79"/>
      <c r="BV2148" s="212"/>
      <c r="BW2148" s="304"/>
      <c r="BX2148" s="313"/>
      <c r="BY2148" s="138"/>
    </row>
    <row r="2149" spans="1:77" ht="15" customHeight="1" outlineLevel="1" x14ac:dyDescent="0.2">
      <c r="A2149" s="583" t="s">
        <v>37</v>
      </c>
      <c r="B2149" s="583"/>
      <c r="C2149" s="162" t="s">
        <v>1141</v>
      </c>
      <c r="D2149" s="806">
        <v>0.21</v>
      </c>
      <c r="E2149" s="162" t="s">
        <v>631</v>
      </c>
      <c r="F2149" s="729"/>
      <c r="G2149" s="730"/>
      <c r="H2149" s="73"/>
      <c r="I2149" s="90">
        <v>2007</v>
      </c>
      <c r="J2149" s="73"/>
      <c r="K2149" s="790">
        <v>1.3309999999999999E-3</v>
      </c>
      <c r="L2149" s="717"/>
      <c r="M2149" s="73"/>
      <c r="N2149" s="811"/>
      <c r="O2149" s="1041"/>
      <c r="P2149" s="73"/>
      <c r="Q2149" s="811"/>
      <c r="R2149" s="1041"/>
      <c r="S2149" s="73"/>
      <c r="T2149" s="811"/>
      <c r="U2149" s="73"/>
      <c r="V2149" s="66"/>
      <c r="W2149" s="808">
        <f t="shared" si="1913"/>
        <v>9.316999999999998E-7</v>
      </c>
      <c r="X2149" s="809">
        <f t="shared" si="1914"/>
        <v>9.316999999999998E-7</v>
      </c>
      <c r="Y2149" s="52">
        <v>2007</v>
      </c>
      <c r="Z2149" s="52"/>
      <c r="AA2149" s="807">
        <f t="shared" si="1916"/>
        <v>1.3309999999999998E-6</v>
      </c>
      <c r="AB2149" s="256">
        <v>-0.3</v>
      </c>
      <c r="AC2149" s="688">
        <f t="shared" si="1915"/>
        <v>-0.3</v>
      </c>
      <c r="AD2149" s="164"/>
      <c r="AE2149" s="164"/>
      <c r="AF2149" s="25"/>
      <c r="AG2149" s="26"/>
      <c r="AH2149" s="275"/>
      <c r="AI2149" s="52"/>
      <c r="AJ2149" s="35"/>
      <c r="AK2149" s="289"/>
      <c r="AL2149" s="290"/>
      <c r="AM2149" s="211"/>
      <c r="AN2149" s="164"/>
      <c r="AO2149" s="76"/>
      <c r="AP2149" s="44"/>
      <c r="AQ2149" s="275"/>
      <c r="AR2149" s="52"/>
      <c r="AS2149" s="35"/>
      <c r="AT2149" s="79"/>
      <c r="AU2149" s="212"/>
      <c r="AV2149" s="164"/>
      <c r="AW2149" s="164"/>
      <c r="AX2149" s="76"/>
      <c r="AY2149" s="44"/>
      <c r="AZ2149" s="275"/>
      <c r="BA2149" s="52"/>
      <c r="BB2149" s="35"/>
      <c r="BC2149" s="79"/>
      <c r="BD2149" s="230"/>
      <c r="BE2149" s="211"/>
      <c r="BF2149" s="164"/>
      <c r="BG2149" s="76"/>
      <c r="BH2149" s="44"/>
      <c r="BI2149" s="275"/>
      <c r="BJ2149" s="52"/>
      <c r="BK2149" s="35"/>
      <c r="BL2149" s="79"/>
      <c r="BM2149" s="230"/>
      <c r="BN2149" s="211"/>
      <c r="BO2149" s="164"/>
      <c r="BP2149" s="76"/>
      <c r="BQ2149" s="44"/>
      <c r="BR2149" s="299"/>
      <c r="BS2149" s="52"/>
      <c r="BT2149" s="35"/>
      <c r="BU2149" s="79"/>
      <c r="BV2149" s="212"/>
      <c r="BW2149" s="304"/>
      <c r="BX2149" s="313"/>
      <c r="BY2149" s="138"/>
    </row>
    <row r="2150" spans="1:77" ht="15" customHeight="1" outlineLevel="1" x14ac:dyDescent="0.2">
      <c r="A2150" s="583" t="s">
        <v>37</v>
      </c>
      <c r="B2150" s="583"/>
      <c r="C2150" s="162" t="s">
        <v>2680</v>
      </c>
      <c r="D2150" s="806">
        <v>2.2570000000000001</v>
      </c>
      <c r="E2150" s="162" t="s">
        <v>631</v>
      </c>
      <c r="F2150" s="729"/>
      <c r="G2150" s="730"/>
      <c r="H2150" s="73"/>
      <c r="I2150" s="90"/>
      <c r="J2150" s="73"/>
      <c r="K2150" s="790">
        <v>1.7035000000000002E-2</v>
      </c>
      <c r="L2150" s="717"/>
      <c r="M2150" s="73"/>
      <c r="N2150" s="811"/>
      <c r="O2150" s="1041"/>
      <c r="P2150" s="73"/>
      <c r="Q2150" s="811"/>
      <c r="R2150" s="1041"/>
      <c r="S2150" s="73"/>
      <c r="T2150" s="811"/>
      <c r="U2150" s="73"/>
      <c r="V2150" s="66"/>
      <c r="W2150" s="788">
        <f t="shared" ref="W2150" si="1917">AA2150*(1+AB2150)</f>
        <v>1.2435550000000002E-5</v>
      </c>
      <c r="X2150" s="789">
        <f t="shared" ref="X2150" si="1918">AA2150*(1+AC2150)</f>
        <v>1.2435550000000002E-5</v>
      </c>
      <c r="Y2150" s="52">
        <v>2005</v>
      </c>
      <c r="Z2150" s="52"/>
      <c r="AA2150" s="787">
        <f t="shared" ref="AA2150" si="1919">+K2150/1000</f>
        <v>1.7035000000000002E-5</v>
      </c>
      <c r="AB2150" s="256">
        <v>-0.27</v>
      </c>
      <c r="AC2150" s="688">
        <f t="shared" ref="AC2150" si="1920">AB2150</f>
        <v>-0.27</v>
      </c>
      <c r="AD2150" s="164"/>
      <c r="AE2150" s="164"/>
      <c r="AF2150" s="25"/>
      <c r="AG2150" s="26"/>
      <c r="AH2150" s="275"/>
      <c r="AI2150" s="52"/>
      <c r="AJ2150" s="35"/>
      <c r="AK2150" s="289"/>
      <c r="AL2150" s="290"/>
      <c r="AM2150" s="211"/>
      <c r="AN2150" s="164"/>
      <c r="AO2150" s="76"/>
      <c r="AP2150" s="44"/>
      <c r="AQ2150" s="275"/>
      <c r="AR2150" s="52"/>
      <c r="AS2150" s="35"/>
      <c r="AT2150" s="79"/>
      <c r="AU2150" s="212"/>
      <c r="AV2150" s="164"/>
      <c r="AW2150" s="164"/>
      <c r="AX2150" s="76"/>
      <c r="AY2150" s="44"/>
      <c r="AZ2150" s="275"/>
      <c r="BA2150" s="52"/>
      <c r="BB2150" s="35"/>
      <c r="BC2150" s="79"/>
      <c r="BD2150" s="230"/>
      <c r="BE2150" s="211"/>
      <c r="BF2150" s="164"/>
      <c r="BG2150" s="76"/>
      <c r="BH2150" s="44"/>
      <c r="BI2150" s="275"/>
      <c r="BJ2150" s="52"/>
      <c r="BK2150" s="35"/>
      <c r="BL2150" s="79"/>
      <c r="BM2150" s="230"/>
      <c r="BN2150" s="211"/>
      <c r="BO2150" s="164"/>
      <c r="BP2150" s="76"/>
      <c r="BQ2150" s="44"/>
      <c r="BR2150" s="299"/>
      <c r="BS2150" s="52"/>
      <c r="BT2150" s="35"/>
      <c r="BU2150" s="79"/>
      <c r="BV2150" s="212"/>
      <c r="BW2150" s="304"/>
      <c r="BX2150" s="313"/>
      <c r="BY2150" s="138"/>
    </row>
    <row r="2151" spans="1:77" ht="15" customHeight="1" outlineLevel="1" x14ac:dyDescent="0.2">
      <c r="A2151" s="583" t="s">
        <v>37</v>
      </c>
      <c r="B2151" s="583"/>
      <c r="C2151" s="162" t="s">
        <v>1151</v>
      </c>
      <c r="D2151" s="812">
        <v>2.335</v>
      </c>
      <c r="E2151" s="162" t="s">
        <v>631</v>
      </c>
      <c r="F2151" s="729"/>
      <c r="G2151" s="730"/>
      <c r="H2151" s="73"/>
      <c r="I2151" s="90">
        <v>2007</v>
      </c>
      <c r="J2151" s="73"/>
      <c r="K2151" s="734">
        <v>1.4827E-2</v>
      </c>
      <c r="L2151" s="717"/>
      <c r="M2151" s="73"/>
      <c r="N2151" s="811"/>
      <c r="O2151" s="1041"/>
      <c r="P2151" s="73"/>
      <c r="Q2151" s="811"/>
      <c r="R2151" s="1041"/>
      <c r="S2151" s="73"/>
      <c r="T2151" s="811"/>
      <c r="U2151" s="73"/>
      <c r="V2151" s="66"/>
      <c r="W2151" s="788">
        <f t="shared" si="1913"/>
        <v>8.1548500000000004E-6</v>
      </c>
      <c r="X2151" s="789">
        <f t="shared" si="1914"/>
        <v>8.1548500000000004E-6</v>
      </c>
      <c r="Y2151" s="52">
        <v>2007</v>
      </c>
      <c r="Z2151" s="52"/>
      <c r="AA2151" s="787">
        <f t="shared" si="1916"/>
        <v>1.4827000000000001E-5</v>
      </c>
      <c r="AB2151" s="256">
        <v>-0.45</v>
      </c>
      <c r="AC2151" s="688">
        <f t="shared" si="1915"/>
        <v>-0.45</v>
      </c>
      <c r="AD2151" s="164"/>
      <c r="AE2151" s="164"/>
      <c r="AF2151" s="25"/>
      <c r="AG2151" s="26"/>
      <c r="AH2151" s="275"/>
      <c r="AI2151" s="52"/>
      <c r="AJ2151" s="35"/>
      <c r="AK2151" s="289"/>
      <c r="AL2151" s="290"/>
      <c r="AM2151" s="211"/>
      <c r="AN2151" s="164"/>
      <c r="AO2151" s="76"/>
      <c r="AP2151" s="44"/>
      <c r="AQ2151" s="275"/>
      <c r="AR2151" s="52"/>
      <c r="AS2151" s="35"/>
      <c r="AT2151" s="79"/>
      <c r="AU2151" s="212"/>
      <c r="AV2151" s="164"/>
      <c r="AW2151" s="164"/>
      <c r="AX2151" s="76"/>
      <c r="AY2151" s="44"/>
      <c r="AZ2151" s="275"/>
      <c r="BA2151" s="52"/>
      <c r="BB2151" s="35"/>
      <c r="BC2151" s="79"/>
      <c r="BD2151" s="230"/>
      <c r="BE2151" s="211"/>
      <c r="BF2151" s="164"/>
      <c r="BG2151" s="76"/>
      <c r="BH2151" s="44"/>
      <c r="BI2151" s="275"/>
      <c r="BJ2151" s="52"/>
      <c r="BK2151" s="35"/>
      <c r="BL2151" s="79"/>
      <c r="BM2151" s="230"/>
      <c r="BN2151" s="211"/>
      <c r="BO2151" s="164"/>
      <c r="BP2151" s="76"/>
      <c r="BQ2151" s="44"/>
      <c r="BR2151" s="299"/>
      <c r="BS2151" s="52"/>
      <c r="BT2151" s="35"/>
      <c r="BU2151" s="79"/>
      <c r="BV2151" s="212"/>
      <c r="BW2151" s="304"/>
      <c r="BX2151" s="313"/>
      <c r="BY2151" s="138"/>
    </row>
    <row r="2152" spans="1:77" ht="15" customHeight="1" outlineLevel="1" x14ac:dyDescent="0.2">
      <c r="A2152" s="583" t="s">
        <v>37</v>
      </c>
      <c r="B2152" s="583"/>
      <c r="C2152" s="162" t="s">
        <v>1030</v>
      </c>
      <c r="D2152" s="812">
        <v>28.327999999999999</v>
      </c>
      <c r="E2152" s="162" t="s">
        <v>631</v>
      </c>
      <c r="F2152" s="729"/>
      <c r="G2152" s="730"/>
      <c r="H2152" s="73"/>
      <c r="I2152" s="90">
        <v>2007</v>
      </c>
      <c r="J2152" s="73"/>
      <c r="K2152" s="734">
        <v>3.8644999999999999E-2</v>
      </c>
      <c r="L2152" s="717"/>
      <c r="M2152" s="73"/>
      <c r="N2152" s="811"/>
      <c r="O2152" s="1041"/>
      <c r="P2152" s="73"/>
      <c r="Q2152" s="811"/>
      <c r="R2152" s="1041"/>
      <c r="S2152" s="73"/>
      <c r="T2152" s="811"/>
      <c r="U2152" s="73"/>
      <c r="V2152" s="66"/>
      <c r="W2152" s="740">
        <f t="shared" si="1913"/>
        <v>2.1254750000000002E-5</v>
      </c>
      <c r="X2152" s="741">
        <f t="shared" si="1914"/>
        <v>2.1254750000000002E-5</v>
      </c>
      <c r="Y2152" s="52">
        <v>2007</v>
      </c>
      <c r="Z2152" s="52"/>
      <c r="AA2152" s="739">
        <f t="shared" si="1916"/>
        <v>3.8645E-5</v>
      </c>
      <c r="AB2152" s="256">
        <v>-0.45</v>
      </c>
      <c r="AC2152" s="688">
        <f t="shared" si="1915"/>
        <v>-0.45</v>
      </c>
      <c r="AD2152" s="164"/>
      <c r="AE2152" s="164"/>
      <c r="AF2152" s="25"/>
      <c r="AG2152" s="26"/>
      <c r="AH2152" s="275"/>
      <c r="AI2152" s="52"/>
      <c r="AJ2152" s="35"/>
      <c r="AK2152" s="289"/>
      <c r="AL2152" s="290"/>
      <c r="AM2152" s="211"/>
      <c r="AN2152" s="164"/>
      <c r="AO2152" s="76"/>
      <c r="AP2152" s="44"/>
      <c r="AQ2152" s="275"/>
      <c r="AR2152" s="52"/>
      <c r="AS2152" s="35"/>
      <c r="AT2152" s="79"/>
      <c r="AU2152" s="212"/>
      <c r="AV2152" s="164"/>
      <c r="AW2152" s="164"/>
      <c r="AX2152" s="76"/>
      <c r="AY2152" s="44"/>
      <c r="AZ2152" s="275"/>
      <c r="BA2152" s="52"/>
      <c r="BB2152" s="35"/>
      <c r="BC2152" s="79"/>
      <c r="BD2152" s="230"/>
      <c r="BE2152" s="211"/>
      <c r="BF2152" s="164"/>
      <c r="BG2152" s="76"/>
      <c r="BH2152" s="44"/>
      <c r="BI2152" s="275"/>
      <c r="BJ2152" s="52"/>
      <c r="BK2152" s="35"/>
      <c r="BL2152" s="79"/>
      <c r="BM2152" s="230"/>
      <c r="BN2152" s="211"/>
      <c r="BO2152" s="164"/>
      <c r="BP2152" s="76"/>
      <c r="BQ2152" s="44"/>
      <c r="BR2152" s="299"/>
      <c r="BS2152" s="52"/>
      <c r="BT2152" s="35"/>
      <c r="BU2152" s="79"/>
      <c r="BV2152" s="212"/>
      <c r="BW2152" s="304"/>
      <c r="BX2152" s="313"/>
      <c r="BY2152" s="138"/>
    </row>
    <row r="2153" spans="1:77" ht="15" customHeight="1" outlineLevel="1" x14ac:dyDescent="0.2">
      <c r="A2153" s="583" t="s">
        <v>37</v>
      </c>
      <c r="B2153" s="583"/>
      <c r="C2153" s="162" t="s">
        <v>1261</v>
      </c>
      <c r="D2153" s="806">
        <v>5.8000000000000003E-2</v>
      </c>
      <c r="E2153" s="162" t="s">
        <v>631</v>
      </c>
      <c r="F2153" s="729"/>
      <c r="G2153" s="730"/>
      <c r="H2153" s="73"/>
      <c r="I2153" s="90">
        <v>2007</v>
      </c>
      <c r="J2153" s="73"/>
      <c r="K2153" s="815">
        <v>2.2146000000000001E-4</v>
      </c>
      <c r="L2153" s="717"/>
      <c r="M2153" s="73"/>
      <c r="N2153" s="811"/>
      <c r="O2153" s="1041"/>
      <c r="P2153" s="73"/>
      <c r="Q2153" s="811"/>
      <c r="R2153" s="1041"/>
      <c r="S2153" s="73"/>
      <c r="T2153" s="811"/>
      <c r="U2153" s="73"/>
      <c r="V2153" s="66"/>
      <c r="W2153" s="808">
        <f t="shared" si="1913"/>
        <v>1.5280739999999999E-7</v>
      </c>
      <c r="X2153" s="809">
        <f t="shared" si="1914"/>
        <v>1.5280739999999999E-7</v>
      </c>
      <c r="Y2153" s="52">
        <v>2007</v>
      </c>
      <c r="Z2153" s="52"/>
      <c r="AA2153" s="807">
        <f t="shared" si="1916"/>
        <v>2.2146E-7</v>
      </c>
      <c r="AB2153" s="256">
        <v>-0.31</v>
      </c>
      <c r="AC2153" s="688">
        <f t="shared" si="1915"/>
        <v>-0.31</v>
      </c>
      <c r="AD2153" s="164"/>
      <c r="AE2153" s="164"/>
      <c r="AF2153" s="25"/>
      <c r="AG2153" s="26"/>
      <c r="AH2153" s="275"/>
      <c r="AI2153" s="52"/>
      <c r="AJ2153" s="35"/>
      <c r="AK2153" s="289"/>
      <c r="AL2153" s="290"/>
      <c r="AM2153" s="211"/>
      <c r="AN2153" s="164"/>
      <c r="AO2153" s="76"/>
      <c r="AP2153" s="44"/>
      <c r="AQ2153" s="275"/>
      <c r="AR2153" s="52"/>
      <c r="AS2153" s="35"/>
      <c r="AT2153" s="79"/>
      <c r="AU2153" s="212"/>
      <c r="AV2153" s="164"/>
      <c r="AW2153" s="164"/>
      <c r="AX2153" s="76"/>
      <c r="AY2153" s="44"/>
      <c r="AZ2153" s="275"/>
      <c r="BA2153" s="52"/>
      <c r="BB2153" s="35"/>
      <c r="BC2153" s="79"/>
      <c r="BD2153" s="230"/>
      <c r="BE2153" s="211"/>
      <c r="BF2153" s="164"/>
      <c r="BG2153" s="76"/>
      <c r="BH2153" s="44"/>
      <c r="BI2153" s="275"/>
      <c r="BJ2153" s="52"/>
      <c r="BK2153" s="35"/>
      <c r="BL2153" s="79"/>
      <c r="BM2153" s="230"/>
      <c r="BN2153" s="211"/>
      <c r="BO2153" s="164"/>
      <c r="BP2153" s="76"/>
      <c r="BQ2153" s="44"/>
      <c r="BR2153" s="299"/>
      <c r="BS2153" s="52"/>
      <c r="BT2153" s="35"/>
      <c r="BU2153" s="79"/>
      <c r="BV2153" s="212"/>
      <c r="BW2153" s="304"/>
      <c r="BX2153" s="313"/>
      <c r="BY2153" s="138"/>
    </row>
    <row r="2154" spans="1:77" ht="15" customHeight="1" outlineLevel="1" x14ac:dyDescent="0.2">
      <c r="A2154" s="583" t="s">
        <v>37</v>
      </c>
      <c r="B2154" s="583"/>
      <c r="C2154" s="162" t="s">
        <v>2681</v>
      </c>
      <c r="D2154" s="806">
        <v>0.57299999999999995</v>
      </c>
      <c r="E2154" s="162" t="s">
        <v>631</v>
      </c>
      <c r="F2154" s="729"/>
      <c r="G2154" s="730"/>
      <c r="H2154" s="73"/>
      <c r="I2154" s="90"/>
      <c r="J2154" s="73"/>
      <c r="K2154" s="790">
        <v>3.5620000000000001E-3</v>
      </c>
      <c r="L2154" s="717"/>
      <c r="M2154" s="73"/>
      <c r="N2154" s="811"/>
      <c r="O2154" s="1041"/>
      <c r="P2154" s="73"/>
      <c r="Q2154" s="811"/>
      <c r="R2154" s="1041"/>
      <c r="S2154" s="73"/>
      <c r="T2154" s="811"/>
      <c r="U2154" s="73"/>
      <c r="V2154" s="66"/>
      <c r="W2154" s="808">
        <f t="shared" ref="W2154" si="1921">AA2154*(1+AB2154)</f>
        <v>2.6002600000000001E-6</v>
      </c>
      <c r="X2154" s="809">
        <f t="shared" ref="X2154" si="1922">AA2154*(1+AC2154)</f>
        <v>2.6002600000000001E-6</v>
      </c>
      <c r="Y2154" s="52">
        <v>2005</v>
      </c>
      <c r="Z2154" s="52"/>
      <c r="AA2154" s="807">
        <f t="shared" ref="AA2154" si="1923">+K2154/1000</f>
        <v>3.5619999999999999E-6</v>
      </c>
      <c r="AB2154" s="256">
        <v>-0.27</v>
      </c>
      <c r="AC2154" s="688">
        <f t="shared" ref="AC2154" si="1924">AB2154</f>
        <v>-0.27</v>
      </c>
      <c r="AD2154" s="164"/>
      <c r="AE2154" s="164"/>
      <c r="AF2154" s="25"/>
      <c r="AG2154" s="26"/>
      <c r="AH2154" s="275"/>
      <c r="AI2154" s="52"/>
      <c r="AJ2154" s="35"/>
      <c r="AK2154" s="289"/>
      <c r="AL2154" s="290"/>
      <c r="AM2154" s="211"/>
      <c r="AN2154" s="164"/>
      <c r="AO2154" s="76"/>
      <c r="AP2154" s="44"/>
      <c r="AQ2154" s="275"/>
      <c r="AR2154" s="52"/>
      <c r="AS2154" s="35"/>
      <c r="AT2154" s="79"/>
      <c r="AU2154" s="212"/>
      <c r="AV2154" s="164"/>
      <c r="AW2154" s="164"/>
      <c r="AX2154" s="76"/>
      <c r="AY2154" s="44"/>
      <c r="AZ2154" s="275"/>
      <c r="BA2154" s="52"/>
      <c r="BB2154" s="35"/>
      <c r="BC2154" s="79"/>
      <c r="BD2154" s="230"/>
      <c r="BE2154" s="211"/>
      <c r="BF2154" s="164"/>
      <c r="BG2154" s="76"/>
      <c r="BH2154" s="44"/>
      <c r="BI2154" s="275"/>
      <c r="BJ2154" s="52"/>
      <c r="BK2154" s="35"/>
      <c r="BL2154" s="79"/>
      <c r="BM2154" s="230"/>
      <c r="BN2154" s="211"/>
      <c r="BO2154" s="164"/>
      <c r="BP2154" s="76"/>
      <c r="BQ2154" s="44"/>
      <c r="BR2154" s="299"/>
      <c r="BS2154" s="52"/>
      <c r="BT2154" s="35"/>
      <c r="BU2154" s="79"/>
      <c r="BV2154" s="212"/>
      <c r="BW2154" s="304"/>
      <c r="BX2154" s="313"/>
      <c r="BY2154" s="138"/>
    </row>
    <row r="2155" spans="1:77" ht="15" customHeight="1" outlineLevel="1" x14ac:dyDescent="0.2">
      <c r="A2155" s="583" t="s">
        <v>37</v>
      </c>
      <c r="B2155" s="583"/>
      <c r="C2155" s="162" t="s">
        <v>977</v>
      </c>
      <c r="D2155" s="728">
        <v>2.3130000000000002</v>
      </c>
      <c r="E2155" s="162" t="s">
        <v>631</v>
      </c>
      <c r="F2155" s="729"/>
      <c r="G2155" s="730"/>
      <c r="H2155" s="73"/>
      <c r="I2155" s="90"/>
      <c r="J2155" s="73"/>
      <c r="K2155" s="66"/>
      <c r="L2155" s="717"/>
      <c r="M2155" s="73"/>
      <c r="N2155" s="738">
        <v>5.8780000000000004E-3</v>
      </c>
      <c r="O2155" s="1041"/>
      <c r="P2155" s="73"/>
      <c r="Q2155" s="738"/>
      <c r="R2155" s="1041"/>
      <c r="S2155" s="73"/>
      <c r="T2155" s="738"/>
      <c r="U2155" s="73"/>
      <c r="V2155" s="66"/>
      <c r="W2155" s="788">
        <f t="shared" si="1913"/>
        <v>4.2321599999999996E-6</v>
      </c>
      <c r="X2155" s="789">
        <f t="shared" si="1914"/>
        <v>4.2321599999999996E-6</v>
      </c>
      <c r="Y2155" s="52">
        <v>2010</v>
      </c>
      <c r="Z2155" s="52"/>
      <c r="AA2155" s="787">
        <f>+N2155/1000</f>
        <v>5.8780000000000003E-6</v>
      </c>
      <c r="AB2155" s="256">
        <v>-0.28000000000000003</v>
      </c>
      <c r="AC2155" s="688">
        <f t="shared" si="1915"/>
        <v>-0.28000000000000003</v>
      </c>
      <c r="AD2155" s="164"/>
      <c r="AE2155" s="164"/>
      <c r="AF2155" s="25"/>
      <c r="AG2155" s="26"/>
      <c r="AH2155" s="275"/>
      <c r="AI2155" s="52"/>
      <c r="AJ2155" s="35"/>
      <c r="AK2155" s="289"/>
      <c r="AL2155" s="290"/>
      <c r="AM2155" s="211"/>
      <c r="AN2155" s="164"/>
      <c r="AO2155" s="76"/>
      <c r="AP2155" s="44"/>
      <c r="AQ2155" s="275"/>
      <c r="AR2155" s="52"/>
      <c r="AS2155" s="35"/>
      <c r="AT2155" s="79"/>
      <c r="AU2155" s="212"/>
      <c r="AV2155" s="164"/>
      <c r="AW2155" s="164"/>
      <c r="AX2155" s="76"/>
      <c r="AY2155" s="44"/>
      <c r="AZ2155" s="275"/>
      <c r="BA2155" s="52"/>
      <c r="BB2155" s="35"/>
      <c r="BC2155" s="79"/>
      <c r="BD2155" s="230"/>
      <c r="BE2155" s="211"/>
      <c r="BF2155" s="164"/>
      <c r="BG2155" s="76"/>
      <c r="BH2155" s="44"/>
      <c r="BI2155" s="275"/>
      <c r="BJ2155" s="52"/>
      <c r="BK2155" s="35"/>
      <c r="BL2155" s="79"/>
      <c r="BM2155" s="230"/>
      <c r="BN2155" s="211"/>
      <c r="BO2155" s="164"/>
      <c r="BP2155" s="76"/>
      <c r="BQ2155" s="44"/>
      <c r="BR2155" s="299"/>
      <c r="BS2155" s="52"/>
      <c r="BT2155" s="35"/>
      <c r="BU2155" s="79"/>
      <c r="BV2155" s="212"/>
      <c r="BW2155" s="304"/>
      <c r="BX2155" s="313"/>
      <c r="BY2155" s="138"/>
    </row>
    <row r="2156" spans="1:77" ht="15" customHeight="1" outlineLevel="1" x14ac:dyDescent="0.2">
      <c r="A2156" s="583" t="s">
        <v>37</v>
      </c>
      <c r="B2156" s="583"/>
      <c r="C2156" s="162" t="s">
        <v>1007</v>
      </c>
      <c r="D2156" s="812">
        <v>41.671999999999997</v>
      </c>
      <c r="E2156" s="162" t="s">
        <v>631</v>
      </c>
      <c r="F2156" s="729"/>
      <c r="G2156" s="730"/>
      <c r="H2156" s="73"/>
      <c r="I2156" s="90">
        <v>2007</v>
      </c>
      <c r="J2156" s="73"/>
      <c r="K2156" s="66">
        <v>0.19436500000000001</v>
      </c>
      <c r="L2156" s="717"/>
      <c r="M2156" s="73"/>
      <c r="N2156" s="811"/>
      <c r="O2156" s="1041"/>
      <c r="P2156" s="73"/>
      <c r="Q2156" s="811"/>
      <c r="R2156" s="1041"/>
      <c r="S2156" s="73"/>
      <c r="T2156" s="811"/>
      <c r="U2156" s="73"/>
      <c r="V2156" s="66"/>
      <c r="W2156" s="740">
        <f t="shared" si="1913"/>
        <v>1.2244995E-4</v>
      </c>
      <c r="X2156" s="741">
        <f t="shared" si="1914"/>
        <v>1.2244995E-4</v>
      </c>
      <c r="Y2156" s="52">
        <v>2007</v>
      </c>
      <c r="Z2156" s="52"/>
      <c r="AA2156" s="739">
        <f t="shared" ref="AA2156:AA2168" si="1925">+K2156/1000</f>
        <v>1.94365E-4</v>
      </c>
      <c r="AB2156" s="256">
        <v>-0.37</v>
      </c>
      <c r="AC2156" s="688">
        <f t="shared" si="1915"/>
        <v>-0.37</v>
      </c>
      <c r="AD2156" s="164"/>
      <c r="AE2156" s="164"/>
      <c r="AF2156" s="25"/>
      <c r="AG2156" s="26"/>
      <c r="AH2156" s="275"/>
      <c r="AI2156" s="52"/>
      <c r="AJ2156" s="35"/>
      <c r="AK2156" s="289"/>
      <c r="AL2156" s="290"/>
      <c r="AM2156" s="211"/>
      <c r="AN2156" s="164"/>
      <c r="AO2156" s="76"/>
      <c r="AP2156" s="44"/>
      <c r="AQ2156" s="275"/>
      <c r="AR2156" s="52"/>
      <c r="AS2156" s="35"/>
      <c r="AT2156" s="79"/>
      <c r="AU2156" s="212"/>
      <c r="AV2156" s="164"/>
      <c r="AW2156" s="164"/>
      <c r="AX2156" s="76"/>
      <c r="AY2156" s="44"/>
      <c r="AZ2156" s="275"/>
      <c r="BA2156" s="52"/>
      <c r="BB2156" s="35"/>
      <c r="BC2156" s="79"/>
      <c r="BD2156" s="230"/>
      <c r="BE2156" s="211"/>
      <c r="BF2156" s="164"/>
      <c r="BG2156" s="76"/>
      <c r="BH2156" s="44"/>
      <c r="BI2156" s="275"/>
      <c r="BJ2156" s="52"/>
      <c r="BK2156" s="35"/>
      <c r="BL2156" s="79"/>
      <c r="BM2156" s="230"/>
      <c r="BN2156" s="211"/>
      <c r="BO2156" s="164"/>
      <c r="BP2156" s="76"/>
      <c r="BQ2156" s="44"/>
      <c r="BR2156" s="299"/>
      <c r="BS2156" s="52"/>
      <c r="BT2156" s="35"/>
      <c r="BU2156" s="79"/>
      <c r="BV2156" s="212"/>
      <c r="BW2156" s="304"/>
      <c r="BX2156" s="313"/>
      <c r="BY2156" s="138"/>
    </row>
    <row r="2157" spans="1:77" ht="15" customHeight="1" outlineLevel="1" x14ac:dyDescent="0.2">
      <c r="A2157" s="583" t="s">
        <v>37</v>
      </c>
      <c r="B2157" s="583"/>
      <c r="C2157" s="162" t="s">
        <v>2682</v>
      </c>
      <c r="D2157" s="812">
        <v>17.18</v>
      </c>
      <c r="E2157" s="162" t="s">
        <v>631</v>
      </c>
      <c r="F2157" s="729"/>
      <c r="G2157" s="730"/>
      <c r="H2157" s="73"/>
      <c r="I2157" s="90"/>
      <c r="J2157" s="73"/>
      <c r="K2157" s="66"/>
      <c r="L2157" s="717">
        <v>2011</v>
      </c>
      <c r="M2157" s="73"/>
      <c r="N2157" s="786">
        <v>5.0344E-2</v>
      </c>
      <c r="O2157" s="1041"/>
      <c r="P2157" s="73"/>
      <c r="Q2157" s="811"/>
      <c r="R2157" s="1041"/>
      <c r="S2157" s="73"/>
      <c r="T2157" s="811"/>
      <c r="U2157" s="73"/>
      <c r="V2157" s="66"/>
      <c r="W2157" s="740">
        <f t="shared" ref="W2157" si="1926">AA2157*(1+AB2157)</f>
        <v>3.7758E-5</v>
      </c>
      <c r="X2157" s="741">
        <f t="shared" ref="X2157" si="1927">AA2157*(1+AC2157)</f>
        <v>3.7758E-5</v>
      </c>
      <c r="Y2157" s="52">
        <v>2007</v>
      </c>
      <c r="Z2157" s="52"/>
      <c r="AA2157" s="739">
        <f>+N2157/1000</f>
        <v>5.0343999999999998E-5</v>
      </c>
      <c r="AB2157" s="256">
        <v>-0.25</v>
      </c>
      <c r="AC2157" s="688">
        <f t="shared" ref="AC2157" si="1928">AB2157</f>
        <v>-0.25</v>
      </c>
      <c r="AD2157" s="164"/>
      <c r="AE2157" s="164"/>
      <c r="AF2157" s="25"/>
      <c r="AG2157" s="26"/>
      <c r="AH2157" s="275"/>
      <c r="AI2157" s="52"/>
      <c r="AJ2157" s="35"/>
      <c r="AK2157" s="289"/>
      <c r="AL2157" s="290"/>
      <c r="AM2157" s="211"/>
      <c r="AN2157" s="164"/>
      <c r="AO2157" s="76"/>
      <c r="AP2157" s="44"/>
      <c r="AQ2157" s="275"/>
      <c r="AR2157" s="52"/>
      <c r="AS2157" s="35"/>
      <c r="AT2157" s="79"/>
      <c r="AU2157" s="212"/>
      <c r="AV2157" s="164"/>
      <c r="AW2157" s="164"/>
      <c r="AX2157" s="76"/>
      <c r="AY2157" s="44"/>
      <c r="AZ2157" s="275"/>
      <c r="BA2157" s="52"/>
      <c r="BB2157" s="35"/>
      <c r="BC2157" s="79"/>
      <c r="BD2157" s="230"/>
      <c r="BE2157" s="211"/>
      <c r="BF2157" s="164"/>
      <c r="BG2157" s="76"/>
      <c r="BH2157" s="44"/>
      <c r="BI2157" s="275"/>
      <c r="BJ2157" s="52"/>
      <c r="BK2157" s="35"/>
      <c r="BL2157" s="79"/>
      <c r="BM2157" s="230"/>
      <c r="BN2157" s="211"/>
      <c r="BO2157" s="164"/>
      <c r="BP2157" s="76"/>
      <c r="BQ2157" s="44"/>
      <c r="BR2157" s="299"/>
      <c r="BS2157" s="52"/>
      <c r="BT2157" s="35"/>
      <c r="BU2157" s="79"/>
      <c r="BV2157" s="212"/>
      <c r="BW2157" s="304"/>
      <c r="BX2157" s="313"/>
      <c r="BY2157" s="138"/>
    </row>
    <row r="2158" spans="1:77" ht="15" customHeight="1" outlineLevel="1" x14ac:dyDescent="0.2">
      <c r="A2158" s="583" t="s">
        <v>37</v>
      </c>
      <c r="B2158" s="583"/>
      <c r="C2158" s="162" t="s">
        <v>1061</v>
      </c>
      <c r="D2158" s="812">
        <v>27.081</v>
      </c>
      <c r="E2158" s="162" t="s">
        <v>631</v>
      </c>
      <c r="F2158" s="729"/>
      <c r="G2158" s="730"/>
      <c r="H2158" s="73"/>
      <c r="I2158" s="90">
        <v>2007</v>
      </c>
      <c r="J2158" s="73"/>
      <c r="K2158" s="813">
        <v>6.9796999999999998E-2</v>
      </c>
      <c r="L2158" s="717"/>
      <c r="M2158" s="73"/>
      <c r="N2158" s="811"/>
      <c r="O2158" s="1041"/>
      <c r="P2158" s="73"/>
      <c r="Q2158" s="811"/>
      <c r="R2158" s="1041"/>
      <c r="S2158" s="73"/>
      <c r="T2158" s="811"/>
      <c r="U2158" s="73"/>
      <c r="V2158" s="66"/>
      <c r="W2158" s="740">
        <f t="shared" si="1913"/>
        <v>5.1649779999999993E-5</v>
      </c>
      <c r="X2158" s="741">
        <f t="shared" si="1914"/>
        <v>5.1649779999999993E-5</v>
      </c>
      <c r="Y2158" s="52">
        <v>2007</v>
      </c>
      <c r="Z2158" s="52"/>
      <c r="AA2158" s="739">
        <f t="shared" si="1925"/>
        <v>6.9796999999999996E-5</v>
      </c>
      <c r="AB2158" s="256">
        <v>-0.26</v>
      </c>
      <c r="AC2158" s="688">
        <f t="shared" si="1915"/>
        <v>-0.26</v>
      </c>
      <c r="AD2158" s="164"/>
      <c r="AE2158" s="164"/>
      <c r="AF2158" s="25"/>
      <c r="AG2158" s="26"/>
      <c r="AH2158" s="275"/>
      <c r="AI2158" s="52"/>
      <c r="AJ2158" s="35"/>
      <c r="AK2158" s="289"/>
      <c r="AL2158" s="290"/>
      <c r="AM2158" s="211"/>
      <c r="AN2158" s="164"/>
      <c r="AO2158" s="76"/>
      <c r="AP2158" s="44"/>
      <c r="AQ2158" s="275"/>
      <c r="AR2158" s="52"/>
      <c r="AS2158" s="35"/>
      <c r="AT2158" s="79"/>
      <c r="AU2158" s="212"/>
      <c r="AV2158" s="164"/>
      <c r="AW2158" s="164"/>
      <c r="AX2158" s="76"/>
      <c r="AY2158" s="44"/>
      <c r="AZ2158" s="275"/>
      <c r="BA2158" s="52"/>
      <c r="BB2158" s="35"/>
      <c r="BC2158" s="79"/>
      <c r="BD2158" s="230"/>
      <c r="BE2158" s="211"/>
      <c r="BF2158" s="164"/>
      <c r="BG2158" s="76"/>
      <c r="BH2158" s="44"/>
      <c r="BI2158" s="275"/>
      <c r="BJ2158" s="52"/>
      <c r="BK2158" s="35"/>
      <c r="BL2158" s="79"/>
      <c r="BM2158" s="230"/>
      <c r="BN2158" s="211"/>
      <c r="BO2158" s="164"/>
      <c r="BP2158" s="76"/>
      <c r="BQ2158" s="44"/>
      <c r="BR2158" s="299"/>
      <c r="BS2158" s="52"/>
      <c r="BT2158" s="35"/>
      <c r="BU2158" s="79"/>
      <c r="BV2158" s="212"/>
      <c r="BW2158" s="304"/>
      <c r="BX2158" s="313"/>
      <c r="BY2158" s="138"/>
    </row>
    <row r="2159" spans="1:77" ht="15" customHeight="1" outlineLevel="1" x14ac:dyDescent="0.2">
      <c r="A2159" s="583" t="s">
        <v>37</v>
      </c>
      <c r="B2159" s="583"/>
      <c r="C2159" s="162" t="s">
        <v>1089</v>
      </c>
      <c r="D2159" s="812">
        <v>4.4770000000000003</v>
      </c>
      <c r="E2159" s="162" t="s">
        <v>631</v>
      </c>
      <c r="F2159" s="729"/>
      <c r="G2159" s="730"/>
      <c r="H2159" s="73"/>
      <c r="I2159" s="90">
        <v>2007</v>
      </c>
      <c r="J2159" s="73"/>
      <c r="K2159" s="734">
        <v>3.1919000000000003E-2</v>
      </c>
      <c r="L2159" s="717"/>
      <c r="M2159" s="73"/>
      <c r="N2159" s="811"/>
      <c r="O2159" s="1041"/>
      <c r="P2159" s="73"/>
      <c r="Q2159" s="811"/>
      <c r="R2159" s="1041"/>
      <c r="S2159" s="73"/>
      <c r="T2159" s="811"/>
      <c r="U2159" s="73"/>
      <c r="V2159" s="66"/>
      <c r="W2159" s="740">
        <f t="shared" si="1913"/>
        <v>1.5959500000000002E-5</v>
      </c>
      <c r="X2159" s="741">
        <f t="shared" si="1914"/>
        <v>1.5959500000000002E-5</v>
      </c>
      <c r="Y2159" s="52">
        <v>2007</v>
      </c>
      <c r="Z2159" s="52"/>
      <c r="AA2159" s="739">
        <f t="shared" si="1925"/>
        <v>3.1919000000000004E-5</v>
      </c>
      <c r="AB2159" s="256">
        <v>-0.5</v>
      </c>
      <c r="AC2159" s="688">
        <f t="shared" si="1915"/>
        <v>-0.5</v>
      </c>
      <c r="AD2159" s="164"/>
      <c r="AE2159" s="164"/>
      <c r="AF2159" s="25"/>
      <c r="AG2159" s="26"/>
      <c r="AH2159" s="275"/>
      <c r="AI2159" s="52"/>
      <c r="AJ2159" s="35"/>
      <c r="AK2159" s="289"/>
      <c r="AL2159" s="290"/>
      <c r="AM2159" s="211"/>
      <c r="AN2159" s="164"/>
      <c r="AO2159" s="76"/>
      <c r="AP2159" s="44"/>
      <c r="AQ2159" s="275"/>
      <c r="AR2159" s="52"/>
      <c r="AS2159" s="35"/>
      <c r="AT2159" s="79"/>
      <c r="AU2159" s="212"/>
      <c r="AV2159" s="164"/>
      <c r="AW2159" s="164"/>
      <c r="AX2159" s="76"/>
      <c r="AY2159" s="44"/>
      <c r="AZ2159" s="275"/>
      <c r="BA2159" s="52"/>
      <c r="BB2159" s="35"/>
      <c r="BC2159" s="79"/>
      <c r="BD2159" s="230"/>
      <c r="BE2159" s="211"/>
      <c r="BF2159" s="164"/>
      <c r="BG2159" s="76"/>
      <c r="BH2159" s="44"/>
      <c r="BI2159" s="275"/>
      <c r="BJ2159" s="52"/>
      <c r="BK2159" s="35"/>
      <c r="BL2159" s="79"/>
      <c r="BM2159" s="230"/>
      <c r="BN2159" s="211"/>
      <c r="BO2159" s="164"/>
      <c r="BP2159" s="76"/>
      <c r="BQ2159" s="44"/>
      <c r="BR2159" s="299"/>
      <c r="BS2159" s="52"/>
      <c r="BT2159" s="35"/>
      <c r="BU2159" s="79"/>
      <c r="BV2159" s="212"/>
      <c r="BW2159" s="304"/>
      <c r="BX2159" s="313"/>
      <c r="BY2159" s="138"/>
    </row>
    <row r="2160" spans="1:77" ht="15" customHeight="1" outlineLevel="1" x14ac:dyDescent="0.2">
      <c r="A2160" s="583" t="s">
        <v>37</v>
      </c>
      <c r="B2160" s="583"/>
      <c r="C2160" s="162" t="s">
        <v>1136</v>
      </c>
      <c r="D2160" s="812">
        <v>8</v>
      </c>
      <c r="E2160" s="162" t="s">
        <v>631</v>
      </c>
      <c r="F2160" s="729"/>
      <c r="G2160" s="730"/>
      <c r="H2160" s="73"/>
      <c r="I2160" s="90">
        <v>2007</v>
      </c>
      <c r="J2160" s="73"/>
      <c r="K2160" s="734">
        <v>3.0792E-2</v>
      </c>
      <c r="L2160" s="717"/>
      <c r="M2160" s="73"/>
      <c r="N2160" s="811"/>
      <c r="O2160" s="1041"/>
      <c r="P2160" s="73"/>
      <c r="Q2160" s="811"/>
      <c r="R2160" s="1041"/>
      <c r="S2160" s="73"/>
      <c r="T2160" s="811"/>
      <c r="U2160" s="73"/>
      <c r="V2160" s="66"/>
      <c r="W2160" s="740">
        <f t="shared" si="1913"/>
        <v>2.2170239999999999E-5</v>
      </c>
      <c r="X2160" s="741">
        <f t="shared" si="1914"/>
        <v>2.2170239999999999E-5</v>
      </c>
      <c r="Y2160" s="52">
        <v>2007</v>
      </c>
      <c r="Z2160" s="52"/>
      <c r="AA2160" s="739">
        <f t="shared" si="1925"/>
        <v>3.0791999999999999E-5</v>
      </c>
      <c r="AB2160" s="256">
        <v>-0.28000000000000003</v>
      </c>
      <c r="AC2160" s="688">
        <f t="shared" si="1915"/>
        <v>-0.28000000000000003</v>
      </c>
      <c r="AD2160" s="164"/>
      <c r="AE2160" s="164"/>
      <c r="AF2160" s="25"/>
      <c r="AG2160" s="26"/>
      <c r="AH2160" s="275"/>
      <c r="AI2160" s="52"/>
      <c r="AJ2160" s="35"/>
      <c r="AK2160" s="289"/>
      <c r="AL2160" s="290"/>
      <c r="AM2160" s="211"/>
      <c r="AN2160" s="164"/>
      <c r="AO2160" s="76"/>
      <c r="AP2160" s="44"/>
      <c r="AQ2160" s="275"/>
      <c r="AR2160" s="52"/>
      <c r="AS2160" s="35"/>
      <c r="AT2160" s="79"/>
      <c r="AU2160" s="212"/>
      <c r="AV2160" s="164"/>
      <c r="AW2160" s="164"/>
      <c r="AX2160" s="76"/>
      <c r="AY2160" s="44"/>
      <c r="AZ2160" s="275"/>
      <c r="BA2160" s="52"/>
      <c r="BB2160" s="35"/>
      <c r="BC2160" s="79"/>
      <c r="BD2160" s="230"/>
      <c r="BE2160" s="211"/>
      <c r="BF2160" s="164"/>
      <c r="BG2160" s="76"/>
      <c r="BH2160" s="44"/>
      <c r="BI2160" s="275"/>
      <c r="BJ2160" s="52"/>
      <c r="BK2160" s="35"/>
      <c r="BL2160" s="79"/>
      <c r="BM2160" s="230"/>
      <c r="BN2160" s="211"/>
      <c r="BO2160" s="164"/>
      <c r="BP2160" s="76"/>
      <c r="BQ2160" s="44"/>
      <c r="BR2160" s="299"/>
      <c r="BS2160" s="52"/>
      <c r="BT2160" s="35"/>
      <c r="BU2160" s="79"/>
      <c r="BV2160" s="212"/>
      <c r="BW2160" s="304"/>
      <c r="BX2160" s="313"/>
      <c r="BY2160" s="138"/>
    </row>
    <row r="2161" spans="1:77" ht="15" customHeight="1" outlineLevel="1" x14ac:dyDescent="0.2">
      <c r="A2161" s="583" t="s">
        <v>37</v>
      </c>
      <c r="B2161" s="583"/>
      <c r="C2161" s="162" t="s">
        <v>1215</v>
      </c>
      <c r="D2161" s="812">
        <v>2.1850000000000001</v>
      </c>
      <c r="E2161" s="162" t="s">
        <v>631</v>
      </c>
      <c r="F2161" s="729"/>
      <c r="G2161" s="730"/>
      <c r="H2161" s="73"/>
      <c r="I2161" s="90"/>
      <c r="J2161" s="73"/>
      <c r="K2161" s="734">
        <v>7.025E-3</v>
      </c>
      <c r="L2161" s="717"/>
      <c r="M2161" s="73"/>
      <c r="N2161" s="811"/>
      <c r="O2161" s="1041"/>
      <c r="P2161" s="73"/>
      <c r="Q2161" s="811"/>
      <c r="R2161" s="1041"/>
      <c r="S2161" s="73"/>
      <c r="T2161" s="811"/>
      <c r="U2161" s="73"/>
      <c r="V2161" s="66"/>
      <c r="W2161" s="788">
        <f t="shared" si="1913"/>
        <v>5.1282499999999996E-6</v>
      </c>
      <c r="X2161" s="789">
        <f t="shared" si="1914"/>
        <v>5.1282499999999996E-6</v>
      </c>
      <c r="Y2161" s="52">
        <v>2005</v>
      </c>
      <c r="Z2161" s="52"/>
      <c r="AA2161" s="787">
        <f t="shared" si="1925"/>
        <v>7.0249999999999997E-6</v>
      </c>
      <c r="AB2161" s="256">
        <v>-0.27</v>
      </c>
      <c r="AC2161" s="688">
        <f t="shared" si="1915"/>
        <v>-0.27</v>
      </c>
      <c r="AD2161" s="164"/>
      <c r="AE2161" s="164"/>
      <c r="AF2161" s="25"/>
      <c r="AG2161" s="26"/>
      <c r="AH2161" s="275"/>
      <c r="AI2161" s="52"/>
      <c r="AJ2161" s="35"/>
      <c r="AK2161" s="289"/>
      <c r="AL2161" s="290"/>
      <c r="AM2161" s="211"/>
      <c r="AN2161" s="164"/>
      <c r="AO2161" s="76"/>
      <c r="AP2161" s="44"/>
      <c r="AQ2161" s="275"/>
      <c r="AR2161" s="52"/>
      <c r="AS2161" s="35"/>
      <c r="AT2161" s="79"/>
      <c r="AU2161" s="212"/>
      <c r="AV2161" s="164"/>
      <c r="AW2161" s="164"/>
      <c r="AX2161" s="76"/>
      <c r="AY2161" s="44"/>
      <c r="AZ2161" s="275"/>
      <c r="BA2161" s="52"/>
      <c r="BB2161" s="35"/>
      <c r="BC2161" s="79"/>
      <c r="BD2161" s="230"/>
      <c r="BE2161" s="211"/>
      <c r="BF2161" s="164"/>
      <c r="BG2161" s="76"/>
      <c r="BH2161" s="44"/>
      <c r="BI2161" s="275"/>
      <c r="BJ2161" s="52"/>
      <c r="BK2161" s="35"/>
      <c r="BL2161" s="79"/>
      <c r="BM2161" s="230"/>
      <c r="BN2161" s="211"/>
      <c r="BO2161" s="164"/>
      <c r="BP2161" s="76"/>
      <c r="BQ2161" s="44"/>
      <c r="BR2161" s="299"/>
      <c r="BS2161" s="52"/>
      <c r="BT2161" s="35"/>
      <c r="BU2161" s="79"/>
      <c r="BV2161" s="212"/>
      <c r="BW2161" s="304"/>
      <c r="BX2161" s="313"/>
      <c r="BY2161" s="138"/>
    </row>
    <row r="2162" spans="1:77" ht="15" customHeight="1" outlineLevel="1" x14ac:dyDescent="0.2">
      <c r="A2162" s="583" t="s">
        <v>37</v>
      </c>
      <c r="B2162" s="583"/>
      <c r="C2162" s="162" t="s">
        <v>1118</v>
      </c>
      <c r="D2162" s="812">
        <v>0.65900000000000003</v>
      </c>
      <c r="E2162" s="162" t="s">
        <v>631</v>
      </c>
      <c r="F2162" s="729"/>
      <c r="G2162" s="730"/>
      <c r="H2162" s="73"/>
      <c r="I2162" s="90">
        <v>2007</v>
      </c>
      <c r="J2162" s="73"/>
      <c r="K2162" s="790">
        <v>1.774E-3</v>
      </c>
      <c r="L2162" s="717"/>
      <c r="M2162" s="73"/>
      <c r="N2162" s="811"/>
      <c r="O2162" s="1041"/>
      <c r="P2162" s="73"/>
      <c r="Q2162" s="811"/>
      <c r="R2162" s="1041"/>
      <c r="S2162" s="73"/>
      <c r="T2162" s="811"/>
      <c r="U2162" s="73"/>
      <c r="V2162" s="66"/>
      <c r="W2162" s="788">
        <f t="shared" si="1913"/>
        <v>1.11762E-6</v>
      </c>
      <c r="X2162" s="789">
        <f t="shared" si="1914"/>
        <v>1.11762E-6</v>
      </c>
      <c r="Y2162" s="52">
        <v>2007</v>
      </c>
      <c r="Z2162" s="52"/>
      <c r="AA2162" s="787">
        <f t="shared" si="1925"/>
        <v>1.7739999999999999E-6</v>
      </c>
      <c r="AB2162" s="256">
        <v>-0.37</v>
      </c>
      <c r="AC2162" s="688">
        <f t="shared" si="1915"/>
        <v>-0.37</v>
      </c>
      <c r="AD2162" s="164"/>
      <c r="AE2162" s="164"/>
      <c r="AF2162" s="25"/>
      <c r="AG2162" s="26"/>
      <c r="AH2162" s="275"/>
      <c r="AI2162" s="52"/>
      <c r="AJ2162" s="35"/>
      <c r="AK2162" s="289"/>
      <c r="AL2162" s="290"/>
      <c r="AM2162" s="211"/>
      <c r="AN2162" s="164"/>
      <c r="AO2162" s="76"/>
      <c r="AP2162" s="44"/>
      <c r="AQ2162" s="275"/>
      <c r="AR2162" s="52"/>
      <c r="AS2162" s="35"/>
      <c r="AT2162" s="79"/>
      <c r="AU2162" s="212"/>
      <c r="AV2162" s="164"/>
      <c r="AW2162" s="164"/>
      <c r="AX2162" s="76"/>
      <c r="AY2162" s="44"/>
      <c r="AZ2162" s="275"/>
      <c r="BA2162" s="52"/>
      <c r="BB2162" s="35"/>
      <c r="BC2162" s="79"/>
      <c r="BD2162" s="230"/>
      <c r="BE2162" s="211"/>
      <c r="BF2162" s="164"/>
      <c r="BG2162" s="76"/>
      <c r="BH2162" s="44"/>
      <c r="BI2162" s="275"/>
      <c r="BJ2162" s="52"/>
      <c r="BK2162" s="35"/>
      <c r="BL2162" s="79"/>
      <c r="BM2162" s="230"/>
      <c r="BN2162" s="211"/>
      <c r="BO2162" s="164"/>
      <c r="BP2162" s="76"/>
      <c r="BQ2162" s="44"/>
      <c r="BR2162" s="299"/>
      <c r="BS2162" s="52"/>
      <c r="BT2162" s="35"/>
      <c r="BU2162" s="79"/>
      <c r="BV2162" s="212"/>
      <c r="BW2162" s="304"/>
      <c r="BX2162" s="313"/>
      <c r="BY2162" s="138"/>
    </row>
    <row r="2163" spans="1:77" ht="15" customHeight="1" outlineLevel="1" x14ac:dyDescent="0.2">
      <c r="A2163" s="583" t="s">
        <v>37</v>
      </c>
      <c r="B2163" s="583"/>
      <c r="C2163" s="162" t="s">
        <v>1134</v>
      </c>
      <c r="D2163" s="812">
        <v>1.381</v>
      </c>
      <c r="E2163" s="162" t="s">
        <v>631</v>
      </c>
      <c r="F2163" s="729"/>
      <c r="G2163" s="730"/>
      <c r="H2163" s="73"/>
      <c r="I2163" s="90">
        <v>2007</v>
      </c>
      <c r="J2163" s="73"/>
      <c r="K2163" s="790">
        <v>6.8190000000000004E-3</v>
      </c>
      <c r="L2163" s="717"/>
      <c r="M2163" s="73"/>
      <c r="N2163" s="811"/>
      <c r="O2163" s="1041"/>
      <c r="P2163" s="73"/>
      <c r="Q2163" s="811"/>
      <c r="R2163" s="1041"/>
      <c r="S2163" s="73"/>
      <c r="T2163" s="811"/>
      <c r="U2163" s="73"/>
      <c r="V2163" s="66"/>
      <c r="W2163" s="788">
        <f t="shared" si="1913"/>
        <v>4.5005399999999998E-6</v>
      </c>
      <c r="X2163" s="789">
        <f t="shared" si="1914"/>
        <v>4.5005399999999998E-6</v>
      </c>
      <c r="Y2163" s="52">
        <v>2007</v>
      </c>
      <c r="Z2163" s="52"/>
      <c r="AA2163" s="787">
        <f t="shared" si="1925"/>
        <v>6.8190000000000003E-6</v>
      </c>
      <c r="AB2163" s="256">
        <v>-0.34</v>
      </c>
      <c r="AC2163" s="688">
        <f t="shared" si="1915"/>
        <v>-0.34</v>
      </c>
      <c r="AD2163" s="164"/>
      <c r="AE2163" s="164"/>
      <c r="AF2163" s="25"/>
      <c r="AG2163" s="26"/>
      <c r="AH2163" s="275"/>
      <c r="AI2163" s="52"/>
      <c r="AJ2163" s="35"/>
      <c r="AK2163" s="289"/>
      <c r="AL2163" s="290"/>
      <c r="AM2163" s="211"/>
      <c r="AN2163" s="164"/>
      <c r="AO2163" s="76"/>
      <c r="AP2163" s="44"/>
      <c r="AQ2163" s="275"/>
      <c r="AR2163" s="52"/>
      <c r="AS2163" s="35"/>
      <c r="AT2163" s="79"/>
      <c r="AU2163" s="212"/>
      <c r="AV2163" s="164"/>
      <c r="AW2163" s="164"/>
      <c r="AX2163" s="76"/>
      <c r="AY2163" s="44"/>
      <c r="AZ2163" s="275"/>
      <c r="BA2163" s="52"/>
      <c r="BB2163" s="35"/>
      <c r="BC2163" s="79"/>
      <c r="BD2163" s="230"/>
      <c r="BE2163" s="211"/>
      <c r="BF2163" s="164"/>
      <c r="BG2163" s="76"/>
      <c r="BH2163" s="44"/>
      <c r="BI2163" s="275"/>
      <c r="BJ2163" s="52"/>
      <c r="BK2163" s="35"/>
      <c r="BL2163" s="79"/>
      <c r="BM2163" s="230"/>
      <c r="BN2163" s="211"/>
      <c r="BO2163" s="164"/>
      <c r="BP2163" s="76"/>
      <c r="BQ2163" s="44"/>
      <c r="BR2163" s="299"/>
      <c r="BS2163" s="52"/>
      <c r="BT2163" s="35"/>
      <c r="BU2163" s="79"/>
      <c r="BV2163" s="212"/>
      <c r="BW2163" s="304"/>
      <c r="BX2163" s="313"/>
      <c r="BY2163" s="138"/>
    </row>
    <row r="2164" spans="1:77" ht="15" customHeight="1" outlineLevel="1" x14ac:dyDescent="0.2">
      <c r="A2164" s="583" t="s">
        <v>37</v>
      </c>
      <c r="B2164" s="583"/>
      <c r="C2164" s="162" t="s">
        <v>1157</v>
      </c>
      <c r="D2164" s="812">
        <v>4.3789999999999996</v>
      </c>
      <c r="E2164" s="162" t="s">
        <v>631</v>
      </c>
      <c r="F2164" s="729"/>
      <c r="G2164" s="730"/>
      <c r="H2164" s="73"/>
      <c r="I2164" s="90">
        <v>2007</v>
      </c>
      <c r="J2164" s="73"/>
      <c r="K2164" s="734">
        <v>1.9716000000000001E-2</v>
      </c>
      <c r="L2164" s="717"/>
      <c r="M2164" s="73"/>
      <c r="N2164" s="811"/>
      <c r="O2164" s="1041"/>
      <c r="P2164" s="73"/>
      <c r="Q2164" s="811"/>
      <c r="R2164" s="1041"/>
      <c r="S2164" s="73"/>
      <c r="T2164" s="811"/>
      <c r="U2164" s="73"/>
      <c r="V2164" s="66"/>
      <c r="W2164" s="740">
        <f t="shared" si="1913"/>
        <v>1.360404E-5</v>
      </c>
      <c r="X2164" s="741">
        <f t="shared" si="1914"/>
        <v>1.360404E-5</v>
      </c>
      <c r="Y2164" s="52">
        <v>2007</v>
      </c>
      <c r="Z2164" s="52"/>
      <c r="AA2164" s="739">
        <f t="shared" si="1925"/>
        <v>1.9716000000000002E-5</v>
      </c>
      <c r="AB2164" s="256">
        <v>-0.31</v>
      </c>
      <c r="AC2164" s="688">
        <f t="shared" si="1915"/>
        <v>-0.31</v>
      </c>
      <c r="AD2164" s="164"/>
      <c r="AE2164" s="164"/>
      <c r="AF2164" s="25"/>
      <c r="AG2164" s="26"/>
      <c r="AH2164" s="275"/>
      <c r="AI2164" s="52"/>
      <c r="AJ2164" s="35"/>
      <c r="AK2164" s="289"/>
      <c r="AL2164" s="290"/>
      <c r="AM2164" s="211"/>
      <c r="AN2164" s="164"/>
      <c r="AO2164" s="76"/>
      <c r="AP2164" s="44"/>
      <c r="AQ2164" s="275"/>
      <c r="AR2164" s="52"/>
      <c r="AS2164" s="35"/>
      <c r="AT2164" s="79"/>
      <c r="AU2164" s="212"/>
      <c r="AV2164" s="164"/>
      <c r="AW2164" s="164"/>
      <c r="AX2164" s="76"/>
      <c r="AY2164" s="44"/>
      <c r="AZ2164" s="275"/>
      <c r="BA2164" s="52"/>
      <c r="BB2164" s="35"/>
      <c r="BC2164" s="79"/>
      <c r="BD2164" s="230"/>
      <c r="BE2164" s="211"/>
      <c r="BF2164" s="164"/>
      <c r="BG2164" s="76"/>
      <c r="BH2164" s="44"/>
      <c r="BI2164" s="275"/>
      <c r="BJ2164" s="52"/>
      <c r="BK2164" s="35"/>
      <c r="BL2164" s="79"/>
      <c r="BM2164" s="230"/>
      <c r="BN2164" s="211"/>
      <c r="BO2164" s="164"/>
      <c r="BP2164" s="76"/>
      <c r="BQ2164" s="44"/>
      <c r="BR2164" s="299"/>
      <c r="BS2164" s="52"/>
      <c r="BT2164" s="35"/>
      <c r="BU2164" s="79"/>
      <c r="BV2164" s="212"/>
      <c r="BW2164" s="304"/>
      <c r="BX2164" s="313"/>
      <c r="BY2164" s="138"/>
    </row>
    <row r="2165" spans="1:77" ht="15" customHeight="1" outlineLevel="1" x14ac:dyDescent="0.2">
      <c r="A2165" s="583" t="s">
        <v>37</v>
      </c>
      <c r="B2165" s="583"/>
      <c r="C2165" s="162" t="s">
        <v>1242</v>
      </c>
      <c r="D2165" s="806">
        <v>0.24299999999999999</v>
      </c>
      <c r="E2165" s="162" t="s">
        <v>631</v>
      </c>
      <c r="F2165" s="729"/>
      <c r="G2165" s="730"/>
      <c r="H2165" s="73"/>
      <c r="I2165" s="90"/>
      <c r="J2165" s="73"/>
      <c r="K2165" s="790">
        <v>9.9018999999999995E-4</v>
      </c>
      <c r="L2165" s="717"/>
      <c r="M2165" s="73"/>
      <c r="N2165" s="811"/>
      <c r="O2165" s="1041"/>
      <c r="P2165" s="73"/>
      <c r="Q2165" s="811"/>
      <c r="R2165" s="1041"/>
      <c r="S2165" s="73"/>
      <c r="T2165" s="811"/>
      <c r="U2165" s="73"/>
      <c r="V2165" s="66"/>
      <c r="W2165" s="788">
        <f t="shared" si="1913"/>
        <v>7.426425E-7</v>
      </c>
      <c r="X2165" s="789">
        <f t="shared" si="1914"/>
        <v>7.426425E-7</v>
      </c>
      <c r="Y2165" s="52">
        <v>2005</v>
      </c>
      <c r="Z2165" s="52"/>
      <c r="AA2165" s="787">
        <f t="shared" si="1925"/>
        <v>9.9019E-7</v>
      </c>
      <c r="AB2165" s="256">
        <v>-0.25</v>
      </c>
      <c r="AC2165" s="688">
        <f t="shared" si="1915"/>
        <v>-0.25</v>
      </c>
      <c r="AD2165" s="164"/>
      <c r="AE2165" s="164"/>
      <c r="AF2165" s="25"/>
      <c r="AG2165" s="26"/>
      <c r="AH2165" s="275"/>
      <c r="AI2165" s="52"/>
      <c r="AJ2165" s="35"/>
      <c r="AK2165" s="289"/>
      <c r="AL2165" s="290"/>
      <c r="AM2165" s="211"/>
      <c r="AN2165" s="164"/>
      <c r="AO2165" s="76"/>
      <c r="AP2165" s="44"/>
      <c r="AQ2165" s="275"/>
      <c r="AR2165" s="52"/>
      <c r="AS2165" s="35"/>
      <c r="AT2165" s="79"/>
      <c r="AU2165" s="212"/>
      <c r="AV2165" s="164"/>
      <c r="AW2165" s="164"/>
      <c r="AX2165" s="76"/>
      <c r="AY2165" s="44"/>
      <c r="AZ2165" s="275"/>
      <c r="BA2165" s="52"/>
      <c r="BB2165" s="35"/>
      <c r="BC2165" s="79"/>
      <c r="BD2165" s="230"/>
      <c r="BE2165" s="211"/>
      <c r="BF2165" s="164"/>
      <c r="BG2165" s="76"/>
      <c r="BH2165" s="44"/>
      <c r="BI2165" s="275"/>
      <c r="BJ2165" s="52"/>
      <c r="BK2165" s="35"/>
      <c r="BL2165" s="79"/>
      <c r="BM2165" s="230"/>
      <c r="BN2165" s="211"/>
      <c r="BO2165" s="164"/>
      <c r="BP2165" s="76"/>
      <c r="BQ2165" s="44"/>
      <c r="BR2165" s="299"/>
      <c r="BS2165" s="52"/>
      <c r="BT2165" s="35"/>
      <c r="BU2165" s="79"/>
      <c r="BV2165" s="212"/>
      <c r="BW2165" s="304"/>
      <c r="BX2165" s="313"/>
      <c r="BY2165" s="138"/>
    </row>
    <row r="2166" spans="1:77" ht="15" customHeight="1" outlineLevel="1" x14ac:dyDescent="0.2">
      <c r="A2166" s="583" t="s">
        <v>37</v>
      </c>
      <c r="B2166" s="583"/>
      <c r="C2166" s="162" t="s">
        <v>1106</v>
      </c>
      <c r="D2166" s="812">
        <v>3.35</v>
      </c>
      <c r="E2166" s="162" t="s">
        <v>631</v>
      </c>
      <c r="F2166" s="729"/>
      <c r="G2166" s="730"/>
      <c r="H2166" s="73"/>
      <c r="I2166" s="90">
        <v>2007</v>
      </c>
      <c r="J2166" s="73"/>
      <c r="K2166" s="734">
        <v>8.5299999999999994E-3</v>
      </c>
      <c r="L2166" s="717"/>
      <c r="M2166" s="73"/>
      <c r="N2166" s="811"/>
      <c r="O2166" s="1041"/>
      <c r="P2166" s="73"/>
      <c r="Q2166" s="811"/>
      <c r="R2166" s="1041"/>
      <c r="S2166" s="73"/>
      <c r="T2166" s="811"/>
      <c r="U2166" s="73"/>
      <c r="V2166" s="66"/>
      <c r="W2166" s="788">
        <f t="shared" si="1913"/>
        <v>5.2885999999999996E-6</v>
      </c>
      <c r="X2166" s="789">
        <f t="shared" si="1914"/>
        <v>5.2885999999999996E-6</v>
      </c>
      <c r="Y2166" s="52">
        <v>2007</v>
      </c>
      <c r="Z2166" s="52"/>
      <c r="AA2166" s="787">
        <f t="shared" si="1925"/>
        <v>8.5299999999999996E-6</v>
      </c>
      <c r="AB2166" s="256">
        <v>-0.38</v>
      </c>
      <c r="AC2166" s="688">
        <f t="shared" si="1915"/>
        <v>-0.38</v>
      </c>
      <c r="AD2166" s="164"/>
      <c r="AE2166" s="164"/>
      <c r="AF2166" s="25"/>
      <c r="AG2166" s="26"/>
      <c r="AH2166" s="275"/>
      <c r="AI2166" s="52"/>
      <c r="AJ2166" s="35"/>
      <c r="AK2166" s="289"/>
      <c r="AL2166" s="290"/>
      <c r="AM2166" s="211"/>
      <c r="AN2166" s="164"/>
      <c r="AO2166" s="76"/>
      <c r="AP2166" s="44"/>
      <c r="AQ2166" s="275"/>
      <c r="AR2166" s="52"/>
      <c r="AS2166" s="35"/>
      <c r="AT2166" s="79"/>
      <c r="AU2166" s="212"/>
      <c r="AV2166" s="164"/>
      <c r="AW2166" s="164"/>
      <c r="AX2166" s="76"/>
      <c r="AY2166" s="44"/>
      <c r="AZ2166" s="275"/>
      <c r="BA2166" s="52"/>
      <c r="BB2166" s="35"/>
      <c r="BC2166" s="79"/>
      <c r="BD2166" s="230"/>
      <c r="BE2166" s="211"/>
      <c r="BF2166" s="164"/>
      <c r="BG2166" s="76"/>
      <c r="BH2166" s="44"/>
      <c r="BI2166" s="275"/>
      <c r="BJ2166" s="52"/>
      <c r="BK2166" s="35"/>
      <c r="BL2166" s="79"/>
      <c r="BM2166" s="230"/>
      <c r="BN2166" s="211"/>
      <c r="BO2166" s="164"/>
      <c r="BP2166" s="76"/>
      <c r="BQ2166" s="44"/>
      <c r="BR2166" s="299"/>
      <c r="BS2166" s="52"/>
      <c r="BT2166" s="35"/>
      <c r="BU2166" s="79"/>
      <c r="BV2166" s="212"/>
      <c r="BW2166" s="304"/>
      <c r="BX2166" s="313"/>
      <c r="BY2166" s="138"/>
    </row>
    <row r="2167" spans="1:77" ht="15" customHeight="1" outlineLevel="1" x14ac:dyDescent="0.2">
      <c r="A2167" s="583" t="s">
        <v>37</v>
      </c>
      <c r="B2167" s="583"/>
      <c r="C2167" s="162" t="s">
        <v>1068</v>
      </c>
      <c r="D2167" s="806">
        <v>0.16900000000000001</v>
      </c>
      <c r="E2167" s="162" t="s">
        <v>631</v>
      </c>
      <c r="F2167" s="729"/>
      <c r="G2167" s="730"/>
      <c r="H2167" s="73"/>
      <c r="I2167" s="90"/>
      <c r="J2167" s="73"/>
      <c r="K2167" s="814">
        <v>7.0293999999999999E-4</v>
      </c>
      <c r="L2167" s="717"/>
      <c r="M2167" s="73"/>
      <c r="N2167" s="811"/>
      <c r="O2167" s="1041"/>
      <c r="P2167" s="73"/>
      <c r="Q2167" s="811"/>
      <c r="R2167" s="1041"/>
      <c r="S2167" s="73"/>
      <c r="T2167" s="811"/>
      <c r="U2167" s="73"/>
      <c r="V2167" s="66"/>
      <c r="W2167" s="788">
        <f t="shared" si="1913"/>
        <v>5.1314619999999999E-7</v>
      </c>
      <c r="X2167" s="789">
        <f t="shared" si="1914"/>
        <v>5.1314619999999999E-7</v>
      </c>
      <c r="Y2167" s="52">
        <v>2005</v>
      </c>
      <c r="Z2167" s="52"/>
      <c r="AA2167" s="787">
        <f t="shared" si="1925"/>
        <v>7.0294000000000002E-7</v>
      </c>
      <c r="AB2167" s="256">
        <v>-0.27</v>
      </c>
      <c r="AC2167" s="688">
        <f t="shared" si="1915"/>
        <v>-0.27</v>
      </c>
      <c r="AD2167" s="164"/>
      <c r="AE2167" s="164"/>
      <c r="AF2167" s="25"/>
      <c r="AG2167" s="26"/>
      <c r="AH2167" s="275"/>
      <c r="AI2167" s="52"/>
      <c r="AJ2167" s="35"/>
      <c r="AK2167" s="289"/>
      <c r="AL2167" s="290"/>
      <c r="AM2167" s="211"/>
      <c r="AN2167" s="164"/>
      <c r="AO2167" s="76"/>
      <c r="AP2167" s="44"/>
      <c r="AQ2167" s="275"/>
      <c r="AR2167" s="52"/>
      <c r="AS2167" s="35"/>
      <c r="AT2167" s="79"/>
      <c r="AU2167" s="212"/>
      <c r="AV2167" s="164"/>
      <c r="AW2167" s="164"/>
      <c r="AX2167" s="76"/>
      <c r="AY2167" s="44"/>
      <c r="AZ2167" s="275"/>
      <c r="BA2167" s="52"/>
      <c r="BB2167" s="35"/>
      <c r="BC2167" s="79"/>
      <c r="BD2167" s="230"/>
      <c r="BE2167" s="211"/>
      <c r="BF2167" s="164"/>
      <c r="BG2167" s="76"/>
      <c r="BH2167" s="44"/>
      <c r="BI2167" s="275"/>
      <c r="BJ2167" s="52"/>
      <c r="BK2167" s="35"/>
      <c r="BL2167" s="79"/>
      <c r="BM2167" s="230"/>
      <c r="BN2167" s="211"/>
      <c r="BO2167" s="164"/>
      <c r="BP2167" s="76"/>
      <c r="BQ2167" s="44"/>
      <c r="BR2167" s="299"/>
      <c r="BS2167" s="52"/>
      <c r="BT2167" s="35"/>
      <c r="BU2167" s="79"/>
      <c r="BV2167" s="212"/>
      <c r="BW2167" s="304"/>
      <c r="BX2167" s="313"/>
      <c r="BY2167" s="138"/>
    </row>
    <row r="2168" spans="1:77" ht="15" customHeight="1" outlineLevel="1" x14ac:dyDescent="0.2">
      <c r="A2168" s="583" t="s">
        <v>37</v>
      </c>
      <c r="B2168" s="583"/>
      <c r="C2168" s="162" t="s">
        <v>1050</v>
      </c>
      <c r="D2168" s="812">
        <v>0.998</v>
      </c>
      <c r="E2168" s="162" t="s">
        <v>631</v>
      </c>
      <c r="F2168" s="729"/>
      <c r="G2168" s="730"/>
      <c r="H2168" s="73"/>
      <c r="I2168" s="90">
        <v>2007</v>
      </c>
      <c r="J2168" s="73"/>
      <c r="K2168" s="790">
        <v>3.8419999999999999E-3</v>
      </c>
      <c r="L2168" s="717"/>
      <c r="M2168" s="73"/>
      <c r="N2168" s="811"/>
      <c r="O2168" s="1041"/>
      <c r="P2168" s="73"/>
      <c r="Q2168" s="811"/>
      <c r="R2168" s="1041"/>
      <c r="S2168" s="73"/>
      <c r="T2168" s="811"/>
      <c r="U2168" s="73"/>
      <c r="V2168" s="66"/>
      <c r="W2168" s="788">
        <f t="shared" si="1913"/>
        <v>2.4972999999999998E-6</v>
      </c>
      <c r="X2168" s="789">
        <f t="shared" si="1914"/>
        <v>2.4972999999999998E-6</v>
      </c>
      <c r="Y2168" s="52">
        <v>2007</v>
      </c>
      <c r="Z2168" s="52"/>
      <c r="AA2168" s="787">
        <f t="shared" si="1925"/>
        <v>3.8419999999999998E-6</v>
      </c>
      <c r="AB2168" s="256">
        <v>-0.35</v>
      </c>
      <c r="AC2168" s="688">
        <f t="shared" si="1915"/>
        <v>-0.35</v>
      </c>
      <c r="AD2168" s="164"/>
      <c r="AE2168" s="164"/>
      <c r="AF2168" s="25"/>
      <c r="AG2168" s="26"/>
      <c r="AH2168" s="275"/>
      <c r="AI2168" s="52"/>
      <c r="AJ2168" s="35"/>
      <c r="AK2168" s="289"/>
      <c r="AL2168" s="290"/>
      <c r="AM2168" s="211"/>
      <c r="AN2168" s="164"/>
      <c r="AO2168" s="76"/>
      <c r="AP2168" s="44"/>
      <c r="AQ2168" s="275"/>
      <c r="AR2168" s="52"/>
      <c r="AS2168" s="35"/>
      <c r="AT2168" s="79"/>
      <c r="AU2168" s="212"/>
      <c r="AV2168" s="164"/>
      <c r="AW2168" s="164"/>
      <c r="AX2168" s="76"/>
      <c r="AY2168" s="44"/>
      <c r="AZ2168" s="275"/>
      <c r="BA2168" s="52"/>
      <c r="BB2168" s="35"/>
      <c r="BC2168" s="79"/>
      <c r="BD2168" s="230"/>
      <c r="BE2168" s="211"/>
      <c r="BF2168" s="164"/>
      <c r="BG2168" s="76"/>
      <c r="BH2168" s="44"/>
      <c r="BI2168" s="275"/>
      <c r="BJ2168" s="52"/>
      <c r="BK2168" s="35"/>
      <c r="BL2168" s="79"/>
      <c r="BM2168" s="230"/>
      <c r="BN2168" s="211"/>
      <c r="BO2168" s="164"/>
      <c r="BP2168" s="76"/>
      <c r="BQ2168" s="44"/>
      <c r="BR2168" s="299"/>
      <c r="BS2168" s="52"/>
      <c r="BT2168" s="35"/>
      <c r="BU2168" s="79"/>
      <c r="BV2168" s="212"/>
      <c r="BW2168" s="304"/>
      <c r="BX2168" s="313"/>
      <c r="BY2168" s="138"/>
    </row>
    <row r="2169" spans="1:77" ht="15" customHeight="1" outlineLevel="1" x14ac:dyDescent="0.2">
      <c r="A2169" s="583" t="s">
        <v>37</v>
      </c>
      <c r="B2169" s="583"/>
      <c r="C2169" s="162" t="s">
        <v>978</v>
      </c>
      <c r="D2169" s="728">
        <v>1.121</v>
      </c>
      <c r="E2169" s="162" t="s">
        <v>631</v>
      </c>
      <c r="F2169" s="729"/>
      <c r="G2169" s="730"/>
      <c r="H2169" s="73"/>
      <c r="I2169" s="90"/>
      <c r="J2169" s="73"/>
      <c r="K2169" s="66"/>
      <c r="L2169" s="717"/>
      <c r="M2169" s="73"/>
      <c r="N2169" s="786">
        <v>4.1780000000000003E-3</v>
      </c>
      <c r="O2169" s="1041"/>
      <c r="P2169" s="73"/>
      <c r="Q2169" s="786"/>
      <c r="R2169" s="1041"/>
      <c r="S2169" s="73"/>
      <c r="T2169" s="786"/>
      <c r="U2169" s="73"/>
      <c r="V2169" s="66"/>
      <c r="W2169" s="788">
        <f t="shared" si="1913"/>
        <v>3.0917200000000005E-6</v>
      </c>
      <c r="X2169" s="789">
        <f t="shared" si="1914"/>
        <v>3.0917200000000005E-6</v>
      </c>
      <c r="Y2169" s="52">
        <v>2010</v>
      </c>
      <c r="Z2169" s="52"/>
      <c r="AA2169" s="787">
        <f>+N2169/1000</f>
        <v>4.1780000000000005E-6</v>
      </c>
      <c r="AB2169" s="256">
        <v>-0.26</v>
      </c>
      <c r="AC2169" s="688">
        <f t="shared" si="1915"/>
        <v>-0.26</v>
      </c>
      <c r="AD2169" s="164"/>
      <c r="AE2169" s="164"/>
      <c r="AF2169" s="25"/>
      <c r="AG2169" s="26"/>
      <c r="AH2169" s="275"/>
      <c r="AI2169" s="52"/>
      <c r="AJ2169" s="35"/>
      <c r="AK2169" s="289"/>
      <c r="AL2169" s="290"/>
      <c r="AM2169" s="211"/>
      <c r="AN2169" s="164"/>
      <c r="AO2169" s="76"/>
      <c r="AP2169" s="44"/>
      <c r="AQ2169" s="275"/>
      <c r="AR2169" s="52"/>
      <c r="AS2169" s="35"/>
      <c r="AT2169" s="79"/>
      <c r="AU2169" s="212"/>
      <c r="AV2169" s="164"/>
      <c r="AW2169" s="164"/>
      <c r="AX2169" s="76"/>
      <c r="AY2169" s="44"/>
      <c r="AZ2169" s="275"/>
      <c r="BA2169" s="52"/>
      <c r="BB2169" s="35"/>
      <c r="BC2169" s="79"/>
      <c r="BD2169" s="230"/>
      <c r="BE2169" s="211"/>
      <c r="BF2169" s="164"/>
      <c r="BG2169" s="76"/>
      <c r="BH2169" s="44"/>
      <c r="BI2169" s="275"/>
      <c r="BJ2169" s="52"/>
      <c r="BK2169" s="35"/>
      <c r="BL2169" s="79"/>
      <c r="BM2169" s="230"/>
      <c r="BN2169" s="211"/>
      <c r="BO2169" s="164"/>
      <c r="BP2169" s="76"/>
      <c r="BQ2169" s="44"/>
      <c r="BR2169" s="299"/>
      <c r="BS2169" s="52"/>
      <c r="BT2169" s="35"/>
      <c r="BU2169" s="79"/>
      <c r="BV2169" s="212"/>
      <c r="BW2169" s="304"/>
      <c r="BX2169" s="313"/>
      <c r="BY2169" s="138"/>
    </row>
    <row r="2170" spans="1:77" ht="15" customHeight="1" outlineLevel="1" x14ac:dyDescent="0.2">
      <c r="A2170" s="583" t="s">
        <v>37</v>
      </c>
      <c r="B2170" s="583"/>
      <c r="C2170" s="162" t="s">
        <v>2683</v>
      </c>
      <c r="D2170" s="806">
        <v>0.45100000000000001</v>
      </c>
      <c r="E2170" s="162" t="s">
        <v>631</v>
      </c>
      <c r="F2170" s="729"/>
      <c r="G2170" s="730"/>
      <c r="H2170" s="73"/>
      <c r="I2170" s="90"/>
      <c r="J2170" s="73"/>
      <c r="K2170" s="790">
        <v>1.9759999999999999E-3</v>
      </c>
      <c r="L2170" s="717"/>
      <c r="M2170" s="73"/>
      <c r="N2170" s="786"/>
      <c r="O2170" s="1041"/>
      <c r="P2170" s="73"/>
      <c r="Q2170" s="786"/>
      <c r="R2170" s="1041"/>
      <c r="S2170" s="73"/>
      <c r="T2170" s="786"/>
      <c r="U2170" s="73"/>
      <c r="V2170" s="66"/>
      <c r="W2170" s="788">
        <f t="shared" ref="W2170" si="1929">AA2170*(1+AB2170)</f>
        <v>1.2843999999999999E-6</v>
      </c>
      <c r="X2170" s="789">
        <f t="shared" ref="X2170" si="1930">AA2170*(1+AC2170)</f>
        <v>1.2843999999999999E-6</v>
      </c>
      <c r="Y2170" s="52">
        <v>2005</v>
      </c>
      <c r="Z2170" s="52"/>
      <c r="AA2170" s="787">
        <f>+K2170/1000</f>
        <v>1.9759999999999998E-6</v>
      </c>
      <c r="AB2170" s="256">
        <v>-0.35</v>
      </c>
      <c r="AC2170" s="688">
        <f t="shared" ref="AC2170" si="1931">AB2170</f>
        <v>-0.35</v>
      </c>
      <c r="AD2170" s="164"/>
      <c r="AE2170" s="164"/>
      <c r="AF2170" s="25"/>
      <c r="AG2170" s="26"/>
      <c r="AH2170" s="275"/>
      <c r="AI2170" s="52"/>
      <c r="AJ2170" s="35"/>
      <c r="AK2170" s="289"/>
      <c r="AL2170" s="290"/>
      <c r="AM2170" s="211"/>
      <c r="AN2170" s="164"/>
      <c r="AO2170" s="76"/>
      <c r="AP2170" s="44"/>
      <c r="AQ2170" s="275"/>
      <c r="AR2170" s="52"/>
      <c r="AS2170" s="35"/>
      <c r="AT2170" s="79"/>
      <c r="AU2170" s="212"/>
      <c r="AV2170" s="164"/>
      <c r="AW2170" s="164"/>
      <c r="AX2170" s="76"/>
      <c r="AY2170" s="44"/>
      <c r="AZ2170" s="275"/>
      <c r="BA2170" s="52"/>
      <c r="BB2170" s="35"/>
      <c r="BC2170" s="79"/>
      <c r="BD2170" s="230"/>
      <c r="BE2170" s="211"/>
      <c r="BF2170" s="164"/>
      <c r="BG2170" s="76"/>
      <c r="BH2170" s="44"/>
      <c r="BI2170" s="275"/>
      <c r="BJ2170" s="52"/>
      <c r="BK2170" s="35"/>
      <c r="BL2170" s="79"/>
      <c r="BM2170" s="230"/>
      <c r="BN2170" s="211"/>
      <c r="BO2170" s="164"/>
      <c r="BP2170" s="76"/>
      <c r="BQ2170" s="44"/>
      <c r="BR2170" s="299"/>
      <c r="BS2170" s="52"/>
      <c r="BT2170" s="35"/>
      <c r="BU2170" s="79"/>
      <c r="BV2170" s="212"/>
      <c r="BW2170" s="304"/>
      <c r="BX2170" s="313"/>
      <c r="BY2170" s="138"/>
    </row>
    <row r="2171" spans="1:77" ht="15" customHeight="1" outlineLevel="1" x14ac:dyDescent="0.2">
      <c r="A2171" s="583" t="s">
        <v>37</v>
      </c>
      <c r="B2171" s="583"/>
      <c r="C2171" s="162" t="s">
        <v>1152</v>
      </c>
      <c r="D2171" s="812">
        <v>4.0049999999999999</v>
      </c>
      <c r="E2171" s="162" t="s">
        <v>631</v>
      </c>
      <c r="F2171" s="729"/>
      <c r="G2171" s="730"/>
      <c r="H2171" s="73"/>
      <c r="I2171" s="90">
        <v>2007</v>
      </c>
      <c r="J2171" s="73"/>
      <c r="K2171" s="734">
        <v>1.7926000000000001E-2</v>
      </c>
      <c r="L2171" s="717"/>
      <c r="M2171" s="73"/>
      <c r="N2171" s="811"/>
      <c r="O2171" s="1041"/>
      <c r="P2171" s="73"/>
      <c r="Q2171" s="811"/>
      <c r="R2171" s="1041"/>
      <c r="S2171" s="73"/>
      <c r="T2171" s="811"/>
      <c r="U2171" s="73"/>
      <c r="V2171" s="66"/>
      <c r="W2171" s="788">
        <f t="shared" si="1913"/>
        <v>1.1293380000000001E-5</v>
      </c>
      <c r="X2171" s="789">
        <f t="shared" si="1914"/>
        <v>1.1293380000000001E-5</v>
      </c>
      <c r="Y2171" s="52">
        <v>2007</v>
      </c>
      <c r="Z2171" s="52"/>
      <c r="AA2171" s="787">
        <f>+K2171/1000</f>
        <v>1.7926000000000001E-5</v>
      </c>
      <c r="AB2171" s="256">
        <v>-0.37</v>
      </c>
      <c r="AC2171" s="688">
        <f t="shared" si="1915"/>
        <v>-0.37</v>
      </c>
      <c r="AD2171" s="164"/>
      <c r="AE2171" s="164"/>
      <c r="AF2171" s="25"/>
      <c r="AG2171" s="26"/>
      <c r="AH2171" s="275"/>
      <c r="AI2171" s="52"/>
      <c r="AJ2171" s="35"/>
      <c r="AK2171" s="289"/>
      <c r="AL2171" s="290"/>
      <c r="AM2171" s="211"/>
      <c r="AN2171" s="164"/>
      <c r="AO2171" s="76"/>
      <c r="AP2171" s="44"/>
      <c r="AQ2171" s="275"/>
      <c r="AR2171" s="52"/>
      <c r="AS2171" s="35"/>
      <c r="AT2171" s="79"/>
      <c r="AU2171" s="212"/>
      <c r="AV2171" s="164"/>
      <c r="AW2171" s="164"/>
      <c r="AX2171" s="76"/>
      <c r="AY2171" s="44"/>
      <c r="AZ2171" s="275"/>
      <c r="BA2171" s="52"/>
      <c r="BB2171" s="35"/>
      <c r="BC2171" s="79"/>
      <c r="BD2171" s="230"/>
      <c r="BE2171" s="211"/>
      <c r="BF2171" s="164"/>
      <c r="BG2171" s="76"/>
      <c r="BH2171" s="44"/>
      <c r="BI2171" s="275"/>
      <c r="BJ2171" s="52"/>
      <c r="BK2171" s="35"/>
      <c r="BL2171" s="79"/>
      <c r="BM2171" s="230"/>
      <c r="BN2171" s="211"/>
      <c r="BO2171" s="164"/>
      <c r="BP2171" s="76"/>
      <c r="BQ2171" s="44"/>
      <c r="BR2171" s="299"/>
      <c r="BS2171" s="52"/>
      <c r="BT2171" s="35"/>
      <c r="BU2171" s="79"/>
      <c r="BV2171" s="212"/>
      <c r="BW2171" s="304"/>
      <c r="BX2171" s="313"/>
      <c r="BY2171" s="138"/>
    </row>
    <row r="2172" spans="1:77" ht="15" customHeight="1" outlineLevel="1" x14ac:dyDescent="0.2">
      <c r="A2172" s="583" t="s">
        <v>37</v>
      </c>
      <c r="B2172" s="583"/>
      <c r="C2172" s="162" t="s">
        <v>1149</v>
      </c>
      <c r="D2172" s="812">
        <v>4.67</v>
      </c>
      <c r="E2172" s="162" t="s">
        <v>631</v>
      </c>
      <c r="F2172" s="729"/>
      <c r="G2172" s="730"/>
      <c r="H2172" s="73"/>
      <c r="I2172" s="90"/>
      <c r="J2172" s="73"/>
      <c r="K2172" s="734">
        <v>2.6786999999999998E-2</v>
      </c>
      <c r="L2172" s="717"/>
      <c r="M2172" s="73"/>
      <c r="N2172" s="738"/>
      <c r="O2172" s="1041"/>
      <c r="P2172" s="73"/>
      <c r="Q2172" s="738"/>
      <c r="R2172" s="1041"/>
      <c r="S2172" s="73"/>
      <c r="T2172" s="738"/>
      <c r="U2172" s="73"/>
      <c r="V2172" s="66"/>
      <c r="W2172" s="788">
        <f t="shared" si="1913"/>
        <v>2.009025E-5</v>
      </c>
      <c r="X2172" s="789">
        <f t="shared" si="1914"/>
        <v>2.009025E-5</v>
      </c>
      <c r="Y2172" s="52">
        <v>2005</v>
      </c>
      <c r="Z2172" s="52"/>
      <c r="AA2172" s="787">
        <f>+K2172/1000</f>
        <v>2.6787E-5</v>
      </c>
      <c r="AB2172" s="256">
        <v>-0.25</v>
      </c>
      <c r="AC2172" s="688">
        <f t="shared" si="1915"/>
        <v>-0.25</v>
      </c>
      <c r="AD2172" s="164"/>
      <c r="AE2172" s="164"/>
      <c r="AF2172" s="25"/>
      <c r="AG2172" s="26"/>
      <c r="AH2172" s="275"/>
      <c r="AI2172" s="52"/>
      <c r="AJ2172" s="35"/>
      <c r="AK2172" s="289"/>
      <c r="AL2172" s="290"/>
      <c r="AM2172" s="211"/>
      <c r="AN2172" s="164"/>
      <c r="AO2172" s="76"/>
      <c r="AP2172" s="44"/>
      <c r="AQ2172" s="275"/>
      <c r="AR2172" s="52"/>
      <c r="AS2172" s="35"/>
      <c r="AT2172" s="79"/>
      <c r="AU2172" s="212"/>
      <c r="AV2172" s="164"/>
      <c r="AW2172" s="164"/>
      <c r="AX2172" s="76"/>
      <c r="AY2172" s="44"/>
      <c r="AZ2172" s="275"/>
      <c r="BA2172" s="52"/>
      <c r="BB2172" s="35"/>
      <c r="BC2172" s="79"/>
      <c r="BD2172" s="230"/>
      <c r="BE2172" s="211"/>
      <c r="BF2172" s="164"/>
      <c r="BG2172" s="76"/>
      <c r="BH2172" s="44"/>
      <c r="BI2172" s="275"/>
      <c r="BJ2172" s="52"/>
      <c r="BK2172" s="35"/>
      <c r="BL2172" s="79"/>
      <c r="BM2172" s="230"/>
      <c r="BN2172" s="211"/>
      <c r="BO2172" s="164"/>
      <c r="BP2172" s="76"/>
      <c r="BQ2172" s="44"/>
      <c r="BR2172" s="299"/>
      <c r="BS2172" s="52"/>
      <c r="BT2172" s="35"/>
      <c r="BU2172" s="79"/>
      <c r="BV2172" s="212"/>
      <c r="BW2172" s="304"/>
      <c r="BX2172" s="313"/>
      <c r="BY2172" s="138"/>
    </row>
    <row r="2173" spans="1:77" ht="15" customHeight="1" outlineLevel="1" x14ac:dyDescent="0.2">
      <c r="A2173" s="583" t="s">
        <v>37</v>
      </c>
      <c r="B2173" s="583"/>
      <c r="C2173" s="162" t="s">
        <v>1105</v>
      </c>
      <c r="D2173" s="812">
        <v>6.2649999999999997</v>
      </c>
      <c r="E2173" s="162" t="s">
        <v>631</v>
      </c>
      <c r="F2173" s="729"/>
      <c r="G2173" s="730"/>
      <c r="H2173" s="73"/>
      <c r="I2173" s="90">
        <v>2007</v>
      </c>
      <c r="J2173" s="73"/>
      <c r="K2173" s="734">
        <v>2.9242000000000001E-2</v>
      </c>
      <c r="L2173" s="717"/>
      <c r="M2173" s="73"/>
      <c r="N2173" s="811"/>
      <c r="O2173" s="1041"/>
      <c r="P2173" s="73"/>
      <c r="Q2173" s="811"/>
      <c r="R2173" s="1041"/>
      <c r="S2173" s="73"/>
      <c r="T2173" s="811"/>
      <c r="U2173" s="73"/>
      <c r="V2173" s="66"/>
      <c r="W2173" s="788">
        <f t="shared" si="1913"/>
        <v>1.8714880000000001E-5</v>
      </c>
      <c r="X2173" s="789">
        <f t="shared" si="1914"/>
        <v>1.8714880000000001E-5</v>
      </c>
      <c r="Y2173" s="52">
        <v>2007</v>
      </c>
      <c r="Z2173" s="52"/>
      <c r="AA2173" s="787">
        <f>+K2173/1000</f>
        <v>2.9242000000000002E-5</v>
      </c>
      <c r="AB2173" s="256">
        <v>-0.36</v>
      </c>
      <c r="AC2173" s="688">
        <f t="shared" si="1915"/>
        <v>-0.36</v>
      </c>
      <c r="AD2173" s="164"/>
      <c r="AE2173" s="164"/>
      <c r="AF2173" s="25"/>
      <c r="AG2173" s="26"/>
      <c r="AH2173" s="275"/>
      <c r="AI2173" s="52"/>
      <c r="AJ2173" s="35"/>
      <c r="AK2173" s="289"/>
      <c r="AL2173" s="290"/>
      <c r="AM2173" s="211"/>
      <c r="AN2173" s="164"/>
      <c r="AO2173" s="76"/>
      <c r="AP2173" s="44"/>
      <c r="AQ2173" s="275"/>
      <c r="AR2173" s="52"/>
      <c r="AS2173" s="35"/>
      <c r="AT2173" s="79"/>
      <c r="AU2173" s="212"/>
      <c r="AV2173" s="164"/>
      <c r="AW2173" s="164"/>
      <c r="AX2173" s="76"/>
      <c r="AY2173" s="44"/>
      <c r="AZ2173" s="275"/>
      <c r="BA2173" s="52"/>
      <c r="BB2173" s="35"/>
      <c r="BC2173" s="79"/>
      <c r="BD2173" s="230"/>
      <c r="BE2173" s="211"/>
      <c r="BF2173" s="164"/>
      <c r="BG2173" s="76"/>
      <c r="BH2173" s="44"/>
      <c r="BI2173" s="275"/>
      <c r="BJ2173" s="52"/>
      <c r="BK2173" s="35"/>
      <c r="BL2173" s="79"/>
      <c r="BM2173" s="230"/>
      <c r="BN2173" s="211"/>
      <c r="BO2173" s="164"/>
      <c r="BP2173" s="76"/>
      <c r="BQ2173" s="44"/>
      <c r="BR2173" s="299"/>
      <c r="BS2173" s="52"/>
      <c r="BT2173" s="35"/>
      <c r="BU2173" s="79"/>
      <c r="BV2173" s="212"/>
      <c r="BW2173" s="304"/>
      <c r="BX2173" s="313"/>
      <c r="BY2173" s="138"/>
    </row>
    <row r="2174" spans="1:77" ht="15" customHeight="1" outlineLevel="1" x14ac:dyDescent="0.2">
      <c r="A2174" s="583" t="s">
        <v>37</v>
      </c>
      <c r="B2174" s="583"/>
      <c r="C2174" s="162" t="s">
        <v>2684</v>
      </c>
      <c r="D2174" s="806">
        <v>1.44</v>
      </c>
      <c r="E2174" s="162" t="s">
        <v>631</v>
      </c>
      <c r="F2174" s="729"/>
      <c r="G2174" s="730"/>
      <c r="H2174" s="73"/>
      <c r="I2174" s="90"/>
      <c r="J2174" s="73"/>
      <c r="K2174" s="734">
        <v>7.0569999999999999E-3</v>
      </c>
      <c r="L2174" s="717"/>
      <c r="M2174" s="73"/>
      <c r="N2174" s="811"/>
      <c r="O2174" s="1041"/>
      <c r="P2174" s="73"/>
      <c r="Q2174" s="811"/>
      <c r="R2174" s="1041"/>
      <c r="S2174" s="73"/>
      <c r="T2174" s="811"/>
      <c r="U2174" s="73"/>
      <c r="V2174" s="66"/>
      <c r="W2174" s="788">
        <f t="shared" ref="W2174" si="1932">AA2174*(1+AB2174)</f>
        <v>5.0104699999999993E-6</v>
      </c>
      <c r="X2174" s="789">
        <f t="shared" ref="X2174" si="1933">AA2174*(1+AC2174)</f>
        <v>5.0104699999999993E-6</v>
      </c>
      <c r="Y2174" s="52">
        <v>2005</v>
      </c>
      <c r="Z2174" s="52"/>
      <c r="AA2174" s="787">
        <f>+K2174/1000</f>
        <v>7.0569999999999995E-6</v>
      </c>
      <c r="AB2174" s="256">
        <v>-0.28999999999999998</v>
      </c>
      <c r="AC2174" s="688">
        <f t="shared" ref="AC2174" si="1934">AB2174</f>
        <v>-0.28999999999999998</v>
      </c>
      <c r="AD2174" s="164"/>
      <c r="AE2174" s="164"/>
      <c r="AF2174" s="25"/>
      <c r="AG2174" s="26"/>
      <c r="AH2174" s="275"/>
      <c r="AI2174" s="52"/>
      <c r="AJ2174" s="35"/>
      <c r="AK2174" s="289"/>
      <c r="AL2174" s="290"/>
      <c r="AM2174" s="211"/>
      <c r="AN2174" s="164"/>
      <c r="AO2174" s="76"/>
      <c r="AP2174" s="44"/>
      <c r="AQ2174" s="275"/>
      <c r="AR2174" s="52"/>
      <c r="AS2174" s="35"/>
      <c r="AT2174" s="79"/>
      <c r="AU2174" s="212"/>
      <c r="AV2174" s="164"/>
      <c r="AW2174" s="164"/>
      <c r="AX2174" s="76"/>
      <c r="AY2174" s="44"/>
      <c r="AZ2174" s="275"/>
      <c r="BA2174" s="52"/>
      <c r="BB2174" s="35"/>
      <c r="BC2174" s="79"/>
      <c r="BD2174" s="230"/>
      <c r="BE2174" s="211"/>
      <c r="BF2174" s="164"/>
      <c r="BG2174" s="76"/>
      <c r="BH2174" s="44"/>
      <c r="BI2174" s="275"/>
      <c r="BJ2174" s="52"/>
      <c r="BK2174" s="35"/>
      <c r="BL2174" s="79"/>
      <c r="BM2174" s="230"/>
      <c r="BN2174" s="211"/>
      <c r="BO2174" s="164"/>
      <c r="BP2174" s="76"/>
      <c r="BQ2174" s="44"/>
      <c r="BR2174" s="299"/>
      <c r="BS2174" s="52"/>
      <c r="BT2174" s="35"/>
      <c r="BU2174" s="79"/>
      <c r="BV2174" s="212"/>
      <c r="BW2174" s="304"/>
      <c r="BX2174" s="313"/>
      <c r="BY2174" s="138"/>
    </row>
    <row r="2175" spans="1:77" ht="15" customHeight="1" outlineLevel="1" x14ac:dyDescent="0.2">
      <c r="A2175" s="583" t="s">
        <v>37</v>
      </c>
      <c r="B2175" s="583"/>
      <c r="C2175" s="162" t="s">
        <v>979</v>
      </c>
      <c r="D2175" s="728">
        <v>0.97899999999999998</v>
      </c>
      <c r="E2175" s="162" t="s">
        <v>631</v>
      </c>
      <c r="F2175" s="729"/>
      <c r="G2175" s="730"/>
      <c r="H2175" s="73"/>
      <c r="I2175" s="90"/>
      <c r="J2175" s="73"/>
      <c r="K2175" s="66"/>
      <c r="L2175" s="717"/>
      <c r="M2175" s="73"/>
      <c r="N2175" s="786">
        <v>2.5209999999999998E-3</v>
      </c>
      <c r="O2175" s="1041"/>
      <c r="P2175" s="73"/>
      <c r="Q2175" s="786"/>
      <c r="R2175" s="1041"/>
      <c r="S2175" s="73"/>
      <c r="T2175" s="786"/>
      <c r="U2175" s="73"/>
      <c r="V2175" s="66"/>
      <c r="W2175" s="788">
        <f t="shared" si="1913"/>
        <v>1.8907499999999996E-6</v>
      </c>
      <c r="X2175" s="789">
        <f t="shared" si="1914"/>
        <v>1.8907499999999996E-6</v>
      </c>
      <c r="Y2175" s="52">
        <v>2012</v>
      </c>
      <c r="Z2175" s="52"/>
      <c r="AA2175" s="787">
        <f>+N2175/1000</f>
        <v>2.5209999999999997E-6</v>
      </c>
      <c r="AB2175" s="256">
        <v>-0.25</v>
      </c>
      <c r="AC2175" s="688">
        <f t="shared" si="1915"/>
        <v>-0.25</v>
      </c>
      <c r="AD2175" s="164"/>
      <c r="AE2175" s="164"/>
      <c r="AF2175" s="25"/>
      <c r="AG2175" s="26"/>
      <c r="AH2175" s="275"/>
      <c r="AI2175" s="52"/>
      <c r="AJ2175" s="35"/>
      <c r="AK2175" s="289"/>
      <c r="AL2175" s="290"/>
      <c r="AM2175" s="211"/>
      <c r="AN2175" s="164"/>
      <c r="AO2175" s="76"/>
      <c r="AP2175" s="44"/>
      <c r="AQ2175" s="275"/>
      <c r="AR2175" s="52"/>
      <c r="AS2175" s="35"/>
      <c r="AT2175" s="79"/>
      <c r="AU2175" s="212"/>
      <c r="AV2175" s="164"/>
      <c r="AW2175" s="164"/>
      <c r="AX2175" s="76"/>
      <c r="AY2175" s="44"/>
      <c r="AZ2175" s="275"/>
      <c r="BA2175" s="52"/>
      <c r="BB2175" s="35"/>
      <c r="BC2175" s="79"/>
      <c r="BD2175" s="230"/>
      <c r="BE2175" s="211"/>
      <c r="BF2175" s="164"/>
      <c r="BG2175" s="76"/>
      <c r="BH2175" s="44"/>
      <c r="BI2175" s="275"/>
      <c r="BJ2175" s="52"/>
      <c r="BK2175" s="35"/>
      <c r="BL2175" s="79"/>
      <c r="BM2175" s="230"/>
      <c r="BN2175" s="211"/>
      <c r="BO2175" s="164"/>
      <c r="BP2175" s="76"/>
      <c r="BQ2175" s="44"/>
      <c r="BR2175" s="299"/>
      <c r="BS2175" s="52"/>
      <c r="BT2175" s="35"/>
      <c r="BU2175" s="79"/>
      <c r="BV2175" s="212"/>
      <c r="BW2175" s="304"/>
      <c r="BX2175" s="313"/>
      <c r="BY2175" s="138"/>
    </row>
    <row r="2176" spans="1:77" ht="15" customHeight="1" outlineLevel="1" x14ac:dyDescent="0.2">
      <c r="A2176" s="583" t="s">
        <v>37</v>
      </c>
      <c r="B2176" s="583"/>
      <c r="C2176" s="162" t="s">
        <v>1065</v>
      </c>
      <c r="D2176" s="812">
        <v>7.3579999999999997</v>
      </c>
      <c r="E2176" s="162" t="s">
        <v>631</v>
      </c>
      <c r="F2176" s="729"/>
      <c r="G2176" s="730"/>
      <c r="H2176" s="73"/>
      <c r="I2176" s="90">
        <v>2007</v>
      </c>
      <c r="J2176" s="73"/>
      <c r="K2176" s="813">
        <v>4.1203999999999998E-2</v>
      </c>
      <c r="L2176" s="717"/>
      <c r="M2176" s="73"/>
      <c r="N2176" s="811"/>
      <c r="O2176" s="1041"/>
      <c r="P2176" s="73"/>
      <c r="Q2176" s="811"/>
      <c r="R2176" s="1041"/>
      <c r="S2176" s="73"/>
      <c r="T2176" s="811"/>
      <c r="U2176" s="73"/>
      <c r="V2176" s="66"/>
      <c r="W2176" s="740">
        <f t="shared" si="1913"/>
        <v>2.3486280000000004E-5</v>
      </c>
      <c r="X2176" s="741">
        <f t="shared" si="1914"/>
        <v>2.3486280000000004E-5</v>
      </c>
      <c r="Y2176" s="52">
        <v>2007</v>
      </c>
      <c r="Z2176" s="52"/>
      <c r="AA2176" s="739">
        <f t="shared" ref="AA2176:AA2182" si="1935">+K2176/1000</f>
        <v>4.1204000000000001E-5</v>
      </c>
      <c r="AB2176" s="256">
        <v>-0.43</v>
      </c>
      <c r="AC2176" s="688">
        <f t="shared" si="1915"/>
        <v>-0.43</v>
      </c>
      <c r="AD2176" s="164"/>
      <c r="AE2176" s="164"/>
      <c r="AF2176" s="25"/>
      <c r="AG2176" s="26"/>
      <c r="AH2176" s="275"/>
      <c r="AI2176" s="52"/>
      <c r="AJ2176" s="35"/>
      <c r="AK2176" s="289"/>
      <c r="AL2176" s="290"/>
      <c r="AM2176" s="211"/>
      <c r="AN2176" s="164"/>
      <c r="AO2176" s="76"/>
      <c r="AP2176" s="44"/>
      <c r="AQ2176" s="275"/>
      <c r="AR2176" s="52"/>
      <c r="AS2176" s="35"/>
      <c r="AT2176" s="79"/>
      <c r="AU2176" s="212"/>
      <c r="AV2176" s="164"/>
      <c r="AW2176" s="164"/>
      <c r="AX2176" s="76"/>
      <c r="AY2176" s="44"/>
      <c r="AZ2176" s="275"/>
      <c r="BA2176" s="52"/>
      <c r="BB2176" s="35"/>
      <c r="BC2176" s="79"/>
      <c r="BD2176" s="230"/>
      <c r="BE2176" s="211"/>
      <c r="BF2176" s="164"/>
      <c r="BG2176" s="76"/>
      <c r="BH2176" s="44"/>
      <c r="BI2176" s="275"/>
      <c r="BJ2176" s="52"/>
      <c r="BK2176" s="35"/>
      <c r="BL2176" s="79"/>
      <c r="BM2176" s="230"/>
      <c r="BN2176" s="211"/>
      <c r="BO2176" s="164"/>
      <c r="BP2176" s="76"/>
      <c r="BQ2176" s="44"/>
      <c r="BR2176" s="299"/>
      <c r="BS2176" s="52"/>
      <c r="BT2176" s="35"/>
      <c r="BU2176" s="79"/>
      <c r="BV2176" s="212"/>
      <c r="BW2176" s="304"/>
      <c r="BX2176" s="313"/>
      <c r="BY2176" s="138"/>
    </row>
    <row r="2177" spans="1:77" ht="15" customHeight="1" outlineLevel="1" x14ac:dyDescent="0.2">
      <c r="A2177" s="583" t="s">
        <v>37</v>
      </c>
      <c r="B2177" s="583"/>
      <c r="C2177" s="162" t="s">
        <v>1069</v>
      </c>
      <c r="D2177" s="812">
        <v>1.135</v>
      </c>
      <c r="E2177" s="162" t="s">
        <v>631</v>
      </c>
      <c r="F2177" s="729"/>
      <c r="G2177" s="730"/>
      <c r="H2177" s="73"/>
      <c r="I2177" s="90">
        <v>2007</v>
      </c>
      <c r="J2177" s="73"/>
      <c r="K2177" s="814">
        <v>6.6150000000000002E-3</v>
      </c>
      <c r="L2177" s="717"/>
      <c r="M2177" s="73"/>
      <c r="N2177" s="811"/>
      <c r="O2177" s="1041"/>
      <c r="P2177" s="73"/>
      <c r="Q2177" s="811"/>
      <c r="R2177" s="1041"/>
      <c r="S2177" s="73"/>
      <c r="T2177" s="811"/>
      <c r="U2177" s="73"/>
      <c r="V2177" s="66"/>
      <c r="W2177" s="788">
        <f t="shared" si="1913"/>
        <v>4.8950999999999999E-6</v>
      </c>
      <c r="X2177" s="789">
        <f t="shared" si="1914"/>
        <v>4.8950999999999999E-6</v>
      </c>
      <c r="Y2177" s="52">
        <v>2007</v>
      </c>
      <c r="Z2177" s="52"/>
      <c r="AA2177" s="787">
        <f t="shared" si="1935"/>
        <v>6.6150000000000002E-6</v>
      </c>
      <c r="AB2177" s="256">
        <v>-0.26</v>
      </c>
      <c r="AC2177" s="688">
        <f t="shared" si="1915"/>
        <v>-0.26</v>
      </c>
      <c r="AD2177" s="164"/>
      <c r="AE2177" s="164"/>
      <c r="AF2177" s="25"/>
      <c r="AG2177" s="26"/>
      <c r="AH2177" s="275"/>
      <c r="AI2177" s="52"/>
      <c r="AJ2177" s="35"/>
      <c r="AK2177" s="289"/>
      <c r="AL2177" s="290"/>
      <c r="AM2177" s="211"/>
      <c r="AN2177" s="164"/>
      <c r="AO2177" s="76"/>
      <c r="AP2177" s="44"/>
      <c r="AQ2177" s="275"/>
      <c r="AR2177" s="52"/>
      <c r="AS2177" s="35"/>
      <c r="AT2177" s="79"/>
      <c r="AU2177" s="212"/>
      <c r="AV2177" s="164"/>
      <c r="AW2177" s="164"/>
      <c r="AX2177" s="76"/>
      <c r="AY2177" s="44"/>
      <c r="AZ2177" s="275"/>
      <c r="BA2177" s="52"/>
      <c r="BB2177" s="35"/>
      <c r="BC2177" s="79"/>
      <c r="BD2177" s="230"/>
      <c r="BE2177" s="211"/>
      <c r="BF2177" s="164"/>
      <c r="BG2177" s="76"/>
      <c r="BH2177" s="44"/>
      <c r="BI2177" s="275"/>
      <c r="BJ2177" s="52"/>
      <c r="BK2177" s="35"/>
      <c r="BL2177" s="79"/>
      <c r="BM2177" s="230"/>
      <c r="BN2177" s="211"/>
      <c r="BO2177" s="164"/>
      <c r="BP2177" s="76"/>
      <c r="BQ2177" s="44"/>
      <c r="BR2177" s="299"/>
      <c r="BS2177" s="52"/>
      <c r="BT2177" s="35"/>
      <c r="BU2177" s="79"/>
      <c r="BV2177" s="212"/>
      <c r="BW2177" s="304"/>
      <c r="BX2177" s="313"/>
      <c r="BY2177" s="138"/>
    </row>
    <row r="2178" spans="1:77" ht="15" customHeight="1" outlineLevel="1" x14ac:dyDescent="0.2">
      <c r="A2178" s="583" t="s">
        <v>37</v>
      </c>
      <c r="B2178" s="583"/>
      <c r="C2178" s="162" t="s">
        <v>2686</v>
      </c>
      <c r="D2178" s="806">
        <v>0.42099999999999999</v>
      </c>
      <c r="E2178" s="162" t="s">
        <v>631</v>
      </c>
      <c r="F2178" s="729"/>
      <c r="G2178" s="730"/>
      <c r="H2178" s="73"/>
      <c r="I2178" s="90"/>
      <c r="J2178" s="73"/>
      <c r="K2178" s="916">
        <v>2.6380000000000002E-3</v>
      </c>
      <c r="L2178" s="717"/>
      <c r="M2178" s="73"/>
      <c r="N2178" s="811"/>
      <c r="O2178" s="1041"/>
      <c r="P2178" s="73"/>
      <c r="Q2178" s="811"/>
      <c r="R2178" s="1041"/>
      <c r="S2178" s="73"/>
      <c r="T2178" s="811"/>
      <c r="U2178" s="73"/>
      <c r="V2178" s="66"/>
      <c r="W2178" s="788">
        <f t="shared" ref="W2178" si="1936">AA2178*(1+AB2178)</f>
        <v>1.8465999999999998E-6</v>
      </c>
      <c r="X2178" s="789">
        <f t="shared" ref="X2178" si="1937">AA2178*(1+AC2178)</f>
        <v>1.8465999999999998E-6</v>
      </c>
      <c r="Y2178" s="52">
        <v>2005</v>
      </c>
      <c r="Z2178" s="52"/>
      <c r="AA2178" s="787">
        <f t="shared" ref="AA2178" si="1938">+K2178/1000</f>
        <v>2.638E-6</v>
      </c>
      <c r="AB2178" s="256">
        <v>-0.3</v>
      </c>
      <c r="AC2178" s="688">
        <f t="shared" ref="AC2178" si="1939">AB2178</f>
        <v>-0.3</v>
      </c>
      <c r="AD2178" s="164"/>
      <c r="AE2178" s="164"/>
      <c r="AF2178" s="25"/>
      <c r="AG2178" s="26"/>
      <c r="AH2178" s="275"/>
      <c r="AI2178" s="52"/>
      <c r="AJ2178" s="35"/>
      <c r="AK2178" s="289"/>
      <c r="AL2178" s="290"/>
      <c r="AM2178" s="211"/>
      <c r="AN2178" s="164"/>
      <c r="AO2178" s="76"/>
      <c r="AP2178" s="44"/>
      <c r="AQ2178" s="275"/>
      <c r="AR2178" s="52"/>
      <c r="AS2178" s="35"/>
      <c r="AT2178" s="79"/>
      <c r="AU2178" s="212"/>
      <c r="AV2178" s="164"/>
      <c r="AW2178" s="164"/>
      <c r="AX2178" s="76"/>
      <c r="AY2178" s="44"/>
      <c r="AZ2178" s="275"/>
      <c r="BA2178" s="52"/>
      <c r="BB2178" s="35"/>
      <c r="BC2178" s="79"/>
      <c r="BD2178" s="230"/>
      <c r="BE2178" s="211"/>
      <c r="BF2178" s="164"/>
      <c r="BG2178" s="76"/>
      <c r="BH2178" s="44"/>
      <c r="BI2178" s="275"/>
      <c r="BJ2178" s="52"/>
      <c r="BK2178" s="35"/>
      <c r="BL2178" s="79"/>
      <c r="BM2178" s="230"/>
      <c r="BN2178" s="211"/>
      <c r="BO2178" s="164"/>
      <c r="BP2178" s="76"/>
      <c r="BQ2178" s="44"/>
      <c r="BR2178" s="299"/>
      <c r="BS2178" s="52"/>
      <c r="BT2178" s="35"/>
      <c r="BU2178" s="79"/>
      <c r="BV2178" s="212"/>
      <c r="BW2178" s="304"/>
      <c r="BX2178" s="313"/>
      <c r="BY2178" s="138"/>
    </row>
    <row r="2179" spans="1:77" ht="15" customHeight="1" outlineLevel="1" x14ac:dyDescent="0.2">
      <c r="A2179" s="583" t="s">
        <v>37</v>
      </c>
      <c r="B2179" s="583"/>
      <c r="C2179" s="162" t="s">
        <v>1171</v>
      </c>
      <c r="D2179" s="812">
        <v>7.0140000000000002</v>
      </c>
      <c r="E2179" s="162" t="s">
        <v>631</v>
      </c>
      <c r="F2179" s="729"/>
      <c r="G2179" s="730"/>
      <c r="H2179" s="73"/>
      <c r="I2179" s="90">
        <v>2007</v>
      </c>
      <c r="J2179" s="73"/>
      <c r="K2179" s="734">
        <v>2.5670999999999999E-2</v>
      </c>
      <c r="L2179" s="717"/>
      <c r="M2179" s="73"/>
      <c r="N2179" s="811"/>
      <c r="O2179" s="1041"/>
      <c r="P2179" s="73"/>
      <c r="Q2179" s="811"/>
      <c r="R2179" s="1041"/>
      <c r="S2179" s="73"/>
      <c r="T2179" s="811"/>
      <c r="U2179" s="73"/>
      <c r="V2179" s="66"/>
      <c r="W2179" s="740">
        <f t="shared" si="1913"/>
        <v>1.411905E-5</v>
      </c>
      <c r="X2179" s="741">
        <f t="shared" si="1914"/>
        <v>1.411905E-5</v>
      </c>
      <c r="Y2179" s="52">
        <v>2007</v>
      </c>
      <c r="Z2179" s="52"/>
      <c r="AA2179" s="739">
        <f t="shared" si="1935"/>
        <v>2.5670999999999999E-5</v>
      </c>
      <c r="AB2179" s="256">
        <v>-0.45</v>
      </c>
      <c r="AC2179" s="688">
        <f t="shared" si="1915"/>
        <v>-0.45</v>
      </c>
      <c r="AD2179" s="164"/>
      <c r="AE2179" s="164"/>
      <c r="AF2179" s="25"/>
      <c r="AG2179" s="26"/>
      <c r="AH2179" s="275"/>
      <c r="AI2179" s="52"/>
      <c r="AJ2179" s="35"/>
      <c r="AK2179" s="289"/>
      <c r="AL2179" s="290"/>
      <c r="AM2179" s="211"/>
      <c r="AN2179" s="164"/>
      <c r="AO2179" s="76"/>
      <c r="AP2179" s="44"/>
      <c r="AQ2179" s="275"/>
      <c r="AR2179" s="52"/>
      <c r="AS2179" s="35"/>
      <c r="AT2179" s="79"/>
      <c r="AU2179" s="212"/>
      <c r="AV2179" s="164"/>
      <c r="AW2179" s="164"/>
      <c r="AX2179" s="76"/>
      <c r="AY2179" s="44"/>
      <c r="AZ2179" s="275"/>
      <c r="BA2179" s="52"/>
      <c r="BB2179" s="35"/>
      <c r="BC2179" s="79"/>
      <c r="BD2179" s="230"/>
      <c r="BE2179" s="211"/>
      <c r="BF2179" s="164"/>
      <c r="BG2179" s="76"/>
      <c r="BH2179" s="44"/>
      <c r="BI2179" s="275"/>
      <c r="BJ2179" s="52"/>
      <c r="BK2179" s="35"/>
      <c r="BL2179" s="79"/>
      <c r="BM2179" s="230"/>
      <c r="BN2179" s="211"/>
      <c r="BO2179" s="164"/>
      <c r="BP2179" s="76"/>
      <c r="BQ2179" s="44"/>
      <c r="BR2179" s="299"/>
      <c r="BS2179" s="52"/>
      <c r="BT2179" s="35"/>
      <c r="BU2179" s="79"/>
      <c r="BV2179" s="212"/>
      <c r="BW2179" s="304"/>
      <c r="BX2179" s="313"/>
      <c r="BY2179" s="138"/>
    </row>
    <row r="2180" spans="1:77" ht="15" customHeight="1" outlineLevel="1" x14ac:dyDescent="0.2">
      <c r="A2180" s="583" t="s">
        <v>37</v>
      </c>
      <c r="B2180" s="583"/>
      <c r="C2180" s="162" t="s">
        <v>1259</v>
      </c>
      <c r="D2180" s="812">
        <v>12.257999999999999</v>
      </c>
      <c r="E2180" s="162" t="s">
        <v>631</v>
      </c>
      <c r="F2180" s="729"/>
      <c r="G2180" s="730"/>
      <c r="H2180" s="73"/>
      <c r="I2180" s="90">
        <v>2007</v>
      </c>
      <c r="J2180" s="73"/>
      <c r="K2180" s="734">
        <v>5.4672999999999999E-2</v>
      </c>
      <c r="L2180" s="717"/>
      <c r="M2180" s="73"/>
      <c r="N2180" s="811"/>
      <c r="O2180" s="1041"/>
      <c r="P2180" s="73"/>
      <c r="Q2180" s="811"/>
      <c r="R2180" s="1041"/>
      <c r="S2180" s="73"/>
      <c r="T2180" s="811"/>
      <c r="U2180" s="73"/>
      <c r="V2180" s="66"/>
      <c r="W2180" s="740">
        <f t="shared" si="1913"/>
        <v>3.9911289999999998E-5</v>
      </c>
      <c r="X2180" s="741">
        <f t="shared" si="1914"/>
        <v>3.9911289999999998E-5</v>
      </c>
      <c r="Y2180" s="52">
        <v>2007</v>
      </c>
      <c r="Z2180" s="52"/>
      <c r="AA2180" s="739">
        <f t="shared" si="1935"/>
        <v>5.4672999999999996E-5</v>
      </c>
      <c r="AB2180" s="256">
        <v>-0.27</v>
      </c>
      <c r="AC2180" s="688">
        <f t="shared" si="1915"/>
        <v>-0.27</v>
      </c>
      <c r="AD2180" s="164"/>
      <c r="AE2180" s="164"/>
      <c r="AF2180" s="25"/>
      <c r="AG2180" s="26"/>
      <c r="AH2180" s="275"/>
      <c r="AI2180" s="52"/>
      <c r="AJ2180" s="35"/>
      <c r="AK2180" s="289"/>
      <c r="AL2180" s="290"/>
      <c r="AM2180" s="211"/>
      <c r="AN2180" s="164"/>
      <c r="AO2180" s="76"/>
      <c r="AP2180" s="44"/>
      <c r="AQ2180" s="275"/>
      <c r="AR2180" s="52"/>
      <c r="AS2180" s="35"/>
      <c r="AT2180" s="79"/>
      <c r="AU2180" s="212"/>
      <c r="AV2180" s="164"/>
      <c r="AW2180" s="164"/>
      <c r="AX2180" s="76"/>
      <c r="AY2180" s="44"/>
      <c r="AZ2180" s="275"/>
      <c r="BA2180" s="52"/>
      <c r="BB2180" s="35"/>
      <c r="BC2180" s="79"/>
      <c r="BD2180" s="230"/>
      <c r="BE2180" s="211"/>
      <c r="BF2180" s="164"/>
      <c r="BG2180" s="76"/>
      <c r="BH2180" s="44"/>
      <c r="BI2180" s="275"/>
      <c r="BJ2180" s="52"/>
      <c r="BK2180" s="35"/>
      <c r="BL2180" s="79"/>
      <c r="BM2180" s="230"/>
      <c r="BN2180" s="211"/>
      <c r="BO2180" s="164"/>
      <c r="BP2180" s="76"/>
      <c r="BQ2180" s="44"/>
      <c r="BR2180" s="299"/>
      <c r="BS2180" s="52"/>
      <c r="BT2180" s="35"/>
      <c r="BU2180" s="79"/>
      <c r="BV2180" s="212"/>
      <c r="BW2180" s="304"/>
      <c r="BX2180" s="313"/>
      <c r="BY2180" s="138"/>
    </row>
    <row r="2181" spans="1:77" ht="15" customHeight="1" outlineLevel="1" x14ac:dyDescent="0.2">
      <c r="A2181" s="583" t="s">
        <v>37</v>
      </c>
      <c r="B2181" s="583"/>
      <c r="C2181" s="162" t="s">
        <v>1252</v>
      </c>
      <c r="D2181" s="812">
        <v>277.19799999999998</v>
      </c>
      <c r="E2181" s="162" t="s">
        <v>631</v>
      </c>
      <c r="F2181" s="729"/>
      <c r="G2181" s="730"/>
      <c r="H2181" s="73"/>
      <c r="I2181" s="90">
        <v>2007</v>
      </c>
      <c r="J2181" s="73"/>
      <c r="K2181" s="734">
        <v>0.59806999999999999</v>
      </c>
      <c r="L2181" s="717"/>
      <c r="M2181" s="73"/>
      <c r="N2181" s="811"/>
      <c r="O2181" s="1041"/>
      <c r="P2181" s="73"/>
      <c r="Q2181" s="811"/>
      <c r="R2181" s="1041"/>
      <c r="S2181" s="73"/>
      <c r="T2181" s="811"/>
      <c r="U2181" s="73"/>
      <c r="V2181" s="66"/>
      <c r="W2181" s="594">
        <f t="shared" si="1913"/>
        <v>3.8874550000000003E-4</v>
      </c>
      <c r="X2181" s="595">
        <f t="shared" si="1914"/>
        <v>3.8874550000000003E-4</v>
      </c>
      <c r="Y2181" s="52">
        <v>2007</v>
      </c>
      <c r="Z2181" s="52"/>
      <c r="AA2181" s="596">
        <f t="shared" si="1935"/>
        <v>5.9807000000000003E-4</v>
      </c>
      <c r="AB2181" s="256">
        <v>-0.35</v>
      </c>
      <c r="AC2181" s="688">
        <f t="shared" si="1915"/>
        <v>-0.35</v>
      </c>
      <c r="AD2181" s="164"/>
      <c r="AE2181" s="164"/>
      <c r="AF2181" s="25"/>
      <c r="AG2181" s="26"/>
      <c r="AH2181" s="275"/>
      <c r="AI2181" s="52"/>
      <c r="AJ2181" s="35"/>
      <c r="AK2181" s="289"/>
      <c r="AL2181" s="290"/>
      <c r="AM2181" s="211"/>
      <c r="AN2181" s="164"/>
      <c r="AO2181" s="76"/>
      <c r="AP2181" s="44"/>
      <c r="AQ2181" s="275"/>
      <c r="AR2181" s="52"/>
      <c r="AS2181" s="35"/>
      <c r="AT2181" s="79"/>
      <c r="AU2181" s="212"/>
      <c r="AV2181" s="164"/>
      <c r="AW2181" s="164"/>
      <c r="AX2181" s="76"/>
      <c r="AY2181" s="44"/>
      <c r="AZ2181" s="275"/>
      <c r="BA2181" s="52"/>
      <c r="BB2181" s="35"/>
      <c r="BC2181" s="79"/>
      <c r="BD2181" s="230"/>
      <c r="BE2181" s="211"/>
      <c r="BF2181" s="164"/>
      <c r="BG2181" s="76"/>
      <c r="BH2181" s="44"/>
      <c r="BI2181" s="275"/>
      <c r="BJ2181" s="52"/>
      <c r="BK2181" s="35"/>
      <c r="BL2181" s="79"/>
      <c r="BM2181" s="230"/>
      <c r="BN2181" s="211"/>
      <c r="BO2181" s="164"/>
      <c r="BP2181" s="76"/>
      <c r="BQ2181" s="44"/>
      <c r="BR2181" s="299"/>
      <c r="BS2181" s="52"/>
      <c r="BT2181" s="35"/>
      <c r="BU2181" s="79"/>
      <c r="BV2181" s="212"/>
      <c r="BW2181" s="304"/>
      <c r="BX2181" s="313"/>
      <c r="BY2181" s="138"/>
    </row>
    <row r="2182" spans="1:77" ht="15" customHeight="1" outlineLevel="1" x14ac:dyDescent="0.2">
      <c r="A2182" s="583" t="s">
        <v>37</v>
      </c>
      <c r="B2182" s="583"/>
      <c r="C2182" s="162" t="s">
        <v>1002</v>
      </c>
      <c r="D2182" s="806">
        <v>0.27400000000000002</v>
      </c>
      <c r="E2182" s="162" t="s">
        <v>631</v>
      </c>
      <c r="F2182" s="729"/>
      <c r="G2182" s="730"/>
      <c r="H2182" s="73"/>
      <c r="I2182" s="90">
        <v>2007</v>
      </c>
      <c r="J2182" s="73"/>
      <c r="K2182" s="790">
        <v>1.3849999999999999E-3</v>
      </c>
      <c r="L2182" s="717"/>
      <c r="M2182" s="73"/>
      <c r="N2182" s="811"/>
      <c r="O2182" s="1041"/>
      <c r="P2182" s="73"/>
      <c r="Q2182" s="811"/>
      <c r="R2182" s="1041"/>
      <c r="S2182" s="73"/>
      <c r="T2182" s="811"/>
      <c r="U2182" s="73"/>
      <c r="V2182" s="66"/>
      <c r="W2182" s="788">
        <f t="shared" si="1913"/>
        <v>1.0110499999999998E-6</v>
      </c>
      <c r="X2182" s="789">
        <f t="shared" si="1914"/>
        <v>1.0110499999999998E-6</v>
      </c>
      <c r="Y2182" s="52">
        <v>2007</v>
      </c>
      <c r="Z2182" s="52"/>
      <c r="AA2182" s="787">
        <f t="shared" si="1935"/>
        <v>1.3849999999999999E-6</v>
      </c>
      <c r="AB2182" s="256">
        <v>-0.27</v>
      </c>
      <c r="AC2182" s="688">
        <f t="shared" si="1915"/>
        <v>-0.27</v>
      </c>
      <c r="AD2182" s="164"/>
      <c r="AE2182" s="164"/>
      <c r="AF2182" s="25"/>
      <c r="AG2182" s="26"/>
      <c r="AH2182" s="275"/>
      <c r="AI2182" s="52"/>
      <c r="AJ2182" s="35"/>
      <c r="AK2182" s="289"/>
      <c r="AL2182" s="290"/>
      <c r="AM2182" s="211"/>
      <c r="AN2182" s="164"/>
      <c r="AO2182" s="76"/>
      <c r="AP2182" s="44"/>
      <c r="AQ2182" s="275"/>
      <c r="AR2182" s="52"/>
      <c r="AS2182" s="35"/>
      <c r="AT2182" s="79"/>
      <c r="AU2182" s="212"/>
      <c r="AV2182" s="164"/>
      <c r="AW2182" s="164"/>
      <c r="AX2182" s="76"/>
      <c r="AY2182" s="44"/>
      <c r="AZ2182" s="275"/>
      <c r="BA2182" s="52"/>
      <c r="BB2182" s="35"/>
      <c r="BC2182" s="79"/>
      <c r="BD2182" s="230"/>
      <c r="BE2182" s="211"/>
      <c r="BF2182" s="164"/>
      <c r="BG2182" s="76"/>
      <c r="BH2182" s="44"/>
      <c r="BI2182" s="275"/>
      <c r="BJ2182" s="52"/>
      <c r="BK2182" s="35"/>
      <c r="BL2182" s="79"/>
      <c r="BM2182" s="230"/>
      <c r="BN2182" s="211"/>
      <c r="BO2182" s="164"/>
      <c r="BP2182" s="76"/>
      <c r="BQ2182" s="44"/>
      <c r="BR2182" s="299"/>
      <c r="BS2182" s="52"/>
      <c r="BT2182" s="35"/>
      <c r="BU2182" s="79"/>
      <c r="BV2182" s="212"/>
      <c r="BW2182" s="304"/>
      <c r="BX2182" s="313"/>
      <c r="BY2182" s="138"/>
    </row>
    <row r="2183" spans="1:77" ht="15" customHeight="1" outlineLevel="1" x14ac:dyDescent="0.2">
      <c r="A2183" s="583" t="s">
        <v>37</v>
      </c>
      <c r="B2183" s="583"/>
      <c r="C2183" s="162" t="s">
        <v>2685</v>
      </c>
      <c r="D2183" s="806">
        <v>0.36599999999999999</v>
      </c>
      <c r="E2183" s="162" t="s">
        <v>631</v>
      </c>
      <c r="F2183" s="729"/>
      <c r="G2183" s="730"/>
      <c r="H2183" s="73"/>
      <c r="I2183" s="90"/>
      <c r="J2183" s="73"/>
      <c r="K2183" s="790"/>
      <c r="L2183" s="717"/>
      <c r="M2183" s="73"/>
      <c r="N2183" s="811">
        <v>1.4899999999999999E-4</v>
      </c>
      <c r="O2183" s="1041"/>
      <c r="P2183" s="73"/>
      <c r="Q2183" s="811"/>
      <c r="R2183" s="1041"/>
      <c r="S2183" s="73"/>
      <c r="T2183" s="811"/>
      <c r="U2183" s="73"/>
      <c r="V2183" s="66"/>
      <c r="W2183" s="808">
        <f t="shared" ref="W2183" si="1940">AA2183*(1+AB2183)</f>
        <v>1.1026E-7</v>
      </c>
      <c r="X2183" s="809">
        <f t="shared" ref="X2183" si="1941">AA2183*(1+AC2183)</f>
        <v>1.1026E-7</v>
      </c>
      <c r="Y2183" s="52">
        <v>2010</v>
      </c>
      <c r="Z2183" s="52"/>
      <c r="AA2183" s="807">
        <f>+N2183/1000</f>
        <v>1.49E-7</v>
      </c>
      <c r="AB2183" s="256">
        <v>-0.26</v>
      </c>
      <c r="AC2183" s="688">
        <f t="shared" ref="AC2183" si="1942">AB2183</f>
        <v>-0.26</v>
      </c>
      <c r="AD2183" s="164"/>
      <c r="AE2183" s="164"/>
      <c r="AF2183" s="25"/>
      <c r="AG2183" s="26"/>
      <c r="AH2183" s="275"/>
      <c r="AI2183" s="52"/>
      <c r="AJ2183" s="35"/>
      <c r="AK2183" s="289"/>
      <c r="AL2183" s="290"/>
      <c r="AM2183" s="211"/>
      <c r="AN2183" s="164"/>
      <c r="AO2183" s="76"/>
      <c r="AP2183" s="44"/>
      <c r="AQ2183" s="275"/>
      <c r="AR2183" s="52"/>
      <c r="AS2183" s="35"/>
      <c r="AT2183" s="79"/>
      <c r="AU2183" s="212"/>
      <c r="AV2183" s="164"/>
      <c r="AW2183" s="164"/>
      <c r="AX2183" s="76"/>
      <c r="AY2183" s="44"/>
      <c r="AZ2183" s="275"/>
      <c r="BA2183" s="52"/>
      <c r="BB2183" s="35"/>
      <c r="BC2183" s="79"/>
      <c r="BD2183" s="230"/>
      <c r="BE2183" s="211"/>
      <c r="BF2183" s="164"/>
      <c r="BG2183" s="76"/>
      <c r="BH2183" s="44"/>
      <c r="BI2183" s="275"/>
      <c r="BJ2183" s="52"/>
      <c r="BK2183" s="35"/>
      <c r="BL2183" s="79"/>
      <c r="BM2183" s="230"/>
      <c r="BN2183" s="211"/>
      <c r="BO2183" s="164"/>
      <c r="BP2183" s="76"/>
      <c r="BQ2183" s="44"/>
      <c r="BR2183" s="299"/>
      <c r="BS2183" s="52"/>
      <c r="BT2183" s="35"/>
      <c r="BU2183" s="79"/>
      <c r="BV2183" s="212"/>
      <c r="BW2183" s="304"/>
      <c r="BX2183" s="313"/>
      <c r="BY2183" s="138"/>
    </row>
    <row r="2184" spans="1:77" ht="15" customHeight="1" outlineLevel="1" x14ac:dyDescent="0.2">
      <c r="A2184" s="583" t="s">
        <v>37</v>
      </c>
      <c r="B2184" s="583"/>
      <c r="C2184" s="162" t="s">
        <v>980</v>
      </c>
      <c r="D2184" s="810">
        <v>3.5999999999999997E-2</v>
      </c>
      <c r="E2184" s="162" t="s">
        <v>631</v>
      </c>
      <c r="F2184" s="729"/>
      <c r="G2184" s="730"/>
      <c r="H2184" s="73"/>
      <c r="I2184" s="90"/>
      <c r="J2184" s="73"/>
      <c r="K2184" s="66"/>
      <c r="L2184" s="717"/>
      <c r="M2184" s="73"/>
      <c r="N2184" s="811">
        <v>2.5855000000000002E-4</v>
      </c>
      <c r="O2184" s="1041"/>
      <c r="P2184" s="73"/>
      <c r="Q2184" s="811"/>
      <c r="R2184" s="1041"/>
      <c r="S2184" s="73"/>
      <c r="T2184" s="811"/>
      <c r="U2184" s="73"/>
      <c r="V2184" s="66"/>
      <c r="W2184" s="808">
        <f t="shared" si="1913"/>
        <v>1.6547200000000004E-7</v>
      </c>
      <c r="X2184" s="809">
        <f t="shared" si="1914"/>
        <v>1.6547200000000004E-7</v>
      </c>
      <c r="Y2184" s="52">
        <v>2010</v>
      </c>
      <c r="Z2184" s="52"/>
      <c r="AA2184" s="807">
        <f>+N2184/1000</f>
        <v>2.5855000000000005E-7</v>
      </c>
      <c r="AB2184" s="256">
        <v>-0.36</v>
      </c>
      <c r="AC2184" s="688">
        <f t="shared" si="1915"/>
        <v>-0.36</v>
      </c>
      <c r="AD2184" s="164"/>
      <c r="AE2184" s="164"/>
      <c r="AF2184" s="25"/>
      <c r="AG2184" s="26"/>
      <c r="AH2184" s="275"/>
      <c r="AI2184" s="52"/>
      <c r="AJ2184" s="35"/>
      <c r="AK2184" s="289"/>
      <c r="AL2184" s="290"/>
      <c r="AM2184" s="211"/>
      <c r="AN2184" s="164"/>
      <c r="AO2184" s="76"/>
      <c r="AP2184" s="44"/>
      <c r="AQ2184" s="275"/>
      <c r="AR2184" s="52"/>
      <c r="AS2184" s="35"/>
      <c r="AT2184" s="79"/>
      <c r="AU2184" s="212"/>
      <c r="AV2184" s="164"/>
      <c r="AW2184" s="164"/>
      <c r="AX2184" s="76"/>
      <c r="AY2184" s="44"/>
      <c r="AZ2184" s="275"/>
      <c r="BA2184" s="52"/>
      <c r="BB2184" s="35"/>
      <c r="BC2184" s="79"/>
      <c r="BD2184" s="230"/>
      <c r="BE2184" s="211"/>
      <c r="BF2184" s="164"/>
      <c r="BG2184" s="76"/>
      <c r="BH2184" s="44"/>
      <c r="BI2184" s="275"/>
      <c r="BJ2184" s="52"/>
      <c r="BK2184" s="35"/>
      <c r="BL2184" s="79"/>
      <c r="BM2184" s="230"/>
      <c r="BN2184" s="211"/>
      <c r="BO2184" s="164"/>
      <c r="BP2184" s="76"/>
      <c r="BQ2184" s="44"/>
      <c r="BR2184" s="299"/>
      <c r="BS2184" s="52"/>
      <c r="BT2184" s="35"/>
      <c r="BU2184" s="79"/>
      <c r="BV2184" s="212"/>
      <c r="BW2184" s="304"/>
      <c r="BX2184" s="313"/>
      <c r="BY2184" s="138"/>
    </row>
    <row r="2185" spans="1:77" ht="15" customHeight="1" outlineLevel="1" x14ac:dyDescent="0.2">
      <c r="A2185" s="583" t="s">
        <v>37</v>
      </c>
      <c r="B2185" s="583"/>
      <c r="C2185" s="162" t="s">
        <v>1158</v>
      </c>
      <c r="D2185" s="812">
        <v>2.97</v>
      </c>
      <c r="E2185" s="162" t="s">
        <v>631</v>
      </c>
      <c r="F2185" s="729"/>
      <c r="G2185" s="730"/>
      <c r="H2185" s="73"/>
      <c r="I2185" s="90">
        <v>2007</v>
      </c>
      <c r="J2185" s="73"/>
      <c r="K2185" s="734">
        <v>1.4978999999999999E-2</v>
      </c>
      <c r="L2185" s="717"/>
      <c r="M2185" s="73"/>
      <c r="N2185" s="811"/>
      <c r="O2185" s="1041"/>
      <c r="P2185" s="73"/>
      <c r="Q2185" s="811"/>
      <c r="R2185" s="1041"/>
      <c r="S2185" s="73"/>
      <c r="T2185" s="811"/>
      <c r="U2185" s="73"/>
      <c r="V2185" s="66"/>
      <c r="W2185" s="740">
        <f t="shared" si="1913"/>
        <v>1.1084459999999999E-5</v>
      </c>
      <c r="X2185" s="741">
        <f t="shared" si="1914"/>
        <v>1.1084459999999999E-5</v>
      </c>
      <c r="Y2185" s="52">
        <v>2007</v>
      </c>
      <c r="Z2185" s="52"/>
      <c r="AA2185" s="739">
        <f t="shared" ref="AA2185:AA2192" si="1943">+K2185/1000</f>
        <v>1.4979E-5</v>
      </c>
      <c r="AB2185" s="256">
        <v>-0.26</v>
      </c>
      <c r="AC2185" s="688">
        <f t="shared" si="1915"/>
        <v>-0.26</v>
      </c>
      <c r="AD2185" s="164"/>
      <c r="AE2185" s="164"/>
      <c r="AF2185" s="25"/>
      <c r="AG2185" s="26"/>
      <c r="AH2185" s="275"/>
      <c r="AI2185" s="52"/>
      <c r="AJ2185" s="35"/>
      <c r="AK2185" s="289"/>
      <c r="AL2185" s="290"/>
      <c r="AM2185" s="211"/>
      <c r="AN2185" s="164"/>
      <c r="AO2185" s="76"/>
      <c r="AP2185" s="44"/>
      <c r="AQ2185" s="275"/>
      <c r="AR2185" s="52"/>
      <c r="AS2185" s="35"/>
      <c r="AT2185" s="79"/>
      <c r="AU2185" s="212"/>
      <c r="AV2185" s="164"/>
      <c r="AW2185" s="164"/>
      <c r="AX2185" s="76"/>
      <c r="AY2185" s="44"/>
      <c r="AZ2185" s="275"/>
      <c r="BA2185" s="52"/>
      <c r="BB2185" s="35"/>
      <c r="BC2185" s="79"/>
      <c r="BD2185" s="230"/>
      <c r="BE2185" s="211"/>
      <c r="BF2185" s="164"/>
      <c r="BG2185" s="76"/>
      <c r="BH2185" s="44"/>
      <c r="BI2185" s="275"/>
      <c r="BJ2185" s="52"/>
      <c r="BK2185" s="35"/>
      <c r="BL2185" s="79"/>
      <c r="BM2185" s="230"/>
      <c r="BN2185" s="211"/>
      <c r="BO2185" s="164"/>
      <c r="BP2185" s="76"/>
      <c r="BQ2185" s="44"/>
      <c r="BR2185" s="299"/>
      <c r="BS2185" s="52"/>
      <c r="BT2185" s="35"/>
      <c r="BU2185" s="79"/>
      <c r="BV2185" s="212"/>
      <c r="BW2185" s="304"/>
      <c r="BX2185" s="313"/>
      <c r="BY2185" s="138"/>
    </row>
    <row r="2186" spans="1:77" ht="15" customHeight="1" outlineLevel="1" x14ac:dyDescent="0.2">
      <c r="A2186" s="583" t="s">
        <v>37</v>
      </c>
      <c r="B2186" s="583"/>
      <c r="C2186" s="162" t="s">
        <v>1155</v>
      </c>
      <c r="D2186" s="812">
        <v>10.654</v>
      </c>
      <c r="E2186" s="162" t="s">
        <v>631</v>
      </c>
      <c r="F2186" s="729"/>
      <c r="G2186" s="730"/>
      <c r="H2186" s="73"/>
      <c r="I2186" s="90">
        <v>2007</v>
      </c>
      <c r="J2186" s="73"/>
      <c r="K2186" s="734">
        <v>5.5574999999999999E-2</v>
      </c>
      <c r="L2186" s="717"/>
      <c r="M2186" s="73"/>
      <c r="N2186" s="811"/>
      <c r="O2186" s="1041"/>
      <c r="P2186" s="73"/>
      <c r="Q2186" s="811"/>
      <c r="R2186" s="1041"/>
      <c r="S2186" s="73"/>
      <c r="T2186" s="811"/>
      <c r="U2186" s="73"/>
      <c r="V2186" s="66"/>
      <c r="W2186" s="740">
        <f t="shared" si="1913"/>
        <v>3.3900750000000002E-5</v>
      </c>
      <c r="X2186" s="741">
        <f t="shared" si="1914"/>
        <v>3.3900750000000002E-5</v>
      </c>
      <c r="Y2186" s="52">
        <v>2007</v>
      </c>
      <c r="Z2186" s="52"/>
      <c r="AA2186" s="739">
        <f t="shared" si="1943"/>
        <v>5.5575000000000002E-5</v>
      </c>
      <c r="AB2186" s="256">
        <v>-0.39</v>
      </c>
      <c r="AC2186" s="688">
        <f t="shared" si="1915"/>
        <v>-0.39</v>
      </c>
      <c r="AD2186" s="164"/>
      <c r="AE2186" s="164"/>
      <c r="AF2186" s="25"/>
      <c r="AG2186" s="26"/>
      <c r="AH2186" s="275"/>
      <c r="AI2186" s="52"/>
      <c r="AJ2186" s="35"/>
      <c r="AK2186" s="289"/>
      <c r="AL2186" s="290"/>
      <c r="AM2186" s="211"/>
      <c r="AN2186" s="164"/>
      <c r="AO2186" s="76"/>
      <c r="AP2186" s="44"/>
      <c r="AQ2186" s="275"/>
      <c r="AR2186" s="52"/>
      <c r="AS2186" s="35"/>
      <c r="AT2186" s="79"/>
      <c r="AU2186" s="212"/>
      <c r="AV2186" s="164"/>
      <c r="AW2186" s="164"/>
      <c r="AX2186" s="76"/>
      <c r="AY2186" s="44"/>
      <c r="AZ2186" s="275"/>
      <c r="BA2186" s="52"/>
      <c r="BB2186" s="35"/>
      <c r="BC2186" s="79"/>
      <c r="BD2186" s="230"/>
      <c r="BE2186" s="211"/>
      <c r="BF2186" s="164"/>
      <c r="BG2186" s="76"/>
      <c r="BH2186" s="44"/>
      <c r="BI2186" s="275"/>
      <c r="BJ2186" s="52"/>
      <c r="BK2186" s="35"/>
      <c r="BL2186" s="79"/>
      <c r="BM2186" s="230"/>
      <c r="BN2186" s="211"/>
      <c r="BO2186" s="164"/>
      <c r="BP2186" s="76"/>
      <c r="BQ2186" s="44"/>
      <c r="BR2186" s="299"/>
      <c r="BS2186" s="52"/>
      <c r="BT2186" s="35"/>
      <c r="BU2186" s="79"/>
      <c r="BV2186" s="212"/>
      <c r="BW2186" s="304"/>
      <c r="BX2186" s="313"/>
      <c r="BY2186" s="138"/>
    </row>
    <row r="2187" spans="1:77" ht="15" customHeight="1" outlineLevel="1" x14ac:dyDescent="0.2">
      <c r="A2187" s="583" t="s">
        <v>37</v>
      </c>
      <c r="B2187" s="583"/>
      <c r="C2187" s="162" t="s">
        <v>969</v>
      </c>
      <c r="D2187" s="728">
        <v>8.5</v>
      </c>
      <c r="E2187" s="162" t="s">
        <v>631</v>
      </c>
      <c r="F2187" s="729"/>
      <c r="G2187" s="730"/>
      <c r="H2187" s="73"/>
      <c r="I2187" s="90"/>
      <c r="J2187" s="73"/>
      <c r="K2187" s="734">
        <v>1.7475999999999998E-2</v>
      </c>
      <c r="L2187" s="717"/>
      <c r="M2187" s="73"/>
      <c r="N2187" s="359"/>
      <c r="O2187" s="1041"/>
      <c r="P2187" s="73"/>
      <c r="Q2187" s="359"/>
      <c r="R2187" s="1041"/>
      <c r="S2187" s="73"/>
      <c r="T2187" s="359"/>
      <c r="U2187" s="73"/>
      <c r="V2187" s="66"/>
      <c r="W2187" s="740">
        <f t="shared" si="1913"/>
        <v>1.1708919999999999E-5</v>
      </c>
      <c r="X2187" s="741">
        <f t="shared" si="1914"/>
        <v>1.1708919999999999E-5</v>
      </c>
      <c r="Y2187" s="52">
        <v>2005</v>
      </c>
      <c r="Z2187" s="52"/>
      <c r="AA2187" s="739">
        <f t="shared" si="1943"/>
        <v>1.7476E-5</v>
      </c>
      <c r="AB2187" s="256">
        <v>-0.33</v>
      </c>
      <c r="AC2187" s="688">
        <f t="shared" si="1915"/>
        <v>-0.33</v>
      </c>
      <c r="AD2187" s="164"/>
      <c r="AE2187" s="164"/>
      <c r="AF2187" s="25"/>
      <c r="AG2187" s="26"/>
      <c r="AH2187" s="275"/>
      <c r="AI2187" s="52"/>
      <c r="AJ2187" s="35"/>
      <c r="AK2187" s="289"/>
      <c r="AL2187" s="290"/>
      <c r="AM2187" s="211"/>
      <c r="AN2187" s="164"/>
      <c r="AO2187" s="76"/>
      <c r="AP2187" s="44"/>
      <c r="AQ2187" s="275"/>
      <c r="AR2187" s="52"/>
      <c r="AS2187" s="35"/>
      <c r="AT2187" s="79"/>
      <c r="AU2187" s="212"/>
      <c r="AV2187" s="164"/>
      <c r="AW2187" s="164"/>
      <c r="AX2187" s="76"/>
      <c r="AY2187" s="44"/>
      <c r="AZ2187" s="275"/>
      <c r="BA2187" s="52"/>
      <c r="BB2187" s="35"/>
      <c r="BC2187" s="79"/>
      <c r="BD2187" s="230"/>
      <c r="BE2187" s="211"/>
      <c r="BF2187" s="164"/>
      <c r="BG2187" s="76"/>
      <c r="BH2187" s="44"/>
      <c r="BI2187" s="275"/>
      <c r="BJ2187" s="52"/>
      <c r="BK2187" s="35"/>
      <c r="BL2187" s="79"/>
      <c r="BM2187" s="230"/>
      <c r="BN2187" s="211"/>
      <c r="BO2187" s="164"/>
      <c r="BP2187" s="76"/>
      <c r="BQ2187" s="44"/>
      <c r="BR2187" s="299"/>
      <c r="BS2187" s="52"/>
      <c r="BT2187" s="35"/>
      <c r="BU2187" s="79"/>
      <c r="BV2187" s="212"/>
      <c r="BW2187" s="304"/>
      <c r="BX2187" s="313"/>
      <c r="BY2187" s="138"/>
    </row>
    <row r="2188" spans="1:77" ht="15" customHeight="1" outlineLevel="1" x14ac:dyDescent="0.2">
      <c r="A2188" s="583" t="s">
        <v>37</v>
      </c>
      <c r="B2188" s="583"/>
      <c r="C2188" s="162" t="s">
        <v>2687</v>
      </c>
      <c r="D2188" s="728">
        <v>1.2190000000000001</v>
      </c>
      <c r="E2188" s="162" t="s">
        <v>631</v>
      </c>
      <c r="F2188" s="729"/>
      <c r="G2188" s="730"/>
      <c r="H2188" s="73"/>
      <c r="I2188" s="90"/>
      <c r="J2188" s="73"/>
      <c r="K2188" s="734">
        <v>6.1789999999999996E-3</v>
      </c>
      <c r="L2188" s="717"/>
      <c r="M2188" s="73"/>
      <c r="N2188" s="359"/>
      <c r="O2188" s="1041"/>
      <c r="P2188" s="73"/>
      <c r="Q2188" s="359"/>
      <c r="R2188" s="1041"/>
      <c r="S2188" s="73"/>
      <c r="T2188" s="359"/>
      <c r="U2188" s="73"/>
      <c r="V2188" s="66"/>
      <c r="W2188" s="788">
        <f t="shared" ref="W2188" si="1944">AA2188*(1+AB2188)</f>
        <v>4.5106699999999995E-6</v>
      </c>
      <c r="X2188" s="789">
        <f t="shared" ref="X2188" si="1945">AA2188*(1+AC2188)</f>
        <v>4.5106699999999995E-6</v>
      </c>
      <c r="Y2188" s="52">
        <v>2005</v>
      </c>
      <c r="Z2188" s="52"/>
      <c r="AA2188" s="787">
        <f t="shared" ref="AA2188" si="1946">+K2188/1000</f>
        <v>6.1789999999999996E-6</v>
      </c>
      <c r="AB2188" s="256">
        <v>-0.27</v>
      </c>
      <c r="AC2188" s="688">
        <f t="shared" ref="AC2188" si="1947">AB2188</f>
        <v>-0.27</v>
      </c>
      <c r="AD2188" s="164"/>
      <c r="AE2188" s="164"/>
      <c r="AF2188" s="25"/>
      <c r="AG2188" s="26"/>
      <c r="AH2188" s="275"/>
      <c r="AI2188" s="52"/>
      <c r="AJ2188" s="35"/>
      <c r="AK2188" s="289"/>
      <c r="AL2188" s="290"/>
      <c r="AM2188" s="211"/>
      <c r="AN2188" s="164"/>
      <c r="AO2188" s="76"/>
      <c r="AP2188" s="44"/>
      <c r="AQ2188" s="275"/>
      <c r="AR2188" s="52"/>
      <c r="AS2188" s="35"/>
      <c r="AT2188" s="79"/>
      <c r="AU2188" s="212"/>
      <c r="AV2188" s="164"/>
      <c r="AW2188" s="164"/>
      <c r="AX2188" s="76"/>
      <c r="AY2188" s="44"/>
      <c r="AZ2188" s="275"/>
      <c r="BA2188" s="52"/>
      <c r="BB2188" s="35"/>
      <c r="BC2188" s="79"/>
      <c r="BD2188" s="230"/>
      <c r="BE2188" s="211"/>
      <c r="BF2188" s="164"/>
      <c r="BG2188" s="76"/>
      <c r="BH2188" s="44"/>
      <c r="BI2188" s="275"/>
      <c r="BJ2188" s="52"/>
      <c r="BK2188" s="35"/>
      <c r="BL2188" s="79"/>
      <c r="BM2188" s="230"/>
      <c r="BN2188" s="211"/>
      <c r="BO2188" s="164"/>
      <c r="BP2188" s="76"/>
      <c r="BQ2188" s="44"/>
      <c r="BR2188" s="299"/>
      <c r="BS2188" s="52"/>
      <c r="BT2188" s="35"/>
      <c r="BU2188" s="79"/>
      <c r="BV2188" s="212"/>
      <c r="BW2188" s="304"/>
      <c r="BX2188" s="313"/>
      <c r="BY2188" s="138"/>
    </row>
    <row r="2189" spans="1:77" ht="15" customHeight="1" outlineLevel="1" x14ac:dyDescent="0.2">
      <c r="A2189" s="583" t="s">
        <v>37</v>
      </c>
      <c r="B2189" s="583"/>
      <c r="C2189" s="162" t="s">
        <v>1066</v>
      </c>
      <c r="D2189" s="812">
        <v>1.222</v>
      </c>
      <c r="E2189" s="162" t="s">
        <v>631</v>
      </c>
      <c r="F2189" s="729"/>
      <c r="G2189" s="730"/>
      <c r="H2189" s="73"/>
      <c r="I2189" s="90">
        <v>2007</v>
      </c>
      <c r="J2189" s="73"/>
      <c r="K2189" s="813">
        <v>8.5360000000000002E-3</v>
      </c>
      <c r="L2189" s="717"/>
      <c r="M2189" s="73"/>
      <c r="N2189" s="811"/>
      <c r="O2189" s="1041"/>
      <c r="P2189" s="73"/>
      <c r="Q2189" s="811"/>
      <c r="R2189" s="1041"/>
      <c r="S2189" s="73"/>
      <c r="T2189" s="811"/>
      <c r="U2189" s="73"/>
      <c r="V2189" s="66"/>
      <c r="W2189" s="740">
        <f t="shared" si="1913"/>
        <v>5.1216000000000002E-6</v>
      </c>
      <c r="X2189" s="741">
        <f t="shared" si="1914"/>
        <v>5.1216000000000002E-6</v>
      </c>
      <c r="Y2189" s="52">
        <v>2007</v>
      </c>
      <c r="Z2189" s="52"/>
      <c r="AA2189" s="739">
        <f t="shared" si="1943"/>
        <v>8.5360000000000009E-6</v>
      </c>
      <c r="AB2189" s="256">
        <v>-0.4</v>
      </c>
      <c r="AC2189" s="688">
        <f t="shared" si="1915"/>
        <v>-0.4</v>
      </c>
      <c r="AD2189" s="164"/>
      <c r="AE2189" s="164"/>
      <c r="AF2189" s="25"/>
      <c r="AG2189" s="26"/>
      <c r="AH2189" s="275"/>
      <c r="AI2189" s="52"/>
      <c r="AJ2189" s="35"/>
      <c r="AK2189" s="289"/>
      <c r="AL2189" s="290"/>
      <c r="AM2189" s="211"/>
      <c r="AN2189" s="164"/>
      <c r="AO2189" s="76"/>
      <c r="AP2189" s="44"/>
      <c r="AQ2189" s="275"/>
      <c r="AR2189" s="52"/>
      <c r="AS2189" s="35"/>
      <c r="AT2189" s="79"/>
      <c r="AU2189" s="212"/>
      <c r="AV2189" s="164"/>
      <c r="AW2189" s="164"/>
      <c r="AX2189" s="76"/>
      <c r="AY2189" s="44"/>
      <c r="AZ2189" s="275"/>
      <c r="BA2189" s="52"/>
      <c r="BB2189" s="35"/>
      <c r="BC2189" s="79"/>
      <c r="BD2189" s="230"/>
      <c r="BE2189" s="211"/>
      <c r="BF2189" s="164"/>
      <c r="BG2189" s="76"/>
      <c r="BH2189" s="44"/>
      <c r="BI2189" s="275"/>
      <c r="BJ2189" s="52"/>
      <c r="BK2189" s="35"/>
      <c r="BL2189" s="79"/>
      <c r="BM2189" s="230"/>
      <c r="BN2189" s="211"/>
      <c r="BO2189" s="164"/>
      <c r="BP2189" s="76"/>
      <c r="BQ2189" s="44"/>
      <c r="BR2189" s="299"/>
      <c r="BS2189" s="52"/>
      <c r="BT2189" s="35"/>
      <c r="BU2189" s="79"/>
      <c r="BV2189" s="212"/>
      <c r="BW2189" s="304"/>
      <c r="BX2189" s="313"/>
      <c r="BY2189" s="138"/>
    </row>
    <row r="2190" spans="1:77" ht="15" customHeight="1" outlineLevel="1" x14ac:dyDescent="0.2">
      <c r="A2190" s="583" t="s">
        <v>37</v>
      </c>
      <c r="B2190" s="583"/>
      <c r="C2190" s="162" t="s">
        <v>1058</v>
      </c>
      <c r="D2190" s="812">
        <v>2.4569999999999999</v>
      </c>
      <c r="E2190" s="162" t="s">
        <v>631</v>
      </c>
      <c r="F2190" s="729"/>
      <c r="G2190" s="730"/>
      <c r="H2190" s="73"/>
      <c r="I2190" s="90">
        <v>2007</v>
      </c>
      <c r="J2190" s="73"/>
      <c r="K2190" s="734">
        <v>1.54E-2</v>
      </c>
      <c r="L2190" s="717"/>
      <c r="M2190" s="73"/>
      <c r="N2190" s="811"/>
      <c r="O2190" s="1041"/>
      <c r="P2190" s="73"/>
      <c r="Q2190" s="811"/>
      <c r="R2190" s="1041"/>
      <c r="S2190" s="73"/>
      <c r="T2190" s="811"/>
      <c r="U2190" s="73"/>
      <c r="V2190" s="66"/>
      <c r="W2190" s="788">
        <f t="shared" si="1913"/>
        <v>1.1550000000000001E-5</v>
      </c>
      <c r="X2190" s="789">
        <f t="shared" si="1914"/>
        <v>1.1550000000000001E-5</v>
      </c>
      <c r="Y2190" s="52">
        <v>2007</v>
      </c>
      <c r="Z2190" s="52"/>
      <c r="AA2190" s="787">
        <f t="shared" si="1943"/>
        <v>1.5400000000000002E-5</v>
      </c>
      <c r="AB2190" s="256">
        <v>-0.25</v>
      </c>
      <c r="AC2190" s="688">
        <f t="shared" si="1915"/>
        <v>-0.25</v>
      </c>
      <c r="AD2190" s="164"/>
      <c r="AE2190" s="164"/>
      <c r="AF2190" s="25"/>
      <c r="AG2190" s="26"/>
      <c r="AH2190" s="275"/>
      <c r="AI2190" s="52"/>
      <c r="AJ2190" s="35"/>
      <c r="AK2190" s="289"/>
      <c r="AL2190" s="290"/>
      <c r="AM2190" s="211"/>
      <c r="AN2190" s="164"/>
      <c r="AO2190" s="76"/>
      <c r="AP2190" s="44"/>
      <c r="AQ2190" s="275"/>
      <c r="AR2190" s="52"/>
      <c r="AS2190" s="35"/>
      <c r="AT2190" s="79"/>
      <c r="AU2190" s="212"/>
      <c r="AV2190" s="164"/>
      <c r="AW2190" s="164"/>
      <c r="AX2190" s="76"/>
      <c r="AY2190" s="44"/>
      <c r="AZ2190" s="275"/>
      <c r="BA2190" s="52"/>
      <c r="BB2190" s="35"/>
      <c r="BC2190" s="79"/>
      <c r="BD2190" s="230"/>
      <c r="BE2190" s="211"/>
      <c r="BF2190" s="164"/>
      <c r="BG2190" s="76"/>
      <c r="BH2190" s="44"/>
      <c r="BI2190" s="275"/>
      <c r="BJ2190" s="52"/>
      <c r="BK2190" s="35"/>
      <c r="BL2190" s="79"/>
      <c r="BM2190" s="230"/>
      <c r="BN2190" s="211"/>
      <c r="BO2190" s="164"/>
      <c r="BP2190" s="76"/>
      <c r="BQ2190" s="44"/>
      <c r="BR2190" s="299"/>
      <c r="BS2190" s="52"/>
      <c r="BT2190" s="35"/>
      <c r="BU2190" s="79"/>
      <c r="BV2190" s="212"/>
      <c r="BW2190" s="304"/>
      <c r="BX2190" s="313"/>
      <c r="BY2190" s="138"/>
    </row>
    <row r="2191" spans="1:77" ht="15" customHeight="1" outlineLevel="1" x14ac:dyDescent="0.2">
      <c r="A2191" s="583" t="s">
        <v>37</v>
      </c>
      <c r="B2191" s="583"/>
      <c r="C2191" s="162" t="s">
        <v>1011</v>
      </c>
      <c r="D2191" s="812">
        <v>23.456</v>
      </c>
      <c r="E2191" s="162" t="s">
        <v>631</v>
      </c>
      <c r="F2191" s="729"/>
      <c r="G2191" s="730"/>
      <c r="H2191" s="73"/>
      <c r="I2191" s="90">
        <v>2007</v>
      </c>
      <c r="J2191" s="73"/>
      <c r="K2191" s="734">
        <v>3.8251E-2</v>
      </c>
      <c r="L2191" s="717"/>
      <c r="M2191" s="73"/>
      <c r="N2191" s="811"/>
      <c r="O2191" s="1041"/>
      <c r="P2191" s="73"/>
      <c r="Q2191" s="811"/>
      <c r="R2191" s="1041"/>
      <c r="S2191" s="73"/>
      <c r="T2191" s="811"/>
      <c r="U2191" s="73"/>
      <c r="V2191" s="66"/>
      <c r="W2191" s="740">
        <f t="shared" si="1913"/>
        <v>2.8688250000000004E-5</v>
      </c>
      <c r="X2191" s="741">
        <f t="shared" si="1914"/>
        <v>2.8688250000000004E-5</v>
      </c>
      <c r="Y2191" s="52">
        <v>2007</v>
      </c>
      <c r="Z2191" s="52"/>
      <c r="AA2191" s="739">
        <f t="shared" si="1943"/>
        <v>3.8251000000000004E-5</v>
      </c>
      <c r="AB2191" s="256">
        <v>-0.25</v>
      </c>
      <c r="AC2191" s="688">
        <f t="shared" si="1915"/>
        <v>-0.25</v>
      </c>
      <c r="AD2191" s="164"/>
      <c r="AE2191" s="164"/>
      <c r="AF2191" s="25"/>
      <c r="AG2191" s="26"/>
      <c r="AH2191" s="275"/>
      <c r="AI2191" s="52"/>
      <c r="AJ2191" s="35"/>
      <c r="AK2191" s="289"/>
      <c r="AL2191" s="290"/>
      <c r="AM2191" s="211"/>
      <c r="AN2191" s="164"/>
      <c r="AO2191" s="76"/>
      <c r="AP2191" s="44"/>
      <c r="AQ2191" s="275"/>
      <c r="AR2191" s="52"/>
      <c r="AS2191" s="35"/>
      <c r="AT2191" s="79"/>
      <c r="AU2191" s="212"/>
      <c r="AV2191" s="164"/>
      <c r="AW2191" s="164"/>
      <c r="AX2191" s="76"/>
      <c r="AY2191" s="44"/>
      <c r="AZ2191" s="275"/>
      <c r="BA2191" s="52"/>
      <c r="BB2191" s="35"/>
      <c r="BC2191" s="79"/>
      <c r="BD2191" s="230"/>
      <c r="BE2191" s="211"/>
      <c r="BF2191" s="164"/>
      <c r="BG2191" s="76"/>
      <c r="BH2191" s="44"/>
      <c r="BI2191" s="275"/>
      <c r="BJ2191" s="52"/>
      <c r="BK2191" s="35"/>
      <c r="BL2191" s="79"/>
      <c r="BM2191" s="230"/>
      <c r="BN2191" s="211"/>
      <c r="BO2191" s="164"/>
      <c r="BP2191" s="76"/>
      <c r="BQ2191" s="44"/>
      <c r="BR2191" s="299"/>
      <c r="BS2191" s="52"/>
      <c r="BT2191" s="35"/>
      <c r="BU2191" s="79"/>
      <c r="BV2191" s="212"/>
      <c r="BW2191" s="304"/>
      <c r="BX2191" s="313"/>
      <c r="BY2191" s="138"/>
    </row>
    <row r="2192" spans="1:77" ht="15" customHeight="1" outlineLevel="1" x14ac:dyDescent="0.2">
      <c r="A2192" s="583" t="s">
        <v>37</v>
      </c>
      <c r="B2192" s="583"/>
      <c r="C2192" s="162" t="s">
        <v>1129</v>
      </c>
      <c r="D2192" s="812">
        <v>5.798</v>
      </c>
      <c r="E2192" s="162" t="s">
        <v>631</v>
      </c>
      <c r="F2192" s="729"/>
      <c r="G2192" s="730"/>
      <c r="H2192" s="73"/>
      <c r="I2192" s="90">
        <v>2007</v>
      </c>
      <c r="J2192" s="73"/>
      <c r="K2192" s="734">
        <v>2.5547E-2</v>
      </c>
      <c r="L2192" s="717"/>
      <c r="M2192" s="73"/>
      <c r="N2192" s="811"/>
      <c r="O2192" s="1041"/>
      <c r="P2192" s="73"/>
      <c r="Q2192" s="811"/>
      <c r="R2192" s="1041"/>
      <c r="S2192" s="73"/>
      <c r="T2192" s="811"/>
      <c r="U2192" s="73"/>
      <c r="V2192" s="66"/>
      <c r="W2192" s="740">
        <f t="shared" si="1913"/>
        <v>1.8904780000000001E-5</v>
      </c>
      <c r="X2192" s="741">
        <f t="shared" si="1914"/>
        <v>1.8904780000000001E-5</v>
      </c>
      <c r="Y2192" s="52">
        <v>2007</v>
      </c>
      <c r="Z2192" s="52"/>
      <c r="AA2192" s="739">
        <f t="shared" si="1943"/>
        <v>2.5547000000000001E-5</v>
      </c>
      <c r="AB2192" s="256">
        <v>-0.26</v>
      </c>
      <c r="AC2192" s="688">
        <f t="shared" si="1915"/>
        <v>-0.26</v>
      </c>
      <c r="AD2192" s="164"/>
      <c r="AE2192" s="164"/>
      <c r="AF2192" s="25"/>
      <c r="AG2192" s="26"/>
      <c r="AH2192" s="275"/>
      <c r="AI2192" s="52"/>
      <c r="AJ2192" s="35"/>
      <c r="AK2192" s="289"/>
      <c r="AL2192" s="290"/>
      <c r="AM2192" s="211"/>
      <c r="AN2192" s="164"/>
      <c r="AO2192" s="76"/>
      <c r="AP2192" s="44"/>
      <c r="AQ2192" s="275"/>
      <c r="AR2192" s="52"/>
      <c r="AS2192" s="35"/>
      <c r="AT2192" s="79"/>
      <c r="AU2192" s="212"/>
      <c r="AV2192" s="164"/>
      <c r="AW2192" s="164"/>
      <c r="AX2192" s="76"/>
      <c r="AY2192" s="44"/>
      <c r="AZ2192" s="275"/>
      <c r="BA2192" s="52"/>
      <c r="BB2192" s="35"/>
      <c r="BC2192" s="79"/>
      <c r="BD2192" s="230"/>
      <c r="BE2192" s="211"/>
      <c r="BF2192" s="164"/>
      <c r="BG2192" s="76"/>
      <c r="BH2192" s="44"/>
      <c r="BI2192" s="275"/>
      <c r="BJ2192" s="52"/>
      <c r="BK2192" s="35"/>
      <c r="BL2192" s="79"/>
      <c r="BM2192" s="230"/>
      <c r="BN2192" s="211"/>
      <c r="BO2192" s="164"/>
      <c r="BP2192" s="76"/>
      <c r="BQ2192" s="44"/>
      <c r="BR2192" s="299"/>
      <c r="BS2192" s="52"/>
      <c r="BT2192" s="35"/>
      <c r="BU2192" s="79"/>
      <c r="BV2192" s="212"/>
      <c r="BW2192" s="304"/>
      <c r="BX2192" s="313"/>
      <c r="BY2192" s="138"/>
    </row>
    <row r="2193" spans="1:77" ht="15" customHeight="1" outlineLevel="1" x14ac:dyDescent="0.2">
      <c r="A2193" s="583" t="s">
        <v>37</v>
      </c>
      <c r="B2193" s="583"/>
      <c r="C2193" s="162" t="s">
        <v>981</v>
      </c>
      <c r="D2193" s="806">
        <v>7.0999999999999994E-2</v>
      </c>
      <c r="E2193" s="162" t="s">
        <v>631</v>
      </c>
      <c r="F2193" s="729"/>
      <c r="G2193" s="730"/>
      <c r="H2193" s="73"/>
      <c r="I2193" s="90"/>
      <c r="J2193" s="73"/>
      <c r="K2193" s="66"/>
      <c r="L2193" s="717"/>
      <c r="M2193" s="73"/>
      <c r="N2193" s="811">
        <v>1.0047000000000001E-4</v>
      </c>
      <c r="O2193" s="1041"/>
      <c r="P2193" s="73"/>
      <c r="Q2193" s="811"/>
      <c r="R2193" s="1041"/>
      <c r="S2193" s="73"/>
      <c r="T2193" s="811"/>
      <c r="U2193" s="73"/>
      <c r="V2193" s="66"/>
      <c r="W2193" s="808">
        <f t="shared" si="1913"/>
        <v>7.0328999999999994E-8</v>
      </c>
      <c r="X2193" s="809">
        <f t="shared" si="1914"/>
        <v>7.0328999999999994E-8</v>
      </c>
      <c r="Y2193" s="52">
        <v>2010</v>
      </c>
      <c r="Z2193" s="52"/>
      <c r="AA2193" s="807">
        <f>+N2193/1000</f>
        <v>1.0047E-7</v>
      </c>
      <c r="AB2193" s="256">
        <v>-0.3</v>
      </c>
      <c r="AC2193" s="688">
        <f t="shared" si="1915"/>
        <v>-0.3</v>
      </c>
      <c r="AD2193" s="164"/>
      <c r="AE2193" s="164"/>
      <c r="AF2193" s="25"/>
      <c r="AG2193" s="26"/>
      <c r="AH2193" s="275"/>
      <c r="AI2193" s="52"/>
      <c r="AJ2193" s="35"/>
      <c r="AK2193" s="289"/>
      <c r="AL2193" s="290"/>
      <c r="AM2193" s="211"/>
      <c r="AN2193" s="164"/>
      <c r="AO2193" s="76"/>
      <c r="AP2193" s="44"/>
      <c r="AQ2193" s="275"/>
      <c r="AR2193" s="52"/>
      <c r="AS2193" s="35"/>
      <c r="AT2193" s="79"/>
      <c r="AU2193" s="212"/>
      <c r="AV2193" s="164"/>
      <c r="AW2193" s="164"/>
      <c r="AX2193" s="76"/>
      <c r="AY2193" s="44"/>
      <c r="AZ2193" s="275"/>
      <c r="BA2193" s="52"/>
      <c r="BB2193" s="35"/>
      <c r="BC2193" s="79"/>
      <c r="BD2193" s="230"/>
      <c r="BE2193" s="211"/>
      <c r="BF2193" s="164"/>
      <c r="BG2193" s="76"/>
      <c r="BH2193" s="44"/>
      <c r="BI2193" s="275"/>
      <c r="BJ2193" s="52"/>
      <c r="BK2193" s="35"/>
      <c r="BL2193" s="79"/>
      <c r="BM2193" s="230"/>
      <c r="BN2193" s="211"/>
      <c r="BO2193" s="164"/>
      <c r="BP2193" s="76"/>
      <c r="BQ2193" s="44"/>
      <c r="BR2193" s="299"/>
      <c r="BS2193" s="52"/>
      <c r="BT2193" s="35"/>
      <c r="BU2193" s="79"/>
      <c r="BV2193" s="212"/>
      <c r="BW2193" s="304"/>
      <c r="BX2193" s="313"/>
      <c r="BY2193" s="138"/>
    </row>
    <row r="2194" spans="1:77" ht="15" customHeight="1" outlineLevel="1" x14ac:dyDescent="0.2">
      <c r="A2194" s="583" t="s">
        <v>37</v>
      </c>
      <c r="B2194" s="583"/>
      <c r="C2194" s="162" t="s">
        <v>1049</v>
      </c>
      <c r="D2194" s="812">
        <v>2.4220000000000002</v>
      </c>
      <c r="E2194" s="162" t="s">
        <v>631</v>
      </c>
      <c r="F2194" s="729"/>
      <c r="G2194" s="730"/>
      <c r="H2194" s="73"/>
      <c r="I2194" s="90">
        <v>2007</v>
      </c>
      <c r="J2194" s="73"/>
      <c r="K2194" s="790">
        <v>1.5646E-2</v>
      </c>
      <c r="L2194" s="717"/>
      <c r="M2194" s="73"/>
      <c r="N2194" s="811"/>
      <c r="O2194" s="1041"/>
      <c r="P2194" s="73"/>
      <c r="Q2194" s="811"/>
      <c r="R2194" s="1041"/>
      <c r="S2194" s="73"/>
      <c r="T2194" s="811"/>
      <c r="U2194" s="73"/>
      <c r="V2194" s="66"/>
      <c r="W2194" s="788">
        <f t="shared" si="1913"/>
        <v>1.0795739999999998E-5</v>
      </c>
      <c r="X2194" s="789">
        <f t="shared" si="1914"/>
        <v>1.0795739999999998E-5</v>
      </c>
      <c r="Y2194" s="52">
        <v>2007</v>
      </c>
      <c r="Z2194" s="52"/>
      <c r="AA2194" s="787">
        <f>+K2194/1000</f>
        <v>1.5645999999999999E-5</v>
      </c>
      <c r="AB2194" s="256">
        <v>-0.31</v>
      </c>
      <c r="AC2194" s="688">
        <f t="shared" si="1915"/>
        <v>-0.31</v>
      </c>
      <c r="AD2194" s="164"/>
      <c r="AE2194" s="164"/>
      <c r="AF2194" s="25"/>
      <c r="AG2194" s="26"/>
      <c r="AH2194" s="275"/>
      <c r="AI2194" s="52"/>
      <c r="AJ2194" s="35"/>
      <c r="AK2194" s="289"/>
      <c r="AL2194" s="290"/>
      <c r="AM2194" s="211"/>
      <c r="AN2194" s="164"/>
      <c r="AO2194" s="76"/>
      <c r="AP2194" s="44"/>
      <c r="AQ2194" s="275"/>
      <c r="AR2194" s="52"/>
      <c r="AS2194" s="35"/>
      <c r="AT2194" s="79"/>
      <c r="AU2194" s="212"/>
      <c r="AV2194" s="164"/>
      <c r="AW2194" s="164"/>
      <c r="AX2194" s="76"/>
      <c r="AY2194" s="44"/>
      <c r="AZ2194" s="275"/>
      <c r="BA2194" s="52"/>
      <c r="BB2194" s="35"/>
      <c r="BC2194" s="79"/>
      <c r="BD2194" s="230"/>
      <c r="BE2194" s="211"/>
      <c r="BF2194" s="164"/>
      <c r="BG2194" s="76"/>
      <c r="BH2194" s="44"/>
      <c r="BI2194" s="275"/>
      <c r="BJ2194" s="52"/>
      <c r="BK2194" s="35"/>
      <c r="BL2194" s="79"/>
      <c r="BM2194" s="230"/>
      <c r="BN2194" s="211"/>
      <c r="BO2194" s="164"/>
      <c r="BP2194" s="76"/>
      <c r="BQ2194" s="44"/>
      <c r="BR2194" s="299"/>
      <c r="BS2194" s="52"/>
      <c r="BT2194" s="35"/>
      <c r="BU2194" s="79"/>
      <c r="BV2194" s="212"/>
      <c r="BW2194" s="304"/>
      <c r="BX2194" s="313"/>
      <c r="BY2194" s="138"/>
    </row>
    <row r="2195" spans="1:77" ht="15" customHeight="1" outlineLevel="1" x14ac:dyDescent="0.2">
      <c r="A2195" s="583" t="s">
        <v>37</v>
      </c>
      <c r="B2195" s="583"/>
      <c r="C2195" s="162" t="s">
        <v>1029</v>
      </c>
      <c r="D2195" s="812">
        <v>1.9470000000000001</v>
      </c>
      <c r="E2195" s="162" t="s">
        <v>631</v>
      </c>
      <c r="F2195" s="729"/>
      <c r="G2195" s="730"/>
      <c r="H2195" s="73"/>
      <c r="I2195" s="90">
        <v>2007</v>
      </c>
      <c r="J2195" s="73"/>
      <c r="K2195" s="734">
        <v>5.2490000000000002E-3</v>
      </c>
      <c r="L2195" s="717"/>
      <c r="M2195" s="73"/>
      <c r="N2195" s="811"/>
      <c r="O2195" s="1041"/>
      <c r="P2195" s="73"/>
      <c r="Q2195" s="811"/>
      <c r="R2195" s="1041"/>
      <c r="S2195" s="73"/>
      <c r="T2195" s="811"/>
      <c r="U2195" s="73"/>
      <c r="V2195" s="66"/>
      <c r="W2195" s="788">
        <f t="shared" si="1913"/>
        <v>3.8317699999999999E-6</v>
      </c>
      <c r="X2195" s="789">
        <f t="shared" si="1914"/>
        <v>3.8317699999999999E-6</v>
      </c>
      <c r="Y2195" s="52">
        <v>2007</v>
      </c>
      <c r="Z2195" s="52"/>
      <c r="AA2195" s="787">
        <f>+K2195/1000</f>
        <v>5.2490000000000001E-6</v>
      </c>
      <c r="AB2195" s="256">
        <v>-0.27</v>
      </c>
      <c r="AC2195" s="688">
        <f t="shared" si="1915"/>
        <v>-0.27</v>
      </c>
      <c r="AD2195" s="164"/>
      <c r="AE2195" s="164"/>
      <c r="AF2195" s="25"/>
      <c r="AG2195" s="26"/>
      <c r="AH2195" s="275"/>
      <c r="AI2195" s="52"/>
      <c r="AJ2195" s="35"/>
      <c r="AK2195" s="289"/>
      <c r="AL2195" s="290"/>
      <c r="AM2195" s="211"/>
      <c r="AN2195" s="164"/>
      <c r="AO2195" s="76"/>
      <c r="AP2195" s="44"/>
      <c r="AQ2195" s="275"/>
      <c r="AR2195" s="52"/>
      <c r="AS2195" s="35"/>
      <c r="AT2195" s="79"/>
      <c r="AU2195" s="212"/>
      <c r="AV2195" s="164"/>
      <c r="AW2195" s="164"/>
      <c r="AX2195" s="76"/>
      <c r="AY2195" s="44"/>
      <c r="AZ2195" s="275"/>
      <c r="BA2195" s="52"/>
      <c r="BB2195" s="35"/>
      <c r="BC2195" s="79"/>
      <c r="BD2195" s="230"/>
      <c r="BE2195" s="211"/>
      <c r="BF2195" s="164"/>
      <c r="BG2195" s="76"/>
      <c r="BH2195" s="44"/>
      <c r="BI2195" s="275"/>
      <c r="BJ2195" s="52"/>
      <c r="BK2195" s="35"/>
      <c r="BL2195" s="79"/>
      <c r="BM2195" s="230"/>
      <c r="BN2195" s="211"/>
      <c r="BO2195" s="164"/>
      <c r="BP2195" s="76"/>
      <c r="BQ2195" s="44"/>
      <c r="BR2195" s="299"/>
      <c r="BS2195" s="52"/>
      <c r="BT2195" s="35"/>
      <c r="BU2195" s="79"/>
      <c r="BV2195" s="212"/>
      <c r="BW2195" s="304"/>
      <c r="BX2195" s="313"/>
      <c r="BY2195" s="138"/>
    </row>
    <row r="2196" spans="1:77" ht="15" customHeight="1" outlineLevel="1" x14ac:dyDescent="0.2">
      <c r="A2196" s="583" t="s">
        <v>37</v>
      </c>
      <c r="B2196" s="583"/>
      <c r="C2196" s="162" t="s">
        <v>1226</v>
      </c>
      <c r="D2196" s="806">
        <v>0.30199999999999999</v>
      </c>
      <c r="E2196" s="162" t="s">
        <v>631</v>
      </c>
      <c r="F2196" s="729"/>
      <c r="G2196" s="730"/>
      <c r="H2196" s="73"/>
      <c r="I2196" s="90"/>
      <c r="J2196" s="73"/>
      <c r="K2196" s="734"/>
      <c r="L2196" s="717"/>
      <c r="M2196" s="73"/>
      <c r="N2196" s="786">
        <v>8.0228000000000005E-4</v>
      </c>
      <c r="O2196" s="1041"/>
      <c r="P2196" s="73"/>
      <c r="Q2196" s="786"/>
      <c r="R2196" s="1041"/>
      <c r="S2196" s="73"/>
      <c r="T2196" s="786"/>
      <c r="U2196" s="73"/>
      <c r="V2196" s="66"/>
      <c r="W2196" s="788">
        <f t="shared" si="1913"/>
        <v>5.6961880000000003E-7</v>
      </c>
      <c r="X2196" s="789">
        <f t="shared" si="1914"/>
        <v>5.6961880000000003E-7</v>
      </c>
      <c r="Y2196" s="52">
        <v>2010</v>
      </c>
      <c r="Z2196" s="52"/>
      <c r="AA2196" s="787">
        <f>+N2196/1000</f>
        <v>8.0228000000000001E-7</v>
      </c>
      <c r="AB2196" s="256">
        <v>-0.28999999999999998</v>
      </c>
      <c r="AC2196" s="688">
        <f t="shared" si="1915"/>
        <v>-0.28999999999999998</v>
      </c>
      <c r="AD2196" s="164"/>
      <c r="AE2196" s="164"/>
      <c r="AF2196" s="25"/>
      <c r="AG2196" s="26"/>
      <c r="AH2196" s="275"/>
      <c r="AI2196" s="52"/>
      <c r="AJ2196" s="35"/>
      <c r="AK2196" s="289"/>
      <c r="AL2196" s="290"/>
      <c r="AM2196" s="211"/>
      <c r="AN2196" s="164"/>
      <c r="AO2196" s="76"/>
      <c r="AP2196" s="44"/>
      <c r="AQ2196" s="275"/>
      <c r="AR2196" s="52"/>
      <c r="AS2196" s="35"/>
      <c r="AT2196" s="79"/>
      <c r="AU2196" s="212"/>
      <c r="AV2196" s="164"/>
      <c r="AW2196" s="164"/>
      <c r="AX2196" s="76"/>
      <c r="AY2196" s="44"/>
      <c r="AZ2196" s="275"/>
      <c r="BA2196" s="52"/>
      <c r="BB2196" s="35"/>
      <c r="BC2196" s="79"/>
      <c r="BD2196" s="230"/>
      <c r="BE2196" s="211"/>
      <c r="BF2196" s="164"/>
      <c r="BG2196" s="76"/>
      <c r="BH2196" s="44"/>
      <c r="BI2196" s="275"/>
      <c r="BJ2196" s="52"/>
      <c r="BK2196" s="35"/>
      <c r="BL2196" s="79"/>
      <c r="BM2196" s="230"/>
      <c r="BN2196" s="211"/>
      <c r="BO2196" s="164"/>
      <c r="BP2196" s="76"/>
      <c r="BQ2196" s="44"/>
      <c r="BR2196" s="299"/>
      <c r="BS2196" s="52"/>
      <c r="BT2196" s="35"/>
      <c r="BU2196" s="79"/>
      <c r="BV2196" s="212"/>
      <c r="BW2196" s="304"/>
      <c r="BX2196" s="313"/>
      <c r="BY2196" s="138"/>
    </row>
    <row r="2197" spans="1:77" ht="15" customHeight="1" outlineLevel="1" x14ac:dyDescent="0.2">
      <c r="A2197" s="583" t="s">
        <v>37</v>
      </c>
      <c r="B2197" s="583"/>
      <c r="C2197" s="162" t="s">
        <v>1120</v>
      </c>
      <c r="D2197" s="812">
        <v>1.099</v>
      </c>
      <c r="E2197" s="162" t="s">
        <v>631</v>
      </c>
      <c r="F2197" s="729"/>
      <c r="G2197" s="730"/>
      <c r="H2197" s="73"/>
      <c r="I2197" s="90">
        <v>2007</v>
      </c>
      <c r="J2197" s="73"/>
      <c r="K2197" s="790">
        <v>6.3590000000000001E-3</v>
      </c>
      <c r="L2197" s="717"/>
      <c r="M2197" s="73"/>
      <c r="N2197" s="811"/>
      <c r="O2197" s="1041"/>
      <c r="P2197" s="73"/>
      <c r="Q2197" s="811"/>
      <c r="R2197" s="1041"/>
      <c r="S2197" s="73"/>
      <c r="T2197" s="811"/>
      <c r="U2197" s="73"/>
      <c r="V2197" s="66"/>
      <c r="W2197" s="788">
        <f t="shared" si="1913"/>
        <v>4.7692500000000001E-6</v>
      </c>
      <c r="X2197" s="789">
        <f t="shared" si="1914"/>
        <v>4.7692500000000001E-6</v>
      </c>
      <c r="Y2197" s="52">
        <v>2007</v>
      </c>
      <c r="Z2197" s="52"/>
      <c r="AA2197" s="787">
        <f>+K2197/1000</f>
        <v>6.3590000000000004E-6</v>
      </c>
      <c r="AB2197" s="256">
        <v>-0.25</v>
      </c>
      <c r="AC2197" s="688">
        <f t="shared" si="1915"/>
        <v>-0.25</v>
      </c>
      <c r="AD2197" s="164"/>
      <c r="AE2197" s="164"/>
      <c r="AF2197" s="25"/>
      <c r="AG2197" s="26"/>
      <c r="AH2197" s="275"/>
      <c r="AI2197" s="52"/>
      <c r="AJ2197" s="35"/>
      <c r="AK2197" s="289"/>
      <c r="AL2197" s="290"/>
      <c r="AM2197" s="211"/>
      <c r="AN2197" s="164"/>
      <c r="AO2197" s="76"/>
      <c r="AP2197" s="44"/>
      <c r="AQ2197" s="275"/>
      <c r="AR2197" s="52"/>
      <c r="AS2197" s="35"/>
      <c r="AT2197" s="79"/>
      <c r="AU2197" s="212"/>
      <c r="AV2197" s="164"/>
      <c r="AW2197" s="164"/>
      <c r="AX2197" s="76"/>
      <c r="AY2197" s="44"/>
      <c r="AZ2197" s="275"/>
      <c r="BA2197" s="52"/>
      <c r="BB2197" s="35"/>
      <c r="BC2197" s="79"/>
      <c r="BD2197" s="230"/>
      <c r="BE2197" s="211"/>
      <c r="BF2197" s="164"/>
      <c r="BG2197" s="76"/>
      <c r="BH2197" s="44"/>
      <c r="BI2197" s="275"/>
      <c r="BJ2197" s="52"/>
      <c r="BK2197" s="35"/>
      <c r="BL2197" s="79"/>
      <c r="BM2197" s="230"/>
      <c r="BN2197" s="211"/>
      <c r="BO2197" s="164"/>
      <c r="BP2197" s="76"/>
      <c r="BQ2197" s="44"/>
      <c r="BR2197" s="299"/>
      <c r="BS2197" s="52"/>
      <c r="BT2197" s="35"/>
      <c r="BU2197" s="79"/>
      <c r="BV2197" s="212"/>
      <c r="BW2197" s="304"/>
      <c r="BX2197" s="313"/>
      <c r="BY2197" s="138"/>
    </row>
    <row r="2198" spans="1:77" ht="15" customHeight="1" outlineLevel="1" x14ac:dyDescent="0.2">
      <c r="A2198" s="583" t="s">
        <v>37</v>
      </c>
      <c r="B2198" s="583"/>
      <c r="C2198" s="162" t="s">
        <v>1097</v>
      </c>
      <c r="D2198" s="812">
        <v>7.226</v>
      </c>
      <c r="E2198" s="162" t="s">
        <v>631</v>
      </c>
      <c r="F2198" s="729"/>
      <c r="G2198" s="730"/>
      <c r="H2198" s="73"/>
      <c r="I2198" s="90">
        <v>2007</v>
      </c>
      <c r="J2198" s="73"/>
      <c r="K2198" s="734">
        <v>1.3128000000000001E-2</v>
      </c>
      <c r="L2198" s="717"/>
      <c r="M2198" s="73"/>
      <c r="N2198" s="811"/>
      <c r="O2198" s="1041"/>
      <c r="P2198" s="73"/>
      <c r="Q2198" s="811"/>
      <c r="R2198" s="1041"/>
      <c r="S2198" s="73"/>
      <c r="T2198" s="811"/>
      <c r="U2198" s="73"/>
      <c r="V2198" s="66"/>
      <c r="W2198" s="788">
        <f t="shared" si="1913"/>
        <v>7.8768000000000005E-6</v>
      </c>
      <c r="X2198" s="789">
        <f t="shared" si="1914"/>
        <v>7.8768000000000005E-6</v>
      </c>
      <c r="Y2198" s="52">
        <v>2007</v>
      </c>
      <c r="Z2198" s="52"/>
      <c r="AA2198" s="787">
        <f>+K2198/1000</f>
        <v>1.3128E-5</v>
      </c>
      <c r="AB2198" s="256">
        <v>-0.4</v>
      </c>
      <c r="AC2198" s="688">
        <f t="shared" si="1915"/>
        <v>-0.4</v>
      </c>
      <c r="AD2198" s="164"/>
      <c r="AE2198" s="164"/>
      <c r="AF2198" s="25"/>
      <c r="AG2198" s="26"/>
      <c r="AH2198" s="275"/>
      <c r="AI2198" s="52"/>
      <c r="AJ2198" s="35"/>
      <c r="AK2198" s="289"/>
      <c r="AL2198" s="290"/>
      <c r="AM2198" s="211"/>
      <c r="AN2198" s="164"/>
      <c r="AO2198" s="76"/>
      <c r="AP2198" s="44"/>
      <c r="AQ2198" s="275"/>
      <c r="AR2198" s="52"/>
      <c r="AS2198" s="35"/>
      <c r="AT2198" s="79"/>
      <c r="AU2198" s="212"/>
      <c r="AV2198" s="164"/>
      <c r="AW2198" s="164"/>
      <c r="AX2198" s="76"/>
      <c r="AY2198" s="44"/>
      <c r="AZ2198" s="275"/>
      <c r="BA2198" s="52"/>
      <c r="BB2198" s="35"/>
      <c r="BC2198" s="79"/>
      <c r="BD2198" s="230"/>
      <c r="BE2198" s="211"/>
      <c r="BF2198" s="164"/>
      <c r="BG2198" s="76"/>
      <c r="BH2198" s="44"/>
      <c r="BI2198" s="275"/>
      <c r="BJ2198" s="52"/>
      <c r="BK2198" s="35"/>
      <c r="BL2198" s="79"/>
      <c r="BM2198" s="230"/>
      <c r="BN2198" s="211"/>
      <c r="BO2198" s="164"/>
      <c r="BP2198" s="76"/>
      <c r="BQ2198" s="44"/>
      <c r="BR2198" s="299"/>
      <c r="BS2198" s="52"/>
      <c r="BT2198" s="35"/>
      <c r="BU2198" s="79"/>
      <c r="BV2198" s="212"/>
      <c r="BW2198" s="304"/>
      <c r="BX2198" s="313"/>
      <c r="BY2198" s="138"/>
    </row>
    <row r="2199" spans="1:77" ht="15" customHeight="1" outlineLevel="1" x14ac:dyDescent="0.2">
      <c r="A2199" s="583" t="s">
        <v>37</v>
      </c>
      <c r="B2199" s="583"/>
      <c r="C2199" s="162" t="s">
        <v>1227</v>
      </c>
      <c r="D2199" s="812">
        <v>0.61499999999999999</v>
      </c>
      <c r="E2199" s="162" t="s">
        <v>631</v>
      </c>
      <c r="F2199" s="729"/>
      <c r="G2199" s="730"/>
      <c r="H2199" s="73"/>
      <c r="I2199" s="90"/>
      <c r="J2199" s="73"/>
      <c r="K2199" s="734"/>
      <c r="L2199" s="717"/>
      <c r="M2199" s="73"/>
      <c r="N2199" s="786">
        <v>1.5839999999999999E-3</v>
      </c>
      <c r="O2199" s="1041"/>
      <c r="P2199" s="73"/>
      <c r="Q2199" s="786"/>
      <c r="R2199" s="1041"/>
      <c r="S2199" s="73"/>
      <c r="T2199" s="786"/>
      <c r="U2199" s="73"/>
      <c r="V2199" s="66"/>
      <c r="W2199" s="788">
        <f t="shared" si="1913"/>
        <v>1.1879999999999999E-6</v>
      </c>
      <c r="X2199" s="789">
        <f t="shared" si="1914"/>
        <v>1.1879999999999999E-6</v>
      </c>
      <c r="Y2199" s="52">
        <v>2010</v>
      </c>
      <c r="Z2199" s="52"/>
      <c r="AA2199" s="787">
        <f>+N2199/1000</f>
        <v>1.584E-6</v>
      </c>
      <c r="AB2199" s="256">
        <v>-0.25</v>
      </c>
      <c r="AC2199" s="688">
        <f t="shared" si="1915"/>
        <v>-0.25</v>
      </c>
      <c r="AD2199" s="164"/>
      <c r="AE2199" s="164"/>
      <c r="AF2199" s="25"/>
      <c r="AG2199" s="26"/>
      <c r="AH2199" s="275"/>
      <c r="AI2199" s="52"/>
      <c r="AJ2199" s="35"/>
      <c r="AK2199" s="289"/>
      <c r="AL2199" s="290"/>
      <c r="AM2199" s="211"/>
      <c r="AN2199" s="164"/>
      <c r="AO2199" s="76"/>
      <c r="AP2199" s="44"/>
      <c r="AQ2199" s="275"/>
      <c r="AR2199" s="52"/>
      <c r="AS2199" s="35"/>
      <c r="AT2199" s="79"/>
      <c r="AU2199" s="212"/>
      <c r="AV2199" s="164"/>
      <c r="AW2199" s="164"/>
      <c r="AX2199" s="76"/>
      <c r="AY2199" s="44"/>
      <c r="AZ2199" s="275"/>
      <c r="BA2199" s="52"/>
      <c r="BB2199" s="35"/>
      <c r="BC2199" s="79"/>
      <c r="BD2199" s="230"/>
      <c r="BE2199" s="211"/>
      <c r="BF2199" s="164"/>
      <c r="BG2199" s="76"/>
      <c r="BH2199" s="44"/>
      <c r="BI2199" s="275"/>
      <c r="BJ2199" s="52"/>
      <c r="BK2199" s="35"/>
      <c r="BL2199" s="79"/>
      <c r="BM2199" s="230"/>
      <c r="BN2199" s="211"/>
      <c r="BO2199" s="164"/>
      <c r="BP2199" s="76"/>
      <c r="BQ2199" s="44"/>
      <c r="BR2199" s="299"/>
      <c r="BS2199" s="52"/>
      <c r="BT2199" s="35"/>
      <c r="BU2199" s="79"/>
      <c r="BV2199" s="212"/>
      <c r="BW2199" s="304"/>
      <c r="BX2199" s="313"/>
      <c r="BY2199" s="138"/>
    </row>
    <row r="2200" spans="1:77" ht="15" customHeight="1" outlineLevel="1" x14ac:dyDescent="0.2">
      <c r="A2200" s="583" t="s">
        <v>37</v>
      </c>
      <c r="B2200" s="583"/>
      <c r="C2200" s="162" t="s">
        <v>996</v>
      </c>
      <c r="D2200" s="806">
        <v>0.28299999999999997</v>
      </c>
      <c r="E2200" s="162" t="s">
        <v>631</v>
      </c>
      <c r="F2200" s="729"/>
      <c r="G2200" s="730"/>
      <c r="H2200" s="73"/>
      <c r="I2200" s="90"/>
      <c r="J2200" s="73"/>
      <c r="K2200" s="66"/>
      <c r="L2200" s="717">
        <v>2008</v>
      </c>
      <c r="M2200" s="73"/>
      <c r="N2200" s="738">
        <v>2.3910000000000001E-2</v>
      </c>
      <c r="O2200" s="1041"/>
      <c r="P2200" s="73"/>
      <c r="Q2200" s="738"/>
      <c r="R2200" s="1041"/>
      <c r="S2200" s="73"/>
      <c r="T2200" s="738"/>
      <c r="U2200" s="73"/>
      <c r="V2200" s="66"/>
      <c r="W2200" s="740">
        <f t="shared" si="1913"/>
        <v>1.74543E-5</v>
      </c>
      <c r="X2200" s="741">
        <f t="shared" si="1914"/>
        <v>1.74543E-5</v>
      </c>
      <c r="Y2200" s="52">
        <v>2008</v>
      </c>
      <c r="Z2200" s="52"/>
      <c r="AA2200" s="739">
        <f>+N2200/1000</f>
        <v>2.391E-5</v>
      </c>
      <c r="AB2200" s="256">
        <v>-0.27</v>
      </c>
      <c r="AC2200" s="688">
        <f t="shared" si="1915"/>
        <v>-0.27</v>
      </c>
      <c r="AD2200" s="164"/>
      <c r="AE2200" s="164"/>
      <c r="AF2200" s="25"/>
      <c r="AG2200" s="26"/>
      <c r="AH2200" s="275"/>
      <c r="AI2200" s="52"/>
      <c r="AJ2200" s="35"/>
      <c r="AK2200" s="289"/>
      <c r="AL2200" s="290"/>
      <c r="AM2200" s="211"/>
      <c r="AN2200" s="164"/>
      <c r="AO2200" s="76"/>
      <c r="AP2200" s="44"/>
      <c r="AQ2200" s="275"/>
      <c r="AR2200" s="52"/>
      <c r="AS2200" s="35"/>
      <c r="AT2200" s="79"/>
      <c r="AU2200" s="212"/>
      <c r="AV2200" s="164"/>
      <c r="AW2200" s="164"/>
      <c r="AX2200" s="76"/>
      <c r="AY2200" s="44"/>
      <c r="AZ2200" s="275"/>
      <c r="BA2200" s="52"/>
      <c r="BB2200" s="35"/>
      <c r="BC2200" s="79"/>
      <c r="BD2200" s="230"/>
      <c r="BE2200" s="211"/>
      <c r="BF2200" s="164"/>
      <c r="BG2200" s="76"/>
      <c r="BH2200" s="44"/>
      <c r="BI2200" s="275"/>
      <c r="BJ2200" s="52"/>
      <c r="BK2200" s="35"/>
      <c r="BL2200" s="79"/>
      <c r="BM2200" s="230"/>
      <c r="BN2200" s="211"/>
      <c r="BO2200" s="164"/>
      <c r="BP2200" s="76"/>
      <c r="BQ2200" s="44"/>
      <c r="BR2200" s="299"/>
      <c r="BS2200" s="52"/>
      <c r="BT2200" s="35"/>
      <c r="BU2200" s="79"/>
      <c r="BV2200" s="212"/>
      <c r="BW2200" s="304"/>
      <c r="BX2200" s="313"/>
      <c r="BY2200" s="138"/>
    </row>
    <row r="2201" spans="1:77" ht="15" customHeight="1" outlineLevel="1" x14ac:dyDescent="0.2">
      <c r="A2201" s="583" t="s">
        <v>37</v>
      </c>
      <c r="B2201" s="583"/>
      <c r="C2201" s="162" t="s">
        <v>2692</v>
      </c>
      <c r="D2201" s="810">
        <v>4.8000000000000001E-2</v>
      </c>
      <c r="E2201" s="162" t="s">
        <v>631</v>
      </c>
      <c r="F2201" s="729"/>
      <c r="G2201" s="730"/>
      <c r="H2201" s="73"/>
      <c r="I2201" s="90"/>
      <c r="J2201" s="73"/>
      <c r="K2201" s="815">
        <v>3.5100000000000002E-4</v>
      </c>
      <c r="L2201" s="717"/>
      <c r="M2201" s="73"/>
      <c r="N2201" s="738"/>
      <c r="O2201" s="1041"/>
      <c r="P2201" s="73"/>
      <c r="Q2201" s="738"/>
      <c r="R2201" s="1041"/>
      <c r="S2201" s="73"/>
      <c r="T2201" s="738"/>
      <c r="U2201" s="73"/>
      <c r="V2201" s="66"/>
      <c r="W2201" s="808">
        <f t="shared" ref="W2201" si="1948">AA2201*(1+AB2201)</f>
        <v>2.5974000000000002E-7</v>
      </c>
      <c r="X2201" s="809">
        <f t="shared" ref="X2201" si="1949">AA2201*(1+AC2201)</f>
        <v>2.5974000000000002E-7</v>
      </c>
      <c r="Y2201" s="52">
        <v>2005</v>
      </c>
      <c r="Z2201" s="52"/>
      <c r="AA2201" s="807">
        <f>+K2201/1000</f>
        <v>3.5100000000000001E-7</v>
      </c>
      <c r="AB2201" s="256">
        <v>-0.26</v>
      </c>
      <c r="AC2201" s="688">
        <f t="shared" ref="AC2201" si="1950">AB2201</f>
        <v>-0.26</v>
      </c>
      <c r="AD2201" s="164"/>
      <c r="AE2201" s="164"/>
      <c r="AF2201" s="25"/>
      <c r="AG2201" s="26"/>
      <c r="AH2201" s="275"/>
      <c r="AI2201" s="52"/>
      <c r="AJ2201" s="35"/>
      <c r="AK2201" s="289"/>
      <c r="AL2201" s="290"/>
      <c r="AM2201" s="211"/>
      <c r="AN2201" s="164"/>
      <c r="AO2201" s="76"/>
      <c r="AP2201" s="44"/>
      <c r="AQ2201" s="275"/>
      <c r="AR2201" s="52"/>
      <c r="AS2201" s="35"/>
      <c r="AT2201" s="79"/>
      <c r="AU2201" s="212"/>
      <c r="AV2201" s="164"/>
      <c r="AW2201" s="164"/>
      <c r="AX2201" s="76"/>
      <c r="AY2201" s="44"/>
      <c r="AZ2201" s="275"/>
      <c r="BA2201" s="52"/>
      <c r="BB2201" s="35"/>
      <c r="BC2201" s="79"/>
      <c r="BD2201" s="230"/>
      <c r="BE2201" s="211"/>
      <c r="BF2201" s="164"/>
      <c r="BG2201" s="76"/>
      <c r="BH2201" s="44"/>
      <c r="BI2201" s="275"/>
      <c r="BJ2201" s="52"/>
      <c r="BK2201" s="35"/>
      <c r="BL2201" s="79"/>
      <c r="BM2201" s="230"/>
      <c r="BN2201" s="211"/>
      <c r="BO2201" s="164"/>
      <c r="BP2201" s="76"/>
      <c r="BQ2201" s="44"/>
      <c r="BR2201" s="299"/>
      <c r="BS2201" s="52"/>
      <c r="BT2201" s="35"/>
      <c r="BU2201" s="79"/>
      <c r="BV2201" s="212"/>
      <c r="BW2201" s="304"/>
      <c r="BX2201" s="313"/>
      <c r="BY2201" s="138"/>
    </row>
    <row r="2202" spans="1:77" ht="15" customHeight="1" outlineLevel="1" x14ac:dyDescent="0.2">
      <c r="A2202" s="583" t="s">
        <v>37</v>
      </c>
      <c r="B2202" s="583"/>
      <c r="C2202" s="162" t="s">
        <v>1262</v>
      </c>
      <c r="D2202" s="806">
        <v>0.20699999999999999</v>
      </c>
      <c r="E2202" s="162" t="s">
        <v>631</v>
      </c>
      <c r="F2202" s="729"/>
      <c r="G2202" s="730"/>
      <c r="H2202" s="73"/>
      <c r="I2202" s="90">
        <v>2007</v>
      </c>
      <c r="J2202" s="73"/>
      <c r="K2202" s="815">
        <v>7.8089000000000001E-4</v>
      </c>
      <c r="L2202" s="717"/>
      <c r="M2202" s="73"/>
      <c r="N2202" s="811"/>
      <c r="O2202" s="1041"/>
      <c r="P2202" s="73"/>
      <c r="Q2202" s="811"/>
      <c r="R2202" s="1041"/>
      <c r="S2202" s="73"/>
      <c r="T2202" s="811"/>
      <c r="U2202" s="73"/>
      <c r="V2202" s="66"/>
      <c r="W2202" s="808">
        <f t="shared" si="1913"/>
        <v>5.5443190000000003E-7</v>
      </c>
      <c r="X2202" s="809">
        <f t="shared" si="1914"/>
        <v>5.5443190000000003E-7</v>
      </c>
      <c r="Y2202" s="52">
        <v>2007</v>
      </c>
      <c r="Z2202" s="52"/>
      <c r="AA2202" s="807">
        <f>+K2202/1000</f>
        <v>7.8089000000000005E-7</v>
      </c>
      <c r="AB2202" s="256">
        <v>-0.28999999999999998</v>
      </c>
      <c r="AC2202" s="688">
        <f t="shared" si="1915"/>
        <v>-0.28999999999999998</v>
      </c>
      <c r="AD2202" s="164"/>
      <c r="AE2202" s="164"/>
      <c r="AF2202" s="25"/>
      <c r="AG2202" s="26"/>
      <c r="AH2202" s="275"/>
      <c r="AI2202" s="52"/>
      <c r="AJ2202" s="35"/>
      <c r="AK2202" s="289"/>
      <c r="AL2202" s="290"/>
      <c r="AM2202" s="211"/>
      <c r="AN2202" s="164"/>
      <c r="AO2202" s="76"/>
      <c r="AP2202" s="44"/>
      <c r="AQ2202" s="275"/>
      <c r="AR2202" s="52"/>
      <c r="AS2202" s="35"/>
      <c r="AT2202" s="79"/>
      <c r="AU2202" s="212"/>
      <c r="AV2202" s="164"/>
      <c r="AW2202" s="164"/>
      <c r="AX2202" s="76"/>
      <c r="AY2202" s="44"/>
      <c r="AZ2202" s="275"/>
      <c r="BA2202" s="52"/>
      <c r="BB2202" s="35"/>
      <c r="BC2202" s="79"/>
      <c r="BD2202" s="230"/>
      <c r="BE2202" s="211"/>
      <c r="BF2202" s="164"/>
      <c r="BG2202" s="76"/>
      <c r="BH2202" s="44"/>
      <c r="BI2202" s="275"/>
      <c r="BJ2202" s="52"/>
      <c r="BK2202" s="35"/>
      <c r="BL2202" s="79"/>
      <c r="BM2202" s="230"/>
      <c r="BN2202" s="211"/>
      <c r="BO2202" s="164"/>
      <c r="BP2202" s="76"/>
      <c r="BQ2202" s="44"/>
      <c r="BR2202" s="299"/>
      <c r="BS2202" s="52"/>
      <c r="BT2202" s="35"/>
      <c r="BU2202" s="79"/>
      <c r="BV2202" s="212"/>
      <c r="BW2202" s="304"/>
      <c r="BX2202" s="313"/>
      <c r="BY2202" s="138"/>
    </row>
    <row r="2203" spans="1:77" ht="15" customHeight="1" outlineLevel="1" x14ac:dyDescent="0.2">
      <c r="A2203" s="583" t="s">
        <v>37</v>
      </c>
      <c r="B2203" s="583"/>
      <c r="C2203" s="162" t="s">
        <v>1244</v>
      </c>
      <c r="D2203" s="806">
        <v>0.14000000000000001</v>
      </c>
      <c r="E2203" s="162" t="s">
        <v>631</v>
      </c>
      <c r="F2203" s="729"/>
      <c r="G2203" s="730"/>
      <c r="H2203" s="73"/>
      <c r="I2203" s="90"/>
      <c r="J2203" s="73"/>
      <c r="K2203" s="790">
        <v>3.2529999999999998E-3</v>
      </c>
      <c r="L2203" s="717"/>
      <c r="M2203" s="73"/>
      <c r="N2203" s="811"/>
      <c r="O2203" s="1041"/>
      <c r="P2203" s="73"/>
      <c r="Q2203" s="811"/>
      <c r="R2203" s="1041"/>
      <c r="S2203" s="73"/>
      <c r="T2203" s="811"/>
      <c r="U2203" s="73"/>
      <c r="V2203" s="66"/>
      <c r="W2203" s="788">
        <f t="shared" si="1913"/>
        <v>2.4397499999999998E-6</v>
      </c>
      <c r="X2203" s="789">
        <f t="shared" si="1914"/>
        <v>2.4397499999999998E-6</v>
      </c>
      <c r="Y2203" s="52">
        <v>2005</v>
      </c>
      <c r="Z2203" s="52"/>
      <c r="AA2203" s="787">
        <f>+K2203/1000</f>
        <v>3.253E-6</v>
      </c>
      <c r="AB2203" s="256">
        <v>-0.25</v>
      </c>
      <c r="AC2203" s="688">
        <f t="shared" si="1915"/>
        <v>-0.25</v>
      </c>
      <c r="AD2203" s="164"/>
      <c r="AE2203" s="164"/>
      <c r="AF2203" s="25"/>
      <c r="AG2203" s="26"/>
      <c r="AH2203" s="275"/>
      <c r="AI2203" s="52"/>
      <c r="AJ2203" s="35"/>
      <c r="AK2203" s="289"/>
      <c r="AL2203" s="290"/>
      <c r="AM2203" s="211"/>
      <c r="AN2203" s="164"/>
      <c r="AO2203" s="76"/>
      <c r="AP2203" s="44"/>
      <c r="AQ2203" s="275"/>
      <c r="AR2203" s="52"/>
      <c r="AS2203" s="35"/>
      <c r="AT2203" s="79"/>
      <c r="AU2203" s="212"/>
      <c r="AV2203" s="164"/>
      <c r="AW2203" s="164"/>
      <c r="AX2203" s="76"/>
      <c r="AY2203" s="44"/>
      <c r="AZ2203" s="275"/>
      <c r="BA2203" s="52"/>
      <c r="BB2203" s="35"/>
      <c r="BC2203" s="79"/>
      <c r="BD2203" s="230"/>
      <c r="BE2203" s="211"/>
      <c r="BF2203" s="164"/>
      <c r="BG2203" s="76"/>
      <c r="BH2203" s="44"/>
      <c r="BI2203" s="275"/>
      <c r="BJ2203" s="52"/>
      <c r="BK2203" s="35"/>
      <c r="BL2203" s="79"/>
      <c r="BM2203" s="230"/>
      <c r="BN2203" s="211"/>
      <c r="BO2203" s="164"/>
      <c r="BP2203" s="76"/>
      <c r="BQ2203" s="44"/>
      <c r="BR2203" s="299"/>
      <c r="BS2203" s="52"/>
      <c r="BT2203" s="35"/>
      <c r="BU2203" s="79"/>
      <c r="BV2203" s="212"/>
      <c r="BW2203" s="304"/>
      <c r="BX2203" s="313"/>
      <c r="BY2203" s="138"/>
    </row>
    <row r="2204" spans="1:77" ht="15" customHeight="1" outlineLevel="1" x14ac:dyDescent="0.2">
      <c r="A2204" s="583" t="s">
        <v>37</v>
      </c>
      <c r="B2204" s="583"/>
      <c r="C2204" s="162" t="s">
        <v>1019</v>
      </c>
      <c r="D2204" s="806">
        <v>0.32900000000000001</v>
      </c>
      <c r="E2204" s="162" t="s">
        <v>631</v>
      </c>
      <c r="F2204" s="729"/>
      <c r="G2204" s="730"/>
      <c r="H2204" s="73"/>
      <c r="I2204" s="90"/>
      <c r="J2204" s="73"/>
      <c r="K2204" s="734">
        <v>5.7010000000000003E-3</v>
      </c>
      <c r="L2204" s="717"/>
      <c r="M2204" s="73"/>
      <c r="N2204" s="811"/>
      <c r="O2204" s="1041"/>
      <c r="P2204" s="73"/>
      <c r="Q2204" s="811"/>
      <c r="R2204" s="1041"/>
      <c r="S2204" s="73"/>
      <c r="T2204" s="811"/>
      <c r="U2204" s="73"/>
      <c r="V2204" s="66"/>
      <c r="W2204" s="788">
        <f t="shared" si="1913"/>
        <v>4.2187400000000002E-6</v>
      </c>
      <c r="X2204" s="789">
        <f t="shared" si="1914"/>
        <v>4.2187400000000002E-6</v>
      </c>
      <c r="Y2204" s="52">
        <v>2005</v>
      </c>
      <c r="Z2204" s="52"/>
      <c r="AA2204" s="787">
        <f>+K2204/1000</f>
        <v>5.7010000000000001E-6</v>
      </c>
      <c r="AB2204" s="256">
        <v>-0.26</v>
      </c>
      <c r="AC2204" s="688">
        <f t="shared" si="1915"/>
        <v>-0.26</v>
      </c>
      <c r="AD2204" s="164"/>
      <c r="AE2204" s="164"/>
      <c r="AF2204" s="25"/>
      <c r="AG2204" s="26"/>
      <c r="AH2204" s="275"/>
      <c r="AI2204" s="52"/>
      <c r="AJ2204" s="35"/>
      <c r="AK2204" s="289"/>
      <c r="AL2204" s="290"/>
      <c r="AM2204" s="211"/>
      <c r="AN2204" s="164"/>
      <c r="AO2204" s="76"/>
      <c r="AP2204" s="44"/>
      <c r="AQ2204" s="275"/>
      <c r="AR2204" s="52"/>
      <c r="AS2204" s="35"/>
      <c r="AT2204" s="79"/>
      <c r="AU2204" s="212"/>
      <c r="AV2204" s="164"/>
      <c r="AW2204" s="164"/>
      <c r="AX2204" s="76"/>
      <c r="AY2204" s="44"/>
      <c r="AZ2204" s="275"/>
      <c r="BA2204" s="52"/>
      <c r="BB2204" s="35"/>
      <c r="BC2204" s="79"/>
      <c r="BD2204" s="230"/>
      <c r="BE2204" s="211"/>
      <c r="BF2204" s="164"/>
      <c r="BG2204" s="76"/>
      <c r="BH2204" s="44"/>
      <c r="BI2204" s="275"/>
      <c r="BJ2204" s="52"/>
      <c r="BK2204" s="35"/>
      <c r="BL2204" s="79"/>
      <c r="BM2204" s="230"/>
      <c r="BN2204" s="211"/>
      <c r="BO2204" s="164"/>
      <c r="BP2204" s="76"/>
      <c r="BQ2204" s="44"/>
      <c r="BR2204" s="299"/>
      <c r="BS2204" s="52"/>
      <c r="BT2204" s="35"/>
      <c r="BU2204" s="79"/>
      <c r="BV2204" s="212"/>
      <c r="BW2204" s="304"/>
      <c r="BX2204" s="313"/>
      <c r="BY2204" s="138"/>
    </row>
    <row r="2205" spans="1:77" ht="15" customHeight="1" outlineLevel="1" x14ac:dyDescent="0.2">
      <c r="A2205" s="583" t="s">
        <v>37</v>
      </c>
      <c r="B2205" s="583"/>
      <c r="C2205" s="162" t="s">
        <v>995</v>
      </c>
      <c r="D2205" s="812">
        <v>8.9440000000000008</v>
      </c>
      <c r="E2205" s="162" t="s">
        <v>631</v>
      </c>
      <c r="F2205" s="729"/>
      <c r="G2205" s="730"/>
      <c r="H2205" s="73"/>
      <c r="I2205" s="90"/>
      <c r="J2205" s="73"/>
      <c r="K2205" s="790">
        <v>1.5740000000000001E-3</v>
      </c>
      <c r="L2205" s="717"/>
      <c r="M2205" s="73"/>
      <c r="N2205" s="738"/>
      <c r="O2205" s="1041"/>
      <c r="P2205" s="73"/>
      <c r="Q2205" s="738"/>
      <c r="R2205" s="1041"/>
      <c r="S2205" s="73"/>
      <c r="T2205" s="738"/>
      <c r="U2205" s="73"/>
      <c r="V2205" s="66"/>
      <c r="W2205" s="740">
        <f t="shared" si="1913"/>
        <v>0</v>
      </c>
      <c r="X2205" s="741">
        <f t="shared" si="1914"/>
        <v>0</v>
      </c>
      <c r="Y2205" s="52">
        <v>2010</v>
      </c>
      <c r="Z2205" s="52"/>
      <c r="AA2205" s="739">
        <f>+N2205/1000</f>
        <v>0</v>
      </c>
      <c r="AB2205" s="256">
        <v>-0.39</v>
      </c>
      <c r="AC2205" s="688">
        <f t="shared" si="1915"/>
        <v>-0.39</v>
      </c>
      <c r="AD2205" s="164"/>
      <c r="AE2205" s="164"/>
      <c r="AF2205" s="25"/>
      <c r="AG2205" s="26"/>
      <c r="AH2205" s="275"/>
      <c r="AI2205" s="52"/>
      <c r="AJ2205" s="35"/>
      <c r="AK2205" s="289"/>
      <c r="AL2205" s="290"/>
      <c r="AM2205" s="211"/>
      <c r="AN2205" s="164"/>
      <c r="AO2205" s="76"/>
      <c r="AP2205" s="44"/>
      <c r="AQ2205" s="275"/>
      <c r="AR2205" s="52"/>
      <c r="AS2205" s="35"/>
      <c r="AT2205" s="79"/>
      <c r="AU2205" s="212"/>
      <c r="AV2205" s="164"/>
      <c r="AW2205" s="164"/>
      <c r="AX2205" s="76"/>
      <c r="AY2205" s="44"/>
      <c r="AZ2205" s="275"/>
      <c r="BA2205" s="52"/>
      <c r="BB2205" s="35"/>
      <c r="BC2205" s="79"/>
      <c r="BD2205" s="230"/>
      <c r="BE2205" s="211"/>
      <c r="BF2205" s="164"/>
      <c r="BG2205" s="76"/>
      <c r="BH2205" s="44"/>
      <c r="BI2205" s="275"/>
      <c r="BJ2205" s="52"/>
      <c r="BK2205" s="35"/>
      <c r="BL2205" s="79"/>
      <c r="BM2205" s="230"/>
      <c r="BN2205" s="211"/>
      <c r="BO2205" s="164"/>
      <c r="BP2205" s="76"/>
      <c r="BQ2205" s="44"/>
      <c r="BR2205" s="299"/>
      <c r="BS2205" s="52"/>
      <c r="BT2205" s="35"/>
      <c r="BU2205" s="79"/>
      <c r="BV2205" s="212"/>
      <c r="BW2205" s="304"/>
      <c r="BX2205" s="313"/>
      <c r="BY2205" s="138"/>
    </row>
    <row r="2206" spans="1:77" ht="15" customHeight="1" outlineLevel="1" x14ac:dyDescent="0.2">
      <c r="A2206" s="583" t="s">
        <v>37</v>
      </c>
      <c r="B2206" s="583"/>
      <c r="C2206" s="162" t="s">
        <v>1186</v>
      </c>
      <c r="D2206" s="812">
        <v>7.8479999999999999</v>
      </c>
      <c r="E2206" s="162" t="s">
        <v>631</v>
      </c>
      <c r="F2206" s="729"/>
      <c r="G2206" s="730"/>
      <c r="H2206" s="73"/>
      <c r="I2206" s="90">
        <v>2007</v>
      </c>
      <c r="J2206" s="73"/>
      <c r="K2206" s="66">
        <v>6.2354E-2</v>
      </c>
      <c r="L2206" s="717"/>
      <c r="M2206" s="73"/>
      <c r="N2206" s="811"/>
      <c r="O2206" s="1041"/>
      <c r="P2206" s="73"/>
      <c r="Q2206" s="811"/>
      <c r="R2206" s="1041"/>
      <c r="S2206" s="73"/>
      <c r="T2206" s="811"/>
      <c r="U2206" s="73"/>
      <c r="V2206" s="66"/>
      <c r="W2206" s="740">
        <f t="shared" si="1913"/>
        <v>4.6765500000000005E-5</v>
      </c>
      <c r="X2206" s="741">
        <f t="shared" si="1914"/>
        <v>4.6765500000000005E-5</v>
      </c>
      <c r="Y2206" s="52">
        <v>2007</v>
      </c>
      <c r="Z2206" s="52"/>
      <c r="AA2206" s="739">
        <f>+K2206/1000</f>
        <v>6.2354000000000006E-5</v>
      </c>
      <c r="AB2206" s="256">
        <v>-0.25</v>
      </c>
      <c r="AC2206" s="688">
        <f t="shared" si="1915"/>
        <v>-0.25</v>
      </c>
      <c r="AD2206" s="164"/>
      <c r="AE2206" s="164"/>
      <c r="AF2206" s="25"/>
      <c r="AG2206" s="26"/>
      <c r="AH2206" s="275"/>
      <c r="AI2206" s="52"/>
      <c r="AJ2206" s="35"/>
      <c r="AK2206" s="289"/>
      <c r="AL2206" s="290"/>
      <c r="AM2206" s="211"/>
      <c r="AN2206" s="164"/>
      <c r="AO2206" s="76"/>
      <c r="AP2206" s="44"/>
      <c r="AQ2206" s="275"/>
      <c r="AR2206" s="52"/>
      <c r="AS2206" s="35"/>
      <c r="AT2206" s="79"/>
      <c r="AU2206" s="212"/>
      <c r="AV2206" s="164"/>
      <c r="AW2206" s="164"/>
      <c r="AX2206" s="76"/>
      <c r="AY2206" s="44"/>
      <c r="AZ2206" s="275"/>
      <c r="BA2206" s="52"/>
      <c r="BB2206" s="35"/>
      <c r="BC2206" s="79"/>
      <c r="BD2206" s="230"/>
      <c r="BE2206" s="211"/>
      <c r="BF2206" s="164"/>
      <c r="BG2206" s="76"/>
      <c r="BH2206" s="44"/>
      <c r="BI2206" s="275"/>
      <c r="BJ2206" s="52"/>
      <c r="BK2206" s="35"/>
      <c r="BL2206" s="79"/>
      <c r="BM2206" s="230"/>
      <c r="BN2206" s="211"/>
      <c r="BO2206" s="164"/>
      <c r="BP2206" s="76"/>
      <c r="BQ2206" s="44"/>
      <c r="BR2206" s="299"/>
      <c r="BS2206" s="52"/>
      <c r="BT2206" s="35"/>
      <c r="BU2206" s="79"/>
      <c r="BV2206" s="212"/>
      <c r="BW2206" s="304"/>
      <c r="BX2206" s="313"/>
      <c r="BY2206" s="138"/>
    </row>
    <row r="2207" spans="1:77" ht="15" customHeight="1" outlineLevel="1" x14ac:dyDescent="0.2">
      <c r="A2207" s="583" t="s">
        <v>37</v>
      </c>
      <c r="B2207" s="583"/>
      <c r="C2207" s="162" t="s">
        <v>1077</v>
      </c>
      <c r="D2207" s="812">
        <v>10.728999999999999</v>
      </c>
      <c r="E2207" s="162" t="s">
        <v>631</v>
      </c>
      <c r="F2207" s="729"/>
      <c r="G2207" s="730"/>
      <c r="H2207" s="73"/>
      <c r="I2207" s="90">
        <v>2007</v>
      </c>
      <c r="J2207" s="73"/>
      <c r="K2207" s="813">
        <v>4.7107000000000003E-2</v>
      </c>
      <c r="L2207" s="717"/>
      <c r="M2207" s="73"/>
      <c r="N2207" s="811"/>
      <c r="O2207" s="1041"/>
      <c r="P2207" s="73"/>
      <c r="Q2207" s="811"/>
      <c r="R2207" s="1041"/>
      <c r="S2207" s="73"/>
      <c r="T2207" s="811"/>
      <c r="U2207" s="73"/>
      <c r="V2207" s="66"/>
      <c r="W2207" s="740">
        <f t="shared" si="1913"/>
        <v>2.119815E-5</v>
      </c>
      <c r="X2207" s="741">
        <f t="shared" si="1914"/>
        <v>2.119815E-5</v>
      </c>
      <c r="Y2207" s="52">
        <v>2007</v>
      </c>
      <c r="Z2207" s="52"/>
      <c r="AA2207" s="739">
        <f>+K2207/1000</f>
        <v>4.7107000000000001E-5</v>
      </c>
      <c r="AB2207" s="256">
        <v>-0.55000000000000004</v>
      </c>
      <c r="AC2207" s="688">
        <f t="shared" si="1915"/>
        <v>-0.55000000000000004</v>
      </c>
      <c r="AD2207" s="164"/>
      <c r="AE2207" s="164"/>
      <c r="AF2207" s="25"/>
      <c r="AG2207" s="26"/>
      <c r="AH2207" s="275"/>
      <c r="AI2207" s="52"/>
      <c r="AJ2207" s="35"/>
      <c r="AK2207" s="289"/>
      <c r="AL2207" s="290"/>
      <c r="AM2207" s="211"/>
      <c r="AN2207" s="164"/>
      <c r="AO2207" s="76"/>
      <c r="AP2207" s="44"/>
      <c r="AQ2207" s="275"/>
      <c r="AR2207" s="52"/>
      <c r="AS2207" s="35"/>
      <c r="AT2207" s="79"/>
      <c r="AU2207" s="212"/>
      <c r="AV2207" s="164"/>
      <c r="AW2207" s="164"/>
      <c r="AX2207" s="76"/>
      <c r="AY2207" s="44"/>
      <c r="AZ2207" s="275"/>
      <c r="BA2207" s="52"/>
      <c r="BB2207" s="35"/>
      <c r="BC2207" s="79"/>
      <c r="BD2207" s="230"/>
      <c r="BE2207" s="211"/>
      <c r="BF2207" s="164"/>
      <c r="BG2207" s="76"/>
      <c r="BH2207" s="44"/>
      <c r="BI2207" s="275"/>
      <c r="BJ2207" s="52"/>
      <c r="BK2207" s="35"/>
      <c r="BL2207" s="79"/>
      <c r="BM2207" s="230"/>
      <c r="BN2207" s="211"/>
      <c r="BO2207" s="164"/>
      <c r="BP2207" s="76"/>
      <c r="BQ2207" s="44"/>
      <c r="BR2207" s="299"/>
      <c r="BS2207" s="52"/>
      <c r="BT2207" s="35"/>
      <c r="BU2207" s="79"/>
      <c r="BV2207" s="212"/>
      <c r="BW2207" s="304"/>
      <c r="BX2207" s="313"/>
      <c r="BY2207" s="138"/>
    </row>
    <row r="2208" spans="1:77" ht="15" customHeight="1" outlineLevel="1" x14ac:dyDescent="0.2">
      <c r="A2208" s="583" t="s">
        <v>37</v>
      </c>
      <c r="B2208" s="583"/>
      <c r="C2208" s="162" t="s">
        <v>2693</v>
      </c>
      <c r="D2208" s="812">
        <v>1.665</v>
      </c>
      <c r="E2208" s="162" t="s">
        <v>631</v>
      </c>
      <c r="F2208" s="729"/>
      <c r="G2208" s="730"/>
      <c r="H2208" s="73"/>
      <c r="I2208" s="90"/>
      <c r="J2208" s="73"/>
      <c r="K2208" s="813">
        <v>7.5100000000000002E-3</v>
      </c>
      <c r="L2208" s="717"/>
      <c r="M2208" s="73"/>
      <c r="N2208" s="811"/>
      <c r="O2208" s="1041"/>
      <c r="P2208" s="73"/>
      <c r="Q2208" s="811"/>
      <c r="R2208" s="1041"/>
      <c r="S2208" s="73"/>
      <c r="T2208" s="811"/>
      <c r="U2208" s="73"/>
      <c r="V2208" s="66"/>
      <c r="W2208" s="788">
        <f t="shared" ref="W2208" si="1951">AA2208*(1+AB2208)</f>
        <v>5.6324999999999999E-6</v>
      </c>
      <c r="X2208" s="789">
        <f t="shared" ref="X2208" si="1952">AA2208*(1+AC2208)</f>
        <v>5.6324999999999999E-6</v>
      </c>
      <c r="Y2208" s="52">
        <v>2007</v>
      </c>
      <c r="Z2208" s="52"/>
      <c r="AA2208" s="807">
        <f>+K2208/1000</f>
        <v>7.5100000000000001E-6</v>
      </c>
      <c r="AB2208" s="256">
        <v>-0.25</v>
      </c>
      <c r="AC2208" s="688">
        <f t="shared" ref="AC2208" si="1953">AB2208</f>
        <v>-0.25</v>
      </c>
      <c r="AD2208" s="164"/>
      <c r="AE2208" s="164"/>
      <c r="AF2208" s="25"/>
      <c r="AG2208" s="26"/>
      <c r="AH2208" s="275"/>
      <c r="AI2208" s="52"/>
      <c r="AJ2208" s="35"/>
      <c r="AK2208" s="289"/>
      <c r="AL2208" s="290"/>
      <c r="AM2208" s="211"/>
      <c r="AN2208" s="164"/>
      <c r="AO2208" s="76"/>
      <c r="AP2208" s="44"/>
      <c r="AQ2208" s="275"/>
      <c r="AR2208" s="52"/>
      <c r="AS2208" s="35"/>
      <c r="AT2208" s="79"/>
      <c r="AU2208" s="212"/>
      <c r="AV2208" s="164"/>
      <c r="AW2208" s="164"/>
      <c r="AX2208" s="76"/>
      <c r="AY2208" s="44"/>
      <c r="AZ2208" s="275"/>
      <c r="BA2208" s="52"/>
      <c r="BB2208" s="35"/>
      <c r="BC2208" s="79"/>
      <c r="BD2208" s="230"/>
      <c r="BE2208" s="211"/>
      <c r="BF2208" s="164"/>
      <c r="BG2208" s="76"/>
      <c r="BH2208" s="44"/>
      <c r="BI2208" s="275"/>
      <c r="BJ2208" s="52"/>
      <c r="BK2208" s="35"/>
      <c r="BL2208" s="79"/>
      <c r="BM2208" s="230"/>
      <c r="BN2208" s="211"/>
      <c r="BO2208" s="164"/>
      <c r="BP2208" s="76"/>
      <c r="BQ2208" s="44"/>
      <c r="BR2208" s="299"/>
      <c r="BS2208" s="52"/>
      <c r="BT2208" s="35"/>
      <c r="BU2208" s="79"/>
      <c r="BV2208" s="212"/>
      <c r="BW2208" s="304"/>
      <c r="BX2208" s="313"/>
      <c r="BY2208" s="138"/>
    </row>
    <row r="2209" spans="1:77" ht="15" customHeight="1" outlineLevel="1" x14ac:dyDescent="0.2">
      <c r="A2209" s="583" t="s">
        <v>37</v>
      </c>
      <c r="B2209" s="583"/>
      <c r="C2209" s="162" t="s">
        <v>1098</v>
      </c>
      <c r="D2209" s="812">
        <v>0.74299999999999999</v>
      </c>
      <c r="E2209" s="162" t="s">
        <v>631</v>
      </c>
      <c r="F2209" s="729"/>
      <c r="G2209" s="730"/>
      <c r="H2209" s="73"/>
      <c r="I2209" s="90">
        <v>2007</v>
      </c>
      <c r="J2209" s="73"/>
      <c r="K2209" s="790">
        <v>1.3749999999999999E-3</v>
      </c>
      <c r="L2209" s="717"/>
      <c r="M2209" s="73"/>
      <c r="N2209" s="811"/>
      <c r="O2209" s="1041"/>
      <c r="P2209" s="73"/>
      <c r="Q2209" s="811"/>
      <c r="R2209" s="1041"/>
      <c r="S2209" s="73"/>
      <c r="T2209" s="811"/>
      <c r="U2209" s="73"/>
      <c r="V2209" s="66"/>
      <c r="W2209" s="788">
        <f t="shared" si="1913"/>
        <v>9.7624999999999997E-7</v>
      </c>
      <c r="X2209" s="789">
        <f t="shared" si="1914"/>
        <v>9.7624999999999997E-7</v>
      </c>
      <c r="Y2209" s="52">
        <v>2007</v>
      </c>
      <c r="Z2209" s="52"/>
      <c r="AA2209" s="787">
        <f>+K2209/1000</f>
        <v>1.375E-6</v>
      </c>
      <c r="AB2209" s="256">
        <v>-0.28999999999999998</v>
      </c>
      <c r="AC2209" s="688">
        <f t="shared" si="1915"/>
        <v>-0.28999999999999998</v>
      </c>
      <c r="AD2209" s="164"/>
      <c r="AE2209" s="164"/>
      <c r="AF2209" s="25"/>
      <c r="AG2209" s="26"/>
      <c r="AH2209" s="275"/>
      <c r="AI2209" s="52"/>
      <c r="AJ2209" s="35"/>
      <c r="AK2209" s="289"/>
      <c r="AL2209" s="290"/>
      <c r="AM2209" s="211"/>
      <c r="AN2209" s="164"/>
      <c r="AO2209" s="76"/>
      <c r="AP2209" s="44"/>
      <c r="AQ2209" s="275"/>
      <c r="AR2209" s="52"/>
      <c r="AS2209" s="35"/>
      <c r="AT2209" s="79"/>
      <c r="AU2209" s="212"/>
      <c r="AV2209" s="164"/>
      <c r="AW2209" s="164"/>
      <c r="AX2209" s="76"/>
      <c r="AY2209" s="44"/>
      <c r="AZ2209" s="275"/>
      <c r="BA2209" s="52"/>
      <c r="BB2209" s="35"/>
      <c r="BC2209" s="79"/>
      <c r="BD2209" s="230"/>
      <c r="BE2209" s="211"/>
      <c r="BF2209" s="164"/>
      <c r="BG2209" s="76"/>
      <c r="BH2209" s="44"/>
      <c r="BI2209" s="275"/>
      <c r="BJ2209" s="52"/>
      <c r="BK2209" s="35"/>
      <c r="BL2209" s="79"/>
      <c r="BM2209" s="230"/>
      <c r="BN2209" s="211"/>
      <c r="BO2209" s="164"/>
      <c r="BP2209" s="76"/>
      <c r="BQ2209" s="44"/>
      <c r="BR2209" s="299"/>
      <c r="BS2209" s="52"/>
      <c r="BT2209" s="35"/>
      <c r="BU2209" s="79"/>
      <c r="BV2209" s="212"/>
      <c r="BW2209" s="304"/>
      <c r="BX2209" s="313"/>
      <c r="BY2209" s="138"/>
    </row>
    <row r="2210" spans="1:77" ht="15" customHeight="1" outlineLevel="1" x14ac:dyDescent="0.2">
      <c r="A2210" s="583" t="s">
        <v>37</v>
      </c>
      <c r="B2210" s="583"/>
      <c r="C2210" s="162" t="s">
        <v>1210</v>
      </c>
      <c r="D2210" s="812">
        <v>18.824999999999999</v>
      </c>
      <c r="E2210" s="162" t="s">
        <v>631</v>
      </c>
      <c r="F2210" s="729"/>
      <c r="G2210" s="730"/>
      <c r="H2210" s="73"/>
      <c r="I2210" s="90"/>
      <c r="J2210" s="73"/>
      <c r="K2210" s="734"/>
      <c r="L2210" s="717">
        <v>2012</v>
      </c>
      <c r="M2210" s="73"/>
      <c r="N2210" s="738">
        <v>3.6942000000000003E-2</v>
      </c>
      <c r="O2210" s="1041"/>
      <c r="P2210" s="73"/>
      <c r="Q2210" s="738"/>
      <c r="R2210" s="1041"/>
      <c r="S2210" s="73"/>
      <c r="T2210" s="738"/>
      <c r="U2210" s="73"/>
      <c r="V2210" s="66"/>
      <c r="W2210" s="740">
        <f t="shared" si="1913"/>
        <v>2.7337079999999998E-5</v>
      </c>
      <c r="X2210" s="741">
        <f t="shared" si="1914"/>
        <v>2.7337079999999998E-5</v>
      </c>
      <c r="Y2210" s="52">
        <v>2012</v>
      </c>
      <c r="Z2210" s="52"/>
      <c r="AA2210" s="739">
        <f>+N2210/1000</f>
        <v>3.6942E-5</v>
      </c>
      <c r="AB2210" s="256">
        <v>-0.26</v>
      </c>
      <c r="AC2210" s="688">
        <f t="shared" si="1915"/>
        <v>-0.26</v>
      </c>
      <c r="AD2210" s="164"/>
      <c r="AE2210" s="164"/>
      <c r="AF2210" s="25"/>
      <c r="AG2210" s="26"/>
      <c r="AH2210" s="275"/>
      <c r="AI2210" s="52"/>
      <c r="AJ2210" s="35"/>
      <c r="AK2210" s="289"/>
      <c r="AL2210" s="290"/>
      <c r="AM2210" s="211"/>
      <c r="AN2210" s="164"/>
      <c r="AO2210" s="76"/>
      <c r="AP2210" s="44"/>
      <c r="AQ2210" s="275"/>
      <c r="AR2210" s="52"/>
      <c r="AS2210" s="35"/>
      <c r="AT2210" s="79"/>
      <c r="AU2210" s="212"/>
      <c r="AV2210" s="164"/>
      <c r="AW2210" s="164"/>
      <c r="AX2210" s="76"/>
      <c r="AY2210" s="44"/>
      <c r="AZ2210" s="275"/>
      <c r="BA2210" s="52"/>
      <c r="BB2210" s="35"/>
      <c r="BC2210" s="79"/>
      <c r="BD2210" s="230"/>
      <c r="BE2210" s="211"/>
      <c r="BF2210" s="164"/>
      <c r="BG2210" s="76"/>
      <c r="BH2210" s="44"/>
      <c r="BI2210" s="275"/>
      <c r="BJ2210" s="52"/>
      <c r="BK2210" s="35"/>
      <c r="BL2210" s="79"/>
      <c r="BM2210" s="230"/>
      <c r="BN2210" s="211"/>
      <c r="BO2210" s="164"/>
      <c r="BP2210" s="76"/>
      <c r="BQ2210" s="44"/>
      <c r="BR2210" s="299"/>
      <c r="BS2210" s="52"/>
      <c r="BT2210" s="35"/>
      <c r="BU2210" s="79"/>
      <c r="BV2210" s="212"/>
      <c r="BW2210" s="304"/>
      <c r="BX2210" s="313"/>
      <c r="BY2210" s="138"/>
    </row>
    <row r="2211" spans="1:77" ht="15" customHeight="1" outlineLevel="1" x14ac:dyDescent="0.2">
      <c r="A2211" s="583" t="s">
        <v>37</v>
      </c>
      <c r="B2211" s="583"/>
      <c r="C2211" s="162" t="s">
        <v>982</v>
      </c>
      <c r="D2211" s="806">
        <v>0.51400000000000001</v>
      </c>
      <c r="E2211" s="162" t="s">
        <v>631</v>
      </c>
      <c r="F2211" s="729"/>
      <c r="G2211" s="730"/>
      <c r="H2211" s="73"/>
      <c r="I2211" s="90"/>
      <c r="J2211" s="73"/>
      <c r="K2211" s="66"/>
      <c r="L2211" s="717"/>
      <c r="M2211" s="73"/>
      <c r="N2211" s="786">
        <v>1.178E-3</v>
      </c>
      <c r="O2211" s="1041"/>
      <c r="P2211" s="73"/>
      <c r="Q2211" s="786"/>
      <c r="R2211" s="1041"/>
      <c r="S2211" s="73"/>
      <c r="T2211" s="786"/>
      <c r="U2211" s="73"/>
      <c r="V2211" s="66"/>
      <c r="W2211" s="808">
        <f t="shared" si="1913"/>
        <v>8.8349999999999999E-7</v>
      </c>
      <c r="X2211" s="809">
        <f t="shared" si="1914"/>
        <v>8.8349999999999999E-7</v>
      </c>
      <c r="Y2211" s="52">
        <v>2010</v>
      </c>
      <c r="Z2211" s="52"/>
      <c r="AA2211" s="807">
        <f>+N2211/1000</f>
        <v>1.178E-6</v>
      </c>
      <c r="AB2211" s="256">
        <v>-0.25</v>
      </c>
      <c r="AC2211" s="688">
        <f t="shared" si="1915"/>
        <v>-0.25</v>
      </c>
      <c r="AD2211" s="164"/>
      <c r="AE2211" s="164"/>
      <c r="AF2211" s="25"/>
      <c r="AG2211" s="26"/>
      <c r="AH2211" s="275"/>
      <c r="AI2211" s="52"/>
      <c r="AJ2211" s="35"/>
      <c r="AK2211" s="289"/>
      <c r="AL2211" s="290"/>
      <c r="AM2211" s="211"/>
      <c r="AN2211" s="164"/>
      <c r="AO2211" s="76"/>
      <c r="AP2211" s="44"/>
      <c r="AQ2211" s="275"/>
      <c r="AR2211" s="52"/>
      <c r="AS2211" s="35"/>
      <c r="AT2211" s="79"/>
      <c r="AU2211" s="212"/>
      <c r="AV2211" s="164"/>
      <c r="AW2211" s="164"/>
      <c r="AX2211" s="76"/>
      <c r="AY2211" s="44"/>
      <c r="AZ2211" s="275"/>
      <c r="BA2211" s="52"/>
      <c r="BB2211" s="35"/>
      <c r="BC2211" s="79"/>
      <c r="BD2211" s="230"/>
      <c r="BE2211" s="211"/>
      <c r="BF2211" s="164"/>
      <c r="BG2211" s="76"/>
      <c r="BH2211" s="44"/>
      <c r="BI2211" s="275"/>
      <c r="BJ2211" s="52"/>
      <c r="BK2211" s="35"/>
      <c r="BL2211" s="79"/>
      <c r="BM2211" s="230"/>
      <c r="BN2211" s="211"/>
      <c r="BO2211" s="164"/>
      <c r="BP2211" s="76"/>
      <c r="BQ2211" s="44"/>
      <c r="BR2211" s="299"/>
      <c r="BS2211" s="52"/>
      <c r="BT2211" s="35"/>
      <c r="BU2211" s="79"/>
      <c r="BV2211" s="212"/>
      <c r="BW2211" s="304"/>
      <c r="BX2211" s="313"/>
      <c r="BY2211" s="138"/>
    </row>
    <row r="2212" spans="1:77" ht="15" customHeight="1" outlineLevel="1" x14ac:dyDescent="0.2">
      <c r="A2212" s="583" t="s">
        <v>37</v>
      </c>
      <c r="B2212" s="583"/>
      <c r="C2212" s="162" t="s">
        <v>1080</v>
      </c>
      <c r="D2212" s="812">
        <v>11.246</v>
      </c>
      <c r="E2212" s="162" t="s">
        <v>631</v>
      </c>
      <c r="F2212" s="729"/>
      <c r="G2212" s="730"/>
      <c r="H2212" s="73"/>
      <c r="I2212" s="90">
        <v>2009</v>
      </c>
      <c r="J2212" s="73"/>
      <c r="K2212" s="734">
        <v>2.3692999999999999E-2</v>
      </c>
      <c r="L2212" s="717"/>
      <c r="M2212" s="73"/>
      <c r="N2212" s="811"/>
      <c r="O2212" s="1041"/>
      <c r="P2212" s="73"/>
      <c r="Q2212" s="811"/>
      <c r="R2212" s="1041"/>
      <c r="S2212" s="73"/>
      <c r="T2212" s="811"/>
      <c r="U2212" s="73"/>
      <c r="V2212" s="66"/>
      <c r="W2212" s="788">
        <f t="shared" si="1913"/>
        <v>1.6585099999999998E-5</v>
      </c>
      <c r="X2212" s="789">
        <f t="shared" si="1914"/>
        <v>1.6585099999999998E-5</v>
      </c>
      <c r="Y2212" s="52">
        <v>2010</v>
      </c>
      <c r="Z2212" s="52"/>
      <c r="AA2212" s="739">
        <f t="shared" ref="AA2212:AA2217" si="1954">+K2212/1000</f>
        <v>2.3692999999999998E-5</v>
      </c>
      <c r="AB2212" s="256">
        <v>-0.3</v>
      </c>
      <c r="AC2212" s="688">
        <f t="shared" si="1915"/>
        <v>-0.3</v>
      </c>
      <c r="AD2212" s="164"/>
      <c r="AE2212" s="164"/>
      <c r="AF2212" s="25"/>
      <c r="AG2212" s="26"/>
      <c r="AH2212" s="275"/>
      <c r="AI2212" s="52"/>
      <c r="AJ2212" s="35"/>
      <c r="AK2212" s="289"/>
      <c r="AL2212" s="290"/>
      <c r="AM2212" s="211"/>
      <c r="AN2212" s="164"/>
      <c r="AO2212" s="76"/>
      <c r="AP2212" s="44"/>
      <c r="AQ2212" s="275"/>
      <c r="AR2212" s="52"/>
      <c r="AS2212" s="35"/>
      <c r="AT2212" s="79"/>
      <c r="AU2212" s="212"/>
      <c r="AV2212" s="164"/>
      <c r="AW2212" s="164"/>
      <c r="AX2212" s="76"/>
      <c r="AY2212" s="44"/>
      <c r="AZ2212" s="275"/>
      <c r="BA2212" s="52"/>
      <c r="BB2212" s="35"/>
      <c r="BC2212" s="79"/>
      <c r="BD2212" s="230"/>
      <c r="BE2212" s="211"/>
      <c r="BF2212" s="164"/>
      <c r="BG2212" s="76"/>
      <c r="BH2212" s="44"/>
      <c r="BI2212" s="275"/>
      <c r="BJ2212" s="52"/>
      <c r="BK2212" s="35"/>
      <c r="BL2212" s="79"/>
      <c r="BM2212" s="230"/>
      <c r="BN2212" s="211"/>
      <c r="BO2212" s="164"/>
      <c r="BP2212" s="76"/>
      <c r="BQ2212" s="44"/>
      <c r="BR2212" s="299"/>
      <c r="BS2212" s="52"/>
      <c r="BT2212" s="35"/>
      <c r="BU2212" s="79"/>
      <c r="BV2212" s="212"/>
      <c r="BW2212" s="304"/>
      <c r="BX2212" s="313"/>
      <c r="BY2212" s="138"/>
    </row>
    <row r="2213" spans="1:77" ht="15" customHeight="1" outlineLevel="1" x14ac:dyDescent="0.2">
      <c r="A2213" s="583" t="s">
        <v>37</v>
      </c>
      <c r="B2213" s="583"/>
      <c r="C2213" s="162" t="s">
        <v>2694</v>
      </c>
      <c r="D2213" s="812">
        <v>5.0179999999999998</v>
      </c>
      <c r="E2213" s="162" t="s">
        <v>631</v>
      </c>
      <c r="F2213" s="729"/>
      <c r="G2213" s="730"/>
      <c r="H2213" s="73"/>
      <c r="I2213" s="90"/>
      <c r="J2213" s="73"/>
      <c r="K2213" s="734">
        <v>4.4901999999999997E-2</v>
      </c>
      <c r="L2213" s="717"/>
      <c r="M2213" s="73"/>
      <c r="N2213" s="811"/>
      <c r="O2213" s="1041"/>
      <c r="P2213" s="73"/>
      <c r="Q2213" s="811"/>
      <c r="R2213" s="1041"/>
      <c r="S2213" s="73"/>
      <c r="T2213" s="811"/>
      <c r="U2213" s="73"/>
      <c r="V2213" s="66"/>
      <c r="W2213" s="788">
        <f t="shared" ref="W2213" si="1955">AA2213*(1+AB2213)</f>
        <v>2.6492180000000002E-5</v>
      </c>
      <c r="X2213" s="789">
        <f t="shared" ref="X2213" si="1956">AA2213*(1+AC2213)</f>
        <v>2.6492180000000002E-5</v>
      </c>
      <c r="Y2213" s="52">
        <v>2005</v>
      </c>
      <c r="Z2213" s="52"/>
      <c r="AA2213" s="787">
        <f t="shared" si="1954"/>
        <v>4.4901999999999998E-5</v>
      </c>
      <c r="AB2213" s="256">
        <v>-0.41</v>
      </c>
      <c r="AC2213" s="688">
        <f t="shared" ref="AC2213" si="1957">AB2213</f>
        <v>-0.41</v>
      </c>
      <c r="AD2213" s="164"/>
      <c r="AE2213" s="164"/>
      <c r="AF2213" s="25"/>
      <c r="AG2213" s="26"/>
      <c r="AH2213" s="275"/>
      <c r="AI2213" s="52"/>
      <c r="AJ2213" s="35"/>
      <c r="AK2213" s="289"/>
      <c r="AL2213" s="290"/>
      <c r="AM2213" s="211"/>
      <c r="AN2213" s="164"/>
      <c r="AO2213" s="76"/>
      <c r="AP2213" s="44"/>
      <c r="AQ2213" s="275"/>
      <c r="AR2213" s="52"/>
      <c r="AS2213" s="35"/>
      <c r="AT2213" s="79"/>
      <c r="AU2213" s="212"/>
      <c r="AV2213" s="164"/>
      <c r="AW2213" s="164"/>
      <c r="AX2213" s="76"/>
      <c r="AY2213" s="44"/>
      <c r="AZ2213" s="275"/>
      <c r="BA2213" s="52"/>
      <c r="BB2213" s="35"/>
      <c r="BC2213" s="79"/>
      <c r="BD2213" s="230"/>
      <c r="BE2213" s="211"/>
      <c r="BF2213" s="164"/>
      <c r="BG2213" s="76"/>
      <c r="BH2213" s="44"/>
      <c r="BI2213" s="275"/>
      <c r="BJ2213" s="52"/>
      <c r="BK2213" s="35"/>
      <c r="BL2213" s="79"/>
      <c r="BM2213" s="230"/>
      <c r="BN2213" s="211"/>
      <c r="BO2213" s="164"/>
      <c r="BP2213" s="76"/>
      <c r="BQ2213" s="44"/>
      <c r="BR2213" s="299"/>
      <c r="BS2213" s="52"/>
      <c r="BT2213" s="35"/>
      <c r="BU2213" s="79"/>
      <c r="BV2213" s="212"/>
      <c r="BW2213" s="304"/>
      <c r="BX2213" s="313"/>
      <c r="BY2213" s="138"/>
    </row>
    <row r="2214" spans="1:77" ht="15" customHeight="1" outlineLevel="1" x14ac:dyDescent="0.2">
      <c r="A2214" s="583" t="s">
        <v>37</v>
      </c>
      <c r="B2214" s="583"/>
      <c r="C2214" s="162" t="s">
        <v>1121</v>
      </c>
      <c r="D2214" s="806">
        <v>0.14000000000000001</v>
      </c>
      <c r="E2214" s="162" t="s">
        <v>631</v>
      </c>
      <c r="F2214" s="729"/>
      <c r="G2214" s="730"/>
      <c r="H2214" s="73"/>
      <c r="I2214" s="90">
        <v>2007</v>
      </c>
      <c r="J2214" s="73"/>
      <c r="K2214" s="790">
        <v>6.6739999999999996E-4</v>
      </c>
      <c r="L2214" s="717"/>
      <c r="M2214" s="73"/>
      <c r="N2214" s="811"/>
      <c r="O2214" s="1041"/>
      <c r="P2214" s="73"/>
      <c r="Q2214" s="811"/>
      <c r="R2214" s="1041"/>
      <c r="S2214" s="73"/>
      <c r="T2214" s="811"/>
      <c r="U2214" s="73"/>
      <c r="V2214" s="66"/>
      <c r="W2214" s="808">
        <f t="shared" si="1913"/>
        <v>4.6050599999999993E-7</v>
      </c>
      <c r="X2214" s="809">
        <f t="shared" si="1914"/>
        <v>4.6050599999999993E-7</v>
      </c>
      <c r="Y2214" s="52">
        <v>2007</v>
      </c>
      <c r="Z2214" s="52"/>
      <c r="AA2214" s="807">
        <f t="shared" si="1954"/>
        <v>6.6739999999999995E-7</v>
      </c>
      <c r="AB2214" s="256">
        <v>-0.31</v>
      </c>
      <c r="AC2214" s="688">
        <f t="shared" si="1915"/>
        <v>-0.31</v>
      </c>
      <c r="AD2214" s="164"/>
      <c r="AE2214" s="164"/>
      <c r="AF2214" s="25"/>
      <c r="AG2214" s="26"/>
      <c r="AH2214" s="275"/>
      <c r="AI2214" s="52"/>
      <c r="AJ2214" s="35"/>
      <c r="AK2214" s="289"/>
      <c r="AL2214" s="290"/>
      <c r="AM2214" s="211"/>
      <c r="AN2214" s="164"/>
      <c r="AO2214" s="76"/>
      <c r="AP2214" s="44"/>
      <c r="AQ2214" s="275"/>
      <c r="AR2214" s="52"/>
      <c r="AS2214" s="35"/>
      <c r="AT2214" s="79"/>
      <c r="AU2214" s="212"/>
      <c r="AV2214" s="164"/>
      <c r="AW2214" s="164"/>
      <c r="AX2214" s="76"/>
      <c r="AY2214" s="44"/>
      <c r="AZ2214" s="275"/>
      <c r="BA2214" s="52"/>
      <c r="BB2214" s="35"/>
      <c r="BC2214" s="79"/>
      <c r="BD2214" s="230"/>
      <c r="BE2214" s="211"/>
      <c r="BF2214" s="164"/>
      <c r="BG2214" s="76"/>
      <c r="BH2214" s="44"/>
      <c r="BI2214" s="275"/>
      <c r="BJ2214" s="52"/>
      <c r="BK2214" s="35"/>
      <c r="BL2214" s="79"/>
      <c r="BM2214" s="230"/>
      <c r="BN2214" s="211"/>
      <c r="BO2214" s="164"/>
      <c r="BP2214" s="76"/>
      <c r="BQ2214" s="44"/>
      <c r="BR2214" s="299"/>
      <c r="BS2214" s="52"/>
      <c r="BT2214" s="35"/>
      <c r="BU2214" s="79"/>
      <c r="BV2214" s="212"/>
      <c r="BW2214" s="304"/>
      <c r="BX2214" s="313"/>
      <c r="BY2214" s="138"/>
    </row>
    <row r="2215" spans="1:77" ht="15" customHeight="1" outlineLevel="1" x14ac:dyDescent="0.2">
      <c r="A2215" s="583" t="s">
        <v>37</v>
      </c>
      <c r="B2215" s="583"/>
      <c r="C2215" s="162" t="s">
        <v>1094</v>
      </c>
      <c r="D2215" s="806">
        <v>0.47799999999999998</v>
      </c>
      <c r="E2215" s="162" t="s">
        <v>631</v>
      </c>
      <c r="F2215" s="729"/>
      <c r="G2215" s="730"/>
      <c r="H2215" s="73"/>
      <c r="I2215" s="90">
        <v>2007</v>
      </c>
      <c r="J2215" s="73"/>
      <c r="K2215" s="790">
        <v>2.2859999999999998E-3</v>
      </c>
      <c r="L2215" s="717"/>
      <c r="M2215" s="73"/>
      <c r="N2215" s="811"/>
      <c r="O2215" s="1041"/>
      <c r="P2215" s="73"/>
      <c r="Q2215" s="811"/>
      <c r="R2215" s="1041"/>
      <c r="S2215" s="73"/>
      <c r="T2215" s="811"/>
      <c r="U2215" s="73"/>
      <c r="V2215" s="66"/>
      <c r="W2215" s="788">
        <f t="shared" ref="W2215:W2293" si="1958">AA2215*(1+AB2215)</f>
        <v>1.7144999999999998E-6</v>
      </c>
      <c r="X2215" s="789">
        <f t="shared" ref="X2215:X2293" si="1959">AA2215*(1+AC2215)</f>
        <v>1.7144999999999998E-6</v>
      </c>
      <c r="Y2215" s="52">
        <v>2007</v>
      </c>
      <c r="Z2215" s="52"/>
      <c r="AA2215" s="787">
        <f t="shared" si="1954"/>
        <v>2.2859999999999998E-6</v>
      </c>
      <c r="AB2215" s="256">
        <v>-0.25</v>
      </c>
      <c r="AC2215" s="688">
        <f t="shared" ref="AC2215:AC2237" si="1960">AB2215</f>
        <v>-0.25</v>
      </c>
      <c r="AD2215" s="164"/>
      <c r="AE2215" s="164"/>
      <c r="AF2215" s="25"/>
      <c r="AG2215" s="26"/>
      <c r="AH2215" s="275"/>
      <c r="AI2215" s="52"/>
      <c r="AJ2215" s="35"/>
      <c r="AK2215" s="289"/>
      <c r="AL2215" s="290"/>
      <c r="AM2215" s="211"/>
      <c r="AN2215" s="164"/>
      <c r="AO2215" s="76"/>
      <c r="AP2215" s="44"/>
      <c r="AQ2215" s="275"/>
      <c r="AR2215" s="52"/>
      <c r="AS2215" s="35"/>
      <c r="AT2215" s="79"/>
      <c r="AU2215" s="212"/>
      <c r="AV2215" s="164"/>
      <c r="AW2215" s="164"/>
      <c r="AX2215" s="76"/>
      <c r="AY2215" s="44"/>
      <c r="AZ2215" s="275"/>
      <c r="BA2215" s="52"/>
      <c r="BB2215" s="35"/>
      <c r="BC2215" s="79"/>
      <c r="BD2215" s="230"/>
      <c r="BE2215" s="211"/>
      <c r="BF2215" s="164"/>
      <c r="BG2215" s="76"/>
      <c r="BH2215" s="44"/>
      <c r="BI2215" s="275"/>
      <c r="BJ2215" s="52"/>
      <c r="BK2215" s="35"/>
      <c r="BL2215" s="79"/>
      <c r="BM2215" s="230"/>
      <c r="BN2215" s="211"/>
      <c r="BO2215" s="164"/>
      <c r="BP2215" s="76"/>
      <c r="BQ2215" s="44"/>
      <c r="BR2215" s="299"/>
      <c r="BS2215" s="52"/>
      <c r="BT2215" s="35"/>
      <c r="BU2215" s="79"/>
      <c r="BV2215" s="212"/>
      <c r="BW2215" s="304"/>
      <c r="BX2215" s="313"/>
      <c r="BY2215" s="138"/>
    </row>
    <row r="2216" spans="1:77" ht="15" customHeight="1" outlineLevel="1" x14ac:dyDescent="0.2">
      <c r="A2216" s="583" t="s">
        <v>37</v>
      </c>
      <c r="B2216" s="583"/>
      <c r="C2216" s="162" t="s">
        <v>1062</v>
      </c>
      <c r="D2216" s="812">
        <v>16.138999999999999</v>
      </c>
      <c r="E2216" s="162" t="s">
        <v>631</v>
      </c>
      <c r="F2216" s="729"/>
      <c r="G2216" s="730"/>
      <c r="H2216" s="73"/>
      <c r="I2216" s="90">
        <v>2007</v>
      </c>
      <c r="J2216" s="73"/>
      <c r="K2216" s="813">
        <v>7.8201000000000007E-2</v>
      </c>
      <c r="L2216" s="717"/>
      <c r="M2216" s="73"/>
      <c r="N2216" s="811"/>
      <c r="O2216" s="1041"/>
      <c r="P2216" s="73"/>
      <c r="Q2216" s="811"/>
      <c r="R2216" s="1041"/>
      <c r="S2216" s="73"/>
      <c r="T2216" s="811"/>
      <c r="U2216" s="73"/>
      <c r="V2216" s="66"/>
      <c r="W2216" s="740">
        <f t="shared" si="1958"/>
        <v>4.6920599999999999E-5</v>
      </c>
      <c r="X2216" s="741">
        <f t="shared" si="1959"/>
        <v>4.6920599999999999E-5</v>
      </c>
      <c r="Y2216" s="52">
        <v>2007</v>
      </c>
      <c r="Z2216" s="52"/>
      <c r="AA2216" s="739">
        <f t="shared" si="1954"/>
        <v>7.8201000000000006E-5</v>
      </c>
      <c r="AB2216" s="256">
        <v>-0.4</v>
      </c>
      <c r="AC2216" s="688">
        <f t="shared" si="1960"/>
        <v>-0.4</v>
      </c>
      <c r="AD2216" s="164"/>
      <c r="AE2216" s="164"/>
      <c r="AF2216" s="25"/>
      <c r="AG2216" s="26"/>
      <c r="AH2216" s="275"/>
      <c r="AI2216" s="52"/>
      <c r="AJ2216" s="35"/>
      <c r="AK2216" s="289"/>
      <c r="AL2216" s="290"/>
      <c r="AM2216" s="211"/>
      <c r="AN2216" s="164"/>
      <c r="AO2216" s="76"/>
      <c r="AP2216" s="44"/>
      <c r="AQ2216" s="275"/>
      <c r="AR2216" s="52"/>
      <c r="AS2216" s="35"/>
      <c r="AT2216" s="79"/>
      <c r="AU2216" s="212"/>
      <c r="AV2216" s="164"/>
      <c r="AW2216" s="164"/>
      <c r="AX2216" s="76"/>
      <c r="AY2216" s="44"/>
      <c r="AZ2216" s="275"/>
      <c r="BA2216" s="52"/>
      <c r="BB2216" s="35"/>
      <c r="BC2216" s="79"/>
      <c r="BD2216" s="230"/>
      <c r="BE2216" s="211"/>
      <c r="BF2216" s="164"/>
      <c r="BG2216" s="76"/>
      <c r="BH2216" s="44"/>
      <c r="BI2216" s="275"/>
      <c r="BJ2216" s="52"/>
      <c r="BK2216" s="35"/>
      <c r="BL2216" s="79"/>
      <c r="BM2216" s="230"/>
      <c r="BN2216" s="211"/>
      <c r="BO2216" s="164"/>
      <c r="BP2216" s="76"/>
      <c r="BQ2216" s="44"/>
      <c r="BR2216" s="299"/>
      <c r="BS2216" s="52"/>
      <c r="BT2216" s="35"/>
      <c r="BU2216" s="79"/>
      <c r="BV2216" s="212"/>
      <c r="BW2216" s="304"/>
      <c r="BX2216" s="313"/>
      <c r="BY2216" s="138"/>
    </row>
    <row r="2217" spans="1:77" ht="15" customHeight="1" outlineLevel="1" x14ac:dyDescent="0.2">
      <c r="A2217" s="583" t="s">
        <v>37</v>
      </c>
      <c r="B2217" s="583"/>
      <c r="C2217" s="162" t="s">
        <v>1022</v>
      </c>
      <c r="D2217" s="812">
        <v>24.866</v>
      </c>
      <c r="E2217" s="162" t="s">
        <v>631</v>
      </c>
      <c r="F2217" s="729"/>
      <c r="G2217" s="730"/>
      <c r="H2217" s="73"/>
      <c r="I2217" s="90">
        <v>2007</v>
      </c>
      <c r="J2217" s="73"/>
      <c r="K2217" s="66">
        <v>0.134711</v>
      </c>
      <c r="L2217" s="717"/>
      <c r="M2217" s="73"/>
      <c r="N2217" s="811"/>
      <c r="O2217" s="1041"/>
      <c r="P2217" s="73"/>
      <c r="Q2217" s="811"/>
      <c r="R2217" s="1041"/>
      <c r="S2217" s="73"/>
      <c r="T2217" s="811"/>
      <c r="U2217" s="73"/>
      <c r="V2217" s="66"/>
      <c r="W2217" s="740">
        <f t="shared" si="1958"/>
        <v>6.3314169999999996E-5</v>
      </c>
      <c r="X2217" s="741">
        <f t="shared" si="1959"/>
        <v>6.3314169999999996E-5</v>
      </c>
      <c r="Y2217" s="52">
        <v>2007</v>
      </c>
      <c r="Z2217" s="52"/>
      <c r="AA2217" s="739">
        <f t="shared" si="1954"/>
        <v>1.3471100000000001E-4</v>
      </c>
      <c r="AB2217" s="256">
        <v>-0.53</v>
      </c>
      <c r="AC2217" s="688">
        <f t="shared" si="1960"/>
        <v>-0.53</v>
      </c>
      <c r="AD2217" s="164"/>
      <c r="AE2217" s="164"/>
      <c r="AF2217" s="25"/>
      <c r="AG2217" s="26"/>
      <c r="AH2217" s="275"/>
      <c r="AI2217" s="52"/>
      <c r="AJ2217" s="35"/>
      <c r="AK2217" s="289"/>
      <c r="AL2217" s="290"/>
      <c r="AM2217" s="211"/>
      <c r="AN2217" s="164"/>
      <c r="AO2217" s="76"/>
      <c r="AP2217" s="44"/>
      <c r="AQ2217" s="275"/>
      <c r="AR2217" s="52"/>
      <c r="AS2217" s="35"/>
      <c r="AT2217" s="79"/>
      <c r="AU2217" s="212"/>
      <c r="AV2217" s="164"/>
      <c r="AW2217" s="164"/>
      <c r="AX2217" s="76"/>
      <c r="AY2217" s="44"/>
      <c r="AZ2217" s="275"/>
      <c r="BA2217" s="52"/>
      <c r="BB2217" s="35"/>
      <c r="BC2217" s="79"/>
      <c r="BD2217" s="230"/>
      <c r="BE2217" s="211"/>
      <c r="BF2217" s="164"/>
      <c r="BG2217" s="76"/>
      <c r="BH2217" s="44"/>
      <c r="BI2217" s="275"/>
      <c r="BJ2217" s="52"/>
      <c r="BK2217" s="35"/>
      <c r="BL2217" s="79"/>
      <c r="BM2217" s="230"/>
      <c r="BN2217" s="211"/>
      <c r="BO2217" s="164"/>
      <c r="BP2217" s="76"/>
      <c r="BQ2217" s="44"/>
      <c r="BR2217" s="299"/>
      <c r="BS2217" s="52"/>
      <c r="BT2217" s="35"/>
      <c r="BU2217" s="79"/>
      <c r="BV2217" s="212"/>
      <c r="BW2217" s="304"/>
      <c r="BX2217" s="313"/>
      <c r="BY2217" s="138"/>
    </row>
    <row r="2218" spans="1:77" ht="15" customHeight="1" outlineLevel="1" x14ac:dyDescent="0.2">
      <c r="A2218" s="583" t="s">
        <v>37</v>
      </c>
      <c r="B2218" s="583"/>
      <c r="C2218" s="162" t="s">
        <v>1228</v>
      </c>
      <c r="D2218" s="810">
        <v>4.8000000000000001E-2</v>
      </c>
      <c r="E2218" s="162" t="s">
        <v>631</v>
      </c>
      <c r="F2218" s="729"/>
      <c r="G2218" s="730"/>
      <c r="H2218" s="73"/>
      <c r="I2218" s="90"/>
      <c r="J2218" s="73"/>
      <c r="K2218" s="734"/>
      <c r="L2218" s="717">
        <v>2013</v>
      </c>
      <c r="M2218" s="73"/>
      <c r="N2218" s="811">
        <v>1.1068E-4</v>
      </c>
      <c r="O2218" s="1041">
        <v>2013</v>
      </c>
      <c r="P2218" s="73"/>
      <c r="Q2218" s="811">
        <v>1.1068E-4</v>
      </c>
      <c r="R2218" s="1041"/>
      <c r="S2218" s="73"/>
      <c r="T2218" s="811"/>
      <c r="U2218" s="73"/>
      <c r="V2218" s="66"/>
      <c r="W2218" s="808">
        <f t="shared" si="1958"/>
        <v>7.8582799999999999E-8</v>
      </c>
      <c r="X2218" s="809">
        <f t="shared" si="1959"/>
        <v>7.8582799999999999E-8</v>
      </c>
      <c r="Y2218" s="52">
        <v>2013</v>
      </c>
      <c r="Z2218" s="52"/>
      <c r="AA2218" s="807">
        <f>+N2218/1000</f>
        <v>1.1068000000000001E-7</v>
      </c>
      <c r="AB2218" s="256">
        <v>-0.28999999999999998</v>
      </c>
      <c r="AC2218" s="688">
        <f t="shared" si="1960"/>
        <v>-0.28999999999999998</v>
      </c>
      <c r="AD2218" s="164"/>
      <c r="AE2218" s="164"/>
      <c r="AF2218" s="25"/>
      <c r="AG2218" s="26"/>
      <c r="AH2218" s="275"/>
      <c r="AI2218" s="52"/>
      <c r="AJ2218" s="35"/>
      <c r="AK2218" s="289"/>
      <c r="AL2218" s="290"/>
      <c r="AM2218" s="211"/>
      <c r="AN2218" s="164"/>
      <c r="AO2218" s="76"/>
      <c r="AP2218" s="44"/>
      <c r="AQ2218" s="275"/>
      <c r="AR2218" s="52"/>
      <c r="AS2218" s="35"/>
      <c r="AT2218" s="79"/>
      <c r="AU2218" s="212"/>
      <c r="AV2218" s="164"/>
      <c r="AW2218" s="164"/>
      <c r="AX2218" s="76"/>
      <c r="AY2218" s="44"/>
      <c r="AZ2218" s="275"/>
      <c r="BA2218" s="52"/>
      <c r="BB2218" s="35"/>
      <c r="BC2218" s="79"/>
      <c r="BD2218" s="230"/>
      <c r="BE2218" s="211"/>
      <c r="BF2218" s="164"/>
      <c r="BG2218" s="76"/>
      <c r="BH2218" s="44"/>
      <c r="BI2218" s="275"/>
      <c r="BJ2218" s="52"/>
      <c r="BK2218" s="35"/>
      <c r="BL2218" s="79"/>
      <c r="BM2218" s="230"/>
      <c r="BN2218" s="211"/>
      <c r="BO2218" s="164"/>
      <c r="BP2218" s="76"/>
      <c r="BQ2218" s="44"/>
      <c r="BR2218" s="299"/>
      <c r="BS2218" s="52"/>
      <c r="BT2218" s="35"/>
      <c r="BU2218" s="79"/>
      <c r="BV2218" s="212"/>
      <c r="BW2218" s="304"/>
      <c r="BX2218" s="313"/>
      <c r="BY2218" s="138"/>
    </row>
    <row r="2219" spans="1:77" ht="15" customHeight="1" outlineLevel="1" x14ac:dyDescent="0.2">
      <c r="A2219" s="583" t="s">
        <v>37</v>
      </c>
      <c r="B2219" s="583"/>
      <c r="C2219" s="162" t="s">
        <v>2688</v>
      </c>
      <c r="D2219" s="812">
        <v>10.502000000000001</v>
      </c>
      <c r="E2219" s="162" t="s">
        <v>631</v>
      </c>
      <c r="F2219" s="729"/>
      <c r="G2219" s="730"/>
      <c r="H2219" s="73"/>
      <c r="I2219" s="90"/>
      <c r="J2219" s="73"/>
      <c r="K2219" s="734">
        <v>8.3433999999999994E-2</v>
      </c>
      <c r="L2219" s="717"/>
      <c r="M2219" s="73"/>
      <c r="N2219" s="811"/>
      <c r="O2219" s="1041"/>
      <c r="P2219" s="73"/>
      <c r="Q2219" s="811"/>
      <c r="R2219" s="1041"/>
      <c r="S2219" s="73"/>
      <c r="T2219" s="811"/>
      <c r="U2219" s="73"/>
      <c r="V2219" s="66"/>
      <c r="W2219" s="740">
        <f t="shared" ref="W2219" si="1961">AA2219*(1+AB2219)</f>
        <v>5.6735119999999986E-5</v>
      </c>
      <c r="X2219" s="741">
        <f t="shared" ref="X2219" si="1962">AA2219*(1+AC2219)</f>
        <v>5.6735119999999986E-5</v>
      </c>
      <c r="Y2219" s="52">
        <v>2005</v>
      </c>
      <c r="Z2219" s="52"/>
      <c r="AA2219" s="739">
        <f>+K2219/1000</f>
        <v>8.3433999999999988E-5</v>
      </c>
      <c r="AB2219" s="256">
        <v>-0.32</v>
      </c>
      <c r="AC2219" s="688">
        <f t="shared" ref="AC2219" si="1963">AB2219</f>
        <v>-0.32</v>
      </c>
      <c r="AD2219" s="164"/>
      <c r="AE2219" s="164"/>
      <c r="AF2219" s="25"/>
      <c r="AG2219" s="26"/>
      <c r="AH2219" s="275"/>
      <c r="AI2219" s="52"/>
      <c r="AJ2219" s="35"/>
      <c r="AK2219" s="289"/>
      <c r="AL2219" s="290"/>
      <c r="AM2219" s="211"/>
      <c r="AN2219" s="164"/>
      <c r="AO2219" s="76"/>
      <c r="AP2219" s="44"/>
      <c r="AQ2219" s="275"/>
      <c r="AR2219" s="52"/>
      <c r="AS2219" s="35"/>
      <c r="AT2219" s="79"/>
      <c r="AU2219" s="212"/>
      <c r="AV2219" s="164"/>
      <c r="AW2219" s="164"/>
      <c r="AX2219" s="76"/>
      <c r="AY2219" s="44"/>
      <c r="AZ2219" s="275"/>
      <c r="BA2219" s="52"/>
      <c r="BB2219" s="35"/>
      <c r="BC2219" s="79"/>
      <c r="BD2219" s="230"/>
      <c r="BE2219" s="211"/>
      <c r="BF2219" s="164"/>
      <c r="BG2219" s="76"/>
      <c r="BH2219" s="44"/>
      <c r="BI2219" s="275"/>
      <c r="BJ2219" s="52"/>
      <c r="BK2219" s="35"/>
      <c r="BL2219" s="79"/>
      <c r="BM2219" s="230"/>
      <c r="BN2219" s="211"/>
      <c r="BO2219" s="164"/>
      <c r="BP2219" s="76"/>
      <c r="BQ2219" s="44"/>
      <c r="BR2219" s="299"/>
      <c r="BS2219" s="52"/>
      <c r="BT2219" s="35"/>
      <c r="BU2219" s="79"/>
      <c r="BV2219" s="212"/>
      <c r="BW2219" s="304"/>
      <c r="BX2219" s="313"/>
      <c r="BY2219" s="138"/>
    </row>
    <row r="2220" spans="1:77" ht="15" customHeight="1" outlineLevel="1" x14ac:dyDescent="0.2">
      <c r="A2220" s="583" t="s">
        <v>37</v>
      </c>
      <c r="B2220" s="583"/>
      <c r="C2220" s="162" t="s">
        <v>1183</v>
      </c>
      <c r="D2220" s="812">
        <v>2.2930000000000001</v>
      </c>
      <c r="E2220" s="162" t="s">
        <v>631</v>
      </c>
      <c r="F2220" s="729"/>
      <c r="G2220" s="730"/>
      <c r="H2220" s="73"/>
      <c r="I2220" s="90"/>
      <c r="J2220" s="73"/>
      <c r="K2220" s="734">
        <v>1.1776999999999999E-2</v>
      </c>
      <c r="L2220" s="717"/>
      <c r="M2220" s="73"/>
      <c r="N2220" s="811"/>
      <c r="O2220" s="1041"/>
      <c r="P2220" s="73"/>
      <c r="Q2220" s="811"/>
      <c r="R2220" s="1041"/>
      <c r="S2220" s="73"/>
      <c r="T2220" s="811"/>
      <c r="U2220" s="73"/>
      <c r="V2220" s="66"/>
      <c r="W2220" s="740">
        <f t="shared" si="1958"/>
        <v>8.4794399999999999E-6</v>
      </c>
      <c r="X2220" s="835">
        <f>W2220</f>
        <v>8.4794399999999999E-6</v>
      </c>
      <c r="Y2220" s="52">
        <v>2001</v>
      </c>
      <c r="Z2220" s="52"/>
      <c r="AA2220" s="739">
        <f>+K2220/1000</f>
        <v>1.1776999999999999E-5</v>
      </c>
      <c r="AB2220" s="256">
        <v>-0.28000000000000003</v>
      </c>
      <c r="AC2220" s="688">
        <f t="shared" si="1960"/>
        <v>-0.28000000000000003</v>
      </c>
      <c r="AD2220" s="164"/>
      <c r="AE2220" s="164"/>
      <c r="AF2220" s="25"/>
      <c r="AG2220" s="26"/>
      <c r="AH2220" s="275"/>
      <c r="AI2220" s="52"/>
      <c r="AJ2220" s="35"/>
      <c r="AK2220" s="289"/>
      <c r="AL2220" s="290"/>
      <c r="AM2220" s="211"/>
      <c r="AN2220" s="164"/>
      <c r="AO2220" s="76"/>
      <c r="AP2220" s="44"/>
      <c r="AQ2220" s="275"/>
      <c r="AR2220" s="52"/>
      <c r="AS2220" s="35"/>
      <c r="AT2220" s="79"/>
      <c r="AU2220" s="212"/>
      <c r="AV2220" s="164"/>
      <c r="AW2220" s="164"/>
      <c r="AX2220" s="76"/>
      <c r="AY2220" s="44"/>
      <c r="AZ2220" s="275"/>
      <c r="BA2220" s="52"/>
      <c r="BB2220" s="35"/>
      <c r="BC2220" s="79"/>
      <c r="BD2220" s="230"/>
      <c r="BE2220" s="211"/>
      <c r="BF2220" s="164"/>
      <c r="BG2220" s="76"/>
      <c r="BH2220" s="44"/>
      <c r="BI2220" s="275"/>
      <c r="BJ2220" s="52"/>
      <c r="BK2220" s="35"/>
      <c r="BL2220" s="79"/>
      <c r="BM2220" s="230"/>
      <c r="BN2220" s="211"/>
      <c r="BO2220" s="164"/>
      <c r="BP2220" s="76"/>
      <c r="BQ2220" s="44"/>
      <c r="BR2220" s="299"/>
      <c r="BS2220" s="52"/>
      <c r="BT2220" s="35"/>
      <c r="BU2220" s="79"/>
      <c r="BV2220" s="212"/>
      <c r="BW2220" s="304"/>
      <c r="BX2220" s="313"/>
      <c r="BY2220" s="138"/>
    </row>
    <row r="2221" spans="1:77" ht="15" customHeight="1" outlineLevel="1" x14ac:dyDescent="0.2">
      <c r="A2221" s="583" t="s">
        <v>37</v>
      </c>
      <c r="B2221" s="583"/>
      <c r="C2221" s="162" t="s">
        <v>1056</v>
      </c>
      <c r="D2221" s="812">
        <v>4.8239999999999998</v>
      </c>
      <c r="E2221" s="162" t="s">
        <v>631</v>
      </c>
      <c r="F2221" s="729"/>
      <c r="G2221" s="730"/>
      <c r="H2221" s="73"/>
      <c r="I2221" s="90">
        <v>2008</v>
      </c>
      <c r="J2221" s="73"/>
      <c r="K2221" s="790">
        <v>3.7490000000000002E-3</v>
      </c>
      <c r="L2221" s="717"/>
      <c r="M2221" s="73"/>
      <c r="N2221" s="811"/>
      <c r="O2221" s="1041"/>
      <c r="P2221" s="73"/>
      <c r="Q2221" s="811"/>
      <c r="R2221" s="1041"/>
      <c r="S2221" s="73"/>
      <c r="T2221" s="811"/>
      <c r="U2221" s="73"/>
      <c r="V2221" s="66"/>
      <c r="W2221" s="788">
        <f t="shared" si="1958"/>
        <v>2.3618700000000002E-6</v>
      </c>
      <c r="X2221" s="789">
        <f t="shared" si="1959"/>
        <v>2.3618700000000002E-6</v>
      </c>
      <c r="Y2221" s="52">
        <v>2008</v>
      </c>
      <c r="Z2221" s="52"/>
      <c r="AA2221" s="787">
        <f>+K2221/1000</f>
        <v>3.749E-6</v>
      </c>
      <c r="AB2221" s="256">
        <v>-0.37</v>
      </c>
      <c r="AC2221" s="688">
        <f t="shared" si="1960"/>
        <v>-0.37</v>
      </c>
      <c r="AD2221" s="164"/>
      <c r="AE2221" s="164"/>
      <c r="AF2221" s="25"/>
      <c r="AG2221" s="26"/>
      <c r="AH2221" s="275"/>
      <c r="AI2221" s="52"/>
      <c r="AJ2221" s="35"/>
      <c r="AK2221" s="289"/>
      <c r="AL2221" s="290"/>
      <c r="AM2221" s="211"/>
      <c r="AN2221" s="164"/>
      <c r="AO2221" s="76"/>
      <c r="AP2221" s="44"/>
      <c r="AQ2221" s="275"/>
      <c r="AR2221" s="52"/>
      <c r="AS2221" s="35"/>
      <c r="AT2221" s="79"/>
      <c r="AU2221" s="212"/>
      <c r="AV2221" s="164"/>
      <c r="AW2221" s="164"/>
      <c r="AX2221" s="76"/>
      <c r="AY2221" s="44"/>
      <c r="AZ2221" s="275"/>
      <c r="BA2221" s="52"/>
      <c r="BB2221" s="35"/>
      <c r="BC2221" s="79"/>
      <c r="BD2221" s="230"/>
      <c r="BE2221" s="211"/>
      <c r="BF2221" s="164"/>
      <c r="BG2221" s="76"/>
      <c r="BH2221" s="44"/>
      <c r="BI2221" s="275"/>
      <c r="BJ2221" s="52"/>
      <c r="BK2221" s="35"/>
      <c r="BL2221" s="79"/>
      <c r="BM2221" s="230"/>
      <c r="BN2221" s="211"/>
      <c r="BO2221" s="164"/>
      <c r="BP2221" s="76"/>
      <c r="BQ2221" s="44"/>
      <c r="BR2221" s="299"/>
      <c r="BS2221" s="52"/>
      <c r="BT2221" s="35"/>
      <c r="BU2221" s="79"/>
      <c r="BV2221" s="212"/>
      <c r="BW2221" s="304"/>
      <c r="BX2221" s="313"/>
      <c r="BY2221" s="138"/>
    </row>
    <row r="2222" spans="1:77" ht="15" customHeight="1" outlineLevel="1" x14ac:dyDescent="0.2">
      <c r="A2222" s="583" t="s">
        <v>37</v>
      </c>
      <c r="B2222" s="583"/>
      <c r="C2222" s="162" t="s">
        <v>1042</v>
      </c>
      <c r="D2222" s="806">
        <v>0.56100000000000005</v>
      </c>
      <c r="E2222" s="162" t="s">
        <v>631</v>
      </c>
      <c r="F2222" s="729"/>
      <c r="G2222" s="730"/>
      <c r="H2222" s="73"/>
      <c r="I2222" s="90"/>
      <c r="J2222" s="73"/>
      <c r="K2222" s="790">
        <v>2.9030000000000002E-3</v>
      </c>
      <c r="L2222" s="717"/>
      <c r="M2222" s="73"/>
      <c r="N2222" s="811"/>
      <c r="O2222" s="1041"/>
      <c r="P2222" s="73"/>
      <c r="Q2222" s="811"/>
      <c r="R2222" s="1041"/>
      <c r="S2222" s="73"/>
      <c r="T2222" s="811"/>
      <c r="U2222" s="73"/>
      <c r="V2222" s="66"/>
      <c r="W2222" s="788">
        <f t="shared" si="1958"/>
        <v>2.1772500000000002E-6</v>
      </c>
      <c r="X2222" s="789">
        <f t="shared" si="1959"/>
        <v>2.1772500000000002E-6</v>
      </c>
      <c r="Y2222" s="52">
        <v>2005</v>
      </c>
      <c r="Z2222" s="52"/>
      <c r="AA2222" s="787">
        <f>+K2222/1000</f>
        <v>2.903E-6</v>
      </c>
      <c r="AB2222" s="256">
        <v>-0.25</v>
      </c>
      <c r="AC2222" s="688">
        <f t="shared" si="1960"/>
        <v>-0.25</v>
      </c>
      <c r="AD2222" s="164"/>
      <c r="AE2222" s="164"/>
      <c r="AF2222" s="25"/>
      <c r="AG2222" s="26"/>
      <c r="AH2222" s="275"/>
      <c r="AI2222" s="52"/>
      <c r="AJ2222" s="35"/>
      <c r="AK2222" s="289"/>
      <c r="AL2222" s="290"/>
      <c r="AM2222" s="211"/>
      <c r="AN2222" s="164"/>
      <c r="AO2222" s="76"/>
      <c r="AP2222" s="44"/>
      <c r="AQ2222" s="275"/>
      <c r="AR2222" s="52"/>
      <c r="AS2222" s="35"/>
      <c r="AT2222" s="79"/>
      <c r="AU2222" s="212"/>
      <c r="AV2222" s="164"/>
      <c r="AW2222" s="164"/>
      <c r="AX2222" s="76"/>
      <c r="AY2222" s="44"/>
      <c r="AZ2222" s="275"/>
      <c r="BA2222" s="52"/>
      <c r="BB2222" s="35"/>
      <c r="BC2222" s="79"/>
      <c r="BD2222" s="230"/>
      <c r="BE2222" s="211"/>
      <c r="BF2222" s="164"/>
      <c r="BG2222" s="76"/>
      <c r="BH2222" s="44"/>
      <c r="BI2222" s="275"/>
      <c r="BJ2222" s="52"/>
      <c r="BK2222" s="35"/>
      <c r="BL2222" s="79"/>
      <c r="BM2222" s="230"/>
      <c r="BN2222" s="211"/>
      <c r="BO2222" s="164"/>
      <c r="BP2222" s="76"/>
      <c r="BQ2222" s="44"/>
      <c r="BR2222" s="299"/>
      <c r="BS2222" s="52"/>
      <c r="BT2222" s="35"/>
      <c r="BU2222" s="79"/>
      <c r="BV2222" s="212"/>
      <c r="BW2222" s="304"/>
      <c r="BX2222" s="313"/>
      <c r="BY2222" s="138"/>
    </row>
    <row r="2223" spans="1:77" ht="15" customHeight="1" outlineLevel="1" x14ac:dyDescent="0.2">
      <c r="A2223" s="583" t="s">
        <v>37</v>
      </c>
      <c r="B2223" s="583"/>
      <c r="C2223" s="162" t="s">
        <v>1074</v>
      </c>
      <c r="D2223" s="812">
        <v>1.355</v>
      </c>
      <c r="E2223" s="162" t="s">
        <v>631</v>
      </c>
      <c r="F2223" s="729"/>
      <c r="G2223" s="730"/>
      <c r="H2223" s="73"/>
      <c r="I2223" s="90"/>
      <c r="J2223" s="73"/>
      <c r="K2223" s="66"/>
      <c r="L2223" s="717"/>
      <c r="M2223" s="73"/>
      <c r="N2223" s="811">
        <v>1.946E-3</v>
      </c>
      <c r="O2223" s="1041"/>
      <c r="P2223" s="73"/>
      <c r="Q2223" s="811"/>
      <c r="R2223" s="1041"/>
      <c r="S2223" s="73"/>
      <c r="T2223" s="811"/>
      <c r="U2223" s="73"/>
      <c r="V2223" s="66"/>
      <c r="W2223" s="788">
        <f t="shared" si="1958"/>
        <v>7.7840000000000004E-7</v>
      </c>
      <c r="X2223" s="789">
        <f t="shared" si="1959"/>
        <v>7.7840000000000004E-7</v>
      </c>
      <c r="Y2223" s="52">
        <v>2010</v>
      </c>
      <c r="Z2223" s="52"/>
      <c r="AA2223" s="787">
        <f>+N2223/1000</f>
        <v>1.9460000000000001E-6</v>
      </c>
      <c r="AB2223" s="256">
        <v>-0.6</v>
      </c>
      <c r="AC2223" s="688">
        <f t="shared" si="1960"/>
        <v>-0.6</v>
      </c>
      <c r="AD2223" s="164"/>
      <c r="AE2223" s="164"/>
      <c r="AF2223" s="25"/>
      <c r="AG2223" s="26"/>
      <c r="AH2223" s="275"/>
      <c r="AI2223" s="52"/>
      <c r="AJ2223" s="35"/>
      <c r="AK2223" s="289"/>
      <c r="AL2223" s="290"/>
      <c r="AM2223" s="211"/>
      <c r="AN2223" s="164"/>
      <c r="AO2223" s="76"/>
      <c r="AP2223" s="44"/>
      <c r="AQ2223" s="275"/>
      <c r="AR2223" s="52"/>
      <c r="AS2223" s="35"/>
      <c r="AT2223" s="79"/>
      <c r="AU2223" s="212"/>
      <c r="AV2223" s="164"/>
      <c r="AW2223" s="164"/>
      <c r="AX2223" s="76"/>
      <c r="AY2223" s="44"/>
      <c r="AZ2223" s="275"/>
      <c r="BA2223" s="52"/>
      <c r="BB2223" s="35"/>
      <c r="BC2223" s="79"/>
      <c r="BD2223" s="230"/>
      <c r="BE2223" s="211"/>
      <c r="BF2223" s="164"/>
      <c r="BG2223" s="76"/>
      <c r="BH2223" s="44"/>
      <c r="BI2223" s="275"/>
      <c r="BJ2223" s="52"/>
      <c r="BK2223" s="35"/>
      <c r="BL2223" s="79"/>
      <c r="BM2223" s="230"/>
      <c r="BN2223" s="211"/>
      <c r="BO2223" s="164"/>
      <c r="BP2223" s="76"/>
      <c r="BQ2223" s="44"/>
      <c r="BR2223" s="299"/>
      <c r="BS2223" s="52"/>
      <c r="BT2223" s="35"/>
      <c r="BU2223" s="79"/>
      <c r="BV2223" s="212"/>
      <c r="BW2223" s="304"/>
      <c r="BX2223" s="313"/>
      <c r="BY2223" s="138"/>
    </row>
    <row r="2224" spans="1:77" ht="15" customHeight="1" outlineLevel="1" x14ac:dyDescent="0.2">
      <c r="A2224" s="583" t="s">
        <v>37</v>
      </c>
      <c r="B2224" s="583"/>
      <c r="C2224" s="162" t="s">
        <v>1112</v>
      </c>
      <c r="D2224" s="812">
        <v>1.08</v>
      </c>
      <c r="E2224" s="162" t="s">
        <v>631</v>
      </c>
      <c r="F2224" s="729"/>
      <c r="G2224" s="730"/>
      <c r="H2224" s="73"/>
      <c r="I2224" s="90">
        <v>2007</v>
      </c>
      <c r="J2224" s="73"/>
      <c r="K2224" s="790">
        <v>1.993E-3</v>
      </c>
      <c r="L2224" s="717"/>
      <c r="M2224" s="73"/>
      <c r="N2224" s="811"/>
      <c r="O2224" s="1041"/>
      <c r="P2224" s="73"/>
      <c r="Q2224" s="811"/>
      <c r="R2224" s="1041"/>
      <c r="S2224" s="73"/>
      <c r="T2224" s="811"/>
      <c r="U2224" s="73"/>
      <c r="V2224" s="66"/>
      <c r="W2224" s="788">
        <f t="shared" si="1958"/>
        <v>1.4349599999999998E-6</v>
      </c>
      <c r="X2224" s="789">
        <f t="shared" si="1959"/>
        <v>1.4349599999999998E-6</v>
      </c>
      <c r="Y2224" s="52">
        <v>2007</v>
      </c>
      <c r="Z2224" s="52"/>
      <c r="AA2224" s="787">
        <f>+K2224/1000</f>
        <v>1.9929999999999998E-6</v>
      </c>
      <c r="AB2224" s="256">
        <v>-0.28000000000000003</v>
      </c>
      <c r="AC2224" s="688">
        <f t="shared" si="1960"/>
        <v>-0.28000000000000003</v>
      </c>
      <c r="AD2224" s="164"/>
      <c r="AE2224" s="164"/>
      <c r="AF2224" s="25"/>
      <c r="AG2224" s="26"/>
      <c r="AH2224" s="275"/>
      <c r="AI2224" s="52"/>
      <c r="AJ2224" s="35"/>
      <c r="AK2224" s="289"/>
      <c r="AL2224" s="290"/>
      <c r="AM2224" s="211"/>
      <c r="AN2224" s="164"/>
      <c r="AO2224" s="76"/>
      <c r="AP2224" s="44"/>
      <c r="AQ2224" s="275"/>
      <c r="AR2224" s="52"/>
      <c r="AS2224" s="35"/>
      <c r="AT2224" s="79"/>
      <c r="AU2224" s="212"/>
      <c r="AV2224" s="164"/>
      <c r="AW2224" s="164"/>
      <c r="AX2224" s="76"/>
      <c r="AY2224" s="44"/>
      <c r="AZ2224" s="275"/>
      <c r="BA2224" s="52"/>
      <c r="BB2224" s="35"/>
      <c r="BC2224" s="79"/>
      <c r="BD2224" s="230"/>
      <c r="BE2224" s="211"/>
      <c r="BF2224" s="164"/>
      <c r="BG2224" s="76"/>
      <c r="BH2224" s="44"/>
      <c r="BI2224" s="275"/>
      <c r="BJ2224" s="52"/>
      <c r="BK2224" s="35"/>
      <c r="BL2224" s="79"/>
      <c r="BM2224" s="230"/>
      <c r="BN2224" s="211"/>
      <c r="BO2224" s="164"/>
      <c r="BP2224" s="76"/>
      <c r="BQ2224" s="44"/>
      <c r="BR2224" s="299"/>
      <c r="BS2224" s="52"/>
      <c r="BT2224" s="35"/>
      <c r="BU2224" s="79"/>
      <c r="BV2224" s="212"/>
      <c r="BW2224" s="304"/>
      <c r="BX2224" s="313"/>
      <c r="BY2224" s="138"/>
    </row>
    <row r="2225" spans="1:77" ht="15" customHeight="1" outlineLevel="1" x14ac:dyDescent="0.2">
      <c r="A2225" s="583" t="s">
        <v>37</v>
      </c>
      <c r="B2225" s="583"/>
      <c r="C2225" s="162" t="s">
        <v>1184</v>
      </c>
      <c r="D2225" s="812">
        <v>13.491</v>
      </c>
      <c r="E2225" s="162" t="s">
        <v>631</v>
      </c>
      <c r="F2225" s="729"/>
      <c r="G2225" s="730"/>
      <c r="H2225" s="73"/>
      <c r="I2225" s="90"/>
      <c r="J2225" s="73"/>
      <c r="K2225" s="734">
        <v>5.3779E-2</v>
      </c>
      <c r="L2225" s="717"/>
      <c r="M2225" s="73"/>
      <c r="N2225" s="811"/>
      <c r="O2225" s="1041"/>
      <c r="P2225" s="73"/>
      <c r="Q2225" s="811"/>
      <c r="R2225" s="1041"/>
      <c r="S2225" s="73"/>
      <c r="T2225" s="811"/>
      <c r="U2225" s="73"/>
      <c r="V2225" s="66"/>
      <c r="W2225" s="808">
        <f t="shared" si="1958"/>
        <v>3.7645299999999997E-5</v>
      </c>
      <c r="X2225" s="809">
        <f t="shared" si="1959"/>
        <v>3.7645299999999997E-5</v>
      </c>
      <c r="Y2225" s="52">
        <v>2005</v>
      </c>
      <c r="Z2225" s="52"/>
      <c r="AA2225" s="739">
        <f>+K2225/1000</f>
        <v>5.3779000000000001E-5</v>
      </c>
      <c r="AB2225" s="256">
        <v>-0.3</v>
      </c>
      <c r="AC2225" s="688">
        <f t="shared" si="1960"/>
        <v>-0.3</v>
      </c>
      <c r="AD2225" s="164"/>
      <c r="AE2225" s="164"/>
      <c r="AF2225" s="25"/>
      <c r="AG2225" s="26"/>
      <c r="AH2225" s="275"/>
      <c r="AI2225" s="52"/>
      <c r="AJ2225" s="35"/>
      <c r="AK2225" s="289"/>
      <c r="AL2225" s="290"/>
      <c r="AM2225" s="211"/>
      <c r="AN2225" s="164"/>
      <c r="AO2225" s="76"/>
      <c r="AP2225" s="44"/>
      <c r="AQ2225" s="275"/>
      <c r="AR2225" s="52"/>
      <c r="AS2225" s="35"/>
      <c r="AT2225" s="79"/>
      <c r="AU2225" s="212"/>
      <c r="AV2225" s="164"/>
      <c r="AW2225" s="164"/>
      <c r="AX2225" s="76"/>
      <c r="AY2225" s="44"/>
      <c r="AZ2225" s="275"/>
      <c r="BA2225" s="52"/>
      <c r="BB2225" s="35"/>
      <c r="BC2225" s="79"/>
      <c r="BD2225" s="230"/>
      <c r="BE2225" s="211"/>
      <c r="BF2225" s="164"/>
      <c r="BG2225" s="76"/>
      <c r="BH2225" s="44"/>
      <c r="BI2225" s="275"/>
      <c r="BJ2225" s="52"/>
      <c r="BK2225" s="35"/>
      <c r="BL2225" s="79"/>
      <c r="BM2225" s="230"/>
      <c r="BN2225" s="211"/>
      <c r="BO2225" s="164"/>
      <c r="BP2225" s="76"/>
      <c r="BQ2225" s="44"/>
      <c r="BR2225" s="299"/>
      <c r="BS2225" s="52"/>
      <c r="BT2225" s="35"/>
      <c r="BU2225" s="79"/>
      <c r="BV2225" s="212"/>
      <c r="BW2225" s="304"/>
      <c r="BX2225" s="313"/>
      <c r="BY2225" s="138"/>
    </row>
    <row r="2226" spans="1:77" ht="15" customHeight="1" outlineLevel="1" x14ac:dyDescent="0.2">
      <c r="A2226" s="583" t="s">
        <v>37</v>
      </c>
      <c r="B2226" s="583"/>
      <c r="C2226" s="162" t="s">
        <v>2695</v>
      </c>
      <c r="D2226" s="806">
        <v>0.112</v>
      </c>
      <c r="E2226" s="162" t="s">
        <v>631</v>
      </c>
      <c r="F2226" s="729"/>
      <c r="G2226" s="730"/>
      <c r="H2226" s="73"/>
      <c r="I2226" s="90"/>
      <c r="J2226" s="73"/>
      <c r="K2226" s="815">
        <v>5.7700000000000004E-4</v>
      </c>
      <c r="L2226" s="717"/>
      <c r="M2226" s="73"/>
      <c r="N2226" s="811"/>
      <c r="O2226" s="1041"/>
      <c r="P2226" s="73"/>
      <c r="Q2226" s="811"/>
      <c r="R2226" s="1041"/>
      <c r="S2226" s="73"/>
      <c r="T2226" s="811"/>
      <c r="U2226" s="73"/>
      <c r="V2226" s="66"/>
      <c r="W2226" s="808">
        <f t="shared" ref="W2226" si="1964">AA2226*(1+AB2226)</f>
        <v>4.3275000000000001E-7</v>
      </c>
      <c r="X2226" s="809">
        <f t="shared" ref="X2226" si="1965">AA2226*(1+AC2226)</f>
        <v>4.3275000000000001E-7</v>
      </c>
      <c r="Y2226" s="52">
        <v>2005</v>
      </c>
      <c r="Z2226" s="52"/>
      <c r="AA2226" s="787">
        <f>+K2226/1000</f>
        <v>5.7700000000000004E-7</v>
      </c>
      <c r="AB2226" s="256">
        <v>-0.25</v>
      </c>
      <c r="AC2226" s="688">
        <f t="shared" ref="AC2226" si="1966">AB2226</f>
        <v>-0.25</v>
      </c>
      <c r="AD2226" s="164"/>
      <c r="AE2226" s="164"/>
      <c r="AF2226" s="25"/>
      <c r="AG2226" s="26"/>
      <c r="AH2226" s="275"/>
      <c r="AI2226" s="52"/>
      <c r="AJ2226" s="35"/>
      <c r="AK2226" s="289"/>
      <c r="AL2226" s="290"/>
      <c r="AM2226" s="211"/>
      <c r="AN2226" s="164"/>
      <c r="AO2226" s="76"/>
      <c r="AP2226" s="44"/>
      <c r="AQ2226" s="275"/>
      <c r="AR2226" s="52"/>
      <c r="AS2226" s="35"/>
      <c r="AT2226" s="79"/>
      <c r="AU2226" s="212"/>
      <c r="AV2226" s="164"/>
      <c r="AW2226" s="164"/>
      <c r="AX2226" s="76"/>
      <c r="AY2226" s="44"/>
      <c r="AZ2226" s="275"/>
      <c r="BA2226" s="52"/>
      <c r="BB2226" s="35"/>
      <c r="BC2226" s="79"/>
      <c r="BD2226" s="230"/>
      <c r="BE2226" s="211"/>
      <c r="BF2226" s="164"/>
      <c r="BG2226" s="76"/>
      <c r="BH2226" s="44"/>
      <c r="BI2226" s="275"/>
      <c r="BJ2226" s="52"/>
      <c r="BK2226" s="35"/>
      <c r="BL2226" s="79"/>
      <c r="BM2226" s="230"/>
      <c r="BN2226" s="211"/>
      <c r="BO2226" s="164"/>
      <c r="BP2226" s="76"/>
      <c r="BQ2226" s="44"/>
      <c r="BR2226" s="299"/>
      <c r="BS2226" s="52"/>
      <c r="BT2226" s="35"/>
      <c r="BU2226" s="79"/>
      <c r="BV2226" s="212"/>
      <c r="BW2226" s="304"/>
      <c r="BX2226" s="313"/>
      <c r="BY2226" s="138"/>
    </row>
    <row r="2227" spans="1:77" ht="15" customHeight="1" outlineLevel="1" x14ac:dyDescent="0.2">
      <c r="A2227" s="583" t="s">
        <v>37</v>
      </c>
      <c r="B2227" s="583"/>
      <c r="C2227" s="162" t="s">
        <v>2868</v>
      </c>
      <c r="D2227" s="806">
        <v>35.512999999999998</v>
      </c>
      <c r="E2227" s="162" t="s">
        <v>631</v>
      </c>
      <c r="F2227" s="729"/>
      <c r="G2227" s="730"/>
      <c r="H2227" s="73"/>
      <c r="I2227" s="90"/>
      <c r="J2227" s="73"/>
      <c r="K2227" s="790">
        <v>0.215193</v>
      </c>
      <c r="L2227" s="717"/>
      <c r="M2227" s="73"/>
      <c r="N2227" s="811"/>
      <c r="O2227" s="1041"/>
      <c r="P2227" s="73"/>
      <c r="Q2227" s="811"/>
      <c r="R2227" s="1041"/>
      <c r="S2227" s="73"/>
      <c r="T2227" s="811"/>
      <c r="U2227" s="73"/>
      <c r="V2227" s="66"/>
      <c r="W2227" s="808"/>
      <c r="X2227" s="809"/>
      <c r="Y2227" s="52"/>
      <c r="Z2227" s="52"/>
      <c r="AA2227" s="787"/>
      <c r="AB2227" s="256"/>
      <c r="AC2227" s="688"/>
      <c r="AD2227" s="164"/>
      <c r="AE2227" s="164"/>
      <c r="AF2227" s="25"/>
      <c r="AG2227" s="26"/>
      <c r="AH2227" s="275"/>
      <c r="AI2227" s="52"/>
      <c r="AJ2227" s="35"/>
      <c r="AK2227" s="289"/>
      <c r="AL2227" s="290"/>
      <c r="AM2227" s="211"/>
      <c r="AN2227" s="164"/>
      <c r="AO2227" s="788">
        <f>AS2227*(1+AT2227)</f>
        <v>1.2696387E-4</v>
      </c>
      <c r="AP2227" s="789">
        <f>AS2227*(1+AU2227)</f>
        <v>1.2696387E-4</v>
      </c>
      <c r="AQ2227" s="275">
        <v>2005</v>
      </c>
      <c r="AR2227" s="52"/>
      <c r="AS2227" s="787">
        <f>+K2227/1000</f>
        <v>2.15193E-4</v>
      </c>
      <c r="AT2227" s="79">
        <v>-0.41</v>
      </c>
      <c r="AU2227" s="212">
        <f>AT2227</f>
        <v>-0.41</v>
      </c>
      <c r="AV2227" s="164"/>
      <c r="AW2227" s="164"/>
      <c r="AX2227" s="76"/>
      <c r="AY2227" s="44"/>
      <c r="AZ2227" s="275"/>
      <c r="BA2227" s="52"/>
      <c r="BB2227" s="35"/>
      <c r="BC2227" s="79"/>
      <c r="BD2227" s="230"/>
      <c r="BE2227" s="211"/>
      <c r="BF2227" s="164"/>
      <c r="BG2227" s="76"/>
      <c r="BH2227" s="44"/>
      <c r="BI2227" s="275"/>
      <c r="BJ2227" s="52"/>
      <c r="BK2227" s="35"/>
      <c r="BL2227" s="79"/>
      <c r="BM2227" s="230"/>
      <c r="BN2227" s="211"/>
      <c r="BO2227" s="164"/>
      <c r="BP2227" s="76"/>
      <c r="BQ2227" s="44"/>
      <c r="BR2227" s="299"/>
      <c r="BS2227" s="52"/>
      <c r="BT2227" s="35"/>
      <c r="BU2227" s="79"/>
      <c r="BV2227" s="212"/>
      <c r="BW2227" s="304"/>
      <c r="BX2227" s="313"/>
      <c r="BY2227" s="138"/>
    </row>
    <row r="2228" spans="1:77" ht="15" customHeight="1" outlineLevel="1" x14ac:dyDescent="0.2">
      <c r="A2228" s="583" t="s">
        <v>37</v>
      </c>
      <c r="B2228" s="583"/>
      <c r="C2228" s="162" t="s">
        <v>2689</v>
      </c>
      <c r="D2228" s="812">
        <v>0.90700000000000003</v>
      </c>
      <c r="E2228" s="162" t="s">
        <v>631</v>
      </c>
      <c r="F2228" s="729"/>
      <c r="G2228" s="730"/>
      <c r="H2228" s="73"/>
      <c r="I2228" s="90"/>
      <c r="J2228" s="73"/>
      <c r="K2228" s="734"/>
      <c r="L2228" s="717"/>
      <c r="M2228" s="73"/>
      <c r="N2228" s="811">
        <v>2.715E-3</v>
      </c>
      <c r="O2228" s="1041"/>
      <c r="P2228" s="73"/>
      <c r="Q2228" s="811"/>
      <c r="R2228" s="1041"/>
      <c r="S2228" s="73"/>
      <c r="T2228" s="811"/>
      <c r="U2228" s="73"/>
      <c r="V2228" s="66"/>
      <c r="W2228" s="788">
        <f t="shared" ref="W2228" si="1967">AA2228*(1+AB2228)</f>
        <v>2.0091E-6</v>
      </c>
      <c r="X2228" s="789">
        <f t="shared" ref="X2228" si="1968">AA2228*(1+AC2228)</f>
        <v>2.0091E-6</v>
      </c>
      <c r="Y2228" s="52">
        <v>2010</v>
      </c>
      <c r="Z2228" s="52"/>
      <c r="AA2228" s="787">
        <f>+N2228/1000</f>
        <v>2.7149999999999998E-6</v>
      </c>
      <c r="AB2228" s="256">
        <v>-0.26</v>
      </c>
      <c r="AC2228" s="688">
        <f t="shared" ref="AC2228" si="1969">AB2228</f>
        <v>-0.26</v>
      </c>
      <c r="AD2228" s="164"/>
      <c r="AE2228" s="164"/>
      <c r="AF2228" s="25"/>
      <c r="AG2228" s="26"/>
      <c r="AH2228" s="275"/>
      <c r="AI2228" s="52"/>
      <c r="AJ2228" s="35"/>
      <c r="AK2228" s="289"/>
      <c r="AL2228" s="290"/>
      <c r="AM2228" s="211"/>
      <c r="AN2228" s="164"/>
      <c r="AO2228" s="76"/>
      <c r="AP2228" s="44"/>
      <c r="AQ2228" s="275"/>
      <c r="AR2228" s="52"/>
      <c r="AS2228" s="35"/>
      <c r="AT2228" s="79"/>
      <c r="AU2228" s="212"/>
      <c r="AV2228" s="164"/>
      <c r="AW2228" s="164"/>
      <c r="AX2228" s="76"/>
      <c r="AY2228" s="44"/>
      <c r="AZ2228" s="275"/>
      <c r="BA2228" s="52"/>
      <c r="BB2228" s="35"/>
      <c r="BC2228" s="79"/>
      <c r="BD2228" s="230"/>
      <c r="BE2228" s="211"/>
      <c r="BF2228" s="164"/>
      <c r="BG2228" s="76"/>
      <c r="BH2228" s="44"/>
      <c r="BI2228" s="275"/>
      <c r="BJ2228" s="52"/>
      <c r="BK2228" s="35"/>
      <c r="BL2228" s="79"/>
      <c r="BM2228" s="230"/>
      <c r="BN2228" s="211"/>
      <c r="BO2228" s="164"/>
      <c r="BP2228" s="76"/>
      <c r="BQ2228" s="44"/>
      <c r="BR2228" s="299"/>
      <c r="BS2228" s="52"/>
      <c r="BT2228" s="35"/>
      <c r="BU2228" s="79"/>
      <c r="BV2228" s="212"/>
      <c r="BW2228" s="304"/>
      <c r="BX2228" s="313"/>
      <c r="BY2228" s="138"/>
    </row>
    <row r="2229" spans="1:77" ht="15" customHeight="1" outlineLevel="1" x14ac:dyDescent="0.2">
      <c r="A2229" s="583" t="s">
        <v>37</v>
      </c>
      <c r="B2229" s="583"/>
      <c r="C2229" s="162" t="s">
        <v>1086</v>
      </c>
      <c r="D2229" s="812">
        <v>0.83099999999999996</v>
      </c>
      <c r="E2229" s="162" t="s">
        <v>631</v>
      </c>
      <c r="F2229" s="729"/>
      <c r="G2229" s="730"/>
      <c r="H2229" s="73"/>
      <c r="I2229" s="90">
        <v>2007</v>
      </c>
      <c r="J2229" s="73"/>
      <c r="K2229" s="734">
        <v>5.4260000000000003E-3</v>
      </c>
      <c r="L2229" s="717"/>
      <c r="M2229" s="73"/>
      <c r="N2229" s="811"/>
      <c r="O2229" s="1041"/>
      <c r="P2229" s="73"/>
      <c r="Q2229" s="811"/>
      <c r="R2229" s="1041"/>
      <c r="S2229" s="73"/>
      <c r="T2229" s="811"/>
      <c r="U2229" s="73"/>
      <c r="V2229" s="66"/>
      <c r="W2229" s="788">
        <f t="shared" si="1958"/>
        <v>3.0385600000000006E-6</v>
      </c>
      <c r="X2229" s="789">
        <f t="shared" si="1959"/>
        <v>3.0385600000000006E-6</v>
      </c>
      <c r="Y2229" s="52">
        <v>2007</v>
      </c>
      <c r="Z2229" s="52"/>
      <c r="AA2229" s="787">
        <f>+K2229/1000</f>
        <v>5.4260000000000002E-6</v>
      </c>
      <c r="AB2229" s="256">
        <v>-0.44</v>
      </c>
      <c r="AC2229" s="688">
        <f t="shared" si="1960"/>
        <v>-0.44</v>
      </c>
      <c r="AD2229" s="164"/>
      <c r="AE2229" s="164"/>
      <c r="AF2229" s="25"/>
      <c r="AG2229" s="26"/>
      <c r="AH2229" s="275"/>
      <c r="AI2229" s="52"/>
      <c r="AJ2229" s="35"/>
      <c r="AK2229" s="289"/>
      <c r="AL2229" s="290"/>
      <c r="AM2229" s="211"/>
      <c r="AN2229" s="164"/>
      <c r="AO2229" s="76"/>
      <c r="AP2229" s="44"/>
      <c r="AQ2229" s="275"/>
      <c r="AR2229" s="52"/>
      <c r="AS2229" s="35"/>
      <c r="AT2229" s="79"/>
      <c r="AU2229" s="212"/>
      <c r="AV2229" s="164"/>
      <c r="AW2229" s="164"/>
      <c r="AX2229" s="76"/>
      <c r="AY2229" s="44"/>
      <c r="AZ2229" s="275"/>
      <c r="BA2229" s="52"/>
      <c r="BB2229" s="35"/>
      <c r="BC2229" s="79"/>
      <c r="BD2229" s="230"/>
      <c r="BE2229" s="211"/>
      <c r="BF2229" s="164"/>
      <c r="BG2229" s="76"/>
      <c r="BH2229" s="44"/>
      <c r="BI2229" s="275"/>
      <c r="BJ2229" s="52"/>
      <c r="BK2229" s="35"/>
      <c r="BL2229" s="79"/>
      <c r="BM2229" s="230"/>
      <c r="BN2229" s="211"/>
      <c r="BO2229" s="164"/>
      <c r="BP2229" s="76"/>
      <c r="BQ2229" s="44"/>
      <c r="BR2229" s="299"/>
      <c r="BS2229" s="52"/>
      <c r="BT2229" s="35"/>
      <c r="BU2229" s="79"/>
      <c r="BV2229" s="212"/>
      <c r="BW2229" s="304"/>
      <c r="BX2229" s="313"/>
      <c r="BY2229" s="138"/>
    </row>
    <row r="2230" spans="1:77" ht="15" customHeight="1" outlineLevel="1" x14ac:dyDescent="0.2">
      <c r="A2230" s="583" t="s">
        <v>37</v>
      </c>
      <c r="B2230" s="583"/>
      <c r="C2230" s="162" t="s">
        <v>1113</v>
      </c>
      <c r="D2230" s="812">
        <v>0.67600000000000005</v>
      </c>
      <c r="E2230" s="162" t="s">
        <v>631</v>
      </c>
      <c r="F2230" s="729"/>
      <c r="G2230" s="730"/>
      <c r="H2230" s="73"/>
      <c r="I2230" s="90">
        <v>2007</v>
      </c>
      <c r="J2230" s="73"/>
      <c r="K2230" s="790">
        <v>1.4970000000000001E-3</v>
      </c>
      <c r="L2230" s="717"/>
      <c r="M2230" s="73"/>
      <c r="N2230" s="811"/>
      <c r="O2230" s="1041"/>
      <c r="P2230" s="73"/>
      <c r="Q2230" s="811"/>
      <c r="R2230" s="1041"/>
      <c r="S2230" s="73"/>
      <c r="T2230" s="811"/>
      <c r="U2230" s="73"/>
      <c r="V2230" s="66"/>
      <c r="W2230" s="788">
        <f t="shared" si="1958"/>
        <v>1.12275E-6</v>
      </c>
      <c r="X2230" s="789">
        <f t="shared" si="1959"/>
        <v>1.12275E-6</v>
      </c>
      <c r="Y2230" s="52">
        <v>2007</v>
      </c>
      <c r="Z2230" s="52"/>
      <c r="AA2230" s="787">
        <f>+K2230/1000</f>
        <v>1.497E-6</v>
      </c>
      <c r="AB2230" s="256">
        <v>-0.25</v>
      </c>
      <c r="AC2230" s="688">
        <f t="shared" si="1960"/>
        <v>-0.25</v>
      </c>
      <c r="AD2230" s="164"/>
      <c r="AE2230" s="164"/>
      <c r="AF2230" s="25"/>
      <c r="AG2230" s="26"/>
      <c r="AH2230" s="275"/>
      <c r="AI2230" s="52"/>
      <c r="AJ2230" s="35"/>
      <c r="AK2230" s="289"/>
      <c r="AL2230" s="290"/>
      <c r="AM2230" s="211"/>
      <c r="AN2230" s="164"/>
      <c r="AO2230" s="76"/>
      <c r="AP2230" s="44"/>
      <c r="AQ2230" s="275"/>
      <c r="AR2230" s="52"/>
      <c r="AS2230" s="35"/>
      <c r="AT2230" s="79"/>
      <c r="AU2230" s="212"/>
      <c r="AV2230" s="164"/>
      <c r="AW2230" s="164"/>
      <c r="AX2230" s="76"/>
      <c r="AY2230" s="44"/>
      <c r="AZ2230" s="275"/>
      <c r="BA2230" s="52"/>
      <c r="BB2230" s="35"/>
      <c r="BC2230" s="79"/>
      <c r="BD2230" s="230"/>
      <c r="BE2230" s="211"/>
      <c r="BF2230" s="164"/>
      <c r="BG2230" s="76"/>
      <c r="BH2230" s="44"/>
      <c r="BI2230" s="275"/>
      <c r="BJ2230" s="52"/>
      <c r="BK2230" s="35"/>
      <c r="BL2230" s="79"/>
      <c r="BM2230" s="230"/>
      <c r="BN2230" s="211"/>
      <c r="BO2230" s="164"/>
      <c r="BP2230" s="76"/>
      <c r="BQ2230" s="44"/>
      <c r="BR2230" s="299"/>
      <c r="BS2230" s="52"/>
      <c r="BT2230" s="35"/>
      <c r="BU2230" s="79"/>
      <c r="BV2230" s="212"/>
      <c r="BW2230" s="304"/>
      <c r="BX2230" s="313"/>
      <c r="BY2230" s="138"/>
    </row>
    <row r="2231" spans="1:77" ht="15" customHeight="1" outlineLevel="1" x14ac:dyDescent="0.2">
      <c r="A2231" s="583" t="s">
        <v>37</v>
      </c>
      <c r="B2231" s="583"/>
      <c r="C2231" s="162" t="s">
        <v>1079</v>
      </c>
      <c r="D2231" s="812">
        <v>4.08</v>
      </c>
      <c r="E2231" s="162" t="s">
        <v>631</v>
      </c>
      <c r="F2231" s="729"/>
      <c r="G2231" s="730"/>
      <c r="H2231" s="73"/>
      <c r="I2231" s="90">
        <v>2007</v>
      </c>
      <c r="J2231" s="73"/>
      <c r="K2231" s="813">
        <v>2.0235E-2</v>
      </c>
      <c r="L2231" s="717"/>
      <c r="M2231" s="73"/>
      <c r="N2231" s="811"/>
      <c r="O2231" s="1041"/>
      <c r="P2231" s="73"/>
      <c r="Q2231" s="811"/>
      <c r="R2231" s="1041"/>
      <c r="S2231" s="73"/>
      <c r="T2231" s="811"/>
      <c r="U2231" s="73"/>
      <c r="V2231" s="66"/>
      <c r="W2231" s="788">
        <f t="shared" si="1958"/>
        <v>7.2845999999999988E-6</v>
      </c>
      <c r="X2231" s="789">
        <f t="shared" si="1959"/>
        <v>7.2845999999999988E-6</v>
      </c>
      <c r="Y2231" s="52">
        <v>2007</v>
      </c>
      <c r="Z2231" s="52"/>
      <c r="AA2231" s="787">
        <f>+K2231/1000</f>
        <v>2.0234999999999999E-5</v>
      </c>
      <c r="AB2231" s="256">
        <v>-0.64</v>
      </c>
      <c r="AC2231" s="688">
        <f t="shared" si="1960"/>
        <v>-0.64</v>
      </c>
      <c r="AD2231" s="164"/>
      <c r="AE2231" s="164"/>
      <c r="AF2231" s="25"/>
      <c r="AG2231" s="26"/>
      <c r="AH2231" s="275"/>
      <c r="AI2231" s="52"/>
      <c r="AJ2231" s="35"/>
      <c r="AK2231" s="289"/>
      <c r="AL2231" s="290"/>
      <c r="AM2231" s="211"/>
      <c r="AN2231" s="164"/>
      <c r="AO2231" s="76"/>
      <c r="AP2231" s="44"/>
      <c r="AQ2231" s="275"/>
      <c r="AR2231" s="52"/>
      <c r="AS2231" s="35"/>
      <c r="AT2231" s="79"/>
      <c r="AU2231" s="212"/>
      <c r="AV2231" s="164"/>
      <c r="AW2231" s="164"/>
      <c r="AX2231" s="76"/>
      <c r="AY2231" s="44"/>
      <c r="AZ2231" s="275"/>
      <c r="BA2231" s="52"/>
      <c r="BB2231" s="35"/>
      <c r="BC2231" s="79"/>
      <c r="BD2231" s="230"/>
      <c r="BE2231" s="211"/>
      <c r="BF2231" s="164"/>
      <c r="BG2231" s="76"/>
      <c r="BH2231" s="44"/>
      <c r="BI2231" s="275"/>
      <c r="BJ2231" s="52"/>
      <c r="BK2231" s="35"/>
      <c r="BL2231" s="79"/>
      <c r="BM2231" s="230"/>
      <c r="BN2231" s="211"/>
      <c r="BO2231" s="164"/>
      <c r="BP2231" s="76"/>
      <c r="BQ2231" s="44"/>
      <c r="BR2231" s="299"/>
      <c r="BS2231" s="52"/>
      <c r="BT2231" s="35"/>
      <c r="BU2231" s="79"/>
      <c r="BV2231" s="212"/>
      <c r="BW2231" s="304"/>
      <c r="BX2231" s="313"/>
      <c r="BY2231" s="138"/>
    </row>
    <row r="2232" spans="1:77" ht="15" customHeight="1" outlineLevel="1" x14ac:dyDescent="0.2">
      <c r="A2232" s="583" t="s">
        <v>37</v>
      </c>
      <c r="B2232" s="583"/>
      <c r="C2232" s="162" t="s">
        <v>1181</v>
      </c>
      <c r="D2232" s="812">
        <v>2.887</v>
      </c>
      <c r="E2232" s="162" t="s">
        <v>631</v>
      </c>
      <c r="F2232" s="729"/>
      <c r="G2232" s="730"/>
      <c r="H2232" s="73"/>
      <c r="I2232" s="90"/>
      <c r="J2232" s="73"/>
      <c r="K2232" s="734"/>
      <c r="L2232" s="717"/>
      <c r="M2232" s="73"/>
      <c r="N2232" s="811">
        <v>1.6427000000000001E-2</v>
      </c>
      <c r="O2232" s="1041"/>
      <c r="P2232" s="73"/>
      <c r="Q2232" s="811"/>
      <c r="R2232" s="1041"/>
      <c r="S2232" s="73"/>
      <c r="T2232" s="811"/>
      <c r="U2232" s="73"/>
      <c r="V2232" s="66"/>
      <c r="W2232" s="740">
        <f t="shared" si="1958"/>
        <v>1.199171E-5</v>
      </c>
      <c r="X2232" s="741">
        <f t="shared" si="1959"/>
        <v>1.199171E-5</v>
      </c>
      <c r="Y2232" s="52">
        <v>2010</v>
      </c>
      <c r="Z2232" s="52"/>
      <c r="AA2232" s="739">
        <f>+N2232/1000</f>
        <v>1.6427E-5</v>
      </c>
      <c r="AB2232" s="256">
        <v>-0.27</v>
      </c>
      <c r="AC2232" s="688">
        <f t="shared" si="1960"/>
        <v>-0.27</v>
      </c>
      <c r="AD2232" s="164"/>
      <c r="AE2232" s="164"/>
      <c r="AF2232" s="25"/>
      <c r="AG2232" s="26"/>
      <c r="AH2232" s="275"/>
      <c r="AI2232" s="52"/>
      <c r="AJ2232" s="35"/>
      <c r="AK2232" s="289"/>
      <c r="AL2232" s="290"/>
      <c r="AM2232" s="211"/>
      <c r="AN2232" s="164"/>
      <c r="AO2232" s="76"/>
      <c r="AP2232" s="44"/>
      <c r="AQ2232" s="275"/>
      <c r="AR2232" s="52"/>
      <c r="AS2232" s="35"/>
      <c r="AT2232" s="79"/>
      <c r="AU2232" s="212"/>
      <c r="AV2232" s="164"/>
      <c r="AW2232" s="164"/>
      <c r="AX2232" s="76"/>
      <c r="AY2232" s="44"/>
      <c r="AZ2232" s="275"/>
      <c r="BA2232" s="52"/>
      <c r="BB2232" s="35"/>
      <c r="BC2232" s="79"/>
      <c r="BD2232" s="230"/>
      <c r="BE2232" s="211"/>
      <c r="BF2232" s="164"/>
      <c r="BG2232" s="76"/>
      <c r="BH2232" s="44"/>
      <c r="BI2232" s="275"/>
      <c r="BJ2232" s="52"/>
      <c r="BK2232" s="35"/>
      <c r="BL2232" s="79"/>
      <c r="BM2232" s="230"/>
      <c r="BN2232" s="211"/>
      <c r="BO2232" s="164"/>
      <c r="BP2232" s="76"/>
      <c r="BQ2232" s="44"/>
      <c r="BR2232" s="299"/>
      <c r="BS2232" s="52"/>
      <c r="BT2232" s="35"/>
      <c r="BU2232" s="79"/>
      <c r="BV2232" s="212"/>
      <c r="BW2232" s="304"/>
      <c r="BX2232" s="313"/>
      <c r="BY2232" s="138"/>
    </row>
    <row r="2233" spans="1:77" ht="15" customHeight="1" outlineLevel="1" x14ac:dyDescent="0.2">
      <c r="A2233" s="583" t="s">
        <v>37</v>
      </c>
      <c r="B2233" s="583"/>
      <c r="C2233" s="162" t="s">
        <v>1095</v>
      </c>
      <c r="D2233" s="812">
        <v>5.9740000000000002</v>
      </c>
      <c r="E2233" s="162" t="s">
        <v>631</v>
      </c>
      <c r="F2233" s="729"/>
      <c r="G2233" s="730"/>
      <c r="H2233" s="73"/>
      <c r="I2233" s="90">
        <v>2007</v>
      </c>
      <c r="J2233" s="73"/>
      <c r="K2233" s="734">
        <v>2.8400999999999999E-2</v>
      </c>
      <c r="L2233" s="717"/>
      <c r="M2233" s="73"/>
      <c r="N2233" s="811"/>
      <c r="O2233" s="1041"/>
      <c r="P2233" s="73"/>
      <c r="Q2233" s="811"/>
      <c r="R2233" s="1041"/>
      <c r="S2233" s="73"/>
      <c r="T2233" s="811"/>
      <c r="U2233" s="73"/>
      <c r="V2233" s="66"/>
      <c r="W2233" s="740">
        <f t="shared" si="1958"/>
        <v>1.5620550000000001E-5</v>
      </c>
      <c r="X2233" s="741">
        <f t="shared" si="1959"/>
        <v>1.5620550000000001E-5</v>
      </c>
      <c r="Y2233" s="52">
        <v>2007</v>
      </c>
      <c r="Z2233" s="52"/>
      <c r="AA2233" s="739">
        <f>+K2233/1000</f>
        <v>2.8400999999999998E-5</v>
      </c>
      <c r="AB2233" s="256">
        <v>-0.45</v>
      </c>
      <c r="AC2233" s="688">
        <f t="shared" si="1960"/>
        <v>-0.45</v>
      </c>
      <c r="AD2233" s="164"/>
      <c r="AE2233" s="164"/>
      <c r="AF2233" s="25"/>
      <c r="AG2233" s="26"/>
      <c r="AH2233" s="275"/>
      <c r="AI2233" s="52"/>
      <c r="AJ2233" s="35"/>
      <c r="AK2233" s="289"/>
      <c r="AL2233" s="290"/>
      <c r="AM2233" s="211"/>
      <c r="AN2233" s="164"/>
      <c r="AO2233" s="76"/>
      <c r="AP2233" s="44"/>
      <c r="AQ2233" s="275"/>
      <c r="AR2233" s="52"/>
      <c r="AS2233" s="35"/>
      <c r="AT2233" s="79"/>
      <c r="AU2233" s="212"/>
      <c r="AV2233" s="164"/>
      <c r="AW2233" s="164"/>
      <c r="AX2233" s="76"/>
      <c r="AY2233" s="44"/>
      <c r="AZ2233" s="275"/>
      <c r="BA2233" s="52"/>
      <c r="BB2233" s="35"/>
      <c r="BC2233" s="79"/>
      <c r="BD2233" s="230"/>
      <c r="BE2233" s="211"/>
      <c r="BF2233" s="164"/>
      <c r="BG2233" s="76"/>
      <c r="BH2233" s="44"/>
      <c r="BI2233" s="275"/>
      <c r="BJ2233" s="52"/>
      <c r="BK2233" s="35"/>
      <c r="BL2233" s="79"/>
      <c r="BM2233" s="230"/>
      <c r="BN2233" s="211"/>
      <c r="BO2233" s="164"/>
      <c r="BP2233" s="76"/>
      <c r="BQ2233" s="44"/>
      <c r="BR2233" s="299"/>
      <c r="BS2233" s="52"/>
      <c r="BT2233" s="35"/>
      <c r="BU2233" s="79"/>
      <c r="BV2233" s="212"/>
      <c r="BW2233" s="304"/>
      <c r="BX2233" s="313"/>
      <c r="BY2233" s="138"/>
    </row>
    <row r="2234" spans="1:77" ht="15" customHeight="1" outlineLevel="1" x14ac:dyDescent="0.2">
      <c r="A2234" s="583" t="s">
        <v>37</v>
      </c>
      <c r="B2234" s="583"/>
      <c r="C2234" s="162" t="s">
        <v>983</v>
      </c>
      <c r="D2234" s="806">
        <v>0.40100000000000002</v>
      </c>
      <c r="E2234" s="162" t="s">
        <v>631</v>
      </c>
      <c r="F2234" s="729"/>
      <c r="G2234" s="730"/>
      <c r="H2234" s="73"/>
      <c r="I2234" s="90"/>
      <c r="J2234" s="73"/>
      <c r="K2234" s="66"/>
      <c r="L2234" s="717"/>
      <c r="M2234" s="73"/>
      <c r="N2234" s="786">
        <v>8.8725999999999996E-4</v>
      </c>
      <c r="O2234" s="1041"/>
      <c r="P2234" s="73"/>
      <c r="Q2234" s="786"/>
      <c r="R2234" s="1041"/>
      <c r="S2234" s="73"/>
      <c r="T2234" s="786"/>
      <c r="U2234" s="73"/>
      <c r="V2234" s="66"/>
      <c r="W2234" s="808">
        <f t="shared" si="1958"/>
        <v>6.4769979999999997E-7</v>
      </c>
      <c r="X2234" s="809">
        <f t="shared" si="1959"/>
        <v>6.4769979999999997E-7</v>
      </c>
      <c r="Y2234" s="52">
        <v>2010</v>
      </c>
      <c r="Z2234" s="52"/>
      <c r="AA2234" s="807">
        <f>+N2234/1000</f>
        <v>8.8725999999999991E-7</v>
      </c>
      <c r="AB2234" s="256">
        <v>-0.27</v>
      </c>
      <c r="AC2234" s="688">
        <f t="shared" si="1960"/>
        <v>-0.27</v>
      </c>
      <c r="AD2234" s="164"/>
      <c r="AE2234" s="164"/>
      <c r="AF2234" s="25"/>
      <c r="AG2234" s="26"/>
      <c r="AH2234" s="275"/>
      <c r="AI2234" s="52"/>
      <c r="AJ2234" s="35"/>
      <c r="AK2234" s="289"/>
      <c r="AL2234" s="290"/>
      <c r="AM2234" s="211"/>
      <c r="AN2234" s="164"/>
      <c r="AO2234" s="76"/>
      <c r="AP2234" s="44"/>
      <c r="AQ2234" s="275"/>
      <c r="AR2234" s="52"/>
      <c r="AS2234" s="35"/>
      <c r="AT2234" s="79"/>
      <c r="AU2234" s="212"/>
      <c r="AV2234" s="164"/>
      <c r="AW2234" s="164"/>
      <c r="AX2234" s="76"/>
      <c r="AY2234" s="44"/>
      <c r="AZ2234" s="275"/>
      <c r="BA2234" s="52"/>
      <c r="BB2234" s="35"/>
      <c r="BC2234" s="79"/>
      <c r="BD2234" s="230"/>
      <c r="BE2234" s="211"/>
      <c r="BF2234" s="164"/>
      <c r="BG2234" s="76"/>
      <c r="BH2234" s="44"/>
      <c r="BI2234" s="275"/>
      <c r="BJ2234" s="52"/>
      <c r="BK2234" s="35"/>
      <c r="BL2234" s="79"/>
      <c r="BM2234" s="230"/>
      <c r="BN2234" s="211"/>
      <c r="BO2234" s="164"/>
      <c r="BP2234" s="76"/>
      <c r="BQ2234" s="44"/>
      <c r="BR2234" s="299"/>
      <c r="BS2234" s="52"/>
      <c r="BT2234" s="35"/>
      <c r="BU2234" s="79"/>
      <c r="BV2234" s="212"/>
      <c r="BW2234" s="304"/>
      <c r="BX2234" s="313"/>
      <c r="BY2234" s="138"/>
    </row>
    <row r="2235" spans="1:77" ht="15" customHeight="1" outlineLevel="1" x14ac:dyDescent="0.2">
      <c r="A2235" s="583" t="s">
        <v>37</v>
      </c>
      <c r="B2235" s="583"/>
      <c r="C2235" s="162" t="s">
        <v>2690</v>
      </c>
      <c r="D2235" s="806">
        <v>0.93899999999999995</v>
      </c>
      <c r="E2235" s="162" t="s">
        <v>631</v>
      </c>
      <c r="F2235" s="729"/>
      <c r="G2235" s="730"/>
      <c r="H2235" s="73"/>
      <c r="I2235" s="90"/>
      <c r="J2235" s="73"/>
      <c r="K2235" s="66"/>
      <c r="L2235" s="717">
        <v>2012</v>
      </c>
      <c r="M2235" s="73"/>
      <c r="N2235" s="786">
        <v>2.6979999999999999E-3</v>
      </c>
      <c r="O2235" s="1041"/>
      <c r="P2235" s="73"/>
      <c r="Q2235" s="786"/>
      <c r="R2235" s="1041"/>
      <c r="S2235" s="73"/>
      <c r="T2235" s="786"/>
      <c r="U2235" s="73"/>
      <c r="V2235" s="66"/>
      <c r="W2235" s="808">
        <f t="shared" ref="W2235" si="1970">AA2235*(1+AB2235)</f>
        <v>1.9695399999999998E-6</v>
      </c>
      <c r="X2235" s="809">
        <f t="shared" ref="X2235" si="1971">AA2235*(1+AC2235)</f>
        <v>1.9695399999999998E-6</v>
      </c>
      <c r="Y2235" s="52">
        <v>2012</v>
      </c>
      <c r="Z2235" s="52"/>
      <c r="AA2235" s="807">
        <f>+N2235/1000</f>
        <v>2.6979999999999998E-6</v>
      </c>
      <c r="AB2235" s="256">
        <v>-0.27</v>
      </c>
      <c r="AC2235" s="688">
        <f t="shared" ref="AC2235" si="1972">AB2235</f>
        <v>-0.27</v>
      </c>
      <c r="AD2235" s="164"/>
      <c r="AE2235" s="164"/>
      <c r="AF2235" s="25"/>
      <c r="AG2235" s="26"/>
      <c r="AH2235" s="275"/>
      <c r="AI2235" s="52"/>
      <c r="AJ2235" s="35"/>
      <c r="AK2235" s="289"/>
      <c r="AL2235" s="290"/>
      <c r="AM2235" s="211"/>
      <c r="AN2235" s="164"/>
      <c r="AO2235" s="76"/>
      <c r="AP2235" s="44"/>
      <c r="AQ2235" s="275"/>
      <c r="AR2235" s="52"/>
      <c r="AS2235" s="35"/>
      <c r="AT2235" s="79"/>
      <c r="AU2235" s="212"/>
      <c r="AV2235" s="164"/>
      <c r="AW2235" s="164"/>
      <c r="AX2235" s="76"/>
      <c r="AY2235" s="44"/>
      <c r="AZ2235" s="275"/>
      <c r="BA2235" s="52"/>
      <c r="BB2235" s="35"/>
      <c r="BC2235" s="79"/>
      <c r="BD2235" s="230"/>
      <c r="BE2235" s="211"/>
      <c r="BF2235" s="164"/>
      <c r="BG2235" s="76"/>
      <c r="BH2235" s="44"/>
      <c r="BI2235" s="275"/>
      <c r="BJ2235" s="52"/>
      <c r="BK2235" s="35"/>
      <c r="BL2235" s="79"/>
      <c r="BM2235" s="230"/>
      <c r="BN2235" s="211"/>
      <c r="BO2235" s="164"/>
      <c r="BP2235" s="76"/>
      <c r="BQ2235" s="44"/>
      <c r="BR2235" s="299"/>
      <c r="BS2235" s="52"/>
      <c r="BT2235" s="35"/>
      <c r="BU2235" s="79"/>
      <c r="BV2235" s="212"/>
      <c r="BW2235" s="304"/>
      <c r="BX2235" s="313"/>
      <c r="BY2235" s="138"/>
    </row>
    <row r="2236" spans="1:77" ht="15" customHeight="1" outlineLevel="1" x14ac:dyDescent="0.2">
      <c r="A2236" s="583" t="s">
        <v>37</v>
      </c>
      <c r="B2236" s="583"/>
      <c r="C2236" s="162" t="s">
        <v>2691</v>
      </c>
      <c r="D2236" s="806">
        <v>0.83899999999999997</v>
      </c>
      <c r="E2236" s="162" t="s">
        <v>631</v>
      </c>
      <c r="F2236" s="729"/>
      <c r="G2236" s="730"/>
      <c r="H2236" s="73"/>
      <c r="I2236" s="90"/>
      <c r="J2236" s="73"/>
      <c r="K2236" s="66"/>
      <c r="L2236" s="717"/>
      <c r="M2236" s="73"/>
      <c r="N2236" s="786">
        <v>2.4269999999999999E-3</v>
      </c>
      <c r="O2236" s="1041"/>
      <c r="P2236" s="73"/>
      <c r="Q2236" s="786"/>
      <c r="R2236" s="1041"/>
      <c r="S2236" s="73"/>
      <c r="T2236" s="786"/>
      <c r="U2236" s="73"/>
      <c r="V2236" s="66"/>
      <c r="W2236" s="808">
        <f t="shared" ref="W2236" si="1973">AA2236*(1+AB2236)</f>
        <v>1.7717099999999998E-6</v>
      </c>
      <c r="X2236" s="809">
        <f t="shared" ref="X2236" si="1974">AA2236*(1+AC2236)</f>
        <v>1.7717099999999998E-6</v>
      </c>
      <c r="Y2236" s="52">
        <v>2010</v>
      </c>
      <c r="Z2236" s="52"/>
      <c r="AA2236" s="807">
        <f>+N2236/1000</f>
        <v>2.4269999999999998E-6</v>
      </c>
      <c r="AB2236" s="256">
        <v>-0.27</v>
      </c>
      <c r="AC2236" s="688">
        <f t="shared" ref="AC2236" si="1975">AB2236</f>
        <v>-0.27</v>
      </c>
      <c r="AD2236" s="164"/>
      <c r="AE2236" s="164"/>
      <c r="AF2236" s="25"/>
      <c r="AG2236" s="26"/>
      <c r="AH2236" s="275"/>
      <c r="AI2236" s="52"/>
      <c r="AJ2236" s="35"/>
      <c r="AK2236" s="289"/>
      <c r="AL2236" s="290"/>
      <c r="AM2236" s="211"/>
      <c r="AN2236" s="164"/>
      <c r="AO2236" s="76"/>
      <c r="AP2236" s="44"/>
      <c r="AQ2236" s="275"/>
      <c r="AR2236" s="52"/>
      <c r="AS2236" s="35"/>
      <c r="AT2236" s="79"/>
      <c r="AU2236" s="212"/>
      <c r="AV2236" s="164"/>
      <c r="AW2236" s="164"/>
      <c r="AX2236" s="76"/>
      <c r="AY2236" s="44"/>
      <c r="AZ2236" s="275"/>
      <c r="BA2236" s="52"/>
      <c r="BB2236" s="35"/>
      <c r="BC2236" s="79"/>
      <c r="BD2236" s="230"/>
      <c r="BE2236" s="211"/>
      <c r="BF2236" s="164"/>
      <c r="BG2236" s="76"/>
      <c r="BH2236" s="44"/>
      <c r="BI2236" s="275"/>
      <c r="BJ2236" s="52"/>
      <c r="BK2236" s="35"/>
      <c r="BL2236" s="79"/>
      <c r="BM2236" s="230"/>
      <c r="BN2236" s="211"/>
      <c r="BO2236" s="164"/>
      <c r="BP2236" s="76"/>
      <c r="BQ2236" s="44"/>
      <c r="BR2236" s="299"/>
      <c r="BS2236" s="52"/>
      <c r="BT2236" s="35"/>
      <c r="BU2236" s="79"/>
      <c r="BV2236" s="212"/>
      <c r="BW2236" s="304"/>
      <c r="BX2236" s="313"/>
      <c r="BY2236" s="138"/>
    </row>
    <row r="2237" spans="1:77" ht="15" customHeight="1" outlineLevel="1" x14ac:dyDescent="0.2">
      <c r="A2237" s="583" t="s">
        <v>37</v>
      </c>
      <c r="B2237" s="583"/>
      <c r="C2237" s="162" t="s">
        <v>1122</v>
      </c>
      <c r="D2237" s="812">
        <v>1.0089999999999999</v>
      </c>
      <c r="E2237" s="162" t="s">
        <v>631</v>
      </c>
      <c r="F2237" s="729"/>
      <c r="G2237" s="730"/>
      <c r="H2237" s="73"/>
      <c r="I2237" s="90">
        <v>2007</v>
      </c>
      <c r="J2237" s="73"/>
      <c r="K2237" s="790">
        <v>7.3379999999999999E-3</v>
      </c>
      <c r="L2237" s="717"/>
      <c r="M2237" s="73"/>
      <c r="N2237" s="811"/>
      <c r="O2237" s="1041"/>
      <c r="P2237" s="73"/>
      <c r="Q2237" s="811"/>
      <c r="R2237" s="1041"/>
      <c r="S2237" s="73"/>
      <c r="T2237" s="811"/>
      <c r="U2237" s="73"/>
      <c r="V2237" s="66"/>
      <c r="W2237" s="788">
        <f t="shared" si="1958"/>
        <v>5.5034999999999999E-6</v>
      </c>
      <c r="X2237" s="789">
        <f t="shared" si="1959"/>
        <v>5.5034999999999999E-6</v>
      </c>
      <c r="Y2237" s="52">
        <v>2007</v>
      </c>
      <c r="Z2237" s="52"/>
      <c r="AA2237" s="787">
        <f>+K2237/1000</f>
        <v>7.3379999999999999E-6</v>
      </c>
      <c r="AB2237" s="256">
        <v>-0.25</v>
      </c>
      <c r="AC2237" s="688">
        <f t="shared" si="1960"/>
        <v>-0.25</v>
      </c>
      <c r="AD2237" s="164"/>
      <c r="AE2237" s="164"/>
      <c r="AF2237" s="25"/>
      <c r="AG2237" s="26"/>
      <c r="AH2237" s="275"/>
      <c r="AI2237" s="52"/>
      <c r="AJ2237" s="35"/>
      <c r="AK2237" s="289"/>
      <c r="AL2237" s="290"/>
      <c r="AM2237" s="211"/>
      <c r="AN2237" s="164"/>
      <c r="AO2237" s="76"/>
      <c r="AP2237" s="44"/>
      <c r="AQ2237" s="275"/>
      <c r="AR2237" s="52"/>
      <c r="AS2237" s="35"/>
      <c r="AT2237" s="79"/>
      <c r="AU2237" s="212"/>
      <c r="AV2237" s="164"/>
      <c r="AW2237" s="164"/>
      <c r="AX2237" s="76"/>
      <c r="AY2237" s="44"/>
      <c r="AZ2237" s="275"/>
      <c r="BA2237" s="52"/>
      <c r="BB2237" s="35"/>
      <c r="BC2237" s="79"/>
      <c r="BD2237" s="230"/>
      <c r="BE2237" s="211"/>
      <c r="BF2237" s="164"/>
      <c r="BG2237" s="76"/>
      <c r="BH2237" s="44"/>
      <c r="BI2237" s="275"/>
      <c r="BJ2237" s="52"/>
      <c r="BK2237" s="35"/>
      <c r="BL2237" s="79"/>
      <c r="BM2237" s="230"/>
      <c r="BN2237" s="211"/>
      <c r="BO2237" s="164"/>
      <c r="BP2237" s="76"/>
      <c r="BQ2237" s="44"/>
      <c r="BR2237" s="299"/>
      <c r="BS2237" s="52"/>
      <c r="BT2237" s="35"/>
      <c r="BU2237" s="79"/>
      <c r="BV2237" s="212"/>
      <c r="BW2237" s="304"/>
      <c r="BX2237" s="313"/>
      <c r="BY2237" s="138"/>
    </row>
    <row r="2238" spans="1:77" ht="15" customHeight="1" outlineLevel="1" x14ac:dyDescent="0.2">
      <c r="A2238" s="57" t="s">
        <v>37</v>
      </c>
      <c r="B2238" s="57"/>
      <c r="C2238" s="583" t="s">
        <v>345</v>
      </c>
      <c r="D2238" s="546">
        <v>3266.1260000000002</v>
      </c>
      <c r="E2238" s="162" t="s">
        <v>2585</v>
      </c>
      <c r="F2238" s="358"/>
      <c r="G2238" s="65"/>
      <c r="H2238" s="73">
        <v>12.954000000000001</v>
      </c>
      <c r="I2238" s="90"/>
      <c r="J2238" s="73"/>
      <c r="K2238" s="66">
        <v>11.98</v>
      </c>
      <c r="L2238" s="90">
        <v>2011</v>
      </c>
      <c r="M2238" s="73"/>
      <c r="N2238" s="359">
        <v>11.526999999999999</v>
      </c>
      <c r="O2238" s="1041"/>
      <c r="P2238" s="73"/>
      <c r="Q2238" s="359">
        <v>11.5145</v>
      </c>
      <c r="R2238" s="1041"/>
      <c r="S2238" s="73"/>
      <c r="T2238" s="359"/>
      <c r="U2238" s="73"/>
      <c r="V2238" s="66"/>
      <c r="W2238" s="1132">
        <f t="shared" si="1958"/>
        <v>1.0363200000000001E-2</v>
      </c>
      <c r="X2238" s="1133">
        <f t="shared" si="1959"/>
        <v>1.0363200000000001E-2</v>
      </c>
      <c r="Y2238" s="52">
        <v>1990</v>
      </c>
      <c r="Z2238" s="52"/>
      <c r="AA2238" s="596">
        <f>+H2238/1000</f>
        <v>1.2954E-2</v>
      </c>
      <c r="AB2238" s="1109">
        <v>-0.2</v>
      </c>
      <c r="AC2238" s="1110">
        <v>-0.2</v>
      </c>
      <c r="AD2238" s="164"/>
      <c r="AE2238" s="164"/>
      <c r="AF2238" s="25"/>
      <c r="AG2238" s="26"/>
      <c r="AH2238" s="275"/>
      <c r="AI2238" s="52"/>
      <c r="AJ2238" s="35"/>
      <c r="AK2238" s="289"/>
      <c r="AL2238" s="290"/>
      <c r="AM2238" s="211"/>
      <c r="AN2238" s="164"/>
      <c r="AO2238" s="594">
        <f>AS2238*(1+AT2238)</f>
        <v>4.0300750000000002E-3</v>
      </c>
      <c r="AP2238" s="595">
        <f>AS2238*(1+AU2238)</f>
        <v>4.0300750000000002E-3</v>
      </c>
      <c r="AQ2238" s="275">
        <v>2005</v>
      </c>
      <c r="AR2238" s="52"/>
      <c r="AS2238" s="596">
        <f>+Q2238/1000</f>
        <v>1.15145E-2</v>
      </c>
      <c r="AT2238" s="79">
        <v>-0.65</v>
      </c>
      <c r="AU2238" s="212">
        <f>AT2238</f>
        <v>-0.65</v>
      </c>
      <c r="AV2238" s="164"/>
      <c r="AW2238" s="164"/>
      <c r="AX2238" s="76"/>
      <c r="AY2238" s="44"/>
      <c r="AZ2238" s="275"/>
      <c r="BA2238" s="52"/>
      <c r="BB2238" s="35"/>
      <c r="BC2238" s="79"/>
      <c r="BD2238" s="230"/>
      <c r="BE2238" s="211"/>
      <c r="BF2238" s="164"/>
      <c r="BG2238" s="76"/>
      <c r="BH2238" s="44"/>
      <c r="BI2238" s="275"/>
      <c r="BJ2238" s="52"/>
      <c r="BK2238" s="35"/>
      <c r="BL2238" s="79"/>
      <c r="BM2238" s="230"/>
      <c r="BN2238" s="211"/>
      <c r="BO2238" s="164"/>
      <c r="BP2238" s="76"/>
      <c r="BQ2238" s="44"/>
      <c r="BR2238" s="299"/>
      <c r="BS2238" s="52"/>
      <c r="BT2238" s="35"/>
      <c r="BU2238" s="79"/>
      <c r="BV2238" s="212"/>
      <c r="BW2238" s="304"/>
      <c r="BX2238" s="313"/>
      <c r="BY2238" s="138"/>
    </row>
    <row r="2239" spans="1:77" ht="15" customHeight="1" outlineLevel="1" x14ac:dyDescent="0.2">
      <c r="A2239" s="583" t="s">
        <v>37</v>
      </c>
      <c r="B2239" s="583"/>
      <c r="C2239" s="162" t="s">
        <v>1142</v>
      </c>
      <c r="D2239" s="812">
        <v>1.353</v>
      </c>
      <c r="E2239" s="162" t="s">
        <v>631</v>
      </c>
      <c r="F2239" s="729"/>
      <c r="G2239" s="730"/>
      <c r="H2239" s="73"/>
      <c r="I2239" s="90"/>
      <c r="J2239" s="73"/>
      <c r="K2239" s="790"/>
      <c r="L2239" s="717">
        <v>2011</v>
      </c>
      <c r="M2239" s="73"/>
      <c r="N2239" s="786">
        <v>4.1450000000000002E-3</v>
      </c>
      <c r="O2239" s="1041"/>
      <c r="P2239" s="73"/>
      <c r="Q2239" s="786"/>
      <c r="R2239" s="1041"/>
      <c r="S2239" s="73"/>
      <c r="T2239" s="786"/>
      <c r="U2239" s="73"/>
      <c r="V2239" s="66"/>
      <c r="W2239" s="788">
        <f t="shared" si="1958"/>
        <v>3.1087500000000001E-6</v>
      </c>
      <c r="X2239" s="789">
        <f t="shared" si="1959"/>
        <v>3.1087500000000001E-6</v>
      </c>
      <c r="Y2239" s="52">
        <v>2011</v>
      </c>
      <c r="Z2239" s="52"/>
      <c r="AA2239" s="787">
        <f>+N2239/1000</f>
        <v>4.1450000000000001E-6</v>
      </c>
      <c r="AB2239" s="256">
        <v>-0.25</v>
      </c>
      <c r="AC2239" s="688">
        <f t="shared" ref="AC2239:AC2277" si="1976">AB2239</f>
        <v>-0.25</v>
      </c>
      <c r="AD2239" s="164"/>
      <c r="AE2239" s="164"/>
      <c r="AF2239" s="25"/>
      <c r="AG2239" s="26"/>
      <c r="AH2239" s="275"/>
      <c r="AI2239" s="52"/>
      <c r="AJ2239" s="35"/>
      <c r="AK2239" s="289"/>
      <c r="AL2239" s="290"/>
      <c r="AM2239" s="211"/>
      <c r="AN2239" s="164"/>
      <c r="AO2239" s="76"/>
      <c r="AP2239" s="44"/>
      <c r="AQ2239" s="275"/>
      <c r="AR2239" s="52"/>
      <c r="AS2239" s="35"/>
      <c r="AT2239" s="79"/>
      <c r="AU2239" s="212"/>
      <c r="AV2239" s="164"/>
      <c r="AW2239" s="164"/>
      <c r="AX2239" s="76"/>
      <c r="AY2239" s="44"/>
      <c r="AZ2239" s="275"/>
      <c r="BA2239" s="52"/>
      <c r="BB2239" s="35"/>
      <c r="BC2239" s="79"/>
      <c r="BD2239" s="230"/>
      <c r="BE2239" s="211"/>
      <c r="BF2239" s="164"/>
      <c r="BG2239" s="76"/>
      <c r="BH2239" s="44"/>
      <c r="BI2239" s="275"/>
      <c r="BJ2239" s="52"/>
      <c r="BK2239" s="35"/>
      <c r="BL2239" s="79"/>
      <c r="BM2239" s="230"/>
      <c r="BN2239" s="211"/>
      <c r="BO2239" s="164"/>
      <c r="BP2239" s="76"/>
      <c r="BQ2239" s="44"/>
      <c r="BR2239" s="299"/>
      <c r="BS2239" s="52"/>
      <c r="BT2239" s="35"/>
      <c r="BU2239" s="79"/>
      <c r="BV2239" s="212"/>
      <c r="BW2239" s="304"/>
      <c r="BX2239" s="313"/>
      <c r="BY2239" s="138"/>
    </row>
    <row r="2240" spans="1:77" ht="15" customHeight="1" outlineLevel="1" x14ac:dyDescent="0.2">
      <c r="A2240" s="583" t="s">
        <v>37</v>
      </c>
      <c r="B2240" s="583"/>
      <c r="C2240" s="162" t="s">
        <v>1187</v>
      </c>
      <c r="D2240" s="812">
        <v>18.818999999999999</v>
      </c>
      <c r="E2240" s="162" t="s">
        <v>631</v>
      </c>
      <c r="F2240" s="729"/>
      <c r="G2240" s="730"/>
      <c r="H2240" s="73"/>
      <c r="I2240" s="90">
        <v>2007</v>
      </c>
      <c r="J2240" s="73"/>
      <c r="K2240" s="734">
        <v>1.8818999999999999E-2</v>
      </c>
      <c r="L2240" s="717"/>
      <c r="M2240" s="73"/>
      <c r="N2240" s="811"/>
      <c r="O2240" s="1041"/>
      <c r="P2240" s="73"/>
      <c r="Q2240" s="811"/>
      <c r="R2240" s="1041"/>
      <c r="S2240" s="73"/>
      <c r="T2240" s="811"/>
      <c r="U2240" s="73"/>
      <c r="V2240" s="66"/>
      <c r="W2240" s="740">
        <f t="shared" si="1958"/>
        <v>1.354968E-5</v>
      </c>
      <c r="X2240" s="741">
        <f t="shared" si="1959"/>
        <v>1.354968E-5</v>
      </c>
      <c r="Y2240" s="52">
        <v>2007</v>
      </c>
      <c r="Z2240" s="52"/>
      <c r="AA2240" s="739">
        <f>+K2240/1000</f>
        <v>1.8819000000000001E-5</v>
      </c>
      <c r="AB2240" s="256">
        <v>-0.28000000000000003</v>
      </c>
      <c r="AC2240" s="688">
        <f t="shared" si="1976"/>
        <v>-0.28000000000000003</v>
      </c>
      <c r="AD2240" s="164"/>
      <c r="AE2240" s="164"/>
      <c r="AF2240" s="25"/>
      <c r="AG2240" s="26"/>
      <c r="AH2240" s="275"/>
      <c r="AI2240" s="52"/>
      <c r="AJ2240" s="35"/>
      <c r="AK2240" s="289"/>
      <c r="AL2240" s="290"/>
      <c r="AM2240" s="211"/>
      <c r="AN2240" s="164"/>
      <c r="AO2240" s="76"/>
      <c r="AP2240" s="44"/>
      <c r="AQ2240" s="275"/>
      <c r="AR2240" s="52"/>
      <c r="AS2240" s="35"/>
      <c r="AT2240" s="79"/>
      <c r="AU2240" s="212"/>
      <c r="AV2240" s="164"/>
      <c r="AW2240" s="164"/>
      <c r="AX2240" s="76"/>
      <c r="AY2240" s="44"/>
      <c r="AZ2240" s="275"/>
      <c r="BA2240" s="52"/>
      <c r="BB2240" s="35"/>
      <c r="BC2240" s="79"/>
      <c r="BD2240" s="230"/>
      <c r="BE2240" s="211"/>
      <c r="BF2240" s="164"/>
      <c r="BG2240" s="76"/>
      <c r="BH2240" s="44"/>
      <c r="BI2240" s="275"/>
      <c r="BJ2240" s="52"/>
      <c r="BK2240" s="35"/>
      <c r="BL2240" s="79"/>
      <c r="BM2240" s="230"/>
      <c r="BN2240" s="211"/>
      <c r="BO2240" s="164"/>
      <c r="BP2240" s="76"/>
      <c r="BQ2240" s="44"/>
      <c r="BR2240" s="299"/>
      <c r="BS2240" s="52"/>
      <c r="BT2240" s="35"/>
      <c r="BU2240" s="79"/>
      <c r="BV2240" s="212"/>
      <c r="BW2240" s="304"/>
      <c r="BX2240" s="313"/>
      <c r="BY2240" s="138"/>
    </row>
    <row r="2241" spans="1:77" ht="15" customHeight="1" outlineLevel="1" x14ac:dyDescent="0.2">
      <c r="A2241" s="583" t="s">
        <v>37</v>
      </c>
      <c r="B2241" s="583"/>
      <c r="C2241" s="162" t="s">
        <v>2871</v>
      </c>
      <c r="D2241" s="812">
        <v>36.000999999999998</v>
      </c>
      <c r="E2241" s="162" t="s">
        <v>631</v>
      </c>
      <c r="F2241" s="729"/>
      <c r="G2241" s="730"/>
      <c r="H2241" s="73"/>
      <c r="I2241" s="90"/>
      <c r="J2241" s="73"/>
      <c r="K2241" s="734">
        <v>0.190027</v>
      </c>
      <c r="L2241" s="717"/>
      <c r="M2241" s="73"/>
      <c r="N2241" s="811"/>
      <c r="O2241" s="1041"/>
      <c r="P2241" s="73"/>
      <c r="Q2241" s="811"/>
      <c r="R2241" s="1041"/>
      <c r="S2241" s="73"/>
      <c r="T2241" s="811"/>
      <c r="U2241" s="73"/>
      <c r="V2241" s="66"/>
      <c r="W2241" s="740"/>
      <c r="X2241" s="741"/>
      <c r="Y2241" s="52"/>
      <c r="Z2241" s="52"/>
      <c r="AA2241" s="739"/>
      <c r="AB2241" s="256"/>
      <c r="AC2241" s="688"/>
      <c r="AD2241" s="164"/>
      <c r="AE2241" s="164"/>
      <c r="AF2241" s="25"/>
      <c r="AG2241" s="26"/>
      <c r="AH2241" s="275"/>
      <c r="AI2241" s="52"/>
      <c r="AJ2241" s="35"/>
      <c r="AK2241" s="289"/>
      <c r="AL2241" s="290"/>
      <c r="AM2241" s="211"/>
      <c r="AN2241" s="164"/>
      <c r="AO2241" s="788">
        <f>AS2241*(1+AT2241)</f>
        <v>1.1135582200000002E-4</v>
      </c>
      <c r="AP2241" s="789">
        <f>AS2241*(1+AU2241)</f>
        <v>1.1135582200000002E-4</v>
      </c>
      <c r="AQ2241" s="275">
        <v>2005</v>
      </c>
      <c r="AR2241" s="52"/>
      <c r="AS2241" s="787">
        <f>+K2241/1000</f>
        <v>1.90027E-4</v>
      </c>
      <c r="AT2241" s="1125">
        <v>-0.41399999999999998</v>
      </c>
      <c r="AU2241" s="1126">
        <f>AT2241</f>
        <v>-0.41399999999999998</v>
      </c>
      <c r="AV2241" s="164"/>
      <c r="AW2241" s="164"/>
      <c r="AX2241" s="76"/>
      <c r="AY2241" s="44"/>
      <c r="AZ2241" s="275"/>
      <c r="BA2241" s="52"/>
      <c r="BB2241" s="35"/>
      <c r="BC2241" s="79"/>
      <c r="BD2241" s="230"/>
      <c r="BE2241" s="211"/>
      <c r="BF2241" s="164"/>
      <c r="BG2241" s="76"/>
      <c r="BH2241" s="44"/>
      <c r="BI2241" s="275"/>
      <c r="BJ2241" s="52"/>
      <c r="BK2241" s="35"/>
      <c r="BL2241" s="79"/>
      <c r="BM2241" s="230"/>
      <c r="BN2241" s="211"/>
      <c r="BO2241" s="164"/>
      <c r="BP2241" s="76"/>
      <c r="BQ2241" s="44"/>
      <c r="BR2241" s="299"/>
      <c r="BS2241" s="52"/>
      <c r="BT2241" s="35"/>
      <c r="BU2241" s="79"/>
      <c r="BV2241" s="212"/>
      <c r="BW2241" s="304"/>
      <c r="BX2241" s="313"/>
      <c r="BY2241" s="138"/>
    </row>
    <row r="2242" spans="1:77" ht="15" customHeight="1" outlineLevel="1" x14ac:dyDescent="0.2">
      <c r="A2242" s="583" t="s">
        <v>37</v>
      </c>
      <c r="B2242" s="583"/>
      <c r="C2242" s="162" t="s">
        <v>1143</v>
      </c>
      <c r="D2242" s="812">
        <v>1.5649999999999999</v>
      </c>
      <c r="E2242" s="162" t="s">
        <v>631</v>
      </c>
      <c r="F2242" s="729"/>
      <c r="G2242" s="730"/>
      <c r="H2242" s="73"/>
      <c r="I2242" s="90">
        <v>2007</v>
      </c>
      <c r="J2242" s="73"/>
      <c r="K2242" s="734">
        <v>1.2478E-2</v>
      </c>
      <c r="L2242" s="717"/>
      <c r="M2242" s="73"/>
      <c r="N2242" s="738"/>
      <c r="O2242" s="1041"/>
      <c r="P2242" s="73"/>
      <c r="Q2242" s="738"/>
      <c r="R2242" s="1041"/>
      <c r="S2242" s="73"/>
      <c r="T2242" s="738"/>
      <c r="U2242" s="73"/>
      <c r="V2242" s="66"/>
      <c r="W2242" s="788">
        <f t="shared" si="1958"/>
        <v>9.1089399999999996E-6</v>
      </c>
      <c r="X2242" s="789">
        <f t="shared" si="1959"/>
        <v>9.1089399999999996E-6</v>
      </c>
      <c r="Y2242" s="52">
        <v>2007</v>
      </c>
      <c r="Z2242" s="52"/>
      <c r="AA2242" s="787">
        <f>+K2242/1000</f>
        <v>1.2478E-5</v>
      </c>
      <c r="AB2242" s="256">
        <v>-0.27</v>
      </c>
      <c r="AC2242" s="688">
        <f t="shared" si="1976"/>
        <v>-0.27</v>
      </c>
      <c r="AD2242" s="164"/>
      <c r="AE2242" s="164"/>
      <c r="AF2242" s="25"/>
      <c r="AG2242" s="26"/>
      <c r="AH2242" s="275"/>
      <c r="AI2242" s="52"/>
      <c r="AJ2242" s="35"/>
      <c r="AK2242" s="289"/>
      <c r="AL2242" s="290"/>
      <c r="AM2242" s="211"/>
      <c r="AN2242" s="164"/>
      <c r="AO2242" s="76"/>
      <c r="AP2242" s="44"/>
      <c r="AQ2242" s="275"/>
      <c r="AR2242" s="52"/>
      <c r="AS2242" s="35"/>
      <c r="AT2242" s="79"/>
      <c r="AU2242" s="212"/>
      <c r="AV2242" s="164"/>
      <c r="AW2242" s="164"/>
      <c r="AX2242" s="76"/>
      <c r="AY2242" s="44"/>
      <c r="AZ2242" s="275"/>
      <c r="BA2242" s="52"/>
      <c r="BB2242" s="35"/>
      <c r="BC2242" s="79"/>
      <c r="BD2242" s="230"/>
      <c r="BE2242" s="211"/>
      <c r="BF2242" s="164"/>
      <c r="BG2242" s="76"/>
      <c r="BH2242" s="44"/>
      <c r="BI2242" s="275"/>
      <c r="BJ2242" s="52"/>
      <c r="BK2242" s="35"/>
      <c r="BL2242" s="79"/>
      <c r="BM2242" s="230"/>
      <c r="BN2242" s="211"/>
      <c r="BO2242" s="164"/>
      <c r="BP2242" s="76"/>
      <c r="BQ2242" s="44"/>
      <c r="BR2242" s="299"/>
      <c r="BS2242" s="52"/>
      <c r="BT2242" s="35"/>
      <c r="BU2242" s="79"/>
      <c r="BV2242" s="212"/>
      <c r="BW2242" s="304"/>
      <c r="BX2242" s="313"/>
      <c r="BY2242" s="138"/>
    </row>
    <row r="2243" spans="1:77" ht="15" customHeight="1" outlineLevel="1" x14ac:dyDescent="0.2">
      <c r="A2243" s="583" t="s">
        <v>37</v>
      </c>
      <c r="B2243" s="583"/>
      <c r="C2243" s="162" t="s">
        <v>1078</v>
      </c>
      <c r="D2243" s="812">
        <v>2.819</v>
      </c>
      <c r="E2243" s="162" t="s">
        <v>631</v>
      </c>
      <c r="F2243" s="729"/>
      <c r="G2243" s="730"/>
      <c r="H2243" s="73"/>
      <c r="I2243" s="90">
        <v>2007</v>
      </c>
      <c r="J2243" s="73"/>
      <c r="K2243" s="813">
        <v>1.0643E-2</v>
      </c>
      <c r="L2243" s="717"/>
      <c r="M2243" s="73"/>
      <c r="N2243" s="811"/>
      <c r="O2243" s="1041"/>
      <c r="P2243" s="73"/>
      <c r="Q2243" s="811"/>
      <c r="R2243" s="1041"/>
      <c r="S2243" s="73"/>
      <c r="T2243" s="811"/>
      <c r="U2243" s="73"/>
      <c r="V2243" s="66"/>
      <c r="W2243" s="788">
        <f t="shared" si="1958"/>
        <v>7.7693899999999998E-6</v>
      </c>
      <c r="X2243" s="789">
        <f t="shared" si="1959"/>
        <v>7.7693899999999998E-6</v>
      </c>
      <c r="Y2243" s="52">
        <v>2007</v>
      </c>
      <c r="Z2243" s="52"/>
      <c r="AA2243" s="787">
        <f>+K2243/1000</f>
        <v>1.0643E-5</v>
      </c>
      <c r="AB2243" s="256">
        <v>-0.27</v>
      </c>
      <c r="AC2243" s="688">
        <f t="shared" si="1976"/>
        <v>-0.27</v>
      </c>
      <c r="AD2243" s="164"/>
      <c r="AE2243" s="164"/>
      <c r="AF2243" s="25"/>
      <c r="AG2243" s="26"/>
      <c r="AH2243" s="275"/>
      <c r="AI2243" s="52"/>
      <c r="AJ2243" s="35"/>
      <c r="AK2243" s="289"/>
      <c r="AL2243" s="290"/>
      <c r="AM2243" s="211"/>
      <c r="AN2243" s="164"/>
      <c r="AO2243" s="76"/>
      <c r="AP2243" s="44"/>
      <c r="AQ2243" s="275"/>
      <c r="AR2243" s="52"/>
      <c r="AS2243" s="35"/>
      <c r="AT2243" s="79"/>
      <c r="AU2243" s="212"/>
      <c r="AV2243" s="164"/>
      <c r="AW2243" s="164"/>
      <c r="AX2243" s="76"/>
      <c r="AY2243" s="44"/>
      <c r="AZ2243" s="275"/>
      <c r="BA2243" s="52"/>
      <c r="BB2243" s="35"/>
      <c r="BC2243" s="79"/>
      <c r="BD2243" s="230"/>
      <c r="BE2243" s="211"/>
      <c r="BF2243" s="164"/>
      <c r="BG2243" s="76"/>
      <c r="BH2243" s="44"/>
      <c r="BI2243" s="275"/>
      <c r="BJ2243" s="52"/>
      <c r="BK2243" s="35"/>
      <c r="BL2243" s="79"/>
      <c r="BM2243" s="230"/>
      <c r="BN2243" s="211"/>
      <c r="BO2243" s="164"/>
      <c r="BP2243" s="76"/>
      <c r="BQ2243" s="44"/>
      <c r="BR2243" s="299"/>
      <c r="BS2243" s="52"/>
      <c r="BT2243" s="35"/>
      <c r="BU2243" s="79"/>
      <c r="BV2243" s="212"/>
      <c r="BW2243" s="304"/>
      <c r="BX2243" s="313"/>
      <c r="BY2243" s="138"/>
    </row>
    <row r="2244" spans="1:77" ht="15" customHeight="1" outlineLevel="1" x14ac:dyDescent="0.2">
      <c r="A2244" s="583" t="s">
        <v>37</v>
      </c>
      <c r="B2244" s="583"/>
      <c r="C2244" s="162" t="s">
        <v>1160</v>
      </c>
      <c r="D2244" s="812">
        <v>2.7370000000000001</v>
      </c>
      <c r="E2244" s="162" t="s">
        <v>631</v>
      </c>
      <c r="F2244" s="729"/>
      <c r="G2244" s="730"/>
      <c r="H2244" s="73"/>
      <c r="I2244" s="90">
        <v>2007</v>
      </c>
      <c r="J2244" s="73"/>
      <c r="K2244" s="734">
        <v>1.338E-2</v>
      </c>
      <c r="L2244" s="717"/>
      <c r="M2244" s="73"/>
      <c r="N2244" s="811"/>
      <c r="O2244" s="1041"/>
      <c r="P2244" s="73"/>
      <c r="Q2244" s="811"/>
      <c r="R2244" s="1041"/>
      <c r="S2244" s="73"/>
      <c r="T2244" s="811"/>
      <c r="U2244" s="73"/>
      <c r="V2244" s="66"/>
      <c r="W2244" s="788">
        <f t="shared" si="1958"/>
        <v>8.9645999999999988E-6</v>
      </c>
      <c r="X2244" s="789">
        <f t="shared" si="1959"/>
        <v>8.9645999999999988E-6</v>
      </c>
      <c r="Y2244" s="52">
        <v>2007</v>
      </c>
      <c r="Z2244" s="52"/>
      <c r="AA2244" s="787">
        <f>+K2244/1000</f>
        <v>1.3379999999999999E-5</v>
      </c>
      <c r="AB2244" s="256">
        <v>-0.33</v>
      </c>
      <c r="AC2244" s="688">
        <f t="shared" si="1976"/>
        <v>-0.33</v>
      </c>
      <c r="AD2244" s="164"/>
      <c r="AE2244" s="164"/>
      <c r="AF2244" s="25"/>
      <c r="AG2244" s="26"/>
      <c r="AH2244" s="275"/>
      <c r="AI2244" s="52"/>
      <c r="AJ2244" s="35"/>
      <c r="AK2244" s="289"/>
      <c r="AL2244" s="290"/>
      <c r="AM2244" s="211"/>
      <c r="AN2244" s="164"/>
      <c r="AO2244" s="76"/>
      <c r="AP2244" s="44"/>
      <c r="AQ2244" s="275"/>
      <c r="AR2244" s="52"/>
      <c r="AS2244" s="35"/>
      <c r="AT2244" s="79"/>
      <c r="AU2244" s="212"/>
      <c r="AV2244" s="164"/>
      <c r="AW2244" s="164"/>
      <c r="AX2244" s="76"/>
      <c r="AY2244" s="44"/>
      <c r="AZ2244" s="275"/>
      <c r="BA2244" s="52"/>
      <c r="BB2244" s="35"/>
      <c r="BC2244" s="79"/>
      <c r="BD2244" s="230"/>
      <c r="BE2244" s="211"/>
      <c r="BF2244" s="164"/>
      <c r="BG2244" s="76"/>
      <c r="BH2244" s="44"/>
      <c r="BI2244" s="275"/>
      <c r="BJ2244" s="52"/>
      <c r="BK2244" s="35"/>
      <c r="BL2244" s="79"/>
      <c r="BM2244" s="230"/>
      <c r="BN2244" s="211"/>
      <c r="BO2244" s="164"/>
      <c r="BP2244" s="76"/>
      <c r="BQ2244" s="44"/>
      <c r="BR2244" s="299"/>
      <c r="BS2244" s="52"/>
      <c r="BT2244" s="35"/>
      <c r="BU2244" s="79"/>
      <c r="BV2244" s="212"/>
      <c r="BW2244" s="304"/>
      <c r="BX2244" s="313"/>
      <c r="BY2244" s="138"/>
    </row>
    <row r="2245" spans="1:77" ht="15" customHeight="1" outlineLevel="1" x14ac:dyDescent="0.2">
      <c r="A2245" s="583" t="s">
        <v>37</v>
      </c>
      <c r="B2245" s="583"/>
      <c r="C2245" s="162" t="s">
        <v>1196</v>
      </c>
      <c r="D2245" s="812">
        <v>11.78</v>
      </c>
      <c r="E2245" s="162" t="s">
        <v>631</v>
      </c>
      <c r="F2245" s="729"/>
      <c r="G2245" s="730"/>
      <c r="H2245" s="73"/>
      <c r="I2245" s="90">
        <v>2007</v>
      </c>
      <c r="J2245" s="73"/>
      <c r="K2245" s="734">
        <v>5.2457999999999998E-2</v>
      </c>
      <c r="L2245" s="717"/>
      <c r="M2245" s="73"/>
      <c r="N2245" s="811"/>
      <c r="O2245" s="1041"/>
      <c r="P2245" s="73"/>
      <c r="Q2245" s="811"/>
      <c r="R2245" s="1041"/>
      <c r="S2245" s="73"/>
      <c r="T2245" s="811"/>
      <c r="U2245" s="73"/>
      <c r="V2245" s="66"/>
      <c r="W2245" s="740">
        <f t="shared" si="1958"/>
        <v>3.1474799999999999E-5</v>
      </c>
      <c r="X2245" s="741">
        <f t="shared" si="1959"/>
        <v>3.1474799999999999E-5</v>
      </c>
      <c r="Y2245" s="52">
        <v>2007</v>
      </c>
      <c r="Z2245" s="52"/>
      <c r="AA2245" s="739">
        <f>+K2245/1000</f>
        <v>5.2457999999999998E-5</v>
      </c>
      <c r="AB2245" s="256">
        <v>-0.4</v>
      </c>
      <c r="AC2245" s="688">
        <f t="shared" si="1976"/>
        <v>-0.4</v>
      </c>
      <c r="AD2245" s="164"/>
      <c r="AE2245" s="164"/>
      <c r="AF2245" s="25"/>
      <c r="AG2245" s="26"/>
      <c r="AH2245" s="275"/>
      <c r="AI2245" s="52"/>
      <c r="AJ2245" s="35"/>
      <c r="AK2245" s="289"/>
      <c r="AL2245" s="290"/>
      <c r="AM2245" s="211"/>
      <c r="AN2245" s="164"/>
      <c r="AO2245" s="76"/>
      <c r="AP2245" s="44"/>
      <c r="AQ2245" s="275"/>
      <c r="AR2245" s="52"/>
      <c r="AS2245" s="35"/>
      <c r="AT2245" s="79"/>
      <c r="AU2245" s="212"/>
      <c r="AV2245" s="164"/>
      <c r="AW2245" s="164"/>
      <c r="AX2245" s="76"/>
      <c r="AY2245" s="44"/>
      <c r="AZ2245" s="275"/>
      <c r="BA2245" s="52"/>
      <c r="BB2245" s="35"/>
      <c r="BC2245" s="79"/>
      <c r="BD2245" s="230"/>
      <c r="BE2245" s="211"/>
      <c r="BF2245" s="164"/>
      <c r="BG2245" s="76"/>
      <c r="BH2245" s="44"/>
      <c r="BI2245" s="275"/>
      <c r="BJ2245" s="52"/>
      <c r="BK2245" s="35"/>
      <c r="BL2245" s="79"/>
      <c r="BM2245" s="230"/>
      <c r="BN2245" s="211"/>
      <c r="BO2245" s="164"/>
      <c r="BP2245" s="76"/>
      <c r="BQ2245" s="44"/>
      <c r="BR2245" s="299"/>
      <c r="BS2245" s="52"/>
      <c r="BT2245" s="35"/>
      <c r="BU2245" s="79"/>
      <c r="BV2245" s="212"/>
      <c r="BW2245" s="304"/>
      <c r="BX2245" s="313"/>
      <c r="BY2245" s="138"/>
    </row>
    <row r="2246" spans="1:77" ht="15" customHeight="1" outlineLevel="1" x14ac:dyDescent="0.2">
      <c r="A2246" s="583" t="s">
        <v>37</v>
      </c>
      <c r="B2246" s="583"/>
      <c r="C2246" s="162" t="s">
        <v>1229</v>
      </c>
      <c r="D2246" s="806">
        <v>0.47199999999999998</v>
      </c>
      <c r="E2246" s="162" t="s">
        <v>631</v>
      </c>
      <c r="F2246" s="729"/>
      <c r="G2246" s="730"/>
      <c r="H2246" s="73"/>
      <c r="I2246" s="90"/>
      <c r="J2246" s="73"/>
      <c r="K2246" s="734"/>
      <c r="L2246" s="717"/>
      <c r="M2246" s="73"/>
      <c r="N2246" s="786">
        <v>7.8266000000000002E-4</v>
      </c>
      <c r="O2246" s="1041"/>
      <c r="P2246" s="73"/>
      <c r="Q2246" s="786"/>
      <c r="R2246" s="1041"/>
      <c r="S2246" s="73"/>
      <c r="T2246" s="786"/>
      <c r="U2246" s="73"/>
      <c r="V2246" s="66"/>
      <c r="W2246" s="788">
        <f t="shared" si="1958"/>
        <v>5.5568859999999997E-7</v>
      </c>
      <c r="X2246" s="789">
        <f t="shared" si="1959"/>
        <v>5.5568859999999997E-7</v>
      </c>
      <c r="Y2246" s="52">
        <v>2010</v>
      </c>
      <c r="Z2246" s="52"/>
      <c r="AA2246" s="787">
        <f>+N2246/1000</f>
        <v>7.8266E-7</v>
      </c>
      <c r="AB2246" s="256">
        <v>-0.28999999999999998</v>
      </c>
      <c r="AC2246" s="688">
        <f t="shared" si="1976"/>
        <v>-0.28999999999999998</v>
      </c>
      <c r="AD2246" s="164"/>
      <c r="AE2246" s="164"/>
      <c r="AF2246" s="25"/>
      <c r="AG2246" s="26"/>
      <c r="AH2246" s="275"/>
      <c r="AI2246" s="52"/>
      <c r="AJ2246" s="35"/>
      <c r="AK2246" s="289"/>
      <c r="AL2246" s="290"/>
      <c r="AM2246" s="211"/>
      <c r="AN2246" s="164"/>
      <c r="AO2246" s="76"/>
      <c r="AP2246" s="44"/>
      <c r="AQ2246" s="275"/>
      <c r="AR2246" s="52"/>
      <c r="AS2246" s="35"/>
      <c r="AT2246" s="79"/>
      <c r="AU2246" s="212"/>
      <c r="AV2246" s="164"/>
      <c r="AW2246" s="164"/>
      <c r="AX2246" s="76"/>
      <c r="AY2246" s="44"/>
      <c r="AZ2246" s="275"/>
      <c r="BA2246" s="52"/>
      <c r="BB2246" s="35"/>
      <c r="BC2246" s="79"/>
      <c r="BD2246" s="230"/>
      <c r="BE2246" s="211"/>
      <c r="BF2246" s="164"/>
      <c r="BG2246" s="76"/>
      <c r="BH2246" s="44"/>
      <c r="BI2246" s="275"/>
      <c r="BJ2246" s="52"/>
      <c r="BK2246" s="35"/>
      <c r="BL2246" s="79"/>
      <c r="BM2246" s="230"/>
      <c r="BN2246" s="211"/>
      <c r="BO2246" s="164"/>
      <c r="BP2246" s="76"/>
      <c r="BQ2246" s="44"/>
      <c r="BR2246" s="299"/>
      <c r="BS2246" s="52"/>
      <c r="BT2246" s="35"/>
      <c r="BU2246" s="79"/>
      <c r="BV2246" s="212"/>
      <c r="BW2246" s="304"/>
      <c r="BX2246" s="313"/>
      <c r="BY2246" s="138"/>
    </row>
    <row r="2247" spans="1:77" ht="15" customHeight="1" outlineLevel="1" x14ac:dyDescent="0.2">
      <c r="A2247" s="583" t="s">
        <v>37</v>
      </c>
      <c r="B2247" s="583"/>
      <c r="C2247" s="162" t="s">
        <v>1064</v>
      </c>
      <c r="D2247" s="812">
        <v>12.46</v>
      </c>
      <c r="E2247" s="162" t="s">
        <v>631</v>
      </c>
      <c r="F2247" s="729"/>
      <c r="G2247" s="730"/>
      <c r="H2247" s="73"/>
      <c r="I2247" s="90">
        <v>2007</v>
      </c>
      <c r="J2247" s="73"/>
      <c r="K2247" s="813">
        <v>2.2190000000000001E-2</v>
      </c>
      <c r="L2247" s="717"/>
      <c r="M2247" s="73"/>
      <c r="N2247" s="811"/>
      <c r="O2247" s="1041"/>
      <c r="P2247" s="73"/>
      <c r="Q2247" s="811"/>
      <c r="R2247" s="1041"/>
      <c r="S2247" s="73"/>
      <c r="T2247" s="811"/>
      <c r="U2247" s="73"/>
      <c r="V2247" s="66"/>
      <c r="W2247" s="740">
        <f t="shared" si="1958"/>
        <v>1.2648300000000002E-5</v>
      </c>
      <c r="X2247" s="741">
        <f t="shared" si="1959"/>
        <v>1.2648300000000002E-5</v>
      </c>
      <c r="Y2247" s="52">
        <v>2007</v>
      </c>
      <c r="Z2247" s="52"/>
      <c r="AA2247" s="739">
        <f>+K2247/1000</f>
        <v>2.2190000000000003E-5</v>
      </c>
      <c r="AB2247" s="256">
        <v>-0.43</v>
      </c>
      <c r="AC2247" s="688">
        <f t="shared" si="1976"/>
        <v>-0.43</v>
      </c>
      <c r="AD2247" s="164"/>
      <c r="AE2247" s="164"/>
      <c r="AF2247" s="25"/>
      <c r="AG2247" s="26"/>
      <c r="AH2247" s="275"/>
      <c r="AI2247" s="52"/>
      <c r="AJ2247" s="35"/>
      <c r="AK2247" s="289"/>
      <c r="AL2247" s="290"/>
      <c r="AM2247" s="211"/>
      <c r="AN2247" s="164"/>
      <c r="AO2247" s="76"/>
      <c r="AP2247" s="44"/>
      <c r="AQ2247" s="275"/>
      <c r="AR2247" s="52"/>
      <c r="AS2247" s="35"/>
      <c r="AT2247" s="79"/>
      <c r="AU2247" s="212"/>
      <c r="AV2247" s="164"/>
      <c r="AW2247" s="164"/>
      <c r="AX2247" s="76"/>
      <c r="AY2247" s="44"/>
      <c r="AZ2247" s="275"/>
      <c r="BA2247" s="52"/>
      <c r="BB2247" s="35"/>
      <c r="BC2247" s="79"/>
      <c r="BD2247" s="230"/>
      <c r="BE2247" s="211"/>
      <c r="BF2247" s="164"/>
      <c r="BG2247" s="76"/>
      <c r="BH2247" s="44"/>
      <c r="BI2247" s="275"/>
      <c r="BJ2247" s="52"/>
      <c r="BK2247" s="35"/>
      <c r="BL2247" s="79"/>
      <c r="BM2247" s="230"/>
      <c r="BN2247" s="211"/>
      <c r="BO2247" s="164"/>
      <c r="BP2247" s="76"/>
      <c r="BQ2247" s="44"/>
      <c r="BR2247" s="299"/>
      <c r="BS2247" s="52"/>
      <c r="BT2247" s="35"/>
      <c r="BU2247" s="79"/>
      <c r="BV2247" s="212"/>
      <c r="BW2247" s="304"/>
      <c r="BX2247" s="313"/>
      <c r="BY2247" s="138"/>
    </row>
    <row r="2248" spans="1:77" ht="15" customHeight="1" outlineLevel="1" x14ac:dyDescent="0.2">
      <c r="A2248" s="583" t="s">
        <v>37</v>
      </c>
      <c r="B2248" s="583"/>
      <c r="C2248" s="162" t="s">
        <v>1255</v>
      </c>
      <c r="D2248" s="812">
        <v>2.4420000000000002</v>
      </c>
      <c r="E2248" s="162" t="s">
        <v>631</v>
      </c>
      <c r="F2248" s="729"/>
      <c r="G2248" s="730"/>
      <c r="H2248" s="73"/>
      <c r="I2248" s="90">
        <v>2007</v>
      </c>
      <c r="J2248" s="73"/>
      <c r="K2248" s="734">
        <v>1.3325999999999999E-2</v>
      </c>
      <c r="L2248" s="717"/>
      <c r="M2248" s="73"/>
      <c r="N2248" s="811"/>
      <c r="O2248" s="1041"/>
      <c r="P2248" s="73"/>
      <c r="Q2248" s="811"/>
      <c r="R2248" s="1041"/>
      <c r="S2248" s="73"/>
      <c r="T2248" s="811"/>
      <c r="U2248" s="73"/>
      <c r="V2248" s="66"/>
      <c r="W2248" s="594">
        <f t="shared" si="1958"/>
        <v>0</v>
      </c>
      <c r="X2248" s="595">
        <f t="shared" si="1959"/>
        <v>0</v>
      </c>
      <c r="Y2248" s="52">
        <v>2007</v>
      </c>
      <c r="Z2248" s="52"/>
      <c r="AA2248" s="739">
        <f>+K2248/1000</f>
        <v>1.3325999999999999E-5</v>
      </c>
      <c r="AB2248" s="256">
        <v>-1</v>
      </c>
      <c r="AC2248" s="688">
        <f t="shared" si="1976"/>
        <v>-1</v>
      </c>
      <c r="AD2248" s="164"/>
      <c r="AE2248" s="164"/>
      <c r="AF2248" s="25"/>
      <c r="AG2248" s="26"/>
      <c r="AH2248" s="275"/>
      <c r="AI2248" s="52"/>
      <c r="AJ2248" s="35"/>
      <c r="AK2248" s="289"/>
      <c r="AL2248" s="290"/>
      <c r="AM2248" s="211"/>
      <c r="AN2248" s="164"/>
      <c r="AO2248" s="76"/>
      <c r="AP2248" s="44"/>
      <c r="AQ2248" s="275"/>
      <c r="AR2248" s="52"/>
      <c r="AS2248" s="35"/>
      <c r="AT2248" s="79"/>
      <c r="AU2248" s="212"/>
      <c r="AV2248" s="164"/>
      <c r="AW2248" s="164"/>
      <c r="AX2248" s="76"/>
      <c r="AY2248" s="44"/>
      <c r="AZ2248" s="275"/>
      <c r="BA2248" s="52"/>
      <c r="BB2248" s="35"/>
      <c r="BC2248" s="79"/>
      <c r="BD2248" s="230"/>
      <c r="BE2248" s="211"/>
      <c r="BF2248" s="164"/>
      <c r="BG2248" s="76"/>
      <c r="BH2248" s="44"/>
      <c r="BI2248" s="275"/>
      <c r="BJ2248" s="52"/>
      <c r="BK2248" s="35"/>
      <c r="BL2248" s="79"/>
      <c r="BM2248" s="230"/>
      <c r="BN2248" s="211"/>
      <c r="BO2248" s="164"/>
      <c r="BP2248" s="76"/>
      <c r="BQ2248" s="44"/>
      <c r="BR2248" s="299"/>
      <c r="BS2248" s="52"/>
      <c r="BT2248" s="35"/>
      <c r="BU2248" s="79"/>
      <c r="BV2248" s="212"/>
      <c r="BW2248" s="304"/>
      <c r="BX2248" s="313"/>
      <c r="BY2248" s="138"/>
    </row>
    <row r="2249" spans="1:77" ht="15" customHeight="1" outlineLevel="1" x14ac:dyDescent="0.2">
      <c r="A2249" s="583" t="s">
        <v>37</v>
      </c>
      <c r="B2249" s="583"/>
      <c r="C2249" s="162" t="s">
        <v>1230</v>
      </c>
      <c r="D2249" s="806">
        <v>0.19</v>
      </c>
      <c r="E2249" s="162" t="s">
        <v>631</v>
      </c>
      <c r="F2249" s="729"/>
      <c r="G2249" s="730"/>
      <c r="H2249" s="73"/>
      <c r="I2249" s="90"/>
      <c r="J2249" s="73"/>
      <c r="K2249" s="734"/>
      <c r="L2249" s="717"/>
      <c r="M2249" s="73"/>
      <c r="N2249" s="811">
        <v>4.1240999999999999E-4</v>
      </c>
      <c r="O2249" s="1041"/>
      <c r="P2249" s="73"/>
      <c r="Q2249" s="811"/>
      <c r="R2249" s="1041"/>
      <c r="S2249" s="73"/>
      <c r="T2249" s="811"/>
      <c r="U2249" s="73"/>
      <c r="V2249" s="66"/>
      <c r="W2249" s="808">
        <f t="shared" si="1958"/>
        <v>3.0930749999999999E-7</v>
      </c>
      <c r="X2249" s="809">
        <f t="shared" si="1959"/>
        <v>3.0930749999999999E-7</v>
      </c>
      <c r="Y2249" s="52">
        <v>2010</v>
      </c>
      <c r="Z2249" s="52"/>
      <c r="AA2249" s="807">
        <f>+N2249/1000</f>
        <v>4.1240999999999997E-7</v>
      </c>
      <c r="AB2249" s="256">
        <v>-0.25</v>
      </c>
      <c r="AC2249" s="688">
        <f t="shared" si="1976"/>
        <v>-0.25</v>
      </c>
      <c r="AD2249" s="164"/>
      <c r="AE2249" s="164"/>
      <c r="AF2249" s="25"/>
      <c r="AG2249" s="26"/>
      <c r="AH2249" s="275"/>
      <c r="AI2249" s="52"/>
      <c r="AJ2249" s="35"/>
      <c r="AK2249" s="289"/>
      <c r="AL2249" s="290"/>
      <c r="AM2249" s="211"/>
      <c r="AN2249" s="164"/>
      <c r="AO2249" s="76"/>
      <c r="AP2249" s="44"/>
      <c r="AQ2249" s="275"/>
      <c r="AR2249" s="52"/>
      <c r="AS2249" s="35"/>
      <c r="AT2249" s="79"/>
      <c r="AU2249" s="212"/>
      <c r="AV2249" s="164"/>
      <c r="AW2249" s="164"/>
      <c r="AX2249" s="76"/>
      <c r="AY2249" s="44"/>
      <c r="AZ2249" s="275"/>
      <c r="BA2249" s="52"/>
      <c r="BB2249" s="35"/>
      <c r="BC2249" s="79"/>
      <c r="BD2249" s="230"/>
      <c r="BE2249" s="211"/>
      <c r="BF2249" s="164"/>
      <c r="BG2249" s="76"/>
      <c r="BH2249" s="44"/>
      <c r="BI2249" s="275"/>
      <c r="BJ2249" s="52"/>
      <c r="BK2249" s="35"/>
      <c r="BL2249" s="79"/>
      <c r="BM2249" s="230"/>
      <c r="BN2249" s="211"/>
      <c r="BO2249" s="164"/>
      <c r="BP2249" s="76"/>
      <c r="BQ2249" s="44"/>
      <c r="BR2249" s="299"/>
      <c r="BS2249" s="52"/>
      <c r="BT2249" s="35"/>
      <c r="BU2249" s="79"/>
      <c r="BV2249" s="212"/>
      <c r="BW2249" s="304"/>
      <c r="BX2249" s="313"/>
      <c r="BY2249" s="138"/>
    </row>
    <row r="2250" spans="1:77" ht="15" customHeight="1" outlineLevel="1" x14ac:dyDescent="0.2">
      <c r="A2250" s="583" t="s">
        <v>37</v>
      </c>
      <c r="B2250" s="583"/>
      <c r="C2250" s="162" t="s">
        <v>1198</v>
      </c>
      <c r="D2250" s="812">
        <v>26.681000000000001</v>
      </c>
      <c r="E2250" s="162" t="s">
        <v>631</v>
      </c>
      <c r="F2250" s="729"/>
      <c r="G2250" s="730"/>
      <c r="H2250" s="73"/>
      <c r="I2250" s="90"/>
      <c r="J2250" s="73"/>
      <c r="K2250" s="66">
        <v>0.1026253</v>
      </c>
      <c r="L2250" s="717"/>
      <c r="M2250" s="73"/>
      <c r="N2250" s="811"/>
      <c r="O2250" s="1041"/>
      <c r="P2250" s="73"/>
      <c r="Q2250" s="811"/>
      <c r="R2250" s="1041"/>
      <c r="S2250" s="73"/>
      <c r="T2250" s="811"/>
      <c r="U2250" s="73"/>
      <c r="V2250" s="66"/>
      <c r="W2250" s="740">
        <f t="shared" si="1958"/>
        <v>7.4916469000000009E-5</v>
      </c>
      <c r="X2250" s="741">
        <f t="shared" si="1959"/>
        <v>7.4916469000000009E-5</v>
      </c>
      <c r="Y2250" s="52">
        <v>2005</v>
      </c>
      <c r="Z2250" s="52"/>
      <c r="AA2250" s="739">
        <f>+K2250/1000</f>
        <v>1.0262530000000001E-4</v>
      </c>
      <c r="AB2250" s="256">
        <v>-0.27</v>
      </c>
      <c r="AC2250" s="688">
        <f t="shared" si="1976"/>
        <v>-0.27</v>
      </c>
      <c r="AD2250" s="164"/>
      <c r="AE2250" s="164"/>
      <c r="AF2250" s="25"/>
      <c r="AG2250" s="26"/>
      <c r="AH2250" s="275"/>
      <c r="AI2250" s="52"/>
      <c r="AJ2250" s="35"/>
      <c r="AK2250" s="289"/>
      <c r="AL2250" s="290"/>
      <c r="AM2250" s="211"/>
      <c r="AN2250" s="164"/>
      <c r="AO2250" s="76"/>
      <c r="AP2250" s="44"/>
      <c r="AQ2250" s="275"/>
      <c r="AR2250" s="52"/>
      <c r="AS2250" s="35"/>
      <c r="AT2250" s="79"/>
      <c r="AU2250" s="212"/>
      <c r="AV2250" s="164"/>
      <c r="AW2250" s="164"/>
      <c r="AX2250" s="76"/>
      <c r="AY2250" s="44"/>
      <c r="AZ2250" s="275"/>
      <c r="BA2250" s="52"/>
      <c r="BB2250" s="35"/>
      <c r="BC2250" s="79"/>
      <c r="BD2250" s="230"/>
      <c r="BE2250" s="211"/>
      <c r="BF2250" s="164"/>
      <c r="BG2250" s="76"/>
      <c r="BH2250" s="44"/>
      <c r="BI2250" s="275"/>
      <c r="BJ2250" s="52"/>
      <c r="BK2250" s="35"/>
      <c r="BL2250" s="79"/>
      <c r="BM2250" s="230"/>
      <c r="BN2250" s="211"/>
      <c r="BO2250" s="164"/>
      <c r="BP2250" s="76"/>
      <c r="BQ2250" s="44"/>
      <c r="BR2250" s="299"/>
      <c r="BS2250" s="52"/>
      <c r="BT2250" s="35"/>
      <c r="BU2250" s="79"/>
      <c r="BV2250" s="212"/>
      <c r="BW2250" s="304"/>
      <c r="BX2250" s="313"/>
      <c r="BY2250" s="138"/>
    </row>
    <row r="2251" spans="1:77" ht="15" customHeight="1" outlineLevel="1" x14ac:dyDescent="0.2">
      <c r="A2251" s="583" t="s">
        <v>37</v>
      </c>
      <c r="B2251" s="583"/>
      <c r="C2251" s="162" t="s">
        <v>1231</v>
      </c>
      <c r="D2251" s="806">
        <v>0.113</v>
      </c>
      <c r="E2251" s="162" t="s">
        <v>631</v>
      </c>
      <c r="F2251" s="729"/>
      <c r="G2251" s="730"/>
      <c r="H2251" s="73"/>
      <c r="I2251" s="90"/>
      <c r="J2251" s="73"/>
      <c r="K2251" s="734"/>
      <c r="L2251" s="717"/>
      <c r="M2251" s="73"/>
      <c r="N2251" s="811">
        <v>2.6170000000000002E-4</v>
      </c>
      <c r="O2251" s="1041"/>
      <c r="P2251" s="73"/>
      <c r="Q2251" s="811"/>
      <c r="R2251" s="1041"/>
      <c r="S2251" s="73"/>
      <c r="T2251" s="811"/>
      <c r="U2251" s="73"/>
      <c r="V2251" s="66"/>
      <c r="W2251" s="808">
        <f t="shared" si="1958"/>
        <v>1.9627500000000003E-7</v>
      </c>
      <c r="X2251" s="809">
        <f t="shared" si="1959"/>
        <v>1.9627500000000003E-7</v>
      </c>
      <c r="Y2251" s="52">
        <v>2010</v>
      </c>
      <c r="Z2251" s="52"/>
      <c r="AA2251" s="807">
        <f>+N2251/1000</f>
        <v>2.6170000000000002E-7</v>
      </c>
      <c r="AB2251" s="256">
        <v>-0.25</v>
      </c>
      <c r="AC2251" s="688">
        <f t="shared" si="1976"/>
        <v>-0.25</v>
      </c>
      <c r="AD2251" s="164"/>
      <c r="AE2251" s="164"/>
      <c r="AF2251" s="25"/>
      <c r="AG2251" s="26"/>
      <c r="AH2251" s="275"/>
      <c r="AI2251" s="52"/>
      <c r="AJ2251" s="35"/>
      <c r="AK2251" s="289"/>
      <c r="AL2251" s="290"/>
      <c r="AM2251" s="211"/>
      <c r="AN2251" s="164"/>
      <c r="AO2251" s="76"/>
      <c r="AP2251" s="44"/>
      <c r="AQ2251" s="275"/>
      <c r="AR2251" s="52"/>
      <c r="AS2251" s="35"/>
      <c r="AT2251" s="79"/>
      <c r="AU2251" s="212"/>
      <c r="AV2251" s="164"/>
      <c r="AW2251" s="164"/>
      <c r="AX2251" s="76"/>
      <c r="AY2251" s="44"/>
      <c r="AZ2251" s="275"/>
      <c r="BA2251" s="52"/>
      <c r="BB2251" s="35"/>
      <c r="BC2251" s="79"/>
      <c r="BD2251" s="230"/>
      <c r="BE2251" s="211"/>
      <c r="BF2251" s="164"/>
      <c r="BG2251" s="76"/>
      <c r="BH2251" s="44"/>
      <c r="BI2251" s="275"/>
      <c r="BJ2251" s="52"/>
      <c r="BK2251" s="35"/>
      <c r="BL2251" s="79"/>
      <c r="BM2251" s="230"/>
      <c r="BN2251" s="211"/>
      <c r="BO2251" s="164"/>
      <c r="BP2251" s="76"/>
      <c r="BQ2251" s="44"/>
      <c r="BR2251" s="299"/>
      <c r="BS2251" s="52"/>
      <c r="BT2251" s="35"/>
      <c r="BU2251" s="79"/>
      <c r="BV2251" s="212"/>
      <c r="BW2251" s="304"/>
      <c r="BX2251" s="313"/>
      <c r="BY2251" s="138"/>
    </row>
    <row r="2252" spans="1:77" ht="15" customHeight="1" outlineLevel="1" x14ac:dyDescent="0.2">
      <c r="A2252" s="583" t="s">
        <v>37</v>
      </c>
      <c r="B2252" s="583"/>
      <c r="C2252" s="162" t="s">
        <v>2511</v>
      </c>
      <c r="D2252" s="806">
        <v>502</v>
      </c>
      <c r="E2252" s="162" t="s">
        <v>2277</v>
      </c>
      <c r="F2252" s="729"/>
      <c r="G2252" s="730"/>
      <c r="H2252" s="73"/>
      <c r="I2252" s="90">
        <v>2007</v>
      </c>
      <c r="J2252" s="73"/>
      <c r="K2252" s="734">
        <v>2.1412719999999998</v>
      </c>
      <c r="L2252" s="717"/>
      <c r="M2252" s="73"/>
      <c r="N2252" s="811"/>
      <c r="O2252" s="1041"/>
      <c r="P2252" s="73"/>
      <c r="Q2252" s="811"/>
      <c r="R2252" s="1041"/>
      <c r="S2252" s="73"/>
      <c r="T2252" s="811"/>
      <c r="U2252" s="73"/>
      <c r="V2252" s="66"/>
      <c r="W2252" s="740">
        <f t="shared" ref="W2252" si="1977">AA2252*(1+AB2252)</f>
        <v>1.7130176E-3</v>
      </c>
      <c r="X2252" s="741">
        <f t="shared" ref="X2252" si="1978">AA2252*(1+AC2252)</f>
        <v>1.7130176E-3</v>
      </c>
      <c r="Y2252" s="52">
        <v>2007</v>
      </c>
      <c r="Z2252" s="52"/>
      <c r="AA2252" s="739">
        <f>+K2252/1000</f>
        <v>2.1412720000000001E-3</v>
      </c>
      <c r="AB2252" s="256">
        <v>-0.2</v>
      </c>
      <c r="AC2252" s="688">
        <f t="shared" ref="AC2252" si="1979">AB2252</f>
        <v>-0.2</v>
      </c>
      <c r="AD2252" s="164"/>
      <c r="AE2252" s="164"/>
      <c r="AF2252" s="25"/>
      <c r="AG2252" s="26"/>
      <c r="AH2252" s="275"/>
      <c r="AI2252" s="52"/>
      <c r="AJ2252" s="35"/>
      <c r="AK2252" s="289"/>
      <c r="AL2252" s="290"/>
      <c r="AM2252" s="211"/>
      <c r="AN2252" s="164"/>
      <c r="AO2252" s="76"/>
      <c r="AP2252" s="44"/>
      <c r="AQ2252" s="275"/>
      <c r="AR2252" s="52"/>
      <c r="AS2252" s="35"/>
      <c r="AT2252" s="79"/>
      <c r="AU2252" s="212"/>
      <c r="AV2252" s="164"/>
      <c r="AW2252" s="164"/>
      <c r="AX2252" s="76"/>
      <c r="AY2252" s="44"/>
      <c r="AZ2252" s="275"/>
      <c r="BA2252" s="52"/>
      <c r="BB2252" s="35"/>
      <c r="BC2252" s="79"/>
      <c r="BD2252" s="230"/>
      <c r="BE2252" s="211"/>
      <c r="BF2252" s="164"/>
      <c r="BG2252" s="76"/>
      <c r="BH2252" s="44"/>
      <c r="BI2252" s="275"/>
      <c r="BJ2252" s="52"/>
      <c r="BK2252" s="35"/>
      <c r="BL2252" s="79"/>
      <c r="BM2252" s="230"/>
      <c r="BN2252" s="211"/>
      <c r="BO2252" s="164"/>
      <c r="BP2252" s="76"/>
      <c r="BQ2252" s="44"/>
      <c r="BR2252" s="299"/>
      <c r="BS2252" s="52"/>
      <c r="BT2252" s="35"/>
      <c r="BU2252" s="79"/>
      <c r="BV2252" s="212"/>
      <c r="BW2252" s="304"/>
      <c r="BX2252" s="313"/>
      <c r="BY2252" s="138"/>
    </row>
    <row r="2253" spans="1:77" ht="15" customHeight="1" outlineLevel="1" x14ac:dyDescent="0.2">
      <c r="A2253" s="583" t="s">
        <v>37</v>
      </c>
      <c r="B2253" s="583"/>
      <c r="C2253" s="162" t="s">
        <v>1059</v>
      </c>
      <c r="D2253" s="812">
        <v>24.231999999999999</v>
      </c>
      <c r="E2253" s="162" t="s">
        <v>631</v>
      </c>
      <c r="F2253" s="729"/>
      <c r="G2253" s="730"/>
      <c r="H2253" s="73"/>
      <c r="I2253" s="90">
        <v>2007</v>
      </c>
      <c r="J2253" s="73"/>
      <c r="K2253" s="734">
        <v>7.1703000000000003E-2</v>
      </c>
      <c r="L2253" s="717"/>
      <c r="M2253" s="73"/>
      <c r="N2253" s="811"/>
      <c r="O2253" s="1041"/>
      <c r="P2253" s="73"/>
      <c r="Q2253" s="811"/>
      <c r="R2253" s="1041"/>
      <c r="S2253" s="73"/>
      <c r="T2253" s="811"/>
      <c r="U2253" s="73"/>
      <c r="V2253" s="66"/>
      <c r="W2253" s="740">
        <f t="shared" si="1958"/>
        <v>5.0909129999999999E-5</v>
      </c>
      <c r="X2253" s="741">
        <f t="shared" si="1959"/>
        <v>5.0909129999999999E-5</v>
      </c>
      <c r="Y2253" s="52">
        <v>2007</v>
      </c>
      <c r="Z2253" s="52"/>
      <c r="AA2253" s="739">
        <f>+K2253/1000</f>
        <v>7.1703000000000001E-5</v>
      </c>
      <c r="AB2253" s="256">
        <v>-0.28999999999999998</v>
      </c>
      <c r="AC2253" s="688">
        <f t="shared" si="1976"/>
        <v>-0.28999999999999998</v>
      </c>
      <c r="AD2253" s="164"/>
      <c r="AE2253" s="164"/>
      <c r="AF2253" s="25"/>
      <c r="AG2253" s="26"/>
      <c r="AH2253" s="275"/>
      <c r="AI2253" s="52"/>
      <c r="AJ2253" s="35"/>
      <c r="AK2253" s="289"/>
      <c r="AL2253" s="290"/>
      <c r="AM2253" s="211"/>
      <c r="AN2253" s="164"/>
      <c r="AO2253" s="76"/>
      <c r="AP2253" s="44"/>
      <c r="AQ2253" s="275"/>
      <c r="AR2253" s="52"/>
      <c r="AS2253" s="35"/>
      <c r="AT2253" s="79"/>
      <c r="AU2253" s="212"/>
      <c r="AV2253" s="164"/>
      <c r="AW2253" s="164"/>
      <c r="AX2253" s="76"/>
      <c r="AY2253" s="44"/>
      <c r="AZ2253" s="275"/>
      <c r="BA2253" s="52"/>
      <c r="BB2253" s="35"/>
      <c r="BC2253" s="79"/>
      <c r="BD2253" s="230"/>
      <c r="BE2253" s="211"/>
      <c r="BF2253" s="164"/>
      <c r="BG2253" s="76"/>
      <c r="BH2253" s="44"/>
      <c r="BI2253" s="275"/>
      <c r="BJ2253" s="52"/>
      <c r="BK2253" s="35"/>
      <c r="BL2253" s="79"/>
      <c r="BM2253" s="230"/>
      <c r="BN2253" s="211"/>
      <c r="BO2253" s="164"/>
      <c r="BP2253" s="76"/>
      <c r="BQ2253" s="44"/>
      <c r="BR2253" s="299"/>
      <c r="BS2253" s="52"/>
      <c r="BT2253" s="35"/>
      <c r="BU2253" s="79"/>
      <c r="BV2253" s="212"/>
      <c r="BW2253" s="304"/>
      <c r="BX2253" s="313"/>
      <c r="BY2253" s="138"/>
    </row>
    <row r="2254" spans="1:77" ht="15" customHeight="1" outlineLevel="1" x14ac:dyDescent="0.2">
      <c r="A2254" s="583" t="s">
        <v>37</v>
      </c>
      <c r="B2254" s="583"/>
      <c r="C2254" s="162" t="s">
        <v>1232</v>
      </c>
      <c r="D2254" s="810">
        <v>3.7999999999999999E-2</v>
      </c>
      <c r="E2254" s="162" t="s">
        <v>631</v>
      </c>
      <c r="F2254" s="729"/>
      <c r="G2254" s="730"/>
      <c r="H2254" s="73"/>
      <c r="I2254" s="90"/>
      <c r="J2254" s="73"/>
      <c r="K2254" s="734"/>
      <c r="L2254" s="717">
        <v>2012</v>
      </c>
      <c r="M2254" s="73"/>
      <c r="N2254" s="811">
        <v>6.9469999999999997E-5</v>
      </c>
      <c r="O2254" s="1041"/>
      <c r="P2254" s="73"/>
      <c r="Q2254" s="811"/>
      <c r="R2254" s="1041"/>
      <c r="S2254" s="73"/>
      <c r="T2254" s="811"/>
      <c r="U2254" s="73"/>
      <c r="V2254" s="66"/>
      <c r="W2254" s="808">
        <f t="shared" si="1958"/>
        <v>5.21025E-8</v>
      </c>
      <c r="X2254" s="809">
        <f t="shared" si="1959"/>
        <v>5.21025E-8</v>
      </c>
      <c r="Y2254" s="52">
        <v>2012</v>
      </c>
      <c r="Z2254" s="52"/>
      <c r="AA2254" s="807">
        <f>+N2254/1000</f>
        <v>6.9469999999999999E-8</v>
      </c>
      <c r="AB2254" s="256">
        <v>-0.25</v>
      </c>
      <c r="AC2254" s="688">
        <f t="shared" si="1976"/>
        <v>-0.25</v>
      </c>
      <c r="AD2254" s="164"/>
      <c r="AE2254" s="164"/>
      <c r="AF2254" s="25"/>
      <c r="AG2254" s="26"/>
      <c r="AH2254" s="275"/>
      <c r="AI2254" s="52"/>
      <c r="AJ2254" s="35"/>
      <c r="AK2254" s="289"/>
      <c r="AL2254" s="290"/>
      <c r="AM2254" s="211"/>
      <c r="AN2254" s="164"/>
      <c r="AO2254" s="76"/>
      <c r="AP2254" s="44"/>
      <c r="AQ2254" s="275"/>
      <c r="AR2254" s="52"/>
      <c r="AS2254" s="35"/>
      <c r="AT2254" s="79"/>
      <c r="AU2254" s="212"/>
      <c r="AV2254" s="164"/>
      <c r="AW2254" s="164"/>
      <c r="AX2254" s="76"/>
      <c r="AY2254" s="44"/>
      <c r="AZ2254" s="275"/>
      <c r="BA2254" s="52"/>
      <c r="BB2254" s="35"/>
      <c r="BC2254" s="79"/>
      <c r="BD2254" s="230"/>
      <c r="BE2254" s="211"/>
      <c r="BF2254" s="164"/>
      <c r="BG2254" s="76"/>
      <c r="BH2254" s="44"/>
      <c r="BI2254" s="275"/>
      <c r="BJ2254" s="52"/>
      <c r="BK2254" s="35"/>
      <c r="BL2254" s="79"/>
      <c r="BM2254" s="230"/>
      <c r="BN2254" s="211"/>
      <c r="BO2254" s="164"/>
      <c r="BP2254" s="76"/>
      <c r="BQ2254" s="44"/>
      <c r="BR2254" s="299"/>
      <c r="BS2254" s="52"/>
      <c r="BT2254" s="35"/>
      <c r="BU2254" s="79"/>
      <c r="BV2254" s="212"/>
      <c r="BW2254" s="304"/>
      <c r="BX2254" s="313"/>
      <c r="BY2254" s="138"/>
    </row>
    <row r="2255" spans="1:77" ht="15" customHeight="1" outlineLevel="1" x14ac:dyDescent="0.2">
      <c r="A2255" s="583" t="s">
        <v>37</v>
      </c>
      <c r="B2255" s="583"/>
      <c r="C2255" s="162" t="s">
        <v>2696</v>
      </c>
      <c r="D2255" s="810">
        <v>0.94799999999999995</v>
      </c>
      <c r="E2255" s="162" t="s">
        <v>631</v>
      </c>
      <c r="F2255" s="729"/>
      <c r="G2255" s="730"/>
      <c r="H2255" s="73"/>
      <c r="I2255" s="90"/>
      <c r="J2255" s="73"/>
      <c r="K2255" s="734"/>
      <c r="L2255" s="717"/>
      <c r="M2255" s="73"/>
      <c r="N2255" s="811">
        <v>2.833E-3</v>
      </c>
      <c r="O2255" s="1041"/>
      <c r="P2255" s="73"/>
      <c r="Q2255" s="811"/>
      <c r="R2255" s="1041"/>
      <c r="S2255" s="73"/>
      <c r="T2255" s="811"/>
      <c r="U2255" s="73"/>
      <c r="V2255" s="66"/>
      <c r="W2255" s="808">
        <f t="shared" ref="W2255" si="1980">AA2255*(1+AB2255)</f>
        <v>2.0964199999999997E-6</v>
      </c>
      <c r="X2255" s="809">
        <f t="shared" ref="X2255" si="1981">AA2255*(1+AC2255)</f>
        <v>2.0964199999999997E-6</v>
      </c>
      <c r="Y2255" s="52">
        <v>2010</v>
      </c>
      <c r="Z2255" s="52"/>
      <c r="AA2255" s="807">
        <f>+N2255/1000</f>
        <v>2.8329999999999998E-6</v>
      </c>
      <c r="AB2255" s="256">
        <v>-0.26</v>
      </c>
      <c r="AC2255" s="688">
        <f t="shared" ref="AC2255" si="1982">AB2255</f>
        <v>-0.26</v>
      </c>
      <c r="AD2255" s="164"/>
      <c r="AE2255" s="164"/>
      <c r="AF2255" s="25"/>
      <c r="AG2255" s="26"/>
      <c r="AH2255" s="275"/>
      <c r="AI2255" s="52"/>
      <c r="AJ2255" s="35"/>
      <c r="AK2255" s="289"/>
      <c r="AL2255" s="290"/>
      <c r="AM2255" s="211"/>
      <c r="AN2255" s="164"/>
      <c r="AO2255" s="76"/>
      <c r="AP2255" s="44"/>
      <c r="AQ2255" s="275"/>
      <c r="AR2255" s="52"/>
      <c r="AS2255" s="35"/>
      <c r="AT2255" s="79"/>
      <c r="AU2255" s="212"/>
      <c r="AV2255" s="164"/>
      <c r="AW2255" s="164"/>
      <c r="AX2255" s="76"/>
      <c r="AY2255" s="44"/>
      <c r="AZ2255" s="275"/>
      <c r="BA2255" s="52"/>
      <c r="BB2255" s="35"/>
      <c r="BC2255" s="79"/>
      <c r="BD2255" s="230"/>
      <c r="BE2255" s="211"/>
      <c r="BF2255" s="164"/>
      <c r="BG2255" s="76"/>
      <c r="BH2255" s="44"/>
      <c r="BI2255" s="275"/>
      <c r="BJ2255" s="52"/>
      <c r="BK2255" s="35"/>
      <c r="BL2255" s="79"/>
      <c r="BM2255" s="230"/>
      <c r="BN2255" s="211"/>
      <c r="BO2255" s="164"/>
      <c r="BP2255" s="76"/>
      <c r="BQ2255" s="44"/>
      <c r="BR2255" s="299"/>
      <c r="BS2255" s="52"/>
      <c r="BT2255" s="35"/>
      <c r="BU2255" s="79"/>
      <c r="BV2255" s="212"/>
      <c r="BW2255" s="304"/>
      <c r="BX2255" s="313"/>
      <c r="BY2255" s="138"/>
    </row>
    <row r="2256" spans="1:77" ht="15" customHeight="1" outlineLevel="1" x14ac:dyDescent="0.2">
      <c r="A2256" s="583" t="s">
        <v>37</v>
      </c>
      <c r="B2256" s="583"/>
      <c r="C2256" s="162" t="s">
        <v>1212</v>
      </c>
      <c r="D2256" s="806">
        <v>0.251</v>
      </c>
      <c r="E2256" s="162" t="s">
        <v>631</v>
      </c>
      <c r="F2256" s="729"/>
      <c r="G2256" s="730"/>
      <c r="H2256" s="73"/>
      <c r="I2256" s="90"/>
      <c r="J2256" s="73"/>
      <c r="K2256" s="814">
        <v>1.6149999999999999E-3</v>
      </c>
      <c r="L2256" s="717"/>
      <c r="M2256" s="73"/>
      <c r="N2256" s="811"/>
      <c r="O2256" s="1041"/>
      <c r="P2256" s="73"/>
      <c r="Q2256" s="811"/>
      <c r="R2256" s="1041"/>
      <c r="S2256" s="73"/>
      <c r="T2256" s="811"/>
      <c r="U2256" s="73"/>
      <c r="V2256" s="66"/>
      <c r="W2256" s="808">
        <f t="shared" si="1958"/>
        <v>1.1951E-6</v>
      </c>
      <c r="X2256" s="809">
        <f t="shared" si="1959"/>
        <v>1.1951E-6</v>
      </c>
      <c r="Y2256" s="52">
        <v>2005</v>
      </c>
      <c r="Z2256" s="52"/>
      <c r="AA2256" s="807">
        <f>+K2256/1000</f>
        <v>1.615E-6</v>
      </c>
      <c r="AB2256" s="256">
        <v>-0.26</v>
      </c>
      <c r="AC2256" s="688">
        <f t="shared" si="1976"/>
        <v>-0.26</v>
      </c>
      <c r="AD2256" s="164"/>
      <c r="AE2256" s="164"/>
      <c r="AF2256" s="25"/>
      <c r="AG2256" s="26"/>
      <c r="AH2256" s="275"/>
      <c r="AI2256" s="52"/>
      <c r="AJ2256" s="35"/>
      <c r="AK2256" s="289"/>
      <c r="AL2256" s="290"/>
      <c r="AM2256" s="211"/>
      <c r="AN2256" s="164"/>
      <c r="AO2256" s="76"/>
      <c r="AP2256" s="44"/>
      <c r="AQ2256" s="275"/>
      <c r="AR2256" s="52"/>
      <c r="AS2256" s="35"/>
      <c r="AT2256" s="79"/>
      <c r="AU2256" s="212"/>
      <c r="AV2256" s="164"/>
      <c r="AW2256" s="164"/>
      <c r="AX2256" s="76"/>
      <c r="AY2256" s="44"/>
      <c r="AZ2256" s="275"/>
      <c r="BA2256" s="52"/>
      <c r="BB2256" s="35"/>
      <c r="BC2256" s="79"/>
      <c r="BD2256" s="230"/>
      <c r="BE2256" s="211"/>
      <c r="BF2256" s="164"/>
      <c r="BG2256" s="76"/>
      <c r="BH2256" s="44"/>
      <c r="BI2256" s="275"/>
      <c r="BJ2256" s="52"/>
      <c r="BK2256" s="35"/>
      <c r="BL2256" s="79"/>
      <c r="BM2256" s="230"/>
      <c r="BN2256" s="211"/>
      <c r="BO2256" s="164"/>
      <c r="BP2256" s="76"/>
      <c r="BQ2256" s="44"/>
      <c r="BR2256" s="299"/>
      <c r="BS2256" s="52"/>
      <c r="BT2256" s="35"/>
      <c r="BU2256" s="79"/>
      <c r="BV2256" s="212"/>
      <c r="BW2256" s="304"/>
      <c r="BX2256" s="313"/>
      <c r="BY2256" s="138"/>
    </row>
    <row r="2257" spans="1:77" ht="15" customHeight="1" outlineLevel="1" x14ac:dyDescent="0.2">
      <c r="A2257" s="583" t="s">
        <v>37</v>
      </c>
      <c r="B2257" s="583"/>
      <c r="C2257" s="162" t="s">
        <v>1107</v>
      </c>
      <c r="D2257" s="812">
        <v>6.6319999999999997</v>
      </c>
      <c r="E2257" s="162" t="s">
        <v>631</v>
      </c>
      <c r="F2257" s="729"/>
      <c r="G2257" s="730"/>
      <c r="H2257" s="73"/>
      <c r="I2257" s="90">
        <v>2007</v>
      </c>
      <c r="J2257" s="73"/>
      <c r="K2257" s="734">
        <v>1.1292E-2</v>
      </c>
      <c r="L2257" s="717"/>
      <c r="M2257" s="73"/>
      <c r="N2257" s="811"/>
      <c r="O2257" s="1041"/>
      <c r="P2257" s="73"/>
      <c r="Q2257" s="811"/>
      <c r="R2257" s="1041"/>
      <c r="S2257" s="73"/>
      <c r="T2257" s="811"/>
      <c r="U2257" s="73"/>
      <c r="V2257" s="66"/>
      <c r="W2257" s="788">
        <f t="shared" si="1958"/>
        <v>7.2268799999999997E-6</v>
      </c>
      <c r="X2257" s="789">
        <f t="shared" si="1959"/>
        <v>7.2268799999999997E-6</v>
      </c>
      <c r="Y2257" s="52">
        <v>2007</v>
      </c>
      <c r="Z2257" s="52"/>
      <c r="AA2257" s="787">
        <f>+K2257/1000</f>
        <v>1.1292E-5</v>
      </c>
      <c r="AB2257" s="256">
        <v>-0.36</v>
      </c>
      <c r="AC2257" s="688">
        <f t="shared" si="1976"/>
        <v>-0.36</v>
      </c>
      <c r="AD2257" s="164"/>
      <c r="AE2257" s="164"/>
      <c r="AF2257" s="25"/>
      <c r="AG2257" s="26"/>
      <c r="AH2257" s="275"/>
      <c r="AI2257" s="52"/>
      <c r="AJ2257" s="35"/>
      <c r="AK2257" s="289"/>
      <c r="AL2257" s="290"/>
      <c r="AM2257" s="211"/>
      <c r="AN2257" s="164"/>
      <c r="AO2257" s="76"/>
      <c r="AP2257" s="44"/>
      <c r="AQ2257" s="275"/>
      <c r="AR2257" s="52"/>
      <c r="AS2257" s="35"/>
      <c r="AT2257" s="79"/>
      <c r="AU2257" s="212"/>
      <c r="AV2257" s="164"/>
      <c r="AW2257" s="164"/>
      <c r="AX2257" s="76"/>
      <c r="AY2257" s="44"/>
      <c r="AZ2257" s="275"/>
      <c r="BA2257" s="52"/>
      <c r="BB2257" s="35"/>
      <c r="BC2257" s="79"/>
      <c r="BD2257" s="230"/>
      <c r="BE2257" s="211"/>
      <c r="BF2257" s="164"/>
      <c r="BG2257" s="76"/>
      <c r="BH2257" s="44"/>
      <c r="BI2257" s="275"/>
      <c r="BJ2257" s="52"/>
      <c r="BK2257" s="35"/>
      <c r="BL2257" s="79"/>
      <c r="BM2257" s="230"/>
      <c r="BN2257" s="211"/>
      <c r="BO2257" s="164"/>
      <c r="BP2257" s="76"/>
      <c r="BQ2257" s="44"/>
      <c r="BR2257" s="299"/>
      <c r="BS2257" s="52"/>
      <c r="BT2257" s="35"/>
      <c r="BU2257" s="79"/>
      <c r="BV2257" s="212"/>
      <c r="BW2257" s="304"/>
      <c r="BX2257" s="313"/>
      <c r="BY2257" s="138"/>
    </row>
    <row r="2258" spans="1:77" ht="15" customHeight="1" outlineLevel="1" x14ac:dyDescent="0.2">
      <c r="A2258" s="583" t="s">
        <v>37</v>
      </c>
      <c r="B2258" s="583"/>
      <c r="C2258" s="162" t="s">
        <v>1130</v>
      </c>
      <c r="D2258" s="812">
        <v>7.5650000000000004</v>
      </c>
      <c r="E2258" s="162" t="s">
        <v>631</v>
      </c>
      <c r="F2258" s="729"/>
      <c r="G2258" s="730"/>
      <c r="H2258" s="73"/>
      <c r="I2258" s="90">
        <v>2007</v>
      </c>
      <c r="J2258" s="73"/>
      <c r="K2258" s="734">
        <v>1.4127000000000001E-2</v>
      </c>
      <c r="L2258" s="717"/>
      <c r="M2258" s="73"/>
      <c r="N2258" s="811"/>
      <c r="O2258" s="1041"/>
      <c r="P2258" s="73"/>
      <c r="Q2258" s="811"/>
      <c r="R2258" s="1041"/>
      <c r="S2258" s="73"/>
      <c r="T2258" s="811"/>
      <c r="U2258" s="73"/>
      <c r="V2258" s="66"/>
      <c r="W2258" s="740">
        <f t="shared" si="1958"/>
        <v>1.0312709999999999E-5</v>
      </c>
      <c r="X2258" s="741">
        <f t="shared" si="1959"/>
        <v>1.0312709999999999E-5</v>
      </c>
      <c r="Y2258" s="52">
        <v>2007</v>
      </c>
      <c r="Z2258" s="52"/>
      <c r="AA2258" s="739">
        <f>+K2258/1000</f>
        <v>1.4127E-5</v>
      </c>
      <c r="AB2258" s="256">
        <v>-0.27</v>
      </c>
      <c r="AC2258" s="688">
        <f t="shared" si="1976"/>
        <v>-0.27</v>
      </c>
      <c r="AD2258" s="164"/>
      <c r="AE2258" s="164"/>
      <c r="AF2258" s="25"/>
      <c r="AG2258" s="26"/>
      <c r="AH2258" s="275"/>
      <c r="AI2258" s="52"/>
      <c r="AJ2258" s="35"/>
      <c r="AK2258" s="289"/>
      <c r="AL2258" s="290"/>
      <c r="AM2258" s="211"/>
      <c r="AN2258" s="164"/>
      <c r="AO2258" s="76"/>
      <c r="AP2258" s="44"/>
      <c r="AQ2258" s="275"/>
      <c r="AR2258" s="52"/>
      <c r="AS2258" s="35"/>
      <c r="AT2258" s="79"/>
      <c r="AU2258" s="212"/>
      <c r="AV2258" s="164"/>
      <c r="AW2258" s="164"/>
      <c r="AX2258" s="76"/>
      <c r="AY2258" s="44"/>
      <c r="AZ2258" s="275"/>
      <c r="BA2258" s="52"/>
      <c r="BB2258" s="35"/>
      <c r="BC2258" s="79"/>
      <c r="BD2258" s="230"/>
      <c r="BE2258" s="211"/>
      <c r="BF2258" s="164"/>
      <c r="BG2258" s="76"/>
      <c r="BH2258" s="44"/>
      <c r="BI2258" s="275"/>
      <c r="BJ2258" s="52"/>
      <c r="BK2258" s="35"/>
      <c r="BL2258" s="79"/>
      <c r="BM2258" s="230"/>
      <c r="BN2258" s="211"/>
      <c r="BO2258" s="164"/>
      <c r="BP2258" s="76"/>
      <c r="BQ2258" s="44"/>
      <c r="BR2258" s="299"/>
      <c r="BS2258" s="52"/>
      <c r="BT2258" s="35"/>
      <c r="BU2258" s="79"/>
      <c r="BV2258" s="212"/>
      <c r="BW2258" s="304"/>
      <c r="BX2258" s="313"/>
      <c r="BY2258" s="138"/>
    </row>
    <row r="2259" spans="1:77" ht="15" customHeight="1" outlineLevel="1" x14ac:dyDescent="0.2">
      <c r="A2259" s="583" t="s">
        <v>37</v>
      </c>
      <c r="B2259" s="583"/>
      <c r="C2259" s="162" t="s">
        <v>1233</v>
      </c>
      <c r="D2259" s="812">
        <v>0.79500000000000004</v>
      </c>
      <c r="E2259" s="162" t="s">
        <v>631</v>
      </c>
      <c r="F2259" s="729"/>
      <c r="G2259" s="730"/>
      <c r="H2259" s="73"/>
      <c r="I2259" s="90"/>
      <c r="J2259" s="73"/>
      <c r="K2259" s="734"/>
      <c r="L2259" s="717"/>
      <c r="M2259" s="73"/>
      <c r="N2259" s="786">
        <v>1.9689999999999998E-3</v>
      </c>
      <c r="O2259" s="1041"/>
      <c r="P2259" s="73"/>
      <c r="Q2259" s="786"/>
      <c r="R2259" s="1041"/>
      <c r="S2259" s="73"/>
      <c r="T2259" s="786"/>
      <c r="U2259" s="73"/>
      <c r="V2259" s="66"/>
      <c r="W2259" s="788">
        <f t="shared" si="1958"/>
        <v>1.4767499999999999E-6</v>
      </c>
      <c r="X2259" s="789">
        <f t="shared" si="1959"/>
        <v>1.4767499999999999E-6</v>
      </c>
      <c r="Y2259" s="52">
        <v>2010</v>
      </c>
      <c r="Z2259" s="52"/>
      <c r="AA2259" s="787">
        <f>+N2259/1000</f>
        <v>1.9689999999999997E-6</v>
      </c>
      <c r="AB2259" s="256">
        <v>-0.25</v>
      </c>
      <c r="AC2259" s="688">
        <f t="shared" si="1976"/>
        <v>-0.25</v>
      </c>
      <c r="AD2259" s="164"/>
      <c r="AE2259" s="164"/>
      <c r="AF2259" s="25"/>
      <c r="AG2259" s="26"/>
      <c r="AH2259" s="275"/>
      <c r="AI2259" s="52"/>
      <c r="AJ2259" s="35"/>
      <c r="AK2259" s="289"/>
      <c r="AL2259" s="290"/>
      <c r="AM2259" s="211"/>
      <c r="AN2259" s="164"/>
      <c r="AO2259" s="76"/>
      <c r="AP2259" s="44"/>
      <c r="AQ2259" s="275"/>
      <c r="AR2259" s="52"/>
      <c r="AS2259" s="35"/>
      <c r="AT2259" s="79"/>
      <c r="AU2259" s="212"/>
      <c r="AV2259" s="164"/>
      <c r="AW2259" s="164"/>
      <c r="AX2259" s="76"/>
      <c r="AY2259" s="44"/>
      <c r="AZ2259" s="275"/>
      <c r="BA2259" s="52"/>
      <c r="BB2259" s="35"/>
      <c r="BC2259" s="79"/>
      <c r="BD2259" s="230"/>
      <c r="BE2259" s="211"/>
      <c r="BF2259" s="164"/>
      <c r="BG2259" s="76"/>
      <c r="BH2259" s="44"/>
      <c r="BI2259" s="275"/>
      <c r="BJ2259" s="52"/>
      <c r="BK2259" s="35"/>
      <c r="BL2259" s="79"/>
      <c r="BM2259" s="230"/>
      <c r="BN2259" s="211"/>
      <c r="BO2259" s="164"/>
      <c r="BP2259" s="76"/>
      <c r="BQ2259" s="44"/>
      <c r="BR2259" s="299"/>
      <c r="BS2259" s="52"/>
      <c r="BT2259" s="35"/>
      <c r="BU2259" s="79"/>
      <c r="BV2259" s="212"/>
      <c r="BW2259" s="304"/>
      <c r="BX2259" s="313"/>
      <c r="BY2259" s="138"/>
    </row>
    <row r="2260" spans="1:77" ht="15" customHeight="1" outlineLevel="1" x14ac:dyDescent="0.2">
      <c r="A2260" s="583" t="s">
        <v>37</v>
      </c>
      <c r="B2260" s="583"/>
      <c r="C2260" s="162" t="s">
        <v>1119</v>
      </c>
      <c r="D2260" s="812">
        <v>2.2160000000000002</v>
      </c>
      <c r="E2260" s="162" t="s">
        <v>631</v>
      </c>
      <c r="F2260" s="729"/>
      <c r="G2260" s="730"/>
      <c r="H2260" s="73"/>
      <c r="I2260" s="90">
        <v>2007</v>
      </c>
      <c r="J2260" s="73"/>
      <c r="K2260" s="790">
        <v>5.7010000000000003E-3</v>
      </c>
      <c r="L2260" s="717"/>
      <c r="M2260" s="73"/>
      <c r="N2260" s="811"/>
      <c r="O2260" s="1041"/>
      <c r="P2260" s="73"/>
      <c r="Q2260" s="811"/>
      <c r="R2260" s="1041"/>
      <c r="S2260" s="73"/>
      <c r="T2260" s="811"/>
      <c r="U2260" s="73"/>
      <c r="V2260" s="66"/>
      <c r="W2260" s="788">
        <f t="shared" si="1958"/>
        <v>3.7056500000000003E-6</v>
      </c>
      <c r="X2260" s="789">
        <f t="shared" si="1959"/>
        <v>3.7056500000000003E-6</v>
      </c>
      <c r="Y2260" s="52">
        <v>2007</v>
      </c>
      <c r="Z2260" s="52"/>
      <c r="AA2260" s="787">
        <f>+K2260/1000</f>
        <v>5.7010000000000001E-6</v>
      </c>
      <c r="AB2260" s="256">
        <v>-0.35</v>
      </c>
      <c r="AC2260" s="688">
        <f t="shared" si="1976"/>
        <v>-0.35</v>
      </c>
      <c r="AD2260" s="164"/>
      <c r="AE2260" s="164"/>
      <c r="AF2260" s="25"/>
      <c r="AG2260" s="26"/>
      <c r="AH2260" s="275"/>
      <c r="AI2260" s="52"/>
      <c r="AJ2260" s="35"/>
      <c r="AK2260" s="289"/>
      <c r="AL2260" s="290"/>
      <c r="AM2260" s="211"/>
      <c r="AN2260" s="164"/>
      <c r="AO2260" s="76"/>
      <c r="AP2260" s="44"/>
      <c r="AQ2260" s="275"/>
      <c r="AR2260" s="52"/>
      <c r="AS2260" s="35"/>
      <c r="AT2260" s="79"/>
      <c r="AU2260" s="212"/>
      <c r="AV2260" s="164"/>
      <c r="AW2260" s="164"/>
      <c r="AX2260" s="76"/>
      <c r="AY2260" s="44"/>
      <c r="AZ2260" s="275"/>
      <c r="BA2260" s="52"/>
      <c r="BB2260" s="35"/>
      <c r="BC2260" s="79"/>
      <c r="BD2260" s="230"/>
      <c r="BE2260" s="211"/>
      <c r="BF2260" s="164"/>
      <c r="BG2260" s="76"/>
      <c r="BH2260" s="44"/>
      <c r="BI2260" s="275"/>
      <c r="BJ2260" s="52"/>
      <c r="BK2260" s="35"/>
      <c r="BL2260" s="79"/>
      <c r="BM2260" s="230"/>
      <c r="BN2260" s="211"/>
      <c r="BO2260" s="164"/>
      <c r="BP2260" s="76"/>
      <c r="BQ2260" s="44"/>
      <c r="BR2260" s="299"/>
      <c r="BS2260" s="52"/>
      <c r="BT2260" s="35"/>
      <c r="BU2260" s="79"/>
      <c r="BV2260" s="212"/>
      <c r="BW2260" s="304"/>
      <c r="BX2260" s="313"/>
      <c r="BY2260" s="138"/>
    </row>
    <row r="2261" spans="1:77" ht="15" customHeight="1" outlineLevel="1" x14ac:dyDescent="0.2">
      <c r="A2261" s="583" t="s">
        <v>37</v>
      </c>
      <c r="B2261" s="583"/>
      <c r="C2261" s="162" t="s">
        <v>1123</v>
      </c>
      <c r="D2261" s="812">
        <v>2.0699999999999998</v>
      </c>
      <c r="E2261" s="162" t="s">
        <v>631</v>
      </c>
      <c r="F2261" s="729"/>
      <c r="G2261" s="730"/>
      <c r="H2261" s="73"/>
      <c r="I2261" s="90">
        <v>2007</v>
      </c>
      <c r="J2261" s="73"/>
      <c r="K2261" s="734">
        <v>9.5429999999999994E-3</v>
      </c>
      <c r="L2261" s="717"/>
      <c r="M2261" s="73"/>
      <c r="N2261" s="811"/>
      <c r="O2261" s="1041"/>
      <c r="P2261" s="73"/>
      <c r="Q2261" s="811"/>
      <c r="R2261" s="1041"/>
      <c r="S2261" s="73"/>
      <c r="T2261" s="811"/>
      <c r="U2261" s="73"/>
      <c r="V2261" s="66"/>
      <c r="W2261" s="788">
        <f t="shared" si="1958"/>
        <v>7.15725E-6</v>
      </c>
      <c r="X2261" s="789">
        <f t="shared" si="1959"/>
        <v>7.15725E-6</v>
      </c>
      <c r="Y2261" s="52">
        <v>2007</v>
      </c>
      <c r="Z2261" s="52"/>
      <c r="AA2261" s="787">
        <f>+K2261/1000</f>
        <v>9.5429999999999999E-6</v>
      </c>
      <c r="AB2261" s="256">
        <v>-0.25</v>
      </c>
      <c r="AC2261" s="688">
        <f t="shared" si="1976"/>
        <v>-0.25</v>
      </c>
      <c r="AD2261" s="164"/>
      <c r="AE2261" s="164"/>
      <c r="AF2261" s="25"/>
      <c r="AG2261" s="26"/>
      <c r="AH2261" s="275"/>
      <c r="AI2261" s="52"/>
      <c r="AJ2261" s="35"/>
      <c r="AK2261" s="289"/>
      <c r="AL2261" s="290"/>
      <c r="AM2261" s="211"/>
      <c r="AN2261" s="164"/>
      <c r="AO2261" s="76"/>
      <c r="AP2261" s="44"/>
      <c r="AQ2261" s="275"/>
      <c r="AR2261" s="52"/>
      <c r="AS2261" s="35"/>
      <c r="AT2261" s="79"/>
      <c r="AU2261" s="212"/>
      <c r="AV2261" s="164"/>
      <c r="AW2261" s="164"/>
      <c r="AX2261" s="76"/>
      <c r="AY2261" s="44"/>
      <c r="AZ2261" s="275"/>
      <c r="BA2261" s="52"/>
      <c r="BB2261" s="35"/>
      <c r="BC2261" s="79"/>
      <c r="BD2261" s="230"/>
      <c r="BE2261" s="211"/>
      <c r="BF2261" s="164"/>
      <c r="BG2261" s="76"/>
      <c r="BH2261" s="44"/>
      <c r="BI2261" s="275"/>
      <c r="BJ2261" s="52"/>
      <c r="BK2261" s="35"/>
      <c r="BL2261" s="79"/>
      <c r="BM2261" s="230"/>
      <c r="BN2261" s="211"/>
      <c r="BO2261" s="164"/>
      <c r="BP2261" s="76"/>
      <c r="BQ2261" s="44"/>
      <c r="BR2261" s="299"/>
      <c r="BS2261" s="52"/>
      <c r="BT2261" s="35"/>
      <c r="BU2261" s="79"/>
      <c r="BV2261" s="212"/>
      <c r="BW2261" s="304"/>
      <c r="BX2261" s="313"/>
      <c r="BY2261" s="138"/>
    </row>
    <row r="2262" spans="1:77" ht="15" customHeight="1" outlineLevel="1" x14ac:dyDescent="0.2">
      <c r="A2262" s="583" t="s">
        <v>37</v>
      </c>
      <c r="B2262" s="583"/>
      <c r="C2262" s="162" t="s">
        <v>1144</v>
      </c>
      <c r="D2262" s="812">
        <v>2.488</v>
      </c>
      <c r="E2262" s="162" t="s">
        <v>631</v>
      </c>
      <c r="F2262" s="729"/>
      <c r="G2262" s="730"/>
      <c r="H2262" s="73"/>
      <c r="I2262" s="90">
        <v>2007</v>
      </c>
      <c r="J2262" s="73"/>
      <c r="K2262" s="734">
        <v>1.7503999999999999E-2</v>
      </c>
      <c r="L2262" s="717"/>
      <c r="M2262" s="73"/>
      <c r="N2262" s="738"/>
      <c r="O2262" s="1041"/>
      <c r="P2262" s="73"/>
      <c r="Q2262" s="738"/>
      <c r="R2262" s="1041"/>
      <c r="S2262" s="73"/>
      <c r="T2262" s="738"/>
      <c r="U2262" s="73"/>
      <c r="V2262" s="66"/>
      <c r="W2262" s="788">
        <f t="shared" si="1958"/>
        <v>1.3127999999999997E-5</v>
      </c>
      <c r="X2262" s="789">
        <f t="shared" si="1959"/>
        <v>1.3127999999999997E-5</v>
      </c>
      <c r="Y2262" s="52">
        <v>2007</v>
      </c>
      <c r="Z2262" s="52"/>
      <c r="AA2262" s="787">
        <f>+K2262/1000</f>
        <v>1.7503999999999997E-5</v>
      </c>
      <c r="AB2262" s="256">
        <v>-0.25</v>
      </c>
      <c r="AC2262" s="688">
        <f t="shared" si="1976"/>
        <v>-0.25</v>
      </c>
      <c r="AD2262" s="164"/>
      <c r="AE2262" s="164"/>
      <c r="AF2262" s="25"/>
      <c r="AG2262" s="26"/>
      <c r="AH2262" s="275"/>
      <c r="AI2262" s="52"/>
      <c r="AJ2262" s="35"/>
      <c r="AK2262" s="289"/>
      <c r="AL2262" s="290"/>
      <c r="AM2262" s="211"/>
      <c r="AN2262" s="164"/>
      <c r="AO2262" s="76"/>
      <c r="AP2262" s="44"/>
      <c r="AQ2262" s="275"/>
      <c r="AR2262" s="52"/>
      <c r="AS2262" s="35"/>
      <c r="AT2262" s="79"/>
      <c r="AU2262" s="212"/>
      <c r="AV2262" s="164"/>
      <c r="AW2262" s="164"/>
      <c r="AX2262" s="76"/>
      <c r="AY2262" s="44"/>
      <c r="AZ2262" s="275"/>
      <c r="BA2262" s="52"/>
      <c r="BB2262" s="35"/>
      <c r="BC2262" s="79"/>
      <c r="BD2262" s="230"/>
      <c r="BE2262" s="211"/>
      <c r="BF2262" s="164"/>
      <c r="BG2262" s="76"/>
      <c r="BH2262" s="44"/>
      <c r="BI2262" s="275"/>
      <c r="BJ2262" s="52"/>
      <c r="BK2262" s="35"/>
      <c r="BL2262" s="79"/>
      <c r="BM2262" s="230"/>
      <c r="BN2262" s="211"/>
      <c r="BO2262" s="164"/>
      <c r="BP2262" s="76"/>
      <c r="BQ2262" s="44"/>
      <c r="BR2262" s="299"/>
      <c r="BS2262" s="52"/>
      <c r="BT2262" s="35"/>
      <c r="BU2262" s="79"/>
      <c r="BV2262" s="212"/>
      <c r="BW2262" s="304"/>
      <c r="BX2262" s="313"/>
      <c r="BY2262" s="138"/>
    </row>
    <row r="2263" spans="1:77" ht="15" customHeight="1" outlineLevel="1" x14ac:dyDescent="0.2">
      <c r="A2263" s="583" t="s">
        <v>37</v>
      </c>
      <c r="B2263" s="583"/>
      <c r="C2263" s="162" t="s">
        <v>2466</v>
      </c>
      <c r="D2263" s="806">
        <v>0.54800000000000004</v>
      </c>
      <c r="E2263" s="162" t="s">
        <v>631</v>
      </c>
      <c r="F2263" s="729"/>
      <c r="G2263" s="730"/>
      <c r="H2263" s="73"/>
      <c r="I2263" s="90"/>
      <c r="J2263" s="73"/>
      <c r="K2263" s="790">
        <v>2.9940000000000001E-3</v>
      </c>
      <c r="L2263" s="717"/>
      <c r="M2263" s="73"/>
      <c r="N2263" s="738"/>
      <c r="O2263" s="1041"/>
      <c r="P2263" s="73"/>
      <c r="Q2263" s="738"/>
      <c r="R2263" s="1041"/>
      <c r="S2263" s="73"/>
      <c r="T2263" s="738"/>
      <c r="U2263" s="73"/>
      <c r="V2263" s="66"/>
      <c r="W2263" s="788"/>
      <c r="X2263" s="789"/>
      <c r="Y2263" s="52"/>
      <c r="Z2263" s="52"/>
      <c r="AA2263" s="787"/>
      <c r="AB2263" s="256"/>
      <c r="AC2263" s="688"/>
      <c r="AD2263" s="164"/>
      <c r="AE2263" s="164"/>
      <c r="AF2263" s="25"/>
      <c r="AG2263" s="26"/>
      <c r="AH2263" s="275"/>
      <c r="AI2263" s="52"/>
      <c r="AJ2263" s="35"/>
      <c r="AK2263" s="289"/>
      <c r="AL2263" s="290"/>
      <c r="AM2263" s="211"/>
      <c r="AN2263" s="164"/>
      <c r="AO2263" s="788">
        <f>AS2263*(1+AT2263)</f>
        <v>1.7664600000000003E-6</v>
      </c>
      <c r="AP2263" s="789">
        <f>AS2263*(1+AU2263)</f>
        <v>1.7664600000000003E-6</v>
      </c>
      <c r="AQ2263" s="275">
        <v>2005</v>
      </c>
      <c r="AR2263" s="52"/>
      <c r="AS2263" s="787">
        <f>+K2263/1000</f>
        <v>2.994E-6</v>
      </c>
      <c r="AT2263" s="79">
        <v>-0.41</v>
      </c>
      <c r="AU2263" s="212">
        <f>AT2263</f>
        <v>-0.41</v>
      </c>
      <c r="AV2263" s="164"/>
      <c r="AW2263" s="164"/>
      <c r="AX2263" s="76"/>
      <c r="AY2263" s="44"/>
      <c r="AZ2263" s="275"/>
      <c r="BA2263" s="52"/>
      <c r="BB2263" s="35"/>
      <c r="BC2263" s="79"/>
      <c r="BD2263" s="230"/>
      <c r="BE2263" s="211"/>
      <c r="BF2263" s="164"/>
      <c r="BG2263" s="76"/>
      <c r="BH2263" s="44"/>
      <c r="BI2263" s="275"/>
      <c r="BJ2263" s="52"/>
      <c r="BK2263" s="35"/>
      <c r="BL2263" s="79"/>
      <c r="BM2263" s="230"/>
      <c r="BN2263" s="211"/>
      <c r="BO2263" s="164"/>
      <c r="BP2263" s="76"/>
      <c r="BQ2263" s="44"/>
      <c r="BR2263" s="299"/>
      <c r="BS2263" s="52"/>
      <c r="BT2263" s="35"/>
      <c r="BU2263" s="79"/>
      <c r="BV2263" s="212"/>
      <c r="BW2263" s="304"/>
      <c r="BX2263" s="313"/>
      <c r="BY2263" s="138"/>
    </row>
    <row r="2264" spans="1:77" ht="15" customHeight="1" outlineLevel="1" x14ac:dyDescent="0.2">
      <c r="A2264" s="583" t="s">
        <v>37</v>
      </c>
      <c r="B2264" s="583"/>
      <c r="C2264" s="162" t="s">
        <v>1234</v>
      </c>
      <c r="D2264" s="806">
        <v>0.46200000000000002</v>
      </c>
      <c r="E2264" s="162" t="s">
        <v>631</v>
      </c>
      <c r="F2264" s="729"/>
      <c r="G2264" s="730"/>
      <c r="H2264" s="73"/>
      <c r="I2264" s="90"/>
      <c r="J2264" s="73"/>
      <c r="K2264" s="734"/>
      <c r="L2264" s="717"/>
      <c r="M2264" s="73"/>
      <c r="N2264" s="786">
        <v>1.1349999999999999E-3</v>
      </c>
      <c r="O2264" s="1041"/>
      <c r="P2264" s="73"/>
      <c r="Q2264" s="786"/>
      <c r="R2264" s="1041"/>
      <c r="S2264" s="73"/>
      <c r="T2264" s="786"/>
      <c r="U2264" s="73"/>
      <c r="V2264" s="66"/>
      <c r="W2264" s="788">
        <f t="shared" si="1958"/>
        <v>8.3989999999999989E-7</v>
      </c>
      <c r="X2264" s="789">
        <f t="shared" si="1959"/>
        <v>8.3989999999999989E-7</v>
      </c>
      <c r="Y2264" s="52">
        <v>2010</v>
      </c>
      <c r="Z2264" s="52"/>
      <c r="AA2264" s="787">
        <f>+N2264/1000</f>
        <v>1.1349999999999999E-6</v>
      </c>
      <c r="AB2264" s="256">
        <v>-0.26</v>
      </c>
      <c r="AC2264" s="688">
        <f t="shared" si="1976"/>
        <v>-0.26</v>
      </c>
      <c r="AD2264" s="164"/>
      <c r="AE2264" s="164"/>
      <c r="AF2264" s="25"/>
      <c r="AG2264" s="26"/>
      <c r="AH2264" s="275"/>
      <c r="AI2264" s="52"/>
      <c r="AJ2264" s="35"/>
      <c r="AK2264" s="289"/>
      <c r="AL2264" s="290"/>
      <c r="AM2264" s="211"/>
      <c r="AN2264" s="164"/>
      <c r="AO2264" s="76"/>
      <c r="AP2264" s="44"/>
      <c r="AQ2264" s="275"/>
      <c r="AR2264" s="52"/>
      <c r="AS2264" s="35"/>
      <c r="AT2264" s="79"/>
      <c r="AU2264" s="212"/>
      <c r="AV2264" s="164"/>
      <c r="AW2264" s="164"/>
      <c r="AX2264" s="76"/>
      <c r="AY2264" s="44"/>
      <c r="AZ2264" s="275"/>
      <c r="BA2264" s="52"/>
      <c r="BB2264" s="35"/>
      <c r="BC2264" s="79"/>
      <c r="BD2264" s="230"/>
      <c r="BE2264" s="211"/>
      <c r="BF2264" s="164"/>
      <c r="BG2264" s="76"/>
      <c r="BH2264" s="44"/>
      <c r="BI2264" s="275"/>
      <c r="BJ2264" s="52"/>
      <c r="BK2264" s="35"/>
      <c r="BL2264" s="79"/>
      <c r="BM2264" s="230"/>
      <c r="BN2264" s="211"/>
      <c r="BO2264" s="164"/>
      <c r="BP2264" s="76"/>
      <c r="BQ2264" s="44"/>
      <c r="BR2264" s="299"/>
      <c r="BS2264" s="52"/>
      <c r="BT2264" s="35"/>
      <c r="BU2264" s="79"/>
      <c r="BV2264" s="212"/>
      <c r="BW2264" s="304"/>
      <c r="BX2264" s="313"/>
      <c r="BY2264" s="138"/>
    </row>
    <row r="2265" spans="1:77" ht="15" customHeight="1" outlineLevel="1" x14ac:dyDescent="0.2">
      <c r="A2265" s="583" t="s">
        <v>37</v>
      </c>
      <c r="B2265" s="583"/>
      <c r="C2265" s="162" t="s">
        <v>1088</v>
      </c>
      <c r="D2265" s="812">
        <v>17.8</v>
      </c>
      <c r="E2265" s="162" t="s">
        <v>631</v>
      </c>
      <c r="F2265" s="729"/>
      <c r="G2265" s="730"/>
      <c r="H2265" s="73"/>
      <c r="I2265" s="90">
        <v>2007</v>
      </c>
      <c r="J2265" s="73"/>
      <c r="K2265" s="66">
        <v>0.100671</v>
      </c>
      <c r="L2265" s="717"/>
      <c r="M2265" s="73"/>
      <c r="N2265" s="811"/>
      <c r="O2265" s="1041"/>
      <c r="P2265" s="73"/>
      <c r="Q2265" s="811"/>
      <c r="R2265" s="1041"/>
      <c r="S2265" s="73"/>
      <c r="T2265" s="811"/>
      <c r="U2265" s="73"/>
      <c r="V2265" s="66"/>
      <c r="W2265" s="740">
        <f t="shared" si="1958"/>
        <v>7.2483119999999999E-5</v>
      </c>
      <c r="X2265" s="741">
        <f t="shared" si="1959"/>
        <v>7.2483119999999999E-5</v>
      </c>
      <c r="Y2265" s="52">
        <v>2007</v>
      </c>
      <c r="Z2265" s="52"/>
      <c r="AA2265" s="739">
        <f t="shared" ref="AA2265:AA2277" si="1983">+K2265/1000</f>
        <v>1.00671E-4</v>
      </c>
      <c r="AB2265" s="256">
        <v>-0.28000000000000003</v>
      </c>
      <c r="AC2265" s="688">
        <f t="shared" si="1976"/>
        <v>-0.28000000000000003</v>
      </c>
      <c r="AD2265" s="164"/>
      <c r="AE2265" s="164"/>
      <c r="AF2265" s="25"/>
      <c r="AG2265" s="26"/>
      <c r="AH2265" s="275"/>
      <c r="AI2265" s="52"/>
      <c r="AJ2265" s="35"/>
      <c r="AK2265" s="289"/>
      <c r="AL2265" s="290"/>
      <c r="AM2265" s="211"/>
      <c r="AN2265" s="164"/>
      <c r="AO2265" s="76"/>
      <c r="AP2265" s="44"/>
      <c r="AQ2265" s="275"/>
      <c r="AR2265" s="52"/>
      <c r="AS2265" s="35"/>
      <c r="AT2265" s="79"/>
      <c r="AU2265" s="212"/>
      <c r="AV2265" s="164"/>
      <c r="AW2265" s="164"/>
      <c r="AX2265" s="76"/>
      <c r="AY2265" s="44"/>
      <c r="AZ2265" s="275"/>
      <c r="BA2265" s="52"/>
      <c r="BB2265" s="35"/>
      <c r="BC2265" s="79"/>
      <c r="BD2265" s="230"/>
      <c r="BE2265" s="211"/>
      <c r="BF2265" s="164"/>
      <c r="BG2265" s="76"/>
      <c r="BH2265" s="44"/>
      <c r="BI2265" s="275"/>
      <c r="BJ2265" s="52"/>
      <c r="BK2265" s="35"/>
      <c r="BL2265" s="79"/>
      <c r="BM2265" s="230"/>
      <c r="BN2265" s="211"/>
      <c r="BO2265" s="164"/>
      <c r="BP2265" s="76"/>
      <c r="BQ2265" s="44"/>
      <c r="BR2265" s="299"/>
      <c r="BS2265" s="52"/>
      <c r="BT2265" s="35"/>
      <c r="BU2265" s="79"/>
      <c r="BV2265" s="212"/>
      <c r="BW2265" s="304"/>
      <c r="BX2265" s="313"/>
      <c r="BY2265" s="138"/>
    </row>
    <row r="2266" spans="1:77" ht="15" customHeight="1" outlineLevel="1" x14ac:dyDescent="0.2">
      <c r="A2266" s="583" t="s">
        <v>37</v>
      </c>
      <c r="B2266" s="583"/>
      <c r="C2266" s="162" t="s">
        <v>1174</v>
      </c>
      <c r="D2266" s="812">
        <v>8.2240000000000002</v>
      </c>
      <c r="E2266" s="162" t="s">
        <v>631</v>
      </c>
      <c r="F2266" s="729"/>
      <c r="G2266" s="730"/>
      <c r="H2266" s="73"/>
      <c r="I2266" s="90">
        <v>2007</v>
      </c>
      <c r="J2266" s="73"/>
      <c r="K2266" s="734">
        <v>4.4225E-2</v>
      </c>
      <c r="L2266" s="717"/>
      <c r="M2266" s="73"/>
      <c r="N2266" s="811"/>
      <c r="O2266" s="1041"/>
      <c r="P2266" s="73"/>
      <c r="Q2266" s="811"/>
      <c r="R2266" s="1041"/>
      <c r="S2266" s="73"/>
      <c r="T2266" s="811"/>
      <c r="U2266" s="73"/>
      <c r="V2266" s="66"/>
      <c r="W2266" s="740">
        <f t="shared" si="1958"/>
        <v>2.4766E-5</v>
      </c>
      <c r="X2266" s="741">
        <f t="shared" si="1959"/>
        <v>2.4766E-5</v>
      </c>
      <c r="Y2266" s="52">
        <v>2007</v>
      </c>
      <c r="Z2266" s="52"/>
      <c r="AA2266" s="739">
        <f t="shared" si="1983"/>
        <v>4.4224999999999998E-5</v>
      </c>
      <c r="AB2266" s="256">
        <v>-0.44</v>
      </c>
      <c r="AC2266" s="688">
        <f t="shared" si="1976"/>
        <v>-0.44</v>
      </c>
      <c r="AD2266" s="164"/>
      <c r="AE2266" s="164"/>
      <c r="AF2266" s="25"/>
      <c r="AG2266" s="26"/>
      <c r="AH2266" s="275"/>
      <c r="AI2266" s="52"/>
      <c r="AJ2266" s="35"/>
      <c r="AK2266" s="289"/>
      <c r="AL2266" s="290"/>
      <c r="AM2266" s="211"/>
      <c r="AN2266" s="164"/>
      <c r="AO2266" s="76"/>
      <c r="AP2266" s="44"/>
      <c r="AQ2266" s="275"/>
      <c r="AR2266" s="52"/>
      <c r="AS2266" s="35"/>
      <c r="AT2266" s="79"/>
      <c r="AU2266" s="212"/>
      <c r="AV2266" s="164"/>
      <c r="AW2266" s="164"/>
      <c r="AX2266" s="76"/>
      <c r="AY2266" s="44"/>
      <c r="AZ2266" s="275"/>
      <c r="BA2266" s="52"/>
      <c r="BB2266" s="35"/>
      <c r="BC2266" s="79"/>
      <c r="BD2266" s="230"/>
      <c r="BE2266" s="211"/>
      <c r="BF2266" s="164"/>
      <c r="BG2266" s="76"/>
      <c r="BH2266" s="44"/>
      <c r="BI2266" s="275"/>
      <c r="BJ2266" s="52"/>
      <c r="BK2266" s="35"/>
      <c r="BL2266" s="79"/>
      <c r="BM2266" s="230"/>
      <c r="BN2266" s="211"/>
      <c r="BO2266" s="164"/>
      <c r="BP2266" s="76"/>
      <c r="BQ2266" s="44"/>
      <c r="BR2266" s="299"/>
      <c r="BS2266" s="52"/>
      <c r="BT2266" s="35"/>
      <c r="BU2266" s="79"/>
      <c r="BV2266" s="212"/>
      <c r="BW2266" s="304"/>
      <c r="BX2266" s="313"/>
      <c r="BY2266" s="138"/>
    </row>
    <row r="2267" spans="1:77" ht="15" customHeight="1" outlineLevel="1" x14ac:dyDescent="0.2">
      <c r="A2267" s="583" t="s">
        <v>37</v>
      </c>
      <c r="B2267" s="583"/>
      <c r="C2267" s="162" t="s">
        <v>2698</v>
      </c>
      <c r="D2267" s="812">
        <v>1.083</v>
      </c>
      <c r="E2267" s="162" t="s">
        <v>631</v>
      </c>
      <c r="F2267" s="729"/>
      <c r="G2267" s="730"/>
      <c r="H2267" s="73"/>
      <c r="I2267" s="90"/>
      <c r="J2267" s="73"/>
      <c r="K2267" s="734">
        <v>5.9329999999999999E-3</v>
      </c>
      <c r="L2267" s="717"/>
      <c r="M2267" s="73"/>
      <c r="N2267" s="811"/>
      <c r="O2267" s="1041"/>
      <c r="P2267" s="73"/>
      <c r="Q2267" s="811"/>
      <c r="R2267" s="1041"/>
      <c r="S2267" s="73"/>
      <c r="T2267" s="811"/>
      <c r="U2267" s="73"/>
      <c r="V2267" s="66"/>
      <c r="W2267" s="808">
        <f t="shared" ref="W2267" si="1984">AA2267*(1+AB2267)</f>
        <v>4.0937699999999993E-6</v>
      </c>
      <c r="X2267" s="809">
        <f t="shared" ref="X2267" si="1985">AA2267*(1+AC2267)</f>
        <v>4.0937699999999993E-6</v>
      </c>
      <c r="Y2267" s="52">
        <v>2005</v>
      </c>
      <c r="Z2267" s="52"/>
      <c r="AA2267" s="807">
        <f t="shared" ref="AA2267" si="1986">+K2267/1000</f>
        <v>5.9329999999999998E-6</v>
      </c>
      <c r="AB2267" s="256">
        <v>-0.31</v>
      </c>
      <c r="AC2267" s="688">
        <f t="shared" ref="AC2267" si="1987">AB2267</f>
        <v>-0.31</v>
      </c>
      <c r="AD2267" s="164"/>
      <c r="AE2267" s="164"/>
      <c r="AF2267" s="25"/>
      <c r="AG2267" s="26"/>
      <c r="AH2267" s="275"/>
      <c r="AI2267" s="52"/>
      <c r="AJ2267" s="35"/>
      <c r="AK2267" s="289"/>
      <c r="AL2267" s="290"/>
      <c r="AM2267" s="211"/>
      <c r="AN2267" s="164"/>
      <c r="AO2267" s="76"/>
      <c r="AP2267" s="44"/>
      <c r="AQ2267" s="275"/>
      <c r="AR2267" s="52"/>
      <c r="AS2267" s="35"/>
      <c r="AT2267" s="79"/>
      <c r="AU2267" s="212"/>
      <c r="AV2267" s="164"/>
      <c r="AW2267" s="164"/>
      <c r="AX2267" s="76"/>
      <c r="AY2267" s="44"/>
      <c r="AZ2267" s="275"/>
      <c r="BA2267" s="52"/>
      <c r="BB2267" s="35"/>
      <c r="BC2267" s="79"/>
      <c r="BD2267" s="230"/>
      <c r="BE2267" s="211"/>
      <c r="BF2267" s="164"/>
      <c r="BG2267" s="76"/>
      <c r="BH2267" s="44"/>
      <c r="BI2267" s="275"/>
      <c r="BJ2267" s="52"/>
      <c r="BK2267" s="35"/>
      <c r="BL2267" s="79"/>
      <c r="BM2267" s="230"/>
      <c r="BN2267" s="211"/>
      <c r="BO2267" s="164"/>
      <c r="BP2267" s="76"/>
      <c r="BQ2267" s="44"/>
      <c r="BR2267" s="299"/>
      <c r="BS2267" s="52"/>
      <c r="BT2267" s="35"/>
      <c r="BU2267" s="79"/>
      <c r="BV2267" s="212"/>
      <c r="BW2267" s="304"/>
      <c r="BX2267" s="313"/>
      <c r="BY2267" s="138"/>
    </row>
    <row r="2268" spans="1:77" ht="15" customHeight="1" outlineLevel="1" x14ac:dyDescent="0.2">
      <c r="A2268" s="583" t="s">
        <v>37</v>
      </c>
      <c r="B2268" s="583"/>
      <c r="C2268" s="162" t="s">
        <v>1211</v>
      </c>
      <c r="D2268" s="806">
        <v>0.105</v>
      </c>
      <c r="E2268" s="162" t="s">
        <v>631</v>
      </c>
      <c r="F2268" s="729"/>
      <c r="G2268" s="730"/>
      <c r="H2268" s="73"/>
      <c r="I2268" s="90"/>
      <c r="J2268" s="73"/>
      <c r="K2268" s="815">
        <v>6.3493000000000002E-4</v>
      </c>
      <c r="L2268" s="717"/>
      <c r="M2268" s="73"/>
      <c r="N2268" s="811"/>
      <c r="O2268" s="1041"/>
      <c r="P2268" s="73"/>
      <c r="Q2268" s="811"/>
      <c r="R2268" s="1041"/>
      <c r="S2268" s="73"/>
      <c r="T2268" s="811"/>
      <c r="U2268" s="73"/>
      <c r="V2268" s="66"/>
      <c r="W2268" s="808">
        <f t="shared" si="1958"/>
        <v>3.6191010000000003E-7</v>
      </c>
      <c r="X2268" s="809">
        <f t="shared" si="1959"/>
        <v>3.6191010000000003E-7</v>
      </c>
      <c r="Y2268" s="52">
        <v>2005</v>
      </c>
      <c r="Z2268" s="52"/>
      <c r="AA2268" s="807">
        <f t="shared" si="1983"/>
        <v>6.3493000000000003E-7</v>
      </c>
      <c r="AB2268" s="256">
        <v>-0.43</v>
      </c>
      <c r="AC2268" s="688">
        <f t="shared" si="1976"/>
        <v>-0.43</v>
      </c>
      <c r="AD2268" s="164"/>
      <c r="AE2268" s="164"/>
      <c r="AF2268" s="25"/>
      <c r="AG2268" s="26"/>
      <c r="AH2268" s="275"/>
      <c r="AI2268" s="52"/>
      <c r="AJ2268" s="35"/>
      <c r="AK2268" s="289"/>
      <c r="AL2268" s="290"/>
      <c r="AM2268" s="211"/>
      <c r="AN2268" s="164"/>
      <c r="AO2268" s="76"/>
      <c r="AP2268" s="44"/>
      <c r="AQ2268" s="275"/>
      <c r="AR2268" s="52"/>
      <c r="AS2268" s="35"/>
      <c r="AT2268" s="79"/>
      <c r="AU2268" s="212"/>
      <c r="AV2268" s="164"/>
      <c r="AW2268" s="164"/>
      <c r="AX2268" s="76"/>
      <c r="AY2268" s="44"/>
      <c r="AZ2268" s="275"/>
      <c r="BA2268" s="52"/>
      <c r="BB2268" s="35"/>
      <c r="BC2268" s="79"/>
      <c r="BD2268" s="230"/>
      <c r="BE2268" s="211"/>
      <c r="BF2268" s="164"/>
      <c r="BG2268" s="76"/>
      <c r="BH2268" s="44"/>
      <c r="BI2268" s="275"/>
      <c r="BJ2268" s="52"/>
      <c r="BK2268" s="35"/>
      <c r="BL2268" s="79"/>
      <c r="BM2268" s="230"/>
      <c r="BN2268" s="211"/>
      <c r="BO2268" s="164"/>
      <c r="BP2268" s="76"/>
      <c r="BQ2268" s="44"/>
      <c r="BR2268" s="299"/>
      <c r="BS2268" s="52"/>
      <c r="BT2268" s="35"/>
      <c r="BU2268" s="79"/>
      <c r="BV2268" s="212"/>
      <c r="BW2268" s="304"/>
      <c r="BX2268" s="313"/>
      <c r="BY2268" s="138"/>
    </row>
    <row r="2269" spans="1:77" ht="15" customHeight="1" outlineLevel="1" x14ac:dyDescent="0.2">
      <c r="A2269" s="583" t="s">
        <v>37</v>
      </c>
      <c r="B2269" s="583"/>
      <c r="C2269" s="162" t="s">
        <v>2697</v>
      </c>
      <c r="D2269" s="806">
        <v>1.488</v>
      </c>
      <c r="E2269" s="162" t="s">
        <v>631</v>
      </c>
      <c r="F2269" s="729"/>
      <c r="G2269" s="730"/>
      <c r="H2269" s="73"/>
      <c r="I2269" s="90"/>
      <c r="J2269" s="73"/>
      <c r="K2269" s="815">
        <v>7.1199999999999996E-3</v>
      </c>
      <c r="L2269" s="717"/>
      <c r="M2269" s="73"/>
      <c r="N2269" s="811"/>
      <c r="O2269" s="1041"/>
      <c r="P2269" s="73"/>
      <c r="Q2269" s="811"/>
      <c r="R2269" s="1041"/>
      <c r="S2269" s="73"/>
      <c r="T2269" s="811"/>
      <c r="U2269" s="73"/>
      <c r="V2269" s="66"/>
      <c r="W2269" s="788">
        <f t="shared" ref="W2269" si="1988">AA2269*(1+AB2269)</f>
        <v>5.1263999999999997E-6</v>
      </c>
      <c r="X2269" s="789">
        <f t="shared" ref="X2269" si="1989">AA2269*(1+AC2269)</f>
        <v>5.1263999999999997E-6</v>
      </c>
      <c r="Y2269" s="52">
        <v>2005</v>
      </c>
      <c r="Z2269" s="52"/>
      <c r="AA2269" s="787">
        <f t="shared" ref="AA2269" si="1990">+K2269/1000</f>
        <v>7.1199999999999996E-6</v>
      </c>
      <c r="AB2269" s="256">
        <v>-0.28000000000000003</v>
      </c>
      <c r="AC2269" s="688">
        <f t="shared" ref="AC2269" si="1991">AB2269</f>
        <v>-0.28000000000000003</v>
      </c>
      <c r="AD2269" s="164"/>
      <c r="AE2269" s="164"/>
      <c r="AF2269" s="25"/>
      <c r="AG2269" s="26"/>
      <c r="AH2269" s="275"/>
      <c r="AI2269" s="52"/>
      <c r="AJ2269" s="35"/>
      <c r="AK2269" s="289"/>
      <c r="AL2269" s="290"/>
      <c r="AM2269" s="211"/>
      <c r="AN2269" s="164"/>
      <c r="AO2269" s="76"/>
      <c r="AP2269" s="44"/>
      <c r="AQ2269" s="275"/>
      <c r="AR2269" s="52"/>
      <c r="AS2269" s="35"/>
      <c r="AT2269" s="79"/>
      <c r="AU2269" s="212"/>
      <c r="AV2269" s="164"/>
      <c r="AW2269" s="164"/>
      <c r="AX2269" s="76"/>
      <c r="AY2269" s="44"/>
      <c r="AZ2269" s="275"/>
      <c r="BA2269" s="52"/>
      <c r="BB2269" s="35"/>
      <c r="BC2269" s="79"/>
      <c r="BD2269" s="230"/>
      <c r="BE2269" s="211"/>
      <c r="BF2269" s="164"/>
      <c r="BG2269" s="76"/>
      <c r="BH2269" s="44"/>
      <c r="BI2269" s="275"/>
      <c r="BJ2269" s="52"/>
      <c r="BK2269" s="35"/>
      <c r="BL2269" s="79"/>
      <c r="BM2269" s="230"/>
      <c r="BN2269" s="211"/>
      <c r="BO2269" s="164"/>
      <c r="BP2269" s="76"/>
      <c r="BQ2269" s="44"/>
      <c r="BR2269" s="299"/>
      <c r="BS2269" s="52"/>
      <c r="BT2269" s="35"/>
      <c r="BU2269" s="79"/>
      <c r="BV2269" s="212"/>
      <c r="BW2269" s="304"/>
      <c r="BX2269" s="313"/>
      <c r="BY2269" s="138"/>
    </row>
    <row r="2270" spans="1:77" ht="15" customHeight="1" outlineLevel="1" x14ac:dyDescent="0.2">
      <c r="A2270" s="583" t="s">
        <v>37</v>
      </c>
      <c r="B2270" s="583"/>
      <c r="C2270" s="162" t="s">
        <v>1193</v>
      </c>
      <c r="D2270" s="812">
        <v>14.256500000000001</v>
      </c>
      <c r="E2270" s="162" t="s">
        <v>631</v>
      </c>
      <c r="F2270" s="729"/>
      <c r="G2270" s="730"/>
      <c r="H2270" s="73"/>
      <c r="I2270" s="90"/>
      <c r="J2270" s="73"/>
      <c r="K2270" s="66">
        <v>8.2175999999999999E-2</v>
      </c>
      <c r="L2270" s="717"/>
      <c r="M2270" s="73"/>
      <c r="N2270" s="811"/>
      <c r="O2270" s="1041"/>
      <c r="P2270" s="73"/>
      <c r="Q2270" s="811"/>
      <c r="R2270" s="1041"/>
      <c r="S2270" s="73"/>
      <c r="T2270" s="811"/>
      <c r="U2270" s="73"/>
      <c r="V2270" s="66"/>
      <c r="W2270" s="594">
        <f t="shared" si="1958"/>
        <v>5.9988479999999995E-5</v>
      </c>
      <c r="X2270" s="595">
        <f t="shared" si="1959"/>
        <v>5.9988479999999995E-5</v>
      </c>
      <c r="Y2270" s="52">
        <v>2005</v>
      </c>
      <c r="Z2270" s="52"/>
      <c r="AA2270" s="596">
        <f t="shared" si="1983"/>
        <v>8.2175999999999994E-5</v>
      </c>
      <c r="AB2270" s="256">
        <v>-0.27</v>
      </c>
      <c r="AC2270" s="688">
        <f t="shared" si="1976"/>
        <v>-0.27</v>
      </c>
      <c r="AD2270" s="164"/>
      <c r="AE2270" s="164"/>
      <c r="AF2270" s="25"/>
      <c r="AG2270" s="26"/>
      <c r="AH2270" s="275"/>
      <c r="AI2270" s="52"/>
      <c r="AJ2270" s="35"/>
      <c r="AK2270" s="289"/>
      <c r="AL2270" s="290"/>
      <c r="AM2270" s="211"/>
      <c r="AN2270" s="164"/>
      <c r="AO2270" s="76"/>
      <c r="AP2270" s="44"/>
      <c r="AQ2270" s="275"/>
      <c r="AR2270" s="52"/>
      <c r="AS2270" s="35"/>
      <c r="AT2270" s="79"/>
      <c r="AU2270" s="212"/>
      <c r="AV2270" s="164"/>
      <c r="AW2270" s="164"/>
      <c r="AX2270" s="76"/>
      <c r="AY2270" s="44"/>
      <c r="AZ2270" s="275"/>
      <c r="BA2270" s="52"/>
      <c r="BB2270" s="35"/>
      <c r="BC2270" s="79"/>
      <c r="BD2270" s="230"/>
      <c r="BE2270" s="211"/>
      <c r="BF2270" s="164"/>
      <c r="BG2270" s="76"/>
      <c r="BH2270" s="44"/>
      <c r="BI2270" s="275"/>
      <c r="BJ2270" s="52"/>
      <c r="BK2270" s="35"/>
      <c r="BL2270" s="79"/>
      <c r="BM2270" s="230"/>
      <c r="BN2270" s="211"/>
      <c r="BO2270" s="164"/>
      <c r="BP2270" s="76"/>
      <c r="BQ2270" s="44"/>
      <c r="BR2270" s="299"/>
      <c r="BS2270" s="52"/>
      <c r="BT2270" s="35"/>
      <c r="BU2270" s="79"/>
      <c r="BV2270" s="212"/>
      <c r="BW2270" s="304"/>
      <c r="BX2270" s="313"/>
      <c r="BY2270" s="138"/>
    </row>
    <row r="2271" spans="1:77" ht="15" customHeight="1" outlineLevel="1" x14ac:dyDescent="0.2">
      <c r="A2271" s="583" t="s">
        <v>37</v>
      </c>
      <c r="B2271" s="583"/>
      <c r="C2271" s="162" t="s">
        <v>2699</v>
      </c>
      <c r="D2271" s="806">
        <v>0.47799999999999998</v>
      </c>
      <c r="E2271" s="162" t="s">
        <v>631</v>
      </c>
      <c r="F2271" s="729"/>
      <c r="G2271" s="730"/>
      <c r="H2271" s="73"/>
      <c r="I2271" s="90"/>
      <c r="J2271" s="73"/>
      <c r="K2271" s="790">
        <v>3.9439999999999996E-3</v>
      </c>
      <c r="L2271" s="717"/>
      <c r="M2271" s="73"/>
      <c r="N2271" s="811"/>
      <c r="O2271" s="1041"/>
      <c r="P2271" s="73"/>
      <c r="Q2271" s="811"/>
      <c r="R2271" s="1041"/>
      <c r="S2271" s="73"/>
      <c r="T2271" s="811"/>
      <c r="U2271" s="73"/>
      <c r="V2271" s="66"/>
      <c r="W2271" s="788">
        <f t="shared" ref="W2271" si="1992">AA2271*(1+AB2271)</f>
        <v>2.8791199999999998E-6</v>
      </c>
      <c r="X2271" s="789">
        <f t="shared" ref="X2271" si="1993">AA2271*(1+AC2271)</f>
        <v>2.8791199999999998E-6</v>
      </c>
      <c r="Y2271" s="52">
        <v>2005</v>
      </c>
      <c r="Z2271" s="52"/>
      <c r="AA2271" s="787">
        <f t="shared" ref="AA2271" si="1994">+K2271/1000</f>
        <v>3.9439999999999998E-6</v>
      </c>
      <c r="AB2271" s="256">
        <v>-0.27</v>
      </c>
      <c r="AC2271" s="688">
        <f t="shared" ref="AC2271" si="1995">AB2271</f>
        <v>-0.27</v>
      </c>
      <c r="AD2271" s="164"/>
      <c r="AE2271" s="164"/>
      <c r="AF2271" s="25"/>
      <c r="AG2271" s="26"/>
      <c r="AH2271" s="275"/>
      <c r="AI2271" s="52"/>
      <c r="AJ2271" s="35"/>
      <c r="AK2271" s="289"/>
      <c r="AL2271" s="290"/>
      <c r="AM2271" s="211"/>
      <c r="AN2271" s="164"/>
      <c r="AO2271" s="76"/>
      <c r="AP2271" s="44"/>
      <c r="AQ2271" s="275"/>
      <c r="AR2271" s="52"/>
      <c r="AS2271" s="35"/>
      <c r="AT2271" s="79"/>
      <c r="AU2271" s="212"/>
      <c r="AV2271" s="164"/>
      <c r="AW2271" s="164"/>
      <c r="AX2271" s="76"/>
      <c r="AY2271" s="44"/>
      <c r="AZ2271" s="275"/>
      <c r="BA2271" s="52"/>
      <c r="BB2271" s="35"/>
      <c r="BC2271" s="79"/>
      <c r="BD2271" s="230"/>
      <c r="BE2271" s="211"/>
      <c r="BF2271" s="164"/>
      <c r="BG2271" s="76"/>
      <c r="BH2271" s="44"/>
      <c r="BI2271" s="275"/>
      <c r="BJ2271" s="52"/>
      <c r="BK2271" s="35"/>
      <c r="BL2271" s="79"/>
      <c r="BM2271" s="230"/>
      <c r="BN2271" s="211"/>
      <c r="BO2271" s="164"/>
      <c r="BP2271" s="76"/>
      <c r="BQ2271" s="44"/>
      <c r="BR2271" s="299"/>
      <c r="BS2271" s="52"/>
      <c r="BT2271" s="35"/>
      <c r="BU2271" s="79"/>
      <c r="BV2271" s="212"/>
      <c r="BW2271" s="304"/>
      <c r="BX2271" s="313"/>
      <c r="BY2271" s="138"/>
    </row>
    <row r="2272" spans="1:77" ht="15" customHeight="1" outlineLevel="1" x14ac:dyDescent="0.2">
      <c r="A2272" s="583" t="s">
        <v>37</v>
      </c>
      <c r="B2272" s="583"/>
      <c r="C2272" s="162" t="s">
        <v>1108</v>
      </c>
      <c r="D2272" s="812">
        <v>1.02</v>
      </c>
      <c r="E2272" s="162" t="s">
        <v>631</v>
      </c>
      <c r="F2272" s="729"/>
      <c r="G2272" s="730"/>
      <c r="H2272" s="73"/>
      <c r="I2272" s="90">
        <v>2007</v>
      </c>
      <c r="J2272" s="73"/>
      <c r="K2272" s="790">
        <v>1.897E-3</v>
      </c>
      <c r="L2272" s="717"/>
      <c r="M2272" s="73"/>
      <c r="N2272" s="811"/>
      <c r="O2272" s="1041"/>
      <c r="P2272" s="73"/>
      <c r="Q2272" s="811"/>
      <c r="R2272" s="1041"/>
      <c r="S2272" s="73"/>
      <c r="T2272" s="811"/>
      <c r="U2272" s="73"/>
      <c r="V2272" s="66"/>
      <c r="W2272" s="788">
        <f t="shared" si="1958"/>
        <v>1.1951100000000001E-6</v>
      </c>
      <c r="X2272" s="789">
        <f t="shared" si="1959"/>
        <v>1.1951100000000001E-6</v>
      </c>
      <c r="Y2272" s="52">
        <v>2007</v>
      </c>
      <c r="Z2272" s="52"/>
      <c r="AA2272" s="787">
        <f t="shared" si="1983"/>
        <v>1.897E-6</v>
      </c>
      <c r="AB2272" s="256">
        <v>-0.37</v>
      </c>
      <c r="AC2272" s="688">
        <f t="shared" si="1976"/>
        <v>-0.37</v>
      </c>
      <c r="AD2272" s="164"/>
      <c r="AE2272" s="164"/>
      <c r="AF2272" s="25"/>
      <c r="AG2272" s="26"/>
      <c r="AH2272" s="275"/>
      <c r="AI2272" s="52"/>
      <c r="AJ2272" s="35"/>
      <c r="AK2272" s="289"/>
      <c r="AL2272" s="290"/>
      <c r="AM2272" s="211"/>
      <c r="AN2272" s="164"/>
      <c r="AO2272" s="76"/>
      <c r="AP2272" s="44"/>
      <c r="AQ2272" s="275"/>
      <c r="AR2272" s="52"/>
      <c r="AS2272" s="35"/>
      <c r="AT2272" s="79"/>
      <c r="AU2272" s="212"/>
      <c r="AV2272" s="164"/>
      <c r="AW2272" s="164"/>
      <c r="AX2272" s="76"/>
      <c r="AY2272" s="44"/>
      <c r="AZ2272" s="275"/>
      <c r="BA2272" s="52"/>
      <c r="BB2272" s="35"/>
      <c r="BC2272" s="79"/>
      <c r="BD2272" s="230"/>
      <c r="BE2272" s="211"/>
      <c r="BF2272" s="164"/>
      <c r="BG2272" s="76"/>
      <c r="BH2272" s="44"/>
      <c r="BI2272" s="275"/>
      <c r="BJ2272" s="52"/>
      <c r="BK2272" s="35"/>
      <c r="BL2272" s="79"/>
      <c r="BM2272" s="230"/>
      <c r="BN2272" s="211"/>
      <c r="BO2272" s="164"/>
      <c r="BP2272" s="76"/>
      <c r="BQ2272" s="44"/>
      <c r="BR2272" s="299"/>
      <c r="BS2272" s="52"/>
      <c r="BT2272" s="35"/>
      <c r="BU2272" s="79"/>
      <c r="BV2272" s="212"/>
      <c r="BW2272" s="304"/>
      <c r="BX2272" s="313"/>
      <c r="BY2272" s="138"/>
    </row>
    <row r="2273" spans="1:77" ht="15" customHeight="1" outlineLevel="1" x14ac:dyDescent="0.2">
      <c r="A2273" s="583" t="s">
        <v>37</v>
      </c>
      <c r="B2273" s="583"/>
      <c r="C2273" s="162" t="s">
        <v>1057</v>
      </c>
      <c r="D2273" s="812">
        <v>3.4630000000000001</v>
      </c>
      <c r="E2273" s="162" t="s">
        <v>631</v>
      </c>
      <c r="F2273" s="729"/>
      <c r="G2273" s="730"/>
      <c r="H2273" s="73"/>
      <c r="I2273" s="90">
        <v>2007</v>
      </c>
      <c r="J2273" s="73"/>
      <c r="K2273" s="734">
        <v>1.5644999999999999E-2</v>
      </c>
      <c r="L2273" s="717"/>
      <c r="M2273" s="73"/>
      <c r="N2273" s="811"/>
      <c r="O2273" s="1041"/>
      <c r="P2273" s="73"/>
      <c r="Q2273" s="811"/>
      <c r="R2273" s="1041"/>
      <c r="S2273" s="73"/>
      <c r="T2273" s="811"/>
      <c r="U2273" s="73"/>
      <c r="V2273" s="66"/>
      <c r="W2273" s="788">
        <f t="shared" si="1958"/>
        <v>1.1420849999999999E-5</v>
      </c>
      <c r="X2273" s="789">
        <f t="shared" si="1959"/>
        <v>1.1420849999999999E-5</v>
      </c>
      <c r="Y2273" s="52">
        <v>2007</v>
      </c>
      <c r="Z2273" s="52"/>
      <c r="AA2273" s="787">
        <f t="shared" si="1983"/>
        <v>1.5645E-5</v>
      </c>
      <c r="AB2273" s="256">
        <v>-0.27</v>
      </c>
      <c r="AC2273" s="688">
        <f t="shared" si="1976"/>
        <v>-0.27</v>
      </c>
      <c r="AD2273" s="164"/>
      <c r="AE2273" s="164"/>
      <c r="AF2273" s="25"/>
      <c r="AG2273" s="26"/>
      <c r="AH2273" s="275"/>
      <c r="AI2273" s="52"/>
      <c r="AJ2273" s="35"/>
      <c r="AK2273" s="289"/>
      <c r="AL2273" s="290"/>
      <c r="AM2273" s="211"/>
      <c r="AN2273" s="164"/>
      <c r="AO2273" s="76"/>
      <c r="AP2273" s="44"/>
      <c r="AQ2273" s="275"/>
      <c r="AR2273" s="52"/>
      <c r="AS2273" s="35"/>
      <c r="AT2273" s="79"/>
      <c r="AU2273" s="212"/>
      <c r="AV2273" s="164"/>
      <c r="AW2273" s="164"/>
      <c r="AX2273" s="76"/>
      <c r="AY2273" s="44"/>
      <c r="AZ2273" s="275"/>
      <c r="BA2273" s="52"/>
      <c r="BB2273" s="35"/>
      <c r="BC2273" s="79"/>
      <c r="BD2273" s="230"/>
      <c r="BE2273" s="211"/>
      <c r="BF2273" s="164"/>
      <c r="BG2273" s="76"/>
      <c r="BH2273" s="44"/>
      <c r="BI2273" s="275"/>
      <c r="BJ2273" s="52"/>
      <c r="BK2273" s="35"/>
      <c r="BL2273" s="79"/>
      <c r="BM2273" s="230"/>
      <c r="BN2273" s="211"/>
      <c r="BO2273" s="164"/>
      <c r="BP2273" s="76"/>
      <c r="BQ2273" s="44"/>
      <c r="BR2273" s="299"/>
      <c r="BS2273" s="52"/>
      <c r="BT2273" s="35"/>
      <c r="BU2273" s="79"/>
      <c r="BV2273" s="212"/>
      <c r="BW2273" s="304"/>
      <c r="BX2273" s="313"/>
      <c r="BY2273" s="138"/>
    </row>
    <row r="2274" spans="1:77" ht="15" customHeight="1" outlineLevel="1" x14ac:dyDescent="0.2">
      <c r="A2274" s="583" t="s">
        <v>37</v>
      </c>
      <c r="B2274" s="583"/>
      <c r="C2274" s="162" t="s">
        <v>1131</v>
      </c>
      <c r="D2274" s="812">
        <v>7.4379999999999997</v>
      </c>
      <c r="E2274" s="162" t="s">
        <v>631</v>
      </c>
      <c r="F2274" s="729"/>
      <c r="G2274" s="730"/>
      <c r="H2274" s="73"/>
      <c r="I2274" s="90">
        <v>2007</v>
      </c>
      <c r="J2274" s="73"/>
      <c r="K2274" s="734">
        <v>1.8584E-2</v>
      </c>
      <c r="L2274" s="717"/>
      <c r="M2274" s="73"/>
      <c r="N2274" s="811"/>
      <c r="O2274" s="1041"/>
      <c r="P2274" s="73"/>
      <c r="Q2274" s="811"/>
      <c r="R2274" s="1041"/>
      <c r="S2274" s="73"/>
      <c r="T2274" s="811"/>
      <c r="U2274" s="73"/>
      <c r="V2274" s="66"/>
      <c r="W2274" s="740">
        <f t="shared" si="1958"/>
        <v>1.189376E-5</v>
      </c>
      <c r="X2274" s="741">
        <f t="shared" si="1959"/>
        <v>1.189376E-5</v>
      </c>
      <c r="Y2274" s="52">
        <v>2007</v>
      </c>
      <c r="Z2274" s="52"/>
      <c r="AA2274" s="739">
        <f t="shared" si="1983"/>
        <v>1.8584E-5</v>
      </c>
      <c r="AB2274" s="256">
        <v>-0.36</v>
      </c>
      <c r="AC2274" s="688">
        <f t="shared" si="1976"/>
        <v>-0.36</v>
      </c>
      <c r="AD2274" s="164"/>
      <c r="AE2274" s="164"/>
      <c r="AF2274" s="25"/>
      <c r="AG2274" s="26"/>
      <c r="AH2274" s="275"/>
      <c r="AI2274" s="52"/>
      <c r="AJ2274" s="35"/>
      <c r="AK2274" s="289"/>
      <c r="AL2274" s="290"/>
      <c r="AM2274" s="211"/>
      <c r="AN2274" s="164"/>
      <c r="AO2274" s="76"/>
      <c r="AP2274" s="44"/>
      <c r="AQ2274" s="275"/>
      <c r="AR2274" s="52"/>
      <c r="AS2274" s="35"/>
      <c r="AT2274" s="79"/>
      <c r="AU2274" s="212"/>
      <c r="AV2274" s="164"/>
      <c r="AW2274" s="164"/>
      <c r="AX2274" s="76"/>
      <c r="AY2274" s="44"/>
      <c r="AZ2274" s="275"/>
      <c r="BA2274" s="52"/>
      <c r="BB2274" s="35"/>
      <c r="BC2274" s="79"/>
      <c r="BD2274" s="230"/>
      <c r="BE2274" s="211"/>
      <c r="BF2274" s="164"/>
      <c r="BG2274" s="76"/>
      <c r="BH2274" s="44"/>
      <c r="BI2274" s="275"/>
      <c r="BJ2274" s="52"/>
      <c r="BK2274" s="35"/>
      <c r="BL2274" s="79"/>
      <c r="BM2274" s="230"/>
      <c r="BN2274" s="211"/>
      <c r="BO2274" s="164"/>
      <c r="BP2274" s="76"/>
      <c r="BQ2274" s="44"/>
      <c r="BR2274" s="299"/>
      <c r="BS2274" s="52"/>
      <c r="BT2274" s="35"/>
      <c r="BU2274" s="79"/>
      <c r="BV2274" s="212"/>
      <c r="BW2274" s="304"/>
      <c r="BX2274" s="313"/>
      <c r="BY2274" s="138"/>
    </row>
    <row r="2275" spans="1:77" ht="15" customHeight="1" outlineLevel="1" x14ac:dyDescent="0.2">
      <c r="A2275" s="583" t="s">
        <v>37</v>
      </c>
      <c r="B2275" s="583"/>
      <c r="C2275" s="162" t="s">
        <v>2700</v>
      </c>
      <c r="D2275" s="806">
        <v>0.156</v>
      </c>
      <c r="E2275" s="162" t="s">
        <v>631</v>
      </c>
      <c r="F2275" s="729"/>
      <c r="G2275" s="730"/>
      <c r="H2275" s="73"/>
      <c r="I2275" s="90"/>
      <c r="J2275" s="73"/>
      <c r="K2275" s="790">
        <v>1.297E-3</v>
      </c>
      <c r="L2275" s="717"/>
      <c r="M2275" s="73"/>
      <c r="N2275" s="811"/>
      <c r="O2275" s="1041"/>
      <c r="P2275" s="73"/>
      <c r="Q2275" s="811"/>
      <c r="R2275" s="1041"/>
      <c r="S2275" s="73"/>
      <c r="T2275" s="811"/>
      <c r="U2275" s="73"/>
      <c r="V2275" s="66"/>
      <c r="W2275" s="808">
        <f t="shared" ref="W2275" si="1996">AA2275*(1+AB2275)</f>
        <v>8.0414E-7</v>
      </c>
      <c r="X2275" s="809">
        <f t="shared" ref="X2275" si="1997">AA2275*(1+AC2275)</f>
        <v>8.0414E-7</v>
      </c>
      <c r="Y2275" s="52">
        <v>2007</v>
      </c>
      <c r="Z2275" s="52"/>
      <c r="AA2275" s="807">
        <f t="shared" ref="AA2275" si="1998">+K2275/1000</f>
        <v>1.297E-6</v>
      </c>
      <c r="AB2275" s="256">
        <v>-0.38</v>
      </c>
      <c r="AC2275" s="688">
        <f t="shared" ref="AC2275" si="1999">AB2275</f>
        <v>-0.38</v>
      </c>
      <c r="AD2275" s="164"/>
      <c r="AE2275" s="164"/>
      <c r="AF2275" s="25"/>
      <c r="AG2275" s="26"/>
      <c r="AH2275" s="275"/>
      <c r="AI2275" s="52"/>
      <c r="AJ2275" s="35"/>
      <c r="AK2275" s="289"/>
      <c r="AL2275" s="290"/>
      <c r="AM2275" s="211"/>
      <c r="AN2275" s="164"/>
      <c r="AO2275" s="76"/>
      <c r="AP2275" s="44"/>
      <c r="AQ2275" s="275"/>
      <c r="AR2275" s="52"/>
      <c r="AS2275" s="35"/>
      <c r="AT2275" s="79"/>
      <c r="AU2275" s="212"/>
      <c r="AV2275" s="164"/>
      <c r="AW2275" s="164"/>
      <c r="AX2275" s="76"/>
      <c r="AY2275" s="44"/>
      <c r="AZ2275" s="275"/>
      <c r="BA2275" s="52"/>
      <c r="BB2275" s="35"/>
      <c r="BC2275" s="79"/>
      <c r="BD2275" s="230"/>
      <c r="BE2275" s="211"/>
      <c r="BF2275" s="164"/>
      <c r="BG2275" s="76"/>
      <c r="BH2275" s="44"/>
      <c r="BI2275" s="275"/>
      <c r="BJ2275" s="52"/>
      <c r="BK2275" s="35"/>
      <c r="BL2275" s="79"/>
      <c r="BM2275" s="230"/>
      <c r="BN2275" s="211"/>
      <c r="BO2275" s="164"/>
      <c r="BP2275" s="76"/>
      <c r="BQ2275" s="44"/>
      <c r="BR2275" s="299"/>
      <c r="BS2275" s="52"/>
      <c r="BT2275" s="35"/>
      <c r="BU2275" s="79"/>
      <c r="BV2275" s="212"/>
      <c r="BW2275" s="304"/>
      <c r="BX2275" s="313"/>
      <c r="BY2275" s="138"/>
    </row>
    <row r="2276" spans="1:77" ht="15" customHeight="1" outlineLevel="1" x14ac:dyDescent="0.2">
      <c r="A2276" s="583" t="s">
        <v>37</v>
      </c>
      <c r="B2276" s="583"/>
      <c r="C2276" s="162" t="s">
        <v>1257</v>
      </c>
      <c r="D2276" s="812">
        <v>2.9340000000000002</v>
      </c>
      <c r="E2276" s="162" t="s">
        <v>631</v>
      </c>
      <c r="F2276" s="729"/>
      <c r="G2276" s="730"/>
      <c r="H2276" s="73"/>
      <c r="I2276" s="90">
        <v>2007</v>
      </c>
      <c r="J2276" s="73"/>
      <c r="K2276" s="734">
        <v>1.4083E-2</v>
      </c>
      <c r="L2276" s="717"/>
      <c r="M2276" s="73"/>
      <c r="N2276" s="811"/>
      <c r="O2276" s="1041"/>
      <c r="P2276" s="73"/>
      <c r="Q2276" s="811"/>
      <c r="R2276" s="1041"/>
      <c r="S2276" s="73"/>
      <c r="T2276" s="811"/>
      <c r="U2276" s="73"/>
      <c r="V2276" s="66"/>
      <c r="W2276" s="594">
        <f t="shared" si="1958"/>
        <v>0</v>
      </c>
      <c r="X2276" s="595">
        <f t="shared" si="1959"/>
        <v>0</v>
      </c>
      <c r="Y2276" s="52">
        <v>2007</v>
      </c>
      <c r="Z2276" s="52"/>
      <c r="AA2276" s="739">
        <f t="shared" si="1983"/>
        <v>1.4083000000000001E-5</v>
      </c>
      <c r="AB2276" s="256">
        <v>-1</v>
      </c>
      <c r="AC2276" s="688">
        <f t="shared" si="1976"/>
        <v>-1</v>
      </c>
      <c r="AD2276" s="164"/>
      <c r="AE2276" s="164"/>
      <c r="AF2276" s="25"/>
      <c r="AG2276" s="26"/>
      <c r="AH2276" s="275"/>
      <c r="AI2276" s="52"/>
      <c r="AJ2276" s="35"/>
      <c r="AK2276" s="289"/>
      <c r="AL2276" s="290"/>
      <c r="AM2276" s="211"/>
      <c r="AN2276" s="164"/>
      <c r="AO2276" s="76"/>
      <c r="AP2276" s="44"/>
      <c r="AQ2276" s="275"/>
      <c r="AR2276" s="52"/>
      <c r="AS2276" s="35"/>
      <c r="AT2276" s="79"/>
      <c r="AU2276" s="212"/>
      <c r="AV2276" s="164"/>
      <c r="AW2276" s="164"/>
      <c r="AX2276" s="76"/>
      <c r="AY2276" s="44"/>
      <c r="AZ2276" s="275"/>
      <c r="BA2276" s="52"/>
      <c r="BB2276" s="35"/>
      <c r="BC2276" s="79"/>
      <c r="BD2276" s="230"/>
      <c r="BE2276" s="211"/>
      <c r="BF2276" s="164"/>
      <c r="BG2276" s="76"/>
      <c r="BH2276" s="44"/>
      <c r="BI2276" s="275"/>
      <c r="BJ2276" s="52"/>
      <c r="BK2276" s="35"/>
      <c r="BL2276" s="79"/>
      <c r="BM2276" s="230"/>
      <c r="BN2276" s="211"/>
      <c r="BO2276" s="164"/>
      <c r="BP2276" s="76"/>
      <c r="BQ2276" s="44"/>
      <c r="BR2276" s="299"/>
      <c r="BS2276" s="52"/>
      <c r="BT2276" s="35"/>
      <c r="BU2276" s="79"/>
      <c r="BV2276" s="212"/>
      <c r="BW2276" s="304"/>
      <c r="BX2276" s="313"/>
      <c r="BY2276" s="138"/>
    </row>
    <row r="2277" spans="1:77" ht="15" customHeight="1" outlineLevel="1" x14ac:dyDescent="0.2">
      <c r="A2277" s="583" t="s">
        <v>37</v>
      </c>
      <c r="B2277" s="583"/>
      <c r="C2277" s="162" t="s">
        <v>970</v>
      </c>
      <c r="D2277" s="728">
        <v>7.9909999999999997</v>
      </c>
      <c r="E2277" s="162" t="s">
        <v>631</v>
      </c>
      <c r="F2277" s="729"/>
      <c r="G2277" s="730"/>
      <c r="H2277" s="73"/>
      <c r="I2277" s="90"/>
      <c r="J2277" s="73"/>
      <c r="K2277" s="734">
        <v>3.5684E-2</v>
      </c>
      <c r="L2277" s="717"/>
      <c r="M2277" s="73"/>
      <c r="N2277" s="359"/>
      <c r="O2277" s="1041"/>
      <c r="P2277" s="73"/>
      <c r="Q2277" s="359"/>
      <c r="R2277" s="1041"/>
      <c r="S2277" s="73"/>
      <c r="T2277" s="359"/>
      <c r="U2277" s="73"/>
      <c r="V2277" s="66"/>
      <c r="W2277" s="740">
        <f t="shared" si="1958"/>
        <v>2.2124079999999999E-5</v>
      </c>
      <c r="X2277" s="741">
        <f t="shared" si="1959"/>
        <v>2.2124079999999999E-5</v>
      </c>
      <c r="Y2277" s="52">
        <v>2005</v>
      </c>
      <c r="Z2277" s="52"/>
      <c r="AA2277" s="739">
        <f t="shared" si="1983"/>
        <v>3.5683999999999999E-5</v>
      </c>
      <c r="AB2277" s="256">
        <v>-0.38</v>
      </c>
      <c r="AC2277" s="688">
        <f t="shared" si="1976"/>
        <v>-0.38</v>
      </c>
      <c r="AD2277" s="164"/>
      <c r="AE2277" s="164"/>
      <c r="AF2277" s="25"/>
      <c r="AG2277" s="26"/>
      <c r="AH2277" s="275"/>
      <c r="AI2277" s="52"/>
      <c r="AJ2277" s="35"/>
      <c r="AK2277" s="289"/>
      <c r="AL2277" s="290"/>
      <c r="AM2277" s="211"/>
      <c r="AN2277" s="164"/>
      <c r="AO2277" s="76"/>
      <c r="AP2277" s="44"/>
      <c r="AQ2277" s="275"/>
      <c r="AR2277" s="52"/>
      <c r="AS2277" s="35"/>
      <c r="AT2277" s="79"/>
      <c r="AU2277" s="212"/>
      <c r="AV2277" s="164"/>
      <c r="AW2277" s="164"/>
      <c r="AX2277" s="76"/>
      <c r="AY2277" s="44"/>
      <c r="AZ2277" s="275"/>
      <c r="BA2277" s="52"/>
      <c r="BB2277" s="35"/>
      <c r="BC2277" s="79"/>
      <c r="BD2277" s="230"/>
      <c r="BE2277" s="211"/>
      <c r="BF2277" s="164"/>
      <c r="BG2277" s="76"/>
      <c r="BH2277" s="44"/>
      <c r="BI2277" s="275"/>
      <c r="BJ2277" s="52"/>
      <c r="BK2277" s="35"/>
      <c r="BL2277" s="79"/>
      <c r="BM2277" s="230"/>
      <c r="BN2277" s="211"/>
      <c r="BO2277" s="164"/>
      <c r="BP2277" s="76"/>
      <c r="BQ2277" s="44"/>
      <c r="BR2277" s="299"/>
      <c r="BS2277" s="52"/>
      <c r="BT2277" s="35"/>
      <c r="BU2277" s="79"/>
      <c r="BV2277" s="212"/>
      <c r="BW2277" s="304"/>
      <c r="BX2277" s="313"/>
      <c r="BY2277" s="138"/>
    </row>
    <row r="2278" spans="1:77" ht="15" customHeight="1" outlineLevel="1" x14ac:dyDescent="0.2">
      <c r="A2278" s="583" t="s">
        <v>37</v>
      </c>
      <c r="B2278" s="583"/>
      <c r="C2278" s="162" t="s">
        <v>1235</v>
      </c>
      <c r="D2278" s="812">
        <v>0.65100000000000002</v>
      </c>
      <c r="E2278" s="162" t="s">
        <v>631</v>
      </c>
      <c r="F2278" s="729"/>
      <c r="G2278" s="730"/>
      <c r="H2278" s="73"/>
      <c r="I2278" s="90"/>
      <c r="J2278" s="73"/>
      <c r="K2278" s="734"/>
      <c r="L2278" s="717"/>
      <c r="M2278" s="73"/>
      <c r="N2278" s="786">
        <v>1.214E-3</v>
      </c>
      <c r="O2278" s="1041"/>
      <c r="P2278" s="73"/>
      <c r="Q2278" s="786"/>
      <c r="R2278" s="1041"/>
      <c r="S2278" s="73"/>
      <c r="T2278" s="786"/>
      <c r="U2278" s="73"/>
      <c r="V2278" s="66"/>
      <c r="W2278" s="788">
        <f t="shared" si="1958"/>
        <v>8.619399999999999E-7</v>
      </c>
      <c r="X2278" s="789">
        <f t="shared" si="1959"/>
        <v>8.619399999999999E-7</v>
      </c>
      <c r="Y2278" s="52">
        <v>2010</v>
      </c>
      <c r="Z2278" s="52"/>
      <c r="AA2278" s="787">
        <f>+N2278/1000</f>
        <v>1.2139999999999999E-6</v>
      </c>
      <c r="AB2278" s="256">
        <v>-0.28999999999999998</v>
      </c>
      <c r="AC2278" s="688">
        <f t="shared" ref="AC2278:AC2321" si="2000">AB2278</f>
        <v>-0.28999999999999998</v>
      </c>
      <c r="AD2278" s="164"/>
      <c r="AE2278" s="164"/>
      <c r="AF2278" s="25"/>
      <c r="AG2278" s="26"/>
      <c r="AH2278" s="275"/>
      <c r="AI2278" s="52"/>
      <c r="AJ2278" s="35"/>
      <c r="AK2278" s="289"/>
      <c r="AL2278" s="290"/>
      <c r="AM2278" s="211"/>
      <c r="AN2278" s="164"/>
      <c r="AO2278" s="76"/>
      <c r="AP2278" s="44"/>
      <c r="AQ2278" s="275"/>
      <c r="AR2278" s="52"/>
      <c r="AS2278" s="35"/>
      <c r="AT2278" s="79"/>
      <c r="AU2278" s="212"/>
      <c r="AV2278" s="164"/>
      <c r="AW2278" s="164"/>
      <c r="AX2278" s="76"/>
      <c r="AY2278" s="44"/>
      <c r="AZ2278" s="275"/>
      <c r="BA2278" s="52"/>
      <c r="BB2278" s="35"/>
      <c r="BC2278" s="79"/>
      <c r="BD2278" s="230"/>
      <c r="BE2278" s="211"/>
      <c r="BF2278" s="164"/>
      <c r="BG2278" s="76"/>
      <c r="BH2278" s="44"/>
      <c r="BI2278" s="275"/>
      <c r="BJ2278" s="52"/>
      <c r="BK2278" s="35"/>
      <c r="BL2278" s="79"/>
      <c r="BM2278" s="230"/>
      <c r="BN2278" s="211"/>
      <c r="BO2278" s="164"/>
      <c r="BP2278" s="76"/>
      <c r="BQ2278" s="44"/>
      <c r="BR2278" s="299"/>
      <c r="BS2278" s="52"/>
      <c r="BT2278" s="35"/>
      <c r="BU2278" s="79"/>
      <c r="BV2278" s="212"/>
      <c r="BW2278" s="304"/>
      <c r="BX2278" s="313"/>
      <c r="BY2278" s="138"/>
    </row>
    <row r="2279" spans="1:77" ht="15" customHeight="1" outlineLevel="1" x14ac:dyDescent="0.2">
      <c r="A2279" s="583" t="s">
        <v>37</v>
      </c>
      <c r="B2279" s="583"/>
      <c r="C2279" s="162" t="s">
        <v>1132</v>
      </c>
      <c r="D2279" s="812">
        <v>4.3129999999999997</v>
      </c>
      <c r="E2279" s="162" t="s">
        <v>631</v>
      </c>
      <c r="F2279" s="729"/>
      <c r="G2279" s="730"/>
      <c r="H2279" s="73"/>
      <c r="I2279" s="90">
        <v>2007</v>
      </c>
      <c r="J2279" s="73"/>
      <c r="K2279" s="734">
        <v>1.247E-2</v>
      </c>
      <c r="L2279" s="717"/>
      <c r="M2279" s="73"/>
      <c r="N2279" s="811"/>
      <c r="O2279" s="1041"/>
      <c r="P2279" s="73"/>
      <c r="Q2279" s="811"/>
      <c r="R2279" s="1041"/>
      <c r="S2279" s="73"/>
      <c r="T2279" s="811"/>
      <c r="U2279" s="73"/>
      <c r="V2279" s="66"/>
      <c r="W2279" s="740">
        <f t="shared" si="1958"/>
        <v>9.103100000000001E-6</v>
      </c>
      <c r="X2279" s="741">
        <f t="shared" si="1959"/>
        <v>9.103100000000001E-6</v>
      </c>
      <c r="Y2279" s="52">
        <v>2007</v>
      </c>
      <c r="Z2279" s="52"/>
      <c r="AA2279" s="739">
        <f>+K2279/1000</f>
        <v>1.2470000000000001E-5</v>
      </c>
      <c r="AB2279" s="256">
        <v>-0.27</v>
      </c>
      <c r="AC2279" s="688">
        <f t="shared" si="2000"/>
        <v>-0.27</v>
      </c>
      <c r="AD2279" s="164"/>
      <c r="AE2279" s="164"/>
      <c r="AF2279" s="25"/>
      <c r="AG2279" s="26"/>
      <c r="AH2279" s="275"/>
      <c r="AI2279" s="52"/>
      <c r="AJ2279" s="35"/>
      <c r="AK2279" s="289"/>
      <c r="AL2279" s="290"/>
      <c r="AM2279" s="211"/>
      <c r="AN2279" s="164"/>
      <c r="AO2279" s="76"/>
      <c r="AP2279" s="44"/>
      <c r="AQ2279" s="275"/>
      <c r="AR2279" s="52"/>
      <c r="AS2279" s="35"/>
      <c r="AT2279" s="79"/>
      <c r="AU2279" s="212"/>
      <c r="AV2279" s="164"/>
      <c r="AW2279" s="164"/>
      <c r="AX2279" s="76"/>
      <c r="AY2279" s="44"/>
      <c r="AZ2279" s="275"/>
      <c r="BA2279" s="52"/>
      <c r="BB2279" s="35"/>
      <c r="BC2279" s="79"/>
      <c r="BD2279" s="230"/>
      <c r="BE2279" s="211"/>
      <c r="BF2279" s="164"/>
      <c r="BG2279" s="76"/>
      <c r="BH2279" s="44"/>
      <c r="BI2279" s="275"/>
      <c r="BJ2279" s="52"/>
      <c r="BK2279" s="35"/>
      <c r="BL2279" s="79"/>
      <c r="BM2279" s="230"/>
      <c r="BN2279" s="211"/>
      <c r="BO2279" s="164"/>
      <c r="BP2279" s="76"/>
      <c r="BQ2279" s="44"/>
      <c r="BR2279" s="299"/>
      <c r="BS2279" s="52"/>
      <c r="BT2279" s="35"/>
      <c r="BU2279" s="79"/>
      <c r="BV2279" s="212"/>
      <c r="BW2279" s="304"/>
      <c r="BX2279" s="313"/>
      <c r="BY2279" s="138"/>
    </row>
    <row r="2280" spans="1:77" ht="15" customHeight="1" outlineLevel="1" x14ac:dyDescent="0.2">
      <c r="A2280" s="583" t="s">
        <v>37</v>
      </c>
      <c r="B2280" s="583"/>
      <c r="C2280" s="162" t="s">
        <v>1102</v>
      </c>
      <c r="D2280" s="812">
        <v>1.702</v>
      </c>
      <c r="E2280" s="162" t="s">
        <v>631</v>
      </c>
      <c r="F2280" s="729"/>
      <c r="G2280" s="730"/>
      <c r="H2280" s="73"/>
      <c r="I2280" s="90">
        <v>2007</v>
      </c>
      <c r="J2280" s="73"/>
      <c r="K2280" s="734">
        <v>7.8949999999999992E-3</v>
      </c>
      <c r="L2280" s="717"/>
      <c r="M2280" s="73"/>
      <c r="N2280" s="811"/>
      <c r="O2280" s="1041"/>
      <c r="P2280" s="73"/>
      <c r="Q2280" s="811"/>
      <c r="R2280" s="1041"/>
      <c r="S2280" s="73"/>
      <c r="T2280" s="811"/>
      <c r="U2280" s="73"/>
      <c r="V2280" s="66"/>
      <c r="W2280" s="788">
        <f t="shared" si="1958"/>
        <v>5.6843999999999993E-6</v>
      </c>
      <c r="X2280" s="789">
        <f t="shared" si="1959"/>
        <v>5.6843999999999993E-6</v>
      </c>
      <c r="Y2280" s="52">
        <v>2007</v>
      </c>
      <c r="Z2280" s="52"/>
      <c r="AA2280" s="787">
        <f>+K2280/1000</f>
        <v>7.8949999999999998E-6</v>
      </c>
      <c r="AB2280" s="256">
        <v>-0.28000000000000003</v>
      </c>
      <c r="AC2280" s="688">
        <f t="shared" si="2000"/>
        <v>-0.28000000000000003</v>
      </c>
      <c r="AD2280" s="164"/>
      <c r="AE2280" s="164"/>
      <c r="AF2280" s="25"/>
      <c r="AG2280" s="26"/>
      <c r="AH2280" s="275"/>
      <c r="AI2280" s="52"/>
      <c r="AJ2280" s="35"/>
      <c r="AK2280" s="289"/>
      <c r="AL2280" s="290"/>
      <c r="AM2280" s="211"/>
      <c r="AN2280" s="164"/>
      <c r="AO2280" s="76"/>
      <c r="AP2280" s="44"/>
      <c r="AQ2280" s="275"/>
      <c r="AR2280" s="52"/>
      <c r="AS2280" s="35"/>
      <c r="AT2280" s="79"/>
      <c r="AU2280" s="212"/>
      <c r="AV2280" s="164"/>
      <c r="AW2280" s="164"/>
      <c r="AX2280" s="76"/>
      <c r="AY2280" s="44"/>
      <c r="AZ2280" s="275"/>
      <c r="BA2280" s="52"/>
      <c r="BB2280" s="35"/>
      <c r="BC2280" s="79"/>
      <c r="BD2280" s="230"/>
      <c r="BE2280" s="211"/>
      <c r="BF2280" s="164"/>
      <c r="BG2280" s="76"/>
      <c r="BH2280" s="44"/>
      <c r="BI2280" s="275"/>
      <c r="BJ2280" s="52"/>
      <c r="BK2280" s="35"/>
      <c r="BL2280" s="79"/>
      <c r="BM2280" s="230"/>
      <c r="BN2280" s="211"/>
      <c r="BO2280" s="164"/>
      <c r="BP2280" s="76"/>
      <c r="BQ2280" s="44"/>
      <c r="BR2280" s="299"/>
      <c r="BS2280" s="52"/>
      <c r="BT2280" s="35"/>
      <c r="BU2280" s="79"/>
      <c r="BV2280" s="212"/>
      <c r="BW2280" s="304"/>
      <c r="BX2280" s="313"/>
      <c r="BY2280" s="138"/>
    </row>
    <row r="2281" spans="1:77" ht="15" customHeight="1" outlineLevel="1" x14ac:dyDescent="0.2">
      <c r="A2281" s="583" t="s">
        <v>37</v>
      </c>
      <c r="B2281" s="583"/>
      <c r="C2281" s="162" t="s">
        <v>2701</v>
      </c>
      <c r="D2281" s="812">
        <v>4.5289999999999999</v>
      </c>
      <c r="E2281" s="162" t="s">
        <v>631</v>
      </c>
      <c r="F2281" s="729"/>
      <c r="G2281" s="730"/>
      <c r="H2281" s="73"/>
      <c r="I2281" s="90"/>
      <c r="J2281" s="73"/>
      <c r="K2281" s="734">
        <v>0.21357999999999999</v>
      </c>
      <c r="L2281" s="717"/>
      <c r="M2281" s="73"/>
      <c r="N2281" s="811"/>
      <c r="O2281" s="1041"/>
      <c r="P2281" s="73"/>
      <c r="Q2281" s="811"/>
      <c r="R2281" s="1041"/>
      <c r="S2281" s="73"/>
      <c r="T2281" s="811"/>
      <c r="U2281" s="73"/>
      <c r="V2281" s="66"/>
      <c r="W2281" s="740">
        <f t="shared" ref="W2281" si="2001">AA2281*(1+AB2281)</f>
        <v>1.4096279999999998E-4</v>
      </c>
      <c r="X2281" s="741">
        <f t="shared" ref="X2281" si="2002">AA2281*(1+AC2281)</f>
        <v>1.4096279999999998E-4</v>
      </c>
      <c r="Y2281" s="52">
        <v>2005</v>
      </c>
      <c r="Z2281" s="52"/>
      <c r="AA2281" s="739">
        <f>+K2281/1000</f>
        <v>2.1358E-4</v>
      </c>
      <c r="AB2281" s="256">
        <v>-0.34</v>
      </c>
      <c r="AC2281" s="688">
        <f t="shared" ref="AC2281" si="2003">AB2281</f>
        <v>-0.34</v>
      </c>
      <c r="AD2281" s="164"/>
      <c r="AE2281" s="164"/>
      <c r="AF2281" s="25"/>
      <c r="AG2281" s="26"/>
      <c r="AH2281" s="275"/>
      <c r="AI2281" s="52"/>
      <c r="AJ2281" s="35"/>
      <c r="AK2281" s="289"/>
      <c r="AL2281" s="290"/>
      <c r="AM2281" s="211"/>
      <c r="AN2281" s="164"/>
      <c r="AO2281" s="76"/>
      <c r="AP2281" s="44"/>
      <c r="AQ2281" s="275"/>
      <c r="AR2281" s="52"/>
      <c r="AS2281" s="35"/>
      <c r="AT2281" s="79"/>
      <c r="AU2281" s="212"/>
      <c r="AV2281" s="164"/>
      <c r="AW2281" s="164"/>
      <c r="AX2281" s="76"/>
      <c r="AY2281" s="44"/>
      <c r="AZ2281" s="275"/>
      <c r="BA2281" s="52"/>
      <c r="BB2281" s="35"/>
      <c r="BC2281" s="79"/>
      <c r="BD2281" s="230"/>
      <c r="BE2281" s="211"/>
      <c r="BF2281" s="164"/>
      <c r="BG2281" s="76"/>
      <c r="BH2281" s="44"/>
      <c r="BI2281" s="275"/>
      <c r="BJ2281" s="52"/>
      <c r="BK2281" s="35"/>
      <c r="BL2281" s="79"/>
      <c r="BM2281" s="230"/>
      <c r="BN2281" s="211"/>
      <c r="BO2281" s="164"/>
      <c r="BP2281" s="76"/>
      <c r="BQ2281" s="44"/>
      <c r="BR2281" s="299"/>
      <c r="BS2281" s="52"/>
      <c r="BT2281" s="35"/>
      <c r="BU2281" s="79"/>
      <c r="BV2281" s="212"/>
      <c r="BW2281" s="304"/>
      <c r="BX2281" s="313"/>
      <c r="BY2281" s="138"/>
    </row>
    <row r="2282" spans="1:77" ht="15" customHeight="1" outlineLevel="1" x14ac:dyDescent="0.2">
      <c r="A2282" s="583" t="s">
        <v>37</v>
      </c>
      <c r="B2282" s="583"/>
      <c r="C2282" s="162" t="s">
        <v>1236</v>
      </c>
      <c r="D2282" s="812">
        <v>0.61899999999999999</v>
      </c>
      <c r="E2282" s="162" t="s">
        <v>631</v>
      </c>
      <c r="F2282" s="729"/>
      <c r="G2282" s="730"/>
      <c r="H2282" s="73"/>
      <c r="I2282" s="90"/>
      <c r="J2282" s="73"/>
      <c r="K2282" s="734"/>
      <c r="L2282" s="717"/>
      <c r="M2282" s="73"/>
      <c r="N2282" s="786">
        <v>1.4170000000000001E-3</v>
      </c>
      <c r="O2282" s="1041"/>
      <c r="P2282" s="73"/>
      <c r="Q2282" s="786"/>
      <c r="R2282" s="1041"/>
      <c r="S2282" s="73"/>
      <c r="T2282" s="786"/>
      <c r="U2282" s="73"/>
      <c r="V2282" s="66"/>
      <c r="W2282" s="788">
        <f t="shared" si="1958"/>
        <v>1.0485800000000001E-6</v>
      </c>
      <c r="X2282" s="789">
        <f t="shared" si="1959"/>
        <v>1.0485800000000001E-6</v>
      </c>
      <c r="Y2282" s="52">
        <v>2010</v>
      </c>
      <c r="Z2282" s="52"/>
      <c r="AA2282" s="787">
        <f>+N2282/1000</f>
        <v>1.4170000000000002E-6</v>
      </c>
      <c r="AB2282" s="256">
        <v>-0.26</v>
      </c>
      <c r="AC2282" s="688">
        <f t="shared" si="2000"/>
        <v>-0.26</v>
      </c>
      <c r="AD2282" s="164"/>
      <c r="AE2282" s="164"/>
      <c r="AF2282" s="25"/>
      <c r="AG2282" s="26"/>
      <c r="AH2282" s="275"/>
      <c r="AI2282" s="52"/>
      <c r="AJ2282" s="35"/>
      <c r="AK2282" s="289"/>
      <c r="AL2282" s="290"/>
      <c r="AM2282" s="211"/>
      <c r="AN2282" s="164"/>
      <c r="AO2282" s="76"/>
      <c r="AP2282" s="44"/>
      <c r="AQ2282" s="275"/>
      <c r="AR2282" s="52"/>
      <c r="AS2282" s="35"/>
      <c r="AT2282" s="79"/>
      <c r="AU2282" s="212"/>
      <c r="AV2282" s="164"/>
      <c r="AW2282" s="164"/>
      <c r="AX2282" s="76"/>
      <c r="AY2282" s="44"/>
      <c r="AZ2282" s="275"/>
      <c r="BA2282" s="52"/>
      <c r="BB2282" s="35"/>
      <c r="BC2282" s="79"/>
      <c r="BD2282" s="230"/>
      <c r="BE2282" s="211"/>
      <c r="BF2282" s="164"/>
      <c r="BG2282" s="76"/>
      <c r="BH2282" s="44"/>
      <c r="BI2282" s="275"/>
      <c r="BJ2282" s="52"/>
      <c r="BK2282" s="35"/>
      <c r="BL2282" s="79"/>
      <c r="BM2282" s="230"/>
      <c r="BN2282" s="211"/>
      <c r="BO2282" s="164"/>
      <c r="BP2282" s="76"/>
      <c r="BQ2282" s="44"/>
      <c r="BR2282" s="299"/>
      <c r="BS2282" s="52"/>
      <c r="BT2282" s="35"/>
      <c r="BU2282" s="79"/>
      <c r="BV2282" s="212"/>
      <c r="BW2282" s="304"/>
      <c r="BX2282" s="313"/>
      <c r="BY2282" s="138"/>
    </row>
    <row r="2283" spans="1:77" ht="15" customHeight="1" outlineLevel="1" x14ac:dyDescent="0.2">
      <c r="A2283" s="583" t="s">
        <v>37</v>
      </c>
      <c r="B2283" s="583"/>
      <c r="C2283" s="162" t="s">
        <v>2702</v>
      </c>
      <c r="D2283" s="812">
        <v>1.083</v>
      </c>
      <c r="E2283" s="162" t="s">
        <v>631</v>
      </c>
      <c r="F2283" s="729"/>
      <c r="G2283" s="730"/>
      <c r="H2283" s="73"/>
      <c r="I2283" s="90"/>
      <c r="J2283" s="73"/>
      <c r="K2283" s="734">
        <v>7.8569999999999994E-3</v>
      </c>
      <c r="L2283" s="717"/>
      <c r="M2283" s="73"/>
      <c r="N2283" s="786"/>
      <c r="O2283" s="1041"/>
      <c r="P2283" s="73"/>
      <c r="Q2283" s="786"/>
      <c r="R2283" s="1041"/>
      <c r="S2283" s="73"/>
      <c r="T2283" s="786"/>
      <c r="U2283" s="73"/>
      <c r="V2283" s="66"/>
      <c r="W2283" s="788">
        <f t="shared" si="1958"/>
        <v>5.5784699999999996E-6</v>
      </c>
      <c r="X2283" s="789">
        <f t="shared" si="1959"/>
        <v>5.5784699999999996E-6</v>
      </c>
      <c r="Y2283" s="52">
        <v>2005</v>
      </c>
      <c r="Z2283" s="52"/>
      <c r="AA2283" s="787">
        <f t="shared" ref="AA2283:AA2288" si="2004">+K2283/1000</f>
        <v>7.8569999999999995E-6</v>
      </c>
      <c r="AB2283" s="256">
        <v>-0.28999999999999998</v>
      </c>
      <c r="AC2283" s="688">
        <f t="shared" si="2000"/>
        <v>-0.28999999999999998</v>
      </c>
      <c r="AD2283" s="164"/>
      <c r="AE2283" s="164"/>
      <c r="AF2283" s="25"/>
      <c r="AG2283" s="26"/>
      <c r="AH2283" s="275"/>
      <c r="AI2283" s="52"/>
      <c r="AJ2283" s="35"/>
      <c r="AK2283" s="289"/>
      <c r="AL2283" s="290"/>
      <c r="AM2283" s="211"/>
      <c r="AN2283" s="164"/>
      <c r="AO2283" s="76"/>
      <c r="AP2283" s="44"/>
      <c r="AQ2283" s="275"/>
      <c r="AR2283" s="52"/>
      <c r="AS2283" s="35"/>
      <c r="AT2283" s="79"/>
      <c r="AU2283" s="212"/>
      <c r="AV2283" s="164"/>
      <c r="AW2283" s="164"/>
      <c r="AX2283" s="76"/>
      <c r="AY2283" s="44"/>
      <c r="AZ2283" s="275"/>
      <c r="BA2283" s="52"/>
      <c r="BB2283" s="35"/>
      <c r="BC2283" s="79"/>
      <c r="BD2283" s="230"/>
      <c r="BE2283" s="211"/>
      <c r="BF2283" s="164"/>
      <c r="BG2283" s="76"/>
      <c r="BH2283" s="44"/>
      <c r="BI2283" s="275"/>
      <c r="BJ2283" s="52"/>
      <c r="BK2283" s="35"/>
      <c r="BL2283" s="79"/>
      <c r="BM2283" s="230"/>
      <c r="BN2283" s="211"/>
      <c r="BO2283" s="164"/>
      <c r="BP2283" s="76"/>
      <c r="BQ2283" s="44"/>
      <c r="BR2283" s="299"/>
      <c r="BS2283" s="52"/>
      <c r="BT2283" s="35"/>
      <c r="BU2283" s="79"/>
      <c r="BV2283" s="212"/>
      <c r="BW2283" s="304"/>
      <c r="BX2283" s="313"/>
      <c r="BY2283" s="138"/>
    </row>
    <row r="2284" spans="1:77" ht="15" customHeight="1" outlineLevel="1" x14ac:dyDescent="0.2">
      <c r="A2284" s="583" t="s">
        <v>37</v>
      </c>
      <c r="B2284" s="583"/>
      <c r="C2284" s="162" t="s">
        <v>1150</v>
      </c>
      <c r="D2284" s="812">
        <v>1.8859999999999999</v>
      </c>
      <c r="E2284" s="162" t="s">
        <v>631</v>
      </c>
      <c r="F2284" s="729"/>
      <c r="G2284" s="730"/>
      <c r="H2284" s="73"/>
      <c r="I2284" s="90"/>
      <c r="J2284" s="73"/>
      <c r="K2284" s="734">
        <v>9.8270000000000007E-3</v>
      </c>
      <c r="L2284" s="717"/>
      <c r="M2284" s="73"/>
      <c r="N2284" s="738"/>
      <c r="O2284" s="1041"/>
      <c r="P2284" s="73"/>
      <c r="Q2284" s="738"/>
      <c r="R2284" s="1041"/>
      <c r="S2284" s="73"/>
      <c r="T2284" s="738"/>
      <c r="U2284" s="73"/>
      <c r="V2284" s="66"/>
      <c r="W2284" s="788">
        <f t="shared" si="1958"/>
        <v>6.6823600000000003E-6</v>
      </c>
      <c r="X2284" s="789">
        <f t="shared" si="1959"/>
        <v>6.6823600000000003E-6</v>
      </c>
      <c r="Y2284" s="52">
        <v>2005</v>
      </c>
      <c r="Z2284" s="52"/>
      <c r="AA2284" s="787">
        <f t="shared" si="2004"/>
        <v>9.8270000000000009E-6</v>
      </c>
      <c r="AB2284" s="256">
        <v>-0.32</v>
      </c>
      <c r="AC2284" s="688">
        <f t="shared" si="2000"/>
        <v>-0.32</v>
      </c>
      <c r="AD2284" s="164"/>
      <c r="AE2284" s="164"/>
      <c r="AF2284" s="25"/>
      <c r="AG2284" s="26"/>
      <c r="AH2284" s="275"/>
      <c r="AI2284" s="52"/>
      <c r="AJ2284" s="35"/>
      <c r="AK2284" s="289"/>
      <c r="AL2284" s="290"/>
      <c r="AM2284" s="211"/>
      <c r="AN2284" s="164"/>
      <c r="AO2284" s="76"/>
      <c r="AP2284" s="44"/>
      <c r="AQ2284" s="275"/>
      <c r="AR2284" s="52"/>
      <c r="AS2284" s="35"/>
      <c r="AT2284" s="79"/>
      <c r="AU2284" s="212"/>
      <c r="AV2284" s="164"/>
      <c r="AW2284" s="164"/>
      <c r="AX2284" s="76"/>
      <c r="AY2284" s="44"/>
      <c r="AZ2284" s="275"/>
      <c r="BA2284" s="52"/>
      <c r="BB2284" s="35"/>
      <c r="BC2284" s="79"/>
      <c r="BD2284" s="230"/>
      <c r="BE2284" s="211"/>
      <c r="BF2284" s="164"/>
      <c r="BG2284" s="76"/>
      <c r="BH2284" s="44"/>
      <c r="BI2284" s="275"/>
      <c r="BJ2284" s="52"/>
      <c r="BK2284" s="35"/>
      <c r="BL2284" s="79"/>
      <c r="BM2284" s="230"/>
      <c r="BN2284" s="211"/>
      <c r="BO2284" s="164"/>
      <c r="BP2284" s="76"/>
      <c r="BQ2284" s="44"/>
      <c r="BR2284" s="299"/>
      <c r="BS2284" s="52"/>
      <c r="BT2284" s="35"/>
      <c r="BU2284" s="79"/>
      <c r="BV2284" s="212"/>
      <c r="BW2284" s="304"/>
      <c r="BX2284" s="313"/>
      <c r="BY2284" s="138"/>
    </row>
    <row r="2285" spans="1:77" ht="15" customHeight="1" outlineLevel="1" x14ac:dyDescent="0.2">
      <c r="A2285" s="583" t="s">
        <v>37</v>
      </c>
      <c r="B2285" s="583"/>
      <c r="C2285" s="162" t="s">
        <v>1071</v>
      </c>
      <c r="D2285" s="812">
        <v>7.6</v>
      </c>
      <c r="E2285" s="162" t="s">
        <v>631</v>
      </c>
      <c r="F2285" s="729"/>
      <c r="G2285" s="730"/>
      <c r="H2285" s="73"/>
      <c r="I2285" s="90">
        <v>2007</v>
      </c>
      <c r="J2285" s="73"/>
      <c r="K2285" s="813">
        <v>5.5072000000000003E-2</v>
      </c>
      <c r="L2285" s="717"/>
      <c r="M2285" s="73"/>
      <c r="N2285" s="811"/>
      <c r="O2285" s="1041"/>
      <c r="P2285" s="73"/>
      <c r="Q2285" s="811"/>
      <c r="R2285" s="1041"/>
      <c r="S2285" s="73"/>
      <c r="T2285" s="811"/>
      <c r="U2285" s="73"/>
      <c r="V2285" s="66"/>
      <c r="W2285" s="788">
        <f t="shared" si="1958"/>
        <v>2.643456E-5</v>
      </c>
      <c r="X2285" s="789">
        <f t="shared" si="1959"/>
        <v>2.643456E-5</v>
      </c>
      <c r="Y2285" s="52">
        <v>2007</v>
      </c>
      <c r="Z2285" s="52"/>
      <c r="AA2285" s="787">
        <f t="shared" si="2004"/>
        <v>5.5072000000000004E-5</v>
      </c>
      <c r="AB2285" s="256">
        <v>-0.52</v>
      </c>
      <c r="AC2285" s="688">
        <f t="shared" si="2000"/>
        <v>-0.52</v>
      </c>
      <c r="AD2285" s="164"/>
      <c r="AE2285" s="164"/>
      <c r="AF2285" s="25"/>
      <c r="AG2285" s="26"/>
      <c r="AH2285" s="275"/>
      <c r="AI2285" s="52"/>
      <c r="AJ2285" s="35"/>
      <c r="AK2285" s="289"/>
      <c r="AL2285" s="290"/>
      <c r="AM2285" s="211"/>
      <c r="AN2285" s="164"/>
      <c r="AO2285" s="76"/>
      <c r="AP2285" s="44"/>
      <c r="AQ2285" s="275"/>
      <c r="AR2285" s="52"/>
      <c r="AS2285" s="35"/>
      <c r="AT2285" s="79"/>
      <c r="AU2285" s="212"/>
      <c r="AV2285" s="164"/>
      <c r="AW2285" s="164"/>
      <c r="AX2285" s="76"/>
      <c r="AY2285" s="44"/>
      <c r="AZ2285" s="275"/>
      <c r="BA2285" s="52"/>
      <c r="BB2285" s="35"/>
      <c r="BC2285" s="79"/>
      <c r="BD2285" s="230"/>
      <c r="BE2285" s="211"/>
      <c r="BF2285" s="164"/>
      <c r="BG2285" s="76"/>
      <c r="BH2285" s="44"/>
      <c r="BI2285" s="275"/>
      <c r="BJ2285" s="52"/>
      <c r="BK2285" s="35"/>
      <c r="BL2285" s="79"/>
      <c r="BM2285" s="230"/>
      <c r="BN2285" s="211"/>
      <c r="BO2285" s="164"/>
      <c r="BP2285" s="76"/>
      <c r="BQ2285" s="44"/>
      <c r="BR2285" s="299"/>
      <c r="BS2285" s="52"/>
      <c r="BT2285" s="35"/>
      <c r="BU2285" s="79"/>
      <c r="BV2285" s="212"/>
      <c r="BW2285" s="304"/>
      <c r="BX2285" s="313"/>
      <c r="BY2285" s="138"/>
    </row>
    <row r="2286" spans="1:77" ht="15" customHeight="1" outlineLevel="1" x14ac:dyDescent="0.2">
      <c r="A2286" s="583" t="s">
        <v>37</v>
      </c>
      <c r="B2286" s="583"/>
      <c r="C2286" s="162" t="s">
        <v>1248</v>
      </c>
      <c r="D2286" s="806">
        <v>0.247</v>
      </c>
      <c r="E2286" s="162" t="s">
        <v>631</v>
      </c>
      <c r="F2286" s="729"/>
      <c r="G2286" s="730"/>
      <c r="H2286" s="73"/>
      <c r="I2286" s="90"/>
      <c r="J2286" s="73"/>
      <c r="K2286" s="790">
        <v>1.0430000000000001E-3</v>
      </c>
      <c r="L2286" s="717"/>
      <c r="M2286" s="73"/>
      <c r="N2286" s="811"/>
      <c r="O2286" s="1041"/>
      <c r="P2286" s="73"/>
      <c r="Q2286" s="811"/>
      <c r="R2286" s="1041"/>
      <c r="S2286" s="73"/>
      <c r="T2286" s="811"/>
      <c r="U2286" s="73"/>
      <c r="V2286" s="66"/>
      <c r="W2286" s="788">
        <f t="shared" si="1958"/>
        <v>7.7181999999999999E-7</v>
      </c>
      <c r="X2286" s="789">
        <f t="shared" si="1959"/>
        <v>7.7181999999999999E-7</v>
      </c>
      <c r="Y2286" s="52">
        <v>2005</v>
      </c>
      <c r="Z2286" s="52"/>
      <c r="AA2286" s="787">
        <f t="shared" si="2004"/>
        <v>1.043E-6</v>
      </c>
      <c r="AB2286" s="256">
        <v>-0.26</v>
      </c>
      <c r="AC2286" s="688">
        <f t="shared" si="2000"/>
        <v>-0.26</v>
      </c>
      <c r="AD2286" s="164"/>
      <c r="AE2286" s="164"/>
      <c r="AF2286" s="25"/>
      <c r="AG2286" s="26"/>
      <c r="AH2286" s="275"/>
      <c r="AI2286" s="52"/>
      <c r="AJ2286" s="35"/>
      <c r="AK2286" s="289"/>
      <c r="AL2286" s="290"/>
      <c r="AM2286" s="211"/>
      <c r="AN2286" s="164"/>
      <c r="AO2286" s="76"/>
      <c r="AP2286" s="44"/>
      <c r="AQ2286" s="275"/>
      <c r="AR2286" s="52"/>
      <c r="AS2286" s="35"/>
      <c r="AT2286" s="79"/>
      <c r="AU2286" s="212"/>
      <c r="AV2286" s="164"/>
      <c r="AW2286" s="164"/>
      <c r="AX2286" s="76"/>
      <c r="AY2286" s="44"/>
      <c r="AZ2286" s="275"/>
      <c r="BA2286" s="52"/>
      <c r="BB2286" s="35"/>
      <c r="BC2286" s="79"/>
      <c r="BD2286" s="230"/>
      <c r="BE2286" s="211"/>
      <c r="BF2286" s="164"/>
      <c r="BG2286" s="76"/>
      <c r="BH2286" s="44"/>
      <c r="BI2286" s="275"/>
      <c r="BJ2286" s="52"/>
      <c r="BK2286" s="35"/>
      <c r="BL2286" s="79"/>
      <c r="BM2286" s="230"/>
      <c r="BN2286" s="211"/>
      <c r="BO2286" s="164"/>
      <c r="BP2286" s="76"/>
      <c r="BQ2286" s="44"/>
      <c r="BR2286" s="299"/>
      <c r="BS2286" s="52"/>
      <c r="BT2286" s="35"/>
      <c r="BU2286" s="79"/>
      <c r="BV2286" s="212"/>
      <c r="BW2286" s="304"/>
      <c r="BX2286" s="313"/>
      <c r="BY2286" s="138"/>
    </row>
    <row r="2287" spans="1:77" ht="15" customHeight="1" outlineLevel="1" x14ac:dyDescent="0.2">
      <c r="A2287" s="583" t="s">
        <v>37</v>
      </c>
      <c r="B2287" s="583"/>
      <c r="C2287" s="162" t="s">
        <v>1037</v>
      </c>
      <c r="D2287" s="812">
        <v>4.1379999999999999</v>
      </c>
      <c r="E2287" s="162" t="s">
        <v>631</v>
      </c>
      <c r="F2287" s="729"/>
      <c r="G2287" s="730"/>
      <c r="H2287" s="73"/>
      <c r="I2287" s="90">
        <v>2007</v>
      </c>
      <c r="J2287" s="73"/>
      <c r="K2287" s="790">
        <v>4.3730000000000002E-3</v>
      </c>
      <c r="L2287" s="717"/>
      <c r="M2287" s="73"/>
      <c r="N2287" s="811"/>
      <c r="O2287" s="1041"/>
      <c r="P2287" s="73"/>
      <c r="Q2287" s="811"/>
      <c r="R2287" s="1041"/>
      <c r="S2287" s="73"/>
      <c r="T2287" s="811"/>
      <c r="U2287" s="73"/>
      <c r="V2287" s="66"/>
      <c r="W2287" s="788">
        <f t="shared" si="1958"/>
        <v>3.1922900000000001E-6</v>
      </c>
      <c r="X2287" s="789">
        <f t="shared" si="1959"/>
        <v>3.1922900000000001E-6</v>
      </c>
      <c r="Y2287" s="52">
        <v>2007</v>
      </c>
      <c r="Z2287" s="52"/>
      <c r="AA2287" s="787">
        <f t="shared" si="2004"/>
        <v>4.3730000000000003E-6</v>
      </c>
      <c r="AB2287" s="256">
        <v>-0.27</v>
      </c>
      <c r="AC2287" s="688">
        <f t="shared" si="2000"/>
        <v>-0.27</v>
      </c>
      <c r="AD2287" s="164"/>
      <c r="AE2287" s="164"/>
      <c r="AF2287" s="25"/>
      <c r="AG2287" s="26"/>
      <c r="AH2287" s="275"/>
      <c r="AI2287" s="52"/>
      <c r="AJ2287" s="35"/>
      <c r="AK2287" s="289"/>
      <c r="AL2287" s="290"/>
      <c r="AM2287" s="211"/>
      <c r="AN2287" s="164"/>
      <c r="AO2287" s="76"/>
      <c r="AP2287" s="44"/>
      <c r="AQ2287" s="275"/>
      <c r="AR2287" s="52"/>
      <c r="AS2287" s="35"/>
      <c r="AT2287" s="79"/>
      <c r="AU2287" s="212"/>
      <c r="AV2287" s="164"/>
      <c r="AW2287" s="164"/>
      <c r="AX2287" s="76"/>
      <c r="AY2287" s="44"/>
      <c r="AZ2287" s="275"/>
      <c r="BA2287" s="52"/>
      <c r="BB2287" s="35"/>
      <c r="BC2287" s="79"/>
      <c r="BD2287" s="230"/>
      <c r="BE2287" s="211"/>
      <c r="BF2287" s="164"/>
      <c r="BG2287" s="76"/>
      <c r="BH2287" s="44"/>
      <c r="BI2287" s="275"/>
      <c r="BJ2287" s="52"/>
      <c r="BK2287" s="35"/>
      <c r="BL2287" s="79"/>
      <c r="BM2287" s="230"/>
      <c r="BN2287" s="211"/>
      <c r="BO2287" s="164"/>
      <c r="BP2287" s="76"/>
      <c r="BQ2287" s="44"/>
      <c r="BR2287" s="299"/>
      <c r="BS2287" s="52"/>
      <c r="BT2287" s="35"/>
      <c r="BU2287" s="79"/>
      <c r="BV2287" s="212"/>
      <c r="BW2287" s="304"/>
      <c r="BX2287" s="313"/>
      <c r="BY2287" s="138"/>
    </row>
    <row r="2288" spans="1:77" ht="15" customHeight="1" outlineLevel="1" x14ac:dyDescent="0.2">
      <c r="A2288" s="583" t="s">
        <v>37</v>
      </c>
      <c r="B2288" s="583"/>
      <c r="C2288" s="162" t="s">
        <v>1114</v>
      </c>
      <c r="D2288" s="812">
        <v>1.258</v>
      </c>
      <c r="E2288" s="162" t="s">
        <v>631</v>
      </c>
      <c r="F2288" s="729"/>
      <c r="G2288" s="730"/>
      <c r="H2288" s="73"/>
      <c r="I2288" s="90">
        <v>2007</v>
      </c>
      <c r="J2288" s="73"/>
      <c r="K2288" s="790">
        <v>1.603E-3</v>
      </c>
      <c r="L2288" s="717"/>
      <c r="M2288" s="73"/>
      <c r="N2288" s="811"/>
      <c r="O2288" s="1041"/>
      <c r="P2288" s="73"/>
      <c r="Q2288" s="811"/>
      <c r="R2288" s="1041"/>
      <c r="S2288" s="73"/>
      <c r="T2288" s="811"/>
      <c r="U2288" s="73"/>
      <c r="V2288" s="66"/>
      <c r="W2288" s="788">
        <f t="shared" si="1958"/>
        <v>1.0900399999999998E-6</v>
      </c>
      <c r="X2288" s="789">
        <f t="shared" si="1959"/>
        <v>1.0900399999999998E-6</v>
      </c>
      <c r="Y2288" s="52">
        <v>2007</v>
      </c>
      <c r="Z2288" s="52"/>
      <c r="AA2288" s="787">
        <f t="shared" si="2004"/>
        <v>1.6029999999999999E-6</v>
      </c>
      <c r="AB2288" s="256">
        <v>-0.32</v>
      </c>
      <c r="AC2288" s="688">
        <f t="shared" si="2000"/>
        <v>-0.32</v>
      </c>
      <c r="AD2288" s="164"/>
      <c r="AE2288" s="164"/>
      <c r="AF2288" s="25"/>
      <c r="AG2288" s="26"/>
      <c r="AH2288" s="275"/>
      <c r="AI2288" s="52"/>
      <c r="AJ2288" s="35"/>
      <c r="AK2288" s="289"/>
      <c r="AL2288" s="290"/>
      <c r="AM2288" s="211"/>
      <c r="AN2288" s="164"/>
      <c r="AO2288" s="76"/>
      <c r="AP2288" s="44"/>
      <c r="AQ2288" s="275"/>
      <c r="AR2288" s="52"/>
      <c r="AS2288" s="35"/>
      <c r="AT2288" s="79"/>
      <c r="AU2288" s="212"/>
      <c r="AV2288" s="164"/>
      <c r="AW2288" s="164"/>
      <c r="AX2288" s="76"/>
      <c r="AY2288" s="44"/>
      <c r="AZ2288" s="275"/>
      <c r="BA2288" s="52"/>
      <c r="BB2288" s="35"/>
      <c r="BC2288" s="79"/>
      <c r="BD2288" s="230"/>
      <c r="BE2288" s="211"/>
      <c r="BF2288" s="164"/>
      <c r="BG2288" s="76"/>
      <c r="BH2288" s="44"/>
      <c r="BI2288" s="275"/>
      <c r="BJ2288" s="52"/>
      <c r="BK2288" s="35"/>
      <c r="BL2288" s="79"/>
      <c r="BM2288" s="230"/>
      <c r="BN2288" s="211"/>
      <c r="BO2288" s="164"/>
      <c r="BP2288" s="76"/>
      <c r="BQ2288" s="44"/>
      <c r="BR2288" s="299"/>
      <c r="BS2288" s="52"/>
      <c r="BT2288" s="35"/>
      <c r="BU2288" s="79"/>
      <c r="BV2288" s="212"/>
      <c r="BW2288" s="304"/>
      <c r="BX2288" s="313"/>
      <c r="BY2288" s="138"/>
    </row>
    <row r="2289" spans="1:77" ht="15" customHeight="1" outlineLevel="1" x14ac:dyDescent="0.2">
      <c r="A2289" s="583" t="s">
        <v>37</v>
      </c>
      <c r="B2289" s="583"/>
      <c r="C2289" s="162" t="s">
        <v>1237</v>
      </c>
      <c r="D2289" s="812">
        <v>3.0649999999999999</v>
      </c>
      <c r="E2289" s="162" t="s">
        <v>631</v>
      </c>
      <c r="F2289" s="729"/>
      <c r="G2289" s="730"/>
      <c r="H2289" s="73"/>
      <c r="I2289" s="90"/>
      <c r="J2289" s="73"/>
      <c r="K2289" s="734"/>
      <c r="L2289" s="717">
        <v>2013</v>
      </c>
      <c r="M2289" s="73"/>
      <c r="N2289" s="786">
        <v>1.4170000000000001E-3</v>
      </c>
      <c r="O2289" s="1041">
        <v>2013</v>
      </c>
      <c r="P2289" s="73"/>
      <c r="Q2289" s="786">
        <v>1.4170000000000001E-3</v>
      </c>
      <c r="R2289" s="1041"/>
      <c r="S2289" s="73"/>
      <c r="T2289" s="786"/>
      <c r="U2289" s="73"/>
      <c r="V2289" s="66"/>
      <c r="W2289" s="788">
        <f t="shared" si="1958"/>
        <v>1.0344100000000001E-6</v>
      </c>
      <c r="X2289" s="789">
        <f t="shared" si="1959"/>
        <v>1.0344100000000001E-6</v>
      </c>
      <c r="Y2289" s="52">
        <v>2013</v>
      </c>
      <c r="Z2289" s="52"/>
      <c r="AA2289" s="787">
        <f>+N2289/1000</f>
        <v>1.4170000000000002E-6</v>
      </c>
      <c r="AB2289" s="256">
        <v>-0.27</v>
      </c>
      <c r="AC2289" s="688">
        <f t="shared" si="2000"/>
        <v>-0.27</v>
      </c>
      <c r="AD2289" s="164"/>
      <c r="AE2289" s="164"/>
      <c r="AF2289" s="25"/>
      <c r="AG2289" s="26"/>
      <c r="AH2289" s="275"/>
      <c r="AI2289" s="52"/>
      <c r="AJ2289" s="35"/>
      <c r="AK2289" s="289"/>
      <c r="AL2289" s="290"/>
      <c r="AM2289" s="211"/>
      <c r="AN2289" s="164"/>
      <c r="AO2289" s="76"/>
      <c r="AP2289" s="44"/>
      <c r="AQ2289" s="275"/>
      <c r="AR2289" s="52"/>
      <c r="AS2289" s="35"/>
      <c r="AT2289" s="79"/>
      <c r="AU2289" s="212"/>
      <c r="AV2289" s="164"/>
      <c r="AW2289" s="164"/>
      <c r="AX2289" s="76"/>
      <c r="AY2289" s="44"/>
      <c r="AZ2289" s="275"/>
      <c r="BA2289" s="52"/>
      <c r="BB2289" s="35"/>
      <c r="BC2289" s="79"/>
      <c r="BD2289" s="230"/>
      <c r="BE2289" s="211"/>
      <c r="BF2289" s="164"/>
      <c r="BG2289" s="76"/>
      <c r="BH2289" s="44"/>
      <c r="BI2289" s="275"/>
      <c r="BJ2289" s="52"/>
      <c r="BK2289" s="35"/>
      <c r="BL2289" s="79"/>
      <c r="BM2289" s="230"/>
      <c r="BN2289" s="211"/>
      <c r="BO2289" s="164"/>
      <c r="BP2289" s="76"/>
      <c r="BQ2289" s="44"/>
      <c r="BR2289" s="299"/>
      <c r="BS2289" s="52"/>
      <c r="BT2289" s="35"/>
      <c r="BU2289" s="79"/>
      <c r="BV2289" s="212"/>
      <c r="BW2289" s="304"/>
      <c r="BX2289" s="313"/>
      <c r="BY2289" s="138"/>
    </row>
    <row r="2290" spans="1:77" ht="15" customHeight="1" outlineLevel="1" x14ac:dyDescent="0.2">
      <c r="A2290" s="583" t="s">
        <v>37</v>
      </c>
      <c r="B2290" s="583"/>
      <c r="C2290" s="162" t="s">
        <v>1041</v>
      </c>
      <c r="D2290" s="812">
        <v>1.413</v>
      </c>
      <c r="E2290" s="162" t="s">
        <v>631</v>
      </c>
      <c r="F2290" s="729"/>
      <c r="G2290" s="730"/>
      <c r="H2290" s="73"/>
      <c r="I2290" s="90">
        <v>2007</v>
      </c>
      <c r="J2290" s="73"/>
      <c r="K2290" s="790">
        <v>6.3350000000000004E-3</v>
      </c>
      <c r="L2290" s="717"/>
      <c r="M2290" s="73"/>
      <c r="N2290" s="811"/>
      <c r="O2290" s="1041"/>
      <c r="P2290" s="73"/>
      <c r="Q2290" s="811"/>
      <c r="R2290" s="1041"/>
      <c r="S2290" s="73"/>
      <c r="T2290" s="811"/>
      <c r="U2290" s="73"/>
      <c r="V2290" s="66"/>
      <c r="W2290" s="788">
        <f t="shared" si="1958"/>
        <v>3.7376500000000005E-6</v>
      </c>
      <c r="X2290" s="789">
        <f t="shared" si="1959"/>
        <v>3.7376500000000005E-6</v>
      </c>
      <c r="Y2290" s="52">
        <v>2007</v>
      </c>
      <c r="Z2290" s="52"/>
      <c r="AA2290" s="787">
        <f>+K2290/1000</f>
        <v>6.3350000000000003E-6</v>
      </c>
      <c r="AB2290" s="256">
        <v>-0.41</v>
      </c>
      <c r="AC2290" s="688">
        <f t="shared" si="2000"/>
        <v>-0.41</v>
      </c>
      <c r="AD2290" s="164"/>
      <c r="AE2290" s="164"/>
      <c r="AF2290" s="25"/>
      <c r="AG2290" s="26"/>
      <c r="AH2290" s="275"/>
      <c r="AI2290" s="52"/>
      <c r="AJ2290" s="35"/>
      <c r="AK2290" s="289"/>
      <c r="AL2290" s="290"/>
      <c r="AM2290" s="211"/>
      <c r="AN2290" s="164"/>
      <c r="AO2290" s="76"/>
      <c r="AP2290" s="44"/>
      <c r="AQ2290" s="275"/>
      <c r="AR2290" s="52"/>
      <c r="AS2290" s="35"/>
      <c r="AT2290" s="79"/>
      <c r="AU2290" s="212"/>
      <c r="AV2290" s="164"/>
      <c r="AW2290" s="164"/>
      <c r="AX2290" s="76"/>
      <c r="AY2290" s="44"/>
      <c r="AZ2290" s="275"/>
      <c r="BA2290" s="52"/>
      <c r="BB2290" s="35"/>
      <c r="BC2290" s="79"/>
      <c r="BD2290" s="230"/>
      <c r="BE2290" s="211"/>
      <c r="BF2290" s="164"/>
      <c r="BG2290" s="76"/>
      <c r="BH2290" s="44"/>
      <c r="BI2290" s="275"/>
      <c r="BJ2290" s="52"/>
      <c r="BK2290" s="35"/>
      <c r="BL2290" s="79"/>
      <c r="BM2290" s="230"/>
      <c r="BN2290" s="211"/>
      <c r="BO2290" s="164"/>
      <c r="BP2290" s="76"/>
      <c r="BQ2290" s="44"/>
      <c r="BR2290" s="299"/>
      <c r="BS2290" s="52"/>
      <c r="BT2290" s="35"/>
      <c r="BU2290" s="79"/>
      <c r="BV2290" s="212"/>
      <c r="BW2290" s="304"/>
      <c r="BX2290" s="313"/>
      <c r="BY2290" s="138"/>
    </row>
    <row r="2291" spans="1:77" ht="15" customHeight="1" outlineLevel="1" x14ac:dyDescent="0.2">
      <c r="A2291" s="583" t="s">
        <v>37</v>
      </c>
      <c r="B2291" s="583"/>
      <c r="C2291" s="162" t="s">
        <v>1250</v>
      </c>
      <c r="D2291" s="812">
        <v>2.214</v>
      </c>
      <c r="E2291" s="162" t="s">
        <v>631</v>
      </c>
      <c r="F2291" s="729"/>
      <c r="G2291" s="730"/>
      <c r="H2291" s="73"/>
      <c r="I2291" s="90"/>
      <c r="J2291" s="73"/>
      <c r="K2291" s="734">
        <v>1.1426E-2</v>
      </c>
      <c r="L2291" s="717"/>
      <c r="M2291" s="73"/>
      <c r="N2291" s="811"/>
      <c r="O2291" s="1041"/>
      <c r="P2291" s="73"/>
      <c r="Q2291" s="811"/>
      <c r="R2291" s="1041"/>
      <c r="S2291" s="73"/>
      <c r="T2291" s="811"/>
      <c r="U2291" s="73"/>
      <c r="V2291" s="66"/>
      <c r="W2291" s="788">
        <f t="shared" si="1958"/>
        <v>7.9981999999999991E-6</v>
      </c>
      <c r="X2291" s="789">
        <f t="shared" si="1959"/>
        <v>7.9981999999999991E-6</v>
      </c>
      <c r="Y2291" s="52">
        <v>2005</v>
      </c>
      <c r="Z2291" s="52"/>
      <c r="AA2291" s="787">
        <f>+K2291/1000</f>
        <v>1.1426E-5</v>
      </c>
      <c r="AB2291" s="256">
        <v>-0.3</v>
      </c>
      <c r="AC2291" s="688">
        <f t="shared" si="2000"/>
        <v>-0.3</v>
      </c>
      <c r="AD2291" s="164"/>
      <c r="AE2291" s="164"/>
      <c r="AF2291" s="25"/>
      <c r="AG2291" s="26"/>
      <c r="AH2291" s="275"/>
      <c r="AI2291" s="52"/>
      <c r="AJ2291" s="35"/>
      <c r="AK2291" s="289"/>
      <c r="AL2291" s="290"/>
      <c r="AM2291" s="211"/>
      <c r="AN2291" s="164"/>
      <c r="AO2291" s="76"/>
      <c r="AP2291" s="44"/>
      <c r="AQ2291" s="275"/>
      <c r="AR2291" s="52"/>
      <c r="AS2291" s="35"/>
      <c r="AT2291" s="79"/>
      <c r="AU2291" s="212"/>
      <c r="AV2291" s="164"/>
      <c r="AW2291" s="164"/>
      <c r="AX2291" s="76"/>
      <c r="AY2291" s="44"/>
      <c r="AZ2291" s="275"/>
      <c r="BA2291" s="52"/>
      <c r="BB2291" s="35"/>
      <c r="BC2291" s="79"/>
      <c r="BD2291" s="230"/>
      <c r="BE2291" s="211"/>
      <c r="BF2291" s="164"/>
      <c r="BG2291" s="76"/>
      <c r="BH2291" s="44"/>
      <c r="BI2291" s="275"/>
      <c r="BJ2291" s="52"/>
      <c r="BK2291" s="35"/>
      <c r="BL2291" s="79"/>
      <c r="BM2291" s="230"/>
      <c r="BN2291" s="211"/>
      <c r="BO2291" s="164"/>
      <c r="BP2291" s="76"/>
      <c r="BQ2291" s="44"/>
      <c r="BR2291" s="299"/>
      <c r="BS2291" s="52"/>
      <c r="BT2291" s="35"/>
      <c r="BU2291" s="79"/>
      <c r="BV2291" s="212"/>
      <c r="BW2291" s="304"/>
      <c r="BX2291" s="313"/>
      <c r="BY2291" s="138"/>
    </row>
    <row r="2292" spans="1:77" ht="15" customHeight="1" outlineLevel="1" x14ac:dyDescent="0.2">
      <c r="A2292" s="583" t="s">
        <v>37</v>
      </c>
      <c r="B2292" s="583"/>
      <c r="C2292" s="162" t="s">
        <v>2703</v>
      </c>
      <c r="D2292" s="812">
        <v>6.4720000000000004</v>
      </c>
      <c r="E2292" s="162" t="s">
        <v>631</v>
      </c>
      <c r="F2292" s="729"/>
      <c r="G2292" s="730"/>
      <c r="H2292" s="73"/>
      <c r="I2292" s="90"/>
      <c r="J2292" s="73"/>
      <c r="K2292" s="734">
        <v>3.2628999999999998E-2</v>
      </c>
      <c r="L2292" s="717"/>
      <c r="M2292" s="73"/>
      <c r="N2292" s="811"/>
      <c r="O2292" s="1041"/>
      <c r="P2292" s="73"/>
      <c r="Q2292" s="811"/>
      <c r="R2292" s="1041"/>
      <c r="S2292" s="73"/>
      <c r="T2292" s="811"/>
      <c r="U2292" s="73"/>
      <c r="V2292" s="66"/>
      <c r="W2292" s="788">
        <f t="shared" ref="W2292" si="2005">AA2292*(1+AB2292)</f>
        <v>2.2840299999999995E-5</v>
      </c>
      <c r="X2292" s="789">
        <f t="shared" ref="X2292" si="2006">AA2292*(1+AC2292)</f>
        <v>2.2840299999999995E-5</v>
      </c>
      <c r="Y2292" s="52">
        <v>2005</v>
      </c>
      <c r="Z2292" s="52"/>
      <c r="AA2292" s="787">
        <f>+K2292/1000</f>
        <v>3.2628999999999995E-5</v>
      </c>
      <c r="AB2292" s="256">
        <v>-0.3</v>
      </c>
      <c r="AC2292" s="688">
        <f t="shared" ref="AC2292" si="2007">AB2292</f>
        <v>-0.3</v>
      </c>
      <c r="AD2292" s="164"/>
      <c r="AE2292" s="164"/>
      <c r="AF2292" s="25"/>
      <c r="AG2292" s="26"/>
      <c r="AH2292" s="275"/>
      <c r="AI2292" s="52"/>
      <c r="AJ2292" s="35"/>
      <c r="AK2292" s="289"/>
      <c r="AL2292" s="290"/>
      <c r="AM2292" s="211"/>
      <c r="AN2292" s="164"/>
      <c r="AO2292" s="76"/>
      <c r="AP2292" s="44"/>
      <c r="AQ2292" s="275"/>
      <c r="AR2292" s="52"/>
      <c r="AS2292" s="35"/>
      <c r="AT2292" s="79"/>
      <c r="AU2292" s="212"/>
      <c r="AV2292" s="164"/>
      <c r="AW2292" s="164"/>
      <c r="AX2292" s="76"/>
      <c r="AY2292" s="44"/>
      <c r="AZ2292" s="275"/>
      <c r="BA2292" s="52"/>
      <c r="BB2292" s="35"/>
      <c r="BC2292" s="79"/>
      <c r="BD2292" s="230"/>
      <c r="BE2292" s="211"/>
      <c r="BF2292" s="164"/>
      <c r="BG2292" s="76"/>
      <c r="BH2292" s="44"/>
      <c r="BI2292" s="275"/>
      <c r="BJ2292" s="52"/>
      <c r="BK2292" s="35"/>
      <c r="BL2292" s="79"/>
      <c r="BM2292" s="230"/>
      <c r="BN2292" s="211"/>
      <c r="BO2292" s="164"/>
      <c r="BP2292" s="76"/>
      <c r="BQ2292" s="44"/>
      <c r="BR2292" s="299"/>
      <c r="BS2292" s="52"/>
      <c r="BT2292" s="35"/>
      <c r="BU2292" s="79"/>
      <c r="BV2292" s="212"/>
      <c r="BW2292" s="304"/>
      <c r="BX2292" s="313"/>
      <c r="BY2292" s="138"/>
    </row>
    <row r="2293" spans="1:77" ht="15" customHeight="1" outlineLevel="1" x14ac:dyDescent="0.2">
      <c r="A2293" s="583" t="s">
        <v>37</v>
      </c>
      <c r="B2293" s="583"/>
      <c r="C2293" s="162" t="s">
        <v>1063</v>
      </c>
      <c r="D2293" s="812">
        <v>18.824000000000002</v>
      </c>
      <c r="E2293" s="162" t="s">
        <v>631</v>
      </c>
      <c r="F2293" s="729"/>
      <c r="G2293" s="730"/>
      <c r="H2293" s="73"/>
      <c r="I2293" s="90">
        <v>2007</v>
      </c>
      <c r="J2293" s="73"/>
      <c r="K2293" s="813">
        <v>3.7191000000000002E-2</v>
      </c>
      <c r="L2293" s="717"/>
      <c r="M2293" s="73"/>
      <c r="N2293" s="811"/>
      <c r="O2293" s="1041"/>
      <c r="P2293" s="73"/>
      <c r="Q2293" s="811"/>
      <c r="R2293" s="1041"/>
      <c r="S2293" s="73"/>
      <c r="T2293" s="811"/>
      <c r="U2293" s="73"/>
      <c r="V2293" s="66"/>
      <c r="W2293" s="740">
        <f t="shared" si="1958"/>
        <v>2.7521340000000003E-5</v>
      </c>
      <c r="X2293" s="741">
        <f t="shared" si="1959"/>
        <v>2.7521340000000003E-5</v>
      </c>
      <c r="Y2293" s="52">
        <v>2007</v>
      </c>
      <c r="Z2293" s="52"/>
      <c r="AA2293" s="739">
        <f>+K2293/1000</f>
        <v>3.7191000000000004E-5</v>
      </c>
      <c r="AB2293" s="256">
        <v>-0.26</v>
      </c>
      <c r="AC2293" s="688">
        <f t="shared" si="2000"/>
        <v>-0.26</v>
      </c>
      <c r="AD2293" s="164"/>
      <c r="AE2293" s="164"/>
      <c r="AF2293" s="25"/>
      <c r="AG2293" s="26"/>
      <c r="AH2293" s="275"/>
      <c r="AI2293" s="52"/>
      <c r="AJ2293" s="35"/>
      <c r="AK2293" s="289"/>
      <c r="AL2293" s="290"/>
      <c r="AM2293" s="211"/>
      <c r="AN2293" s="164"/>
      <c r="AO2293" s="76"/>
      <c r="AP2293" s="44"/>
      <c r="AQ2293" s="275"/>
      <c r="AR2293" s="52"/>
      <c r="AS2293" s="35"/>
      <c r="AT2293" s="79"/>
      <c r="AU2293" s="212"/>
      <c r="AV2293" s="164"/>
      <c r="AW2293" s="164"/>
      <c r="AX2293" s="76"/>
      <c r="AY2293" s="44"/>
      <c r="AZ2293" s="275"/>
      <c r="BA2293" s="52"/>
      <c r="BB2293" s="35"/>
      <c r="BC2293" s="79"/>
      <c r="BD2293" s="230"/>
      <c r="BE2293" s="211"/>
      <c r="BF2293" s="164"/>
      <c r="BG2293" s="76"/>
      <c r="BH2293" s="44"/>
      <c r="BI2293" s="275"/>
      <c r="BJ2293" s="52"/>
      <c r="BK2293" s="35"/>
      <c r="BL2293" s="79"/>
      <c r="BM2293" s="230"/>
      <c r="BN2293" s="211"/>
      <c r="BO2293" s="164"/>
      <c r="BP2293" s="76"/>
      <c r="BQ2293" s="44"/>
      <c r="BR2293" s="299"/>
      <c r="BS2293" s="52"/>
      <c r="BT2293" s="35"/>
      <c r="BU2293" s="79"/>
      <c r="BV2293" s="212"/>
      <c r="BW2293" s="304"/>
      <c r="BX2293" s="313"/>
      <c r="BY2293" s="138"/>
    </row>
    <row r="2294" spans="1:77" ht="15" customHeight="1" outlineLevel="1" x14ac:dyDescent="0.2">
      <c r="A2294" s="583" t="s">
        <v>37</v>
      </c>
      <c r="B2294" s="583"/>
      <c r="C2294" s="162" t="s">
        <v>2704</v>
      </c>
      <c r="D2294" s="812">
        <v>19.896000000000001</v>
      </c>
      <c r="E2294" s="162" t="s">
        <v>631</v>
      </c>
      <c r="F2294" s="729"/>
      <c r="G2294" s="730"/>
      <c r="H2294" s="73"/>
      <c r="I2294" s="90"/>
      <c r="J2294" s="73"/>
      <c r="K2294" s="813">
        <v>0.14055599999999999</v>
      </c>
      <c r="L2294" s="717"/>
      <c r="M2294" s="73"/>
      <c r="N2294" s="811"/>
      <c r="O2294" s="1041"/>
      <c r="P2294" s="73"/>
      <c r="Q2294" s="811"/>
      <c r="R2294" s="1041"/>
      <c r="S2294" s="73"/>
      <c r="T2294" s="811"/>
      <c r="U2294" s="73"/>
      <c r="V2294" s="66"/>
      <c r="W2294" s="740">
        <f t="shared" ref="W2294" si="2008">AA2294*(1+AB2294)</f>
        <v>9.5578079999999977E-5</v>
      </c>
      <c r="X2294" s="741">
        <f t="shared" ref="X2294" si="2009">AA2294*(1+AC2294)</f>
        <v>9.5578079999999977E-5</v>
      </c>
      <c r="Y2294" s="52">
        <v>2005</v>
      </c>
      <c r="Z2294" s="52"/>
      <c r="AA2294" s="739">
        <f>+K2294/1000</f>
        <v>1.4055599999999999E-4</v>
      </c>
      <c r="AB2294" s="256">
        <v>-0.32</v>
      </c>
      <c r="AC2294" s="688">
        <f t="shared" ref="AC2294" si="2010">AB2294</f>
        <v>-0.32</v>
      </c>
      <c r="AD2294" s="164"/>
      <c r="AE2294" s="164"/>
      <c r="AF2294" s="25"/>
      <c r="AG2294" s="26"/>
      <c r="AH2294" s="275"/>
      <c r="AI2294" s="52"/>
      <c r="AJ2294" s="35"/>
      <c r="AK2294" s="289"/>
      <c r="AL2294" s="290"/>
      <c r="AM2294" s="211"/>
      <c r="AN2294" s="164"/>
      <c r="AO2294" s="76"/>
      <c r="AP2294" s="44"/>
      <c r="AQ2294" s="275"/>
      <c r="AR2294" s="52"/>
      <c r="AS2294" s="35"/>
      <c r="AT2294" s="79"/>
      <c r="AU2294" s="212"/>
      <c r="AV2294" s="164"/>
      <c r="AW2294" s="164"/>
      <c r="AX2294" s="76"/>
      <c r="AY2294" s="44"/>
      <c r="AZ2294" s="275"/>
      <c r="BA2294" s="52"/>
      <c r="BB2294" s="35"/>
      <c r="BC2294" s="79"/>
      <c r="BD2294" s="230"/>
      <c r="BE2294" s="211"/>
      <c r="BF2294" s="164"/>
      <c r="BG2294" s="76"/>
      <c r="BH2294" s="44"/>
      <c r="BI2294" s="275"/>
      <c r="BJ2294" s="52"/>
      <c r="BK2294" s="35"/>
      <c r="BL2294" s="79"/>
      <c r="BM2294" s="230"/>
      <c r="BN2294" s="211"/>
      <c r="BO2294" s="164"/>
      <c r="BP2294" s="76"/>
      <c r="BQ2294" s="44"/>
      <c r="BR2294" s="299"/>
      <c r="BS2294" s="52"/>
      <c r="BT2294" s="35"/>
      <c r="BU2294" s="79"/>
      <c r="BV2294" s="212"/>
      <c r="BW2294" s="304"/>
      <c r="BX2294" s="313"/>
      <c r="BY2294" s="138"/>
    </row>
    <row r="2295" spans="1:77" ht="15" customHeight="1" outlineLevel="1" x14ac:dyDescent="0.2">
      <c r="A2295" s="583" t="s">
        <v>37</v>
      </c>
      <c r="B2295" s="583"/>
      <c r="C2295" s="162" t="s">
        <v>984</v>
      </c>
      <c r="D2295" s="806">
        <v>0.35</v>
      </c>
      <c r="E2295" s="162" t="s">
        <v>631</v>
      </c>
      <c r="F2295" s="729"/>
      <c r="G2295" s="730"/>
      <c r="H2295" s="73"/>
      <c r="I2295" s="90"/>
      <c r="J2295" s="73"/>
      <c r="K2295" s="66"/>
      <c r="L2295" s="717">
        <v>2013</v>
      </c>
      <c r="M2295" s="73"/>
      <c r="N2295" s="786">
        <v>8.8398000000000003E-4</v>
      </c>
      <c r="O2295" s="1041">
        <v>2013</v>
      </c>
      <c r="P2295" s="73"/>
      <c r="Q2295" s="786">
        <v>8.8398000000000003E-4</v>
      </c>
      <c r="R2295" s="1041"/>
      <c r="S2295" s="73"/>
      <c r="T2295" s="786"/>
      <c r="U2295" s="73"/>
      <c r="V2295" s="66"/>
      <c r="W2295" s="808">
        <f t="shared" ref="W2295:W2335" si="2011">AA2295*(1+AB2295)</f>
        <v>6.4530539999999999E-7</v>
      </c>
      <c r="X2295" s="809">
        <f t="shared" ref="X2295:X2335" si="2012">AA2295*(1+AC2295)</f>
        <v>6.4530539999999999E-7</v>
      </c>
      <c r="Y2295" s="52">
        <v>2013</v>
      </c>
      <c r="Z2295" s="52"/>
      <c r="AA2295" s="807">
        <f>+N2295/1000</f>
        <v>8.8398000000000001E-7</v>
      </c>
      <c r="AB2295" s="256">
        <v>-0.27</v>
      </c>
      <c r="AC2295" s="688">
        <f t="shared" si="2000"/>
        <v>-0.27</v>
      </c>
      <c r="AD2295" s="164"/>
      <c r="AE2295" s="164"/>
      <c r="AF2295" s="25"/>
      <c r="AG2295" s="26"/>
      <c r="AH2295" s="275"/>
      <c r="AI2295" s="52"/>
      <c r="AJ2295" s="35"/>
      <c r="AK2295" s="289"/>
      <c r="AL2295" s="290"/>
      <c r="AM2295" s="211"/>
      <c r="AN2295" s="164"/>
      <c r="AO2295" s="76"/>
      <c r="AP2295" s="44"/>
      <c r="AQ2295" s="275"/>
      <c r="AR2295" s="52"/>
      <c r="AS2295" s="35"/>
      <c r="AT2295" s="79"/>
      <c r="AU2295" s="212"/>
      <c r="AV2295" s="164"/>
      <c r="AW2295" s="164"/>
      <c r="AX2295" s="76"/>
      <c r="AY2295" s="44"/>
      <c r="AZ2295" s="275"/>
      <c r="BA2295" s="52"/>
      <c r="BB2295" s="35"/>
      <c r="BC2295" s="79"/>
      <c r="BD2295" s="230"/>
      <c r="BE2295" s="211"/>
      <c r="BF2295" s="164"/>
      <c r="BG2295" s="76"/>
      <c r="BH2295" s="44"/>
      <c r="BI2295" s="275"/>
      <c r="BJ2295" s="52"/>
      <c r="BK2295" s="35"/>
      <c r="BL2295" s="79"/>
      <c r="BM2295" s="230"/>
      <c r="BN2295" s="211"/>
      <c r="BO2295" s="164"/>
      <c r="BP2295" s="76"/>
      <c r="BQ2295" s="44"/>
      <c r="BR2295" s="299"/>
      <c r="BS2295" s="52"/>
      <c r="BT2295" s="35"/>
      <c r="BU2295" s="79"/>
      <c r="BV2295" s="212"/>
      <c r="BW2295" s="304"/>
      <c r="BX2295" s="313"/>
      <c r="BY2295" s="138"/>
    </row>
    <row r="2296" spans="1:77" ht="15" customHeight="1" outlineLevel="1" x14ac:dyDescent="0.2">
      <c r="A2296" s="583" t="s">
        <v>37</v>
      </c>
      <c r="B2296" s="583"/>
      <c r="C2296" s="162" t="s">
        <v>2705</v>
      </c>
      <c r="D2296" s="806">
        <v>17.09</v>
      </c>
      <c r="E2296" s="162" t="s">
        <v>631</v>
      </c>
      <c r="F2296" s="729"/>
      <c r="G2296" s="730"/>
      <c r="H2296" s="73"/>
      <c r="I2296" s="90"/>
      <c r="J2296" s="73"/>
      <c r="K2296" s="66"/>
      <c r="L2296" s="717">
        <v>2009</v>
      </c>
      <c r="M2296" s="73"/>
      <c r="N2296" s="786">
        <v>6.1455999999999997E-2</v>
      </c>
      <c r="O2296" s="1041"/>
      <c r="P2296" s="73"/>
      <c r="Q2296" s="786"/>
      <c r="R2296" s="1041"/>
      <c r="S2296" s="73"/>
      <c r="T2296" s="786"/>
      <c r="U2296" s="73"/>
      <c r="V2296" s="66"/>
      <c r="W2296" s="788">
        <f t="shared" ref="W2296" si="2013">AA2296*(1+AB2296)</f>
        <v>4.6092000000000005E-5</v>
      </c>
      <c r="X2296" s="789">
        <f t="shared" ref="X2296" si="2014">AA2296*(1+AC2296)</f>
        <v>4.6092000000000005E-5</v>
      </c>
      <c r="Y2296" s="52">
        <v>2013</v>
      </c>
      <c r="Z2296" s="52"/>
      <c r="AA2296" s="787">
        <f>+N2296/1000</f>
        <v>6.1456000000000002E-5</v>
      </c>
      <c r="AB2296" s="256">
        <v>-0.25</v>
      </c>
      <c r="AC2296" s="688">
        <f t="shared" ref="AC2296" si="2015">AB2296</f>
        <v>-0.25</v>
      </c>
      <c r="AD2296" s="164"/>
      <c r="AE2296" s="164"/>
      <c r="AF2296" s="25"/>
      <c r="AG2296" s="26"/>
      <c r="AH2296" s="275"/>
      <c r="AI2296" s="52"/>
      <c r="AJ2296" s="35"/>
      <c r="AK2296" s="289"/>
      <c r="AL2296" s="290"/>
      <c r="AM2296" s="211"/>
      <c r="AN2296" s="164"/>
      <c r="AO2296" s="76"/>
      <c r="AP2296" s="44"/>
      <c r="AQ2296" s="275"/>
      <c r="AR2296" s="52"/>
      <c r="AS2296" s="35"/>
      <c r="AT2296" s="79"/>
      <c r="AU2296" s="212"/>
      <c r="AV2296" s="164"/>
      <c r="AW2296" s="164"/>
      <c r="AX2296" s="76"/>
      <c r="AY2296" s="44"/>
      <c r="AZ2296" s="275"/>
      <c r="BA2296" s="52"/>
      <c r="BB2296" s="35"/>
      <c r="BC2296" s="79"/>
      <c r="BD2296" s="230"/>
      <c r="BE2296" s="211"/>
      <c r="BF2296" s="164"/>
      <c r="BG2296" s="76"/>
      <c r="BH2296" s="44"/>
      <c r="BI2296" s="275"/>
      <c r="BJ2296" s="52"/>
      <c r="BK2296" s="35"/>
      <c r="BL2296" s="79"/>
      <c r="BM2296" s="230"/>
      <c r="BN2296" s="211"/>
      <c r="BO2296" s="164"/>
      <c r="BP2296" s="76"/>
      <c r="BQ2296" s="44"/>
      <c r="BR2296" s="299"/>
      <c r="BS2296" s="52"/>
      <c r="BT2296" s="35"/>
      <c r="BU2296" s="79"/>
      <c r="BV2296" s="212"/>
      <c r="BW2296" s="304"/>
      <c r="BX2296" s="313"/>
      <c r="BY2296" s="138"/>
    </row>
    <row r="2297" spans="1:77" ht="15" customHeight="1" outlineLevel="1" x14ac:dyDescent="0.2">
      <c r="A2297" s="583" t="s">
        <v>37</v>
      </c>
      <c r="B2297" s="583"/>
      <c r="C2297" s="162" t="s">
        <v>1133</v>
      </c>
      <c r="D2297" s="806">
        <v>0.40799999999999997</v>
      </c>
      <c r="E2297" s="162" t="s">
        <v>631</v>
      </c>
      <c r="F2297" s="729"/>
      <c r="G2297" s="730"/>
      <c r="H2297" s="73"/>
      <c r="I2297" s="90">
        <v>2007</v>
      </c>
      <c r="J2297" s="73"/>
      <c r="K2297" s="790">
        <v>6.8952E-4</v>
      </c>
      <c r="L2297" s="717"/>
      <c r="M2297" s="73"/>
      <c r="N2297" s="811"/>
      <c r="O2297" s="1041"/>
      <c r="P2297" s="73"/>
      <c r="Q2297" s="811"/>
      <c r="R2297" s="1041"/>
      <c r="S2297" s="73"/>
      <c r="T2297" s="811"/>
      <c r="U2297" s="73"/>
      <c r="V2297" s="66"/>
      <c r="W2297" s="808">
        <f t="shared" si="2011"/>
        <v>4.6197839999999998E-7</v>
      </c>
      <c r="X2297" s="809">
        <f t="shared" si="2012"/>
        <v>4.6197839999999998E-7</v>
      </c>
      <c r="Y2297" s="52">
        <v>2007</v>
      </c>
      <c r="Z2297" s="52"/>
      <c r="AA2297" s="787">
        <f>+K2297/1000</f>
        <v>6.8952000000000005E-7</v>
      </c>
      <c r="AB2297" s="256">
        <v>-0.33</v>
      </c>
      <c r="AC2297" s="688">
        <f t="shared" si="2000"/>
        <v>-0.33</v>
      </c>
      <c r="AD2297" s="164"/>
      <c r="AE2297" s="164"/>
      <c r="AF2297" s="25"/>
      <c r="AG2297" s="26"/>
      <c r="AH2297" s="275"/>
      <c r="AI2297" s="52"/>
      <c r="AJ2297" s="35"/>
      <c r="AK2297" s="289"/>
      <c r="AL2297" s="290"/>
      <c r="AM2297" s="211"/>
      <c r="AN2297" s="164"/>
      <c r="AO2297" s="76"/>
      <c r="AP2297" s="44"/>
      <c r="AQ2297" s="275"/>
      <c r="AR2297" s="52"/>
      <c r="AS2297" s="35"/>
      <c r="AT2297" s="79"/>
      <c r="AU2297" s="212"/>
      <c r="AV2297" s="164"/>
      <c r="AW2297" s="164"/>
      <c r="AX2297" s="76"/>
      <c r="AY2297" s="44"/>
      <c r="AZ2297" s="275"/>
      <c r="BA2297" s="52"/>
      <c r="BB2297" s="35"/>
      <c r="BC2297" s="79"/>
      <c r="BD2297" s="230"/>
      <c r="BE2297" s="211"/>
      <c r="BF2297" s="164"/>
      <c r="BG2297" s="76"/>
      <c r="BH2297" s="44"/>
      <c r="BI2297" s="275"/>
      <c r="BJ2297" s="52"/>
      <c r="BK2297" s="35"/>
      <c r="BL2297" s="79"/>
      <c r="BM2297" s="230"/>
      <c r="BN2297" s="211"/>
      <c r="BO2297" s="164"/>
      <c r="BP2297" s="76"/>
      <c r="BQ2297" s="44"/>
      <c r="BR2297" s="299"/>
      <c r="BS2297" s="52"/>
      <c r="BT2297" s="35"/>
      <c r="BU2297" s="79"/>
      <c r="BV2297" s="212"/>
      <c r="BW2297" s="304"/>
      <c r="BX2297" s="313"/>
      <c r="BY2297" s="138"/>
    </row>
    <row r="2298" spans="1:77" ht="15" customHeight="1" outlineLevel="1" x14ac:dyDescent="0.2">
      <c r="A2298" s="583" t="s">
        <v>37</v>
      </c>
      <c r="B2298" s="583"/>
      <c r="C2298" s="162" t="s">
        <v>2422</v>
      </c>
      <c r="D2298" s="806">
        <v>0.11899999999999999</v>
      </c>
      <c r="E2298" s="162" t="s">
        <v>631</v>
      </c>
      <c r="F2298" s="729"/>
      <c r="G2298" s="730"/>
      <c r="H2298" s="73"/>
      <c r="I2298" s="90"/>
      <c r="J2298" s="73"/>
      <c r="K2298" s="790"/>
      <c r="L2298" s="717"/>
      <c r="M2298" s="73"/>
      <c r="N2298" s="811">
        <v>2.0579999999999999E-4</v>
      </c>
      <c r="O2298" s="1041"/>
      <c r="P2298" s="73"/>
      <c r="Q2298" s="811"/>
      <c r="R2298" s="1041"/>
      <c r="S2298" s="73"/>
      <c r="T2298" s="811"/>
      <c r="U2298" s="73"/>
      <c r="V2298" s="66"/>
      <c r="W2298" s="808">
        <f t="shared" ref="W2298" si="2016">AA2298*(1+AB2298)</f>
        <v>1.6052399999999999E-7</v>
      </c>
      <c r="X2298" s="809">
        <f t="shared" ref="X2298" si="2017">AA2298*(1+AC2298)</f>
        <v>1.6052399999999999E-7</v>
      </c>
      <c r="Y2298" s="52">
        <v>2010</v>
      </c>
      <c r="Z2298" s="52"/>
      <c r="AA2298" s="807">
        <f>+N2298/1000</f>
        <v>2.0579999999999998E-7</v>
      </c>
      <c r="AB2298" s="256">
        <v>-0.22</v>
      </c>
      <c r="AC2298" s="688">
        <f t="shared" ref="AC2298" si="2018">AB2298</f>
        <v>-0.22</v>
      </c>
      <c r="AD2298" s="164"/>
      <c r="AE2298" s="164"/>
      <c r="AF2298" s="25"/>
      <c r="AG2298" s="26"/>
      <c r="AH2298" s="275"/>
      <c r="AI2298" s="52"/>
      <c r="AJ2298" s="35"/>
      <c r="AK2298" s="289"/>
      <c r="AL2298" s="290"/>
      <c r="AM2298" s="211"/>
      <c r="AN2298" s="164"/>
      <c r="AO2298" s="76"/>
      <c r="AP2298" s="44"/>
      <c r="AQ2298" s="275"/>
      <c r="AR2298" s="52"/>
      <c r="AS2298" s="35"/>
      <c r="AT2298" s="79"/>
      <c r="AU2298" s="212"/>
      <c r="AV2298" s="164"/>
      <c r="AW2298" s="164"/>
      <c r="AX2298" s="76"/>
      <c r="AY2298" s="44"/>
      <c r="AZ2298" s="275"/>
      <c r="BA2298" s="52"/>
      <c r="BB2298" s="35"/>
      <c r="BC2298" s="79"/>
      <c r="BD2298" s="230"/>
      <c r="BE2298" s="211"/>
      <c r="BF2298" s="164"/>
      <c r="BG2298" s="76"/>
      <c r="BH2298" s="44"/>
      <c r="BI2298" s="275"/>
      <c r="BJ2298" s="52"/>
      <c r="BK2298" s="35"/>
      <c r="BL2298" s="79"/>
      <c r="BM2298" s="230"/>
      <c r="BN2298" s="211"/>
      <c r="BO2298" s="164"/>
      <c r="BP2298" s="76"/>
      <c r="BQ2298" s="44"/>
      <c r="BR2298" s="299"/>
      <c r="BS2298" s="52"/>
      <c r="BT2298" s="35"/>
      <c r="BU2298" s="79"/>
      <c r="BV2298" s="212"/>
      <c r="BW2298" s="304"/>
      <c r="BX2298" s="313"/>
      <c r="BY2298" s="138"/>
    </row>
    <row r="2299" spans="1:77" ht="15" customHeight="1" outlineLevel="1" x14ac:dyDescent="0.2">
      <c r="A2299" s="583" t="s">
        <v>37</v>
      </c>
      <c r="B2299" s="583"/>
      <c r="C2299" s="162" t="s">
        <v>1003</v>
      </c>
      <c r="D2299" s="812">
        <v>1.891</v>
      </c>
      <c r="E2299" s="162" t="s">
        <v>631</v>
      </c>
      <c r="F2299" s="729"/>
      <c r="G2299" s="730"/>
      <c r="H2299" s="73"/>
      <c r="I2299" s="90">
        <v>2007</v>
      </c>
      <c r="J2299" s="73"/>
      <c r="K2299" s="790">
        <v>5.7689999999999998E-3</v>
      </c>
      <c r="L2299" s="717"/>
      <c r="M2299" s="73"/>
      <c r="N2299" s="811"/>
      <c r="O2299" s="1041"/>
      <c r="P2299" s="73"/>
      <c r="Q2299" s="811"/>
      <c r="R2299" s="1041"/>
      <c r="S2299" s="73"/>
      <c r="T2299" s="811"/>
      <c r="U2299" s="73"/>
      <c r="V2299" s="66"/>
      <c r="W2299" s="788">
        <f t="shared" si="2011"/>
        <v>4.3267500000000005E-6</v>
      </c>
      <c r="X2299" s="789">
        <f t="shared" si="2012"/>
        <v>4.3267500000000005E-6</v>
      </c>
      <c r="Y2299" s="52">
        <v>2007</v>
      </c>
      <c r="Z2299" s="52"/>
      <c r="AA2299" s="787">
        <f>+K2299/1000</f>
        <v>5.7690000000000002E-6</v>
      </c>
      <c r="AB2299" s="256">
        <v>-0.25</v>
      </c>
      <c r="AC2299" s="688">
        <f t="shared" si="2000"/>
        <v>-0.25</v>
      </c>
      <c r="AD2299" s="164"/>
      <c r="AE2299" s="164"/>
      <c r="AF2299" s="25"/>
      <c r="AG2299" s="26"/>
      <c r="AH2299" s="275"/>
      <c r="AI2299" s="52"/>
      <c r="AJ2299" s="35"/>
      <c r="AK2299" s="289"/>
      <c r="AL2299" s="290"/>
      <c r="AM2299" s="211"/>
      <c r="AN2299" s="164"/>
      <c r="AO2299" s="76"/>
      <c r="AP2299" s="44"/>
      <c r="AQ2299" s="275"/>
      <c r="AR2299" s="52"/>
      <c r="AS2299" s="35"/>
      <c r="AT2299" s="79"/>
      <c r="AU2299" s="212"/>
      <c r="AV2299" s="164"/>
      <c r="AW2299" s="164"/>
      <c r="AX2299" s="76"/>
      <c r="AY2299" s="44"/>
      <c r="AZ2299" s="275"/>
      <c r="BA2299" s="52"/>
      <c r="BB2299" s="35"/>
      <c r="BC2299" s="79"/>
      <c r="BD2299" s="230"/>
      <c r="BE2299" s="211"/>
      <c r="BF2299" s="164"/>
      <c r="BG2299" s="76"/>
      <c r="BH2299" s="44"/>
      <c r="BI2299" s="275"/>
      <c r="BJ2299" s="52"/>
      <c r="BK2299" s="35"/>
      <c r="BL2299" s="79"/>
      <c r="BM2299" s="230"/>
      <c r="BN2299" s="211"/>
      <c r="BO2299" s="164"/>
      <c r="BP2299" s="76"/>
      <c r="BQ2299" s="44"/>
      <c r="BR2299" s="299"/>
      <c r="BS2299" s="52"/>
      <c r="BT2299" s="35"/>
      <c r="BU2299" s="79"/>
      <c r="BV2299" s="212"/>
      <c r="BW2299" s="304"/>
      <c r="BX2299" s="313"/>
      <c r="BY2299" s="138"/>
    </row>
    <row r="2300" spans="1:77" ht="15" customHeight="1" outlineLevel="1" x14ac:dyDescent="0.2">
      <c r="A2300" s="583" t="s">
        <v>37</v>
      </c>
      <c r="B2300" s="583"/>
      <c r="C2300" s="162" t="s">
        <v>1238</v>
      </c>
      <c r="D2300" s="812">
        <v>3.137</v>
      </c>
      <c r="E2300" s="162" t="s">
        <v>631</v>
      </c>
      <c r="F2300" s="729"/>
      <c r="G2300" s="730"/>
      <c r="H2300" s="73"/>
      <c r="I2300" s="90"/>
      <c r="J2300" s="73"/>
      <c r="K2300" s="734"/>
      <c r="L2300" s="717"/>
      <c r="M2300" s="73"/>
      <c r="N2300" s="786">
        <v>1.4170000000000001E-3</v>
      </c>
      <c r="O2300" s="1041"/>
      <c r="P2300" s="73"/>
      <c r="Q2300" s="786"/>
      <c r="R2300" s="1041"/>
      <c r="S2300" s="73"/>
      <c r="T2300" s="786"/>
      <c r="U2300" s="73"/>
      <c r="V2300" s="66"/>
      <c r="W2300" s="788">
        <f t="shared" si="2011"/>
        <v>1.0627500000000001E-6</v>
      </c>
      <c r="X2300" s="789">
        <f t="shared" si="2012"/>
        <v>1.0627500000000001E-6</v>
      </c>
      <c r="Y2300" s="52">
        <v>2010</v>
      </c>
      <c r="Z2300" s="52"/>
      <c r="AA2300" s="787">
        <f>+N2300/1000</f>
        <v>1.4170000000000002E-6</v>
      </c>
      <c r="AB2300" s="256">
        <v>-0.25</v>
      </c>
      <c r="AC2300" s="688">
        <f t="shared" si="2000"/>
        <v>-0.25</v>
      </c>
      <c r="AD2300" s="164"/>
      <c r="AE2300" s="164"/>
      <c r="AF2300" s="25"/>
      <c r="AG2300" s="26"/>
      <c r="AH2300" s="275"/>
      <c r="AI2300" s="52"/>
      <c r="AJ2300" s="35"/>
      <c r="AK2300" s="289"/>
      <c r="AL2300" s="290"/>
      <c r="AM2300" s="211"/>
      <c r="AN2300" s="164"/>
      <c r="AO2300" s="76"/>
      <c r="AP2300" s="44"/>
      <c r="AQ2300" s="275"/>
      <c r="AR2300" s="52"/>
      <c r="AS2300" s="35"/>
      <c r="AT2300" s="79"/>
      <c r="AU2300" s="212"/>
      <c r="AV2300" s="164"/>
      <c r="AW2300" s="164"/>
      <c r="AX2300" s="76"/>
      <c r="AY2300" s="44"/>
      <c r="AZ2300" s="275"/>
      <c r="BA2300" s="52"/>
      <c r="BB2300" s="35"/>
      <c r="BC2300" s="79"/>
      <c r="BD2300" s="230"/>
      <c r="BE2300" s="211"/>
      <c r="BF2300" s="164"/>
      <c r="BG2300" s="76"/>
      <c r="BH2300" s="44"/>
      <c r="BI2300" s="275"/>
      <c r="BJ2300" s="52"/>
      <c r="BK2300" s="35"/>
      <c r="BL2300" s="79"/>
      <c r="BM2300" s="230"/>
      <c r="BN2300" s="211"/>
      <c r="BO2300" s="164"/>
      <c r="BP2300" s="76"/>
      <c r="BQ2300" s="44"/>
      <c r="BR2300" s="299"/>
      <c r="BS2300" s="52"/>
      <c r="BT2300" s="35"/>
      <c r="BU2300" s="79"/>
      <c r="BV2300" s="212"/>
      <c r="BW2300" s="304"/>
      <c r="BX2300" s="313"/>
      <c r="BY2300" s="138"/>
    </row>
    <row r="2301" spans="1:77" ht="15" customHeight="1" outlineLevel="1" x14ac:dyDescent="0.2">
      <c r="A2301" s="583" t="s">
        <v>37</v>
      </c>
      <c r="B2301" s="583"/>
      <c r="C2301" s="162" t="s">
        <v>1115</v>
      </c>
      <c r="D2301" s="812">
        <v>0.67</v>
      </c>
      <c r="E2301" s="162" t="s">
        <v>631</v>
      </c>
      <c r="F2301" s="729"/>
      <c r="G2301" s="730"/>
      <c r="H2301" s="73"/>
      <c r="I2301" s="90">
        <v>2007</v>
      </c>
      <c r="J2301" s="73"/>
      <c r="K2301" s="790">
        <v>1.6360000000000001E-3</v>
      </c>
      <c r="L2301" s="717"/>
      <c r="M2301" s="73"/>
      <c r="N2301" s="811"/>
      <c r="O2301" s="1041"/>
      <c r="P2301" s="73"/>
      <c r="Q2301" s="811"/>
      <c r="R2301" s="1041"/>
      <c r="S2301" s="73"/>
      <c r="T2301" s="811"/>
      <c r="U2301" s="73"/>
      <c r="V2301" s="66"/>
      <c r="W2301" s="788">
        <f t="shared" si="2011"/>
        <v>1.0470400000000001E-6</v>
      </c>
      <c r="X2301" s="789">
        <f t="shared" si="2012"/>
        <v>1.0470400000000001E-6</v>
      </c>
      <c r="Y2301" s="52">
        <v>2007</v>
      </c>
      <c r="Z2301" s="52"/>
      <c r="AA2301" s="787">
        <f t="shared" ref="AA2301:AA2312" si="2019">+K2301/1000</f>
        <v>1.6360000000000001E-6</v>
      </c>
      <c r="AB2301" s="256">
        <v>-0.36</v>
      </c>
      <c r="AC2301" s="688">
        <f t="shared" si="2000"/>
        <v>-0.36</v>
      </c>
      <c r="AD2301" s="164"/>
      <c r="AE2301" s="164"/>
      <c r="AF2301" s="25"/>
      <c r="AG2301" s="26"/>
      <c r="AH2301" s="275"/>
      <c r="AI2301" s="52"/>
      <c r="AJ2301" s="35"/>
      <c r="AK2301" s="289"/>
      <c r="AL2301" s="290"/>
      <c r="AM2301" s="211"/>
      <c r="AN2301" s="164"/>
      <c r="AO2301" s="76"/>
      <c r="AP2301" s="44"/>
      <c r="AQ2301" s="275"/>
      <c r="AR2301" s="52"/>
      <c r="AS2301" s="35"/>
      <c r="AT2301" s="79"/>
      <c r="AU2301" s="212"/>
      <c r="AV2301" s="164"/>
      <c r="AW2301" s="164"/>
      <c r="AX2301" s="76"/>
      <c r="AY2301" s="44"/>
      <c r="AZ2301" s="275"/>
      <c r="BA2301" s="52"/>
      <c r="BB2301" s="35"/>
      <c r="BC2301" s="79"/>
      <c r="BD2301" s="230"/>
      <c r="BE2301" s="211"/>
      <c r="BF2301" s="164"/>
      <c r="BG2301" s="76"/>
      <c r="BH2301" s="44"/>
      <c r="BI2301" s="275"/>
      <c r="BJ2301" s="52"/>
      <c r="BK2301" s="35"/>
      <c r="BL2301" s="79"/>
      <c r="BM2301" s="230"/>
      <c r="BN2301" s="211"/>
      <c r="BO2301" s="164"/>
      <c r="BP2301" s="76"/>
      <c r="BQ2301" s="44"/>
      <c r="BR2301" s="299"/>
      <c r="BS2301" s="52"/>
      <c r="BT2301" s="35"/>
      <c r="BU2301" s="79"/>
      <c r="BV2301" s="212"/>
      <c r="BW2301" s="304"/>
      <c r="BX2301" s="313"/>
      <c r="BY2301" s="138"/>
    </row>
    <row r="2302" spans="1:77" ht="15" customHeight="1" outlineLevel="1" x14ac:dyDescent="0.2">
      <c r="A2302" s="583" t="s">
        <v>37</v>
      </c>
      <c r="B2302" s="583"/>
      <c r="C2302" s="162" t="s">
        <v>1195</v>
      </c>
      <c r="D2302" s="812">
        <v>0.95699999999999996</v>
      </c>
      <c r="E2302" s="162" t="s">
        <v>631</v>
      </c>
      <c r="F2302" s="729"/>
      <c r="G2302" s="730"/>
      <c r="H2302" s="73"/>
      <c r="I2302" s="90"/>
      <c r="J2302" s="73"/>
      <c r="K2302" s="790">
        <v>4.8199999999999996E-3</v>
      </c>
      <c r="L2302" s="717"/>
      <c r="M2302" s="73"/>
      <c r="N2302" s="811"/>
      <c r="O2302" s="1041"/>
      <c r="P2302" s="73"/>
      <c r="Q2302" s="811"/>
      <c r="R2302" s="1041"/>
      <c r="S2302" s="73"/>
      <c r="T2302" s="811"/>
      <c r="U2302" s="73"/>
      <c r="V2302" s="66"/>
      <c r="W2302" s="788">
        <f t="shared" si="2011"/>
        <v>2.9401999999999998E-6</v>
      </c>
      <c r="X2302" s="789">
        <f t="shared" si="2012"/>
        <v>2.9401999999999998E-6</v>
      </c>
      <c r="Y2302" s="52">
        <v>2005</v>
      </c>
      <c r="Z2302" s="52"/>
      <c r="AA2302" s="787">
        <f t="shared" si="2019"/>
        <v>4.8199999999999996E-6</v>
      </c>
      <c r="AB2302" s="256">
        <v>-0.39</v>
      </c>
      <c r="AC2302" s="688">
        <f t="shared" si="2000"/>
        <v>-0.39</v>
      </c>
      <c r="AD2302" s="164"/>
      <c r="AE2302" s="164"/>
      <c r="AF2302" s="25"/>
      <c r="AG2302" s="26"/>
      <c r="AH2302" s="275"/>
      <c r="AI2302" s="52"/>
      <c r="AJ2302" s="35"/>
      <c r="AK2302" s="289"/>
      <c r="AL2302" s="290"/>
      <c r="AM2302" s="211"/>
      <c r="AN2302" s="164"/>
      <c r="AO2302" s="76"/>
      <c r="AP2302" s="44"/>
      <c r="AQ2302" s="275"/>
      <c r="AR2302" s="52"/>
      <c r="AS2302" s="35"/>
      <c r="AT2302" s="79"/>
      <c r="AU2302" s="212"/>
      <c r="AV2302" s="164"/>
      <c r="AW2302" s="164"/>
      <c r="AX2302" s="76"/>
      <c r="AY2302" s="44"/>
      <c r="AZ2302" s="275"/>
      <c r="BA2302" s="52"/>
      <c r="BB2302" s="35"/>
      <c r="BC2302" s="79"/>
      <c r="BD2302" s="230"/>
      <c r="BE2302" s="211"/>
      <c r="BF2302" s="164"/>
      <c r="BG2302" s="76"/>
      <c r="BH2302" s="44"/>
      <c r="BI2302" s="275"/>
      <c r="BJ2302" s="52"/>
      <c r="BK2302" s="35"/>
      <c r="BL2302" s="79"/>
      <c r="BM2302" s="230"/>
      <c r="BN2302" s="211"/>
      <c r="BO2302" s="164"/>
      <c r="BP2302" s="76"/>
      <c r="BQ2302" s="44"/>
      <c r="BR2302" s="299"/>
      <c r="BS2302" s="52"/>
      <c r="BT2302" s="35"/>
      <c r="BU2302" s="79"/>
      <c r="BV2302" s="212"/>
      <c r="BW2302" s="304"/>
      <c r="BX2302" s="313"/>
      <c r="BY2302" s="138"/>
    </row>
    <row r="2303" spans="1:77" ht="15" customHeight="1" outlineLevel="1" x14ac:dyDescent="0.2">
      <c r="A2303" s="583" t="s">
        <v>37</v>
      </c>
      <c r="B2303" s="583"/>
      <c r="C2303" s="162" t="s">
        <v>1175</v>
      </c>
      <c r="D2303" s="812">
        <v>1.032</v>
      </c>
      <c r="E2303" s="162" t="s">
        <v>631</v>
      </c>
      <c r="F2303" s="729"/>
      <c r="G2303" s="730"/>
      <c r="H2303" s="73"/>
      <c r="I2303" s="90">
        <v>2007</v>
      </c>
      <c r="J2303" s="73"/>
      <c r="K2303" s="734">
        <v>5.1209999999999997E-3</v>
      </c>
      <c r="L2303" s="717"/>
      <c r="M2303" s="73"/>
      <c r="N2303" s="811"/>
      <c r="O2303" s="1041"/>
      <c r="P2303" s="73"/>
      <c r="Q2303" s="811"/>
      <c r="R2303" s="1041"/>
      <c r="S2303" s="73"/>
      <c r="T2303" s="811"/>
      <c r="U2303" s="73"/>
      <c r="V2303" s="66"/>
      <c r="W2303" s="788">
        <f t="shared" si="2011"/>
        <v>3.6359099999999996E-6</v>
      </c>
      <c r="X2303" s="789">
        <f t="shared" si="2012"/>
        <v>3.6359099999999996E-6</v>
      </c>
      <c r="Y2303" s="52">
        <v>2007</v>
      </c>
      <c r="Z2303" s="52"/>
      <c r="AA2303" s="787">
        <f t="shared" si="2019"/>
        <v>5.1209999999999998E-6</v>
      </c>
      <c r="AB2303" s="256">
        <v>-0.28999999999999998</v>
      </c>
      <c r="AC2303" s="688">
        <f t="shared" si="2000"/>
        <v>-0.28999999999999998</v>
      </c>
      <c r="AD2303" s="164"/>
      <c r="AE2303" s="164"/>
      <c r="AF2303" s="25"/>
      <c r="AG2303" s="26"/>
      <c r="AH2303" s="275"/>
      <c r="AI2303" s="52"/>
      <c r="AJ2303" s="35"/>
      <c r="AK2303" s="289"/>
      <c r="AL2303" s="290"/>
      <c r="AM2303" s="211"/>
      <c r="AN2303" s="164"/>
      <c r="AO2303" s="76"/>
      <c r="AP2303" s="44"/>
      <c r="AQ2303" s="275"/>
      <c r="AR2303" s="52"/>
      <c r="AS2303" s="35"/>
      <c r="AT2303" s="79"/>
      <c r="AU2303" s="212"/>
      <c r="AV2303" s="164"/>
      <c r="AW2303" s="164"/>
      <c r="AX2303" s="76"/>
      <c r="AY2303" s="44"/>
      <c r="AZ2303" s="275"/>
      <c r="BA2303" s="52"/>
      <c r="BB2303" s="35"/>
      <c r="BC2303" s="79"/>
      <c r="BD2303" s="230"/>
      <c r="BE2303" s="211"/>
      <c r="BF2303" s="164"/>
      <c r="BG2303" s="76"/>
      <c r="BH2303" s="44"/>
      <c r="BI2303" s="275"/>
      <c r="BJ2303" s="52"/>
      <c r="BK2303" s="35"/>
      <c r="BL2303" s="79"/>
      <c r="BM2303" s="230"/>
      <c r="BN2303" s="211"/>
      <c r="BO2303" s="164"/>
      <c r="BP2303" s="76"/>
      <c r="BQ2303" s="44"/>
      <c r="BR2303" s="299"/>
      <c r="BS2303" s="52"/>
      <c r="BT2303" s="35"/>
      <c r="BU2303" s="79"/>
      <c r="BV2303" s="212"/>
      <c r="BW2303" s="304"/>
      <c r="BX2303" s="313"/>
      <c r="BY2303" s="138"/>
    </row>
    <row r="2304" spans="1:77" ht="15" customHeight="1" outlineLevel="1" x14ac:dyDescent="0.2">
      <c r="A2304" s="583" t="s">
        <v>37</v>
      </c>
      <c r="B2304" s="583"/>
      <c r="C2304" s="162" t="s">
        <v>993</v>
      </c>
      <c r="D2304" s="812">
        <v>11.8</v>
      </c>
      <c r="E2304" s="162" t="s">
        <v>631</v>
      </c>
      <c r="F2304" s="729"/>
      <c r="G2304" s="730"/>
      <c r="H2304" s="73"/>
      <c r="I2304" s="90"/>
      <c r="J2304" s="73"/>
      <c r="K2304" s="66">
        <v>8.6093000000000003E-2</v>
      </c>
      <c r="L2304" s="717"/>
      <c r="M2304" s="73"/>
      <c r="N2304" s="811"/>
      <c r="O2304" s="1041"/>
      <c r="P2304" s="73"/>
      <c r="Q2304" s="811"/>
      <c r="R2304" s="1041"/>
      <c r="S2304" s="73"/>
      <c r="T2304" s="811"/>
      <c r="U2304" s="73"/>
      <c r="V2304" s="66"/>
      <c r="W2304" s="740">
        <f t="shared" si="2011"/>
        <v>6.2847889999999998E-5</v>
      </c>
      <c r="X2304" s="741">
        <f t="shared" si="2012"/>
        <v>6.2847889999999998E-5</v>
      </c>
      <c r="Y2304" s="52">
        <v>2005</v>
      </c>
      <c r="Z2304" s="52"/>
      <c r="AA2304" s="739">
        <f t="shared" si="2019"/>
        <v>8.6093000000000004E-5</v>
      </c>
      <c r="AB2304" s="256">
        <v>-0.27</v>
      </c>
      <c r="AC2304" s="688">
        <f t="shared" si="2000"/>
        <v>-0.27</v>
      </c>
      <c r="AD2304" s="164"/>
      <c r="AE2304" s="164"/>
      <c r="AF2304" s="25"/>
      <c r="AG2304" s="26"/>
      <c r="AH2304" s="275"/>
      <c r="AI2304" s="52"/>
      <c r="AJ2304" s="35"/>
      <c r="AK2304" s="289"/>
      <c r="AL2304" s="290"/>
      <c r="AM2304" s="211"/>
      <c r="AN2304" s="164"/>
      <c r="AO2304" s="76"/>
      <c r="AP2304" s="44"/>
      <c r="AQ2304" s="275"/>
      <c r="AR2304" s="52"/>
      <c r="AS2304" s="35"/>
      <c r="AT2304" s="79"/>
      <c r="AU2304" s="212"/>
      <c r="AV2304" s="164"/>
      <c r="AW2304" s="164"/>
      <c r="AX2304" s="76"/>
      <c r="AY2304" s="44"/>
      <c r="AZ2304" s="275"/>
      <c r="BA2304" s="52"/>
      <c r="BB2304" s="35"/>
      <c r="BC2304" s="79"/>
      <c r="BD2304" s="230"/>
      <c r="BE2304" s="211"/>
      <c r="BF2304" s="164"/>
      <c r="BG2304" s="76"/>
      <c r="BH2304" s="44"/>
      <c r="BI2304" s="275"/>
      <c r="BJ2304" s="52"/>
      <c r="BK2304" s="35"/>
      <c r="BL2304" s="79"/>
      <c r="BM2304" s="230"/>
      <c r="BN2304" s="211"/>
      <c r="BO2304" s="164"/>
      <c r="BP2304" s="76"/>
      <c r="BQ2304" s="44"/>
      <c r="BR2304" s="299"/>
      <c r="BS2304" s="52"/>
      <c r="BT2304" s="35"/>
      <c r="BU2304" s="79"/>
      <c r="BV2304" s="212"/>
      <c r="BW2304" s="304"/>
      <c r="BX2304" s="313"/>
      <c r="BY2304" s="138"/>
    </row>
    <row r="2305" spans="1:77" ht="15" customHeight="1" outlineLevel="1" x14ac:dyDescent="0.2">
      <c r="A2305" s="583" t="s">
        <v>37</v>
      </c>
      <c r="B2305" s="583"/>
      <c r="C2305" s="162" t="s">
        <v>1190</v>
      </c>
      <c r="D2305" s="812">
        <v>9.8339999999999996</v>
      </c>
      <c r="E2305" s="162" t="s">
        <v>631</v>
      </c>
      <c r="F2305" s="729"/>
      <c r="G2305" s="730"/>
      <c r="H2305" s="73"/>
      <c r="I2305" s="90"/>
      <c r="J2305" s="73"/>
      <c r="K2305" s="734">
        <v>3.3883999999999997E-2</v>
      </c>
      <c r="L2305" s="717"/>
      <c r="M2305" s="73"/>
      <c r="N2305" s="811"/>
      <c r="O2305" s="1041"/>
      <c r="P2305" s="73"/>
      <c r="Q2305" s="811"/>
      <c r="R2305" s="1041"/>
      <c r="S2305" s="73"/>
      <c r="T2305" s="811"/>
      <c r="U2305" s="73"/>
      <c r="V2305" s="66"/>
      <c r="W2305" s="740">
        <f t="shared" si="2011"/>
        <v>2.5074159999999998E-5</v>
      </c>
      <c r="X2305" s="741">
        <f t="shared" si="2012"/>
        <v>2.5074159999999998E-5</v>
      </c>
      <c r="Y2305" s="52">
        <v>2005</v>
      </c>
      <c r="Z2305" s="52"/>
      <c r="AA2305" s="739">
        <f t="shared" si="2019"/>
        <v>3.3883999999999996E-5</v>
      </c>
      <c r="AB2305" s="256">
        <v>-0.26</v>
      </c>
      <c r="AC2305" s="688">
        <f t="shared" si="2000"/>
        <v>-0.26</v>
      </c>
      <c r="AD2305" s="164"/>
      <c r="AE2305" s="164"/>
      <c r="AF2305" s="25"/>
      <c r="AG2305" s="26"/>
      <c r="AH2305" s="275"/>
      <c r="AI2305" s="52"/>
      <c r="AJ2305" s="35"/>
      <c r="AK2305" s="289"/>
      <c r="AL2305" s="290"/>
      <c r="AM2305" s="211"/>
      <c r="AN2305" s="164"/>
      <c r="AO2305" s="76"/>
      <c r="AP2305" s="44"/>
      <c r="AQ2305" s="275"/>
      <c r="AR2305" s="52"/>
      <c r="AS2305" s="35"/>
      <c r="AT2305" s="79"/>
      <c r="AU2305" s="212"/>
      <c r="AV2305" s="164"/>
      <c r="AW2305" s="164"/>
      <c r="AX2305" s="76"/>
      <c r="AY2305" s="44"/>
      <c r="AZ2305" s="275"/>
      <c r="BA2305" s="52"/>
      <c r="BB2305" s="35"/>
      <c r="BC2305" s="79"/>
      <c r="BD2305" s="230"/>
      <c r="BE2305" s="211"/>
      <c r="BF2305" s="164"/>
      <c r="BG2305" s="76"/>
      <c r="BH2305" s="44"/>
      <c r="BI2305" s="275"/>
      <c r="BJ2305" s="52"/>
      <c r="BK2305" s="35"/>
      <c r="BL2305" s="79"/>
      <c r="BM2305" s="230"/>
      <c r="BN2305" s="211"/>
      <c r="BO2305" s="164"/>
      <c r="BP2305" s="76"/>
      <c r="BQ2305" s="44"/>
      <c r="BR2305" s="299"/>
      <c r="BS2305" s="52"/>
      <c r="BT2305" s="35"/>
      <c r="BU2305" s="79"/>
      <c r="BV2305" s="212"/>
      <c r="BW2305" s="304"/>
      <c r="BX2305" s="313"/>
      <c r="BY2305" s="138"/>
    </row>
    <row r="2306" spans="1:77" ht="15" customHeight="1" outlineLevel="1" x14ac:dyDescent="0.2">
      <c r="A2306" s="583" t="s">
        <v>37</v>
      </c>
      <c r="B2306" s="583"/>
      <c r="C2306" s="162" t="s">
        <v>1238</v>
      </c>
      <c r="D2306" s="812">
        <v>3.137</v>
      </c>
      <c r="E2306" s="162" t="s">
        <v>631</v>
      </c>
      <c r="F2306" s="729"/>
      <c r="G2306" s="730"/>
      <c r="H2306" s="73"/>
      <c r="I2306" s="90"/>
      <c r="J2306" s="73"/>
      <c r="K2306" s="734"/>
      <c r="L2306" s="717"/>
      <c r="M2306" s="73"/>
      <c r="N2306" s="786">
        <v>8.1200000000000005E-3</v>
      </c>
      <c r="O2306" s="1041"/>
      <c r="P2306" s="73"/>
      <c r="Q2306" s="811"/>
      <c r="R2306" s="1041"/>
      <c r="S2306" s="73"/>
      <c r="T2306" s="811"/>
      <c r="U2306" s="73"/>
      <c r="V2306" s="66"/>
      <c r="W2306" s="788">
        <f t="shared" ref="W2306" si="2020">AA2306*(1+AB2306)</f>
        <v>6.0900000000000001E-6</v>
      </c>
      <c r="X2306" s="789">
        <f t="shared" ref="X2306" si="2021">AA2306*(1+AC2306)</f>
        <v>6.0900000000000001E-6</v>
      </c>
      <c r="Y2306" s="52">
        <v>2010</v>
      </c>
      <c r="Z2306" s="52"/>
      <c r="AA2306" s="787">
        <f>+N2306/1000</f>
        <v>8.1200000000000002E-6</v>
      </c>
      <c r="AB2306" s="256">
        <v>-0.25</v>
      </c>
      <c r="AC2306" s="688">
        <f t="shared" ref="AC2306" si="2022">AB2306</f>
        <v>-0.25</v>
      </c>
      <c r="AD2306" s="164"/>
      <c r="AE2306" s="164"/>
      <c r="AF2306" s="25"/>
      <c r="AG2306" s="26"/>
      <c r="AH2306" s="275"/>
      <c r="AI2306" s="52"/>
      <c r="AJ2306" s="35"/>
      <c r="AK2306" s="289"/>
      <c r="AL2306" s="290"/>
      <c r="AM2306" s="211"/>
      <c r="AN2306" s="164"/>
      <c r="AO2306" s="76"/>
      <c r="AP2306" s="44"/>
      <c r="AQ2306" s="275"/>
      <c r="AR2306" s="52"/>
      <c r="AS2306" s="35"/>
      <c r="AT2306" s="79"/>
      <c r="AU2306" s="212"/>
      <c r="AV2306" s="164"/>
      <c r="AW2306" s="164"/>
      <c r="AX2306" s="76"/>
      <c r="AY2306" s="44"/>
      <c r="AZ2306" s="275"/>
      <c r="BA2306" s="52"/>
      <c r="BB2306" s="35"/>
      <c r="BC2306" s="79"/>
      <c r="BD2306" s="230"/>
      <c r="BE2306" s="211"/>
      <c r="BF2306" s="164"/>
      <c r="BG2306" s="76"/>
      <c r="BH2306" s="44"/>
      <c r="BI2306" s="275"/>
      <c r="BJ2306" s="52"/>
      <c r="BK2306" s="35"/>
      <c r="BL2306" s="79"/>
      <c r="BM2306" s="230"/>
      <c r="BN2306" s="211"/>
      <c r="BO2306" s="164"/>
      <c r="BP2306" s="76"/>
      <c r="BQ2306" s="44"/>
      <c r="BR2306" s="299"/>
      <c r="BS2306" s="52"/>
      <c r="BT2306" s="35"/>
      <c r="BU2306" s="79"/>
      <c r="BV2306" s="212"/>
      <c r="BW2306" s="304"/>
      <c r="BX2306" s="313"/>
      <c r="BY2306" s="138"/>
    </row>
    <row r="2307" spans="1:77" ht="15" customHeight="1" outlineLevel="1" x14ac:dyDescent="0.2">
      <c r="A2307" s="583" t="s">
        <v>37</v>
      </c>
      <c r="B2307" s="583"/>
      <c r="C2307" s="162" t="s">
        <v>2423</v>
      </c>
      <c r="D2307" s="806">
        <v>0.13</v>
      </c>
      <c r="E2307" s="162" t="s">
        <v>631</v>
      </c>
      <c r="F2307" s="729"/>
      <c r="G2307" s="730"/>
      <c r="H2307" s="73"/>
      <c r="I2307" s="90"/>
      <c r="J2307" s="73"/>
      <c r="K2307" s="734"/>
      <c r="L2307" s="717"/>
      <c r="M2307" s="73"/>
      <c r="N2307" s="811">
        <v>3.6054499999999998E-4</v>
      </c>
      <c r="O2307" s="1041"/>
      <c r="P2307" s="73"/>
      <c r="Q2307" s="811"/>
      <c r="R2307" s="1041"/>
      <c r="S2307" s="73"/>
      <c r="T2307" s="811"/>
      <c r="U2307" s="73"/>
      <c r="V2307" s="66"/>
      <c r="W2307" s="808">
        <f t="shared" ref="W2307" si="2023">AA2307*(1+AB2307)</f>
        <v>2.812251E-7</v>
      </c>
      <c r="X2307" s="809">
        <f t="shared" ref="X2307" si="2024">AA2307*(1+AC2307)</f>
        <v>2.812251E-7</v>
      </c>
      <c r="Y2307" s="52">
        <v>2010</v>
      </c>
      <c r="Z2307" s="52"/>
      <c r="AA2307" s="807">
        <f>+N2307/1000</f>
        <v>3.60545E-7</v>
      </c>
      <c r="AB2307" s="256">
        <v>-0.22</v>
      </c>
      <c r="AC2307" s="688">
        <f t="shared" ref="AC2307" si="2025">AB2307</f>
        <v>-0.22</v>
      </c>
      <c r="AD2307" s="164"/>
      <c r="AE2307" s="164"/>
      <c r="AF2307" s="25"/>
      <c r="AG2307" s="26"/>
      <c r="AH2307" s="275"/>
      <c r="AI2307" s="52"/>
      <c r="AJ2307" s="35"/>
      <c r="AK2307" s="289"/>
      <c r="AL2307" s="290"/>
      <c r="AM2307" s="211"/>
      <c r="AN2307" s="164"/>
      <c r="AO2307" s="76"/>
      <c r="AP2307" s="44"/>
      <c r="AQ2307" s="275"/>
      <c r="AR2307" s="52"/>
      <c r="AS2307" s="35"/>
      <c r="AT2307" s="79"/>
      <c r="AU2307" s="212"/>
      <c r="AV2307" s="164"/>
      <c r="AW2307" s="164"/>
      <c r="AX2307" s="76"/>
      <c r="AY2307" s="44"/>
      <c r="AZ2307" s="275"/>
      <c r="BA2307" s="52"/>
      <c r="BB2307" s="35"/>
      <c r="BC2307" s="79"/>
      <c r="BD2307" s="230"/>
      <c r="BE2307" s="211"/>
      <c r="BF2307" s="164"/>
      <c r="BG2307" s="76"/>
      <c r="BH2307" s="44"/>
      <c r="BI2307" s="275"/>
      <c r="BJ2307" s="52"/>
      <c r="BK2307" s="35"/>
      <c r="BL2307" s="79"/>
      <c r="BM2307" s="230"/>
      <c r="BN2307" s="211"/>
      <c r="BO2307" s="164"/>
      <c r="BP2307" s="76"/>
      <c r="BQ2307" s="44"/>
      <c r="BR2307" s="299"/>
      <c r="BS2307" s="52"/>
      <c r="BT2307" s="35"/>
      <c r="BU2307" s="79"/>
      <c r="BV2307" s="212"/>
      <c r="BW2307" s="304"/>
      <c r="BX2307" s="313"/>
      <c r="BY2307" s="138"/>
    </row>
    <row r="2308" spans="1:77" ht="15" customHeight="1" outlineLevel="1" x14ac:dyDescent="0.2">
      <c r="A2308" s="583" t="s">
        <v>37</v>
      </c>
      <c r="B2308" s="583"/>
      <c r="C2308" s="162" t="s">
        <v>1048</v>
      </c>
      <c r="D2308" s="806">
        <v>0.83799999999999997</v>
      </c>
      <c r="E2308" s="162" t="s">
        <v>631</v>
      </c>
      <c r="F2308" s="729"/>
      <c r="G2308" s="730"/>
      <c r="H2308" s="73"/>
      <c r="I2308" s="90">
        <v>2007</v>
      </c>
      <c r="J2308" s="73"/>
      <c r="K2308" s="790">
        <v>4.9620000000000003E-3</v>
      </c>
      <c r="L2308" s="717"/>
      <c r="M2308" s="73"/>
      <c r="N2308" s="811"/>
      <c r="O2308" s="1041"/>
      <c r="P2308" s="73"/>
      <c r="Q2308" s="811"/>
      <c r="R2308" s="1041"/>
      <c r="S2308" s="73"/>
      <c r="T2308" s="811"/>
      <c r="U2308" s="73"/>
      <c r="V2308" s="66"/>
      <c r="W2308" s="788">
        <f t="shared" si="2011"/>
        <v>2.8779600000000004E-6</v>
      </c>
      <c r="X2308" s="789">
        <f t="shared" si="2012"/>
        <v>2.8779600000000004E-6</v>
      </c>
      <c r="Y2308" s="52">
        <v>2007</v>
      </c>
      <c r="Z2308" s="52"/>
      <c r="AA2308" s="787">
        <f t="shared" si="2019"/>
        <v>4.9620000000000001E-6</v>
      </c>
      <c r="AB2308" s="256">
        <v>-0.42</v>
      </c>
      <c r="AC2308" s="688">
        <f t="shared" si="2000"/>
        <v>-0.42</v>
      </c>
      <c r="AD2308" s="164"/>
      <c r="AE2308" s="164"/>
      <c r="AF2308" s="25"/>
      <c r="AG2308" s="26"/>
      <c r="AH2308" s="275"/>
      <c r="AI2308" s="52"/>
      <c r="AJ2308" s="35"/>
      <c r="AK2308" s="289"/>
      <c r="AL2308" s="290"/>
      <c r="AM2308" s="211"/>
      <c r="AN2308" s="164"/>
      <c r="AO2308" s="76"/>
      <c r="AP2308" s="44"/>
      <c r="AQ2308" s="275"/>
      <c r="AR2308" s="52"/>
      <c r="AS2308" s="35"/>
      <c r="AT2308" s="79"/>
      <c r="AU2308" s="212"/>
      <c r="AV2308" s="164"/>
      <c r="AW2308" s="164"/>
      <c r="AX2308" s="76"/>
      <c r="AY2308" s="44"/>
      <c r="AZ2308" s="275"/>
      <c r="BA2308" s="52"/>
      <c r="BB2308" s="35"/>
      <c r="BC2308" s="79"/>
      <c r="BD2308" s="230"/>
      <c r="BE2308" s="211"/>
      <c r="BF2308" s="164"/>
      <c r="BG2308" s="76"/>
      <c r="BH2308" s="44"/>
      <c r="BI2308" s="275"/>
      <c r="BJ2308" s="52"/>
      <c r="BK2308" s="35"/>
      <c r="BL2308" s="79"/>
      <c r="BM2308" s="230"/>
      <c r="BN2308" s="211"/>
      <c r="BO2308" s="164"/>
      <c r="BP2308" s="76"/>
      <c r="BQ2308" s="44"/>
      <c r="BR2308" s="299"/>
      <c r="BS2308" s="52"/>
      <c r="BT2308" s="35"/>
      <c r="BU2308" s="79"/>
      <c r="BV2308" s="212"/>
      <c r="BW2308" s="304"/>
      <c r="BX2308" s="313"/>
      <c r="BY2308" s="138"/>
    </row>
    <row r="2309" spans="1:77" ht="15" customHeight="1" outlineLevel="1" x14ac:dyDescent="0.2">
      <c r="A2309" s="583" t="s">
        <v>37</v>
      </c>
      <c r="B2309" s="583"/>
      <c r="C2309" s="162" t="s">
        <v>2706</v>
      </c>
      <c r="D2309" s="806">
        <v>21.95</v>
      </c>
      <c r="E2309" s="162" t="s">
        <v>631</v>
      </c>
      <c r="F2309" s="729"/>
      <c r="G2309" s="730"/>
      <c r="H2309" s="73"/>
      <c r="I2309" s="90"/>
      <c r="J2309" s="73"/>
      <c r="K2309" s="734">
        <v>0.124615</v>
      </c>
      <c r="L2309" s="717"/>
      <c r="M2309" s="73"/>
      <c r="N2309" s="811"/>
      <c r="O2309" s="1041"/>
      <c r="P2309" s="73"/>
      <c r="Q2309" s="811"/>
      <c r="R2309" s="1041"/>
      <c r="S2309" s="73"/>
      <c r="T2309" s="811"/>
      <c r="U2309" s="73"/>
      <c r="V2309" s="66"/>
      <c r="W2309" s="740">
        <f t="shared" ref="W2309" si="2026">AA2309*(1+AB2309)</f>
        <v>8.2245900000000005E-5</v>
      </c>
      <c r="X2309" s="741">
        <f t="shared" ref="X2309" si="2027">AA2309*(1+AC2309)</f>
        <v>8.2245900000000005E-5</v>
      </c>
      <c r="Y2309" s="52">
        <v>2007</v>
      </c>
      <c r="Z2309" s="52"/>
      <c r="AA2309" s="739">
        <f t="shared" ref="AA2309" si="2028">+K2309/1000</f>
        <v>1.2461500000000001E-4</v>
      </c>
      <c r="AB2309" s="256">
        <v>-0.34</v>
      </c>
      <c r="AC2309" s="688">
        <f t="shared" ref="AC2309" si="2029">AB2309</f>
        <v>-0.34</v>
      </c>
      <c r="AD2309" s="164"/>
      <c r="AE2309" s="164"/>
      <c r="AF2309" s="25"/>
      <c r="AG2309" s="26"/>
      <c r="AH2309" s="275"/>
      <c r="AI2309" s="52"/>
      <c r="AJ2309" s="35"/>
      <c r="AK2309" s="289"/>
      <c r="AL2309" s="290"/>
      <c r="AM2309" s="211"/>
      <c r="AN2309" s="164"/>
      <c r="AO2309" s="76"/>
      <c r="AP2309" s="44"/>
      <c r="AQ2309" s="275"/>
      <c r="AR2309" s="52"/>
      <c r="AS2309" s="35"/>
      <c r="AT2309" s="79"/>
      <c r="AU2309" s="212"/>
      <c r="AV2309" s="164"/>
      <c r="AW2309" s="164"/>
      <c r="AX2309" s="76"/>
      <c r="AY2309" s="44"/>
      <c r="AZ2309" s="275"/>
      <c r="BA2309" s="52"/>
      <c r="BB2309" s="35"/>
      <c r="BC2309" s="79"/>
      <c r="BD2309" s="230"/>
      <c r="BE2309" s="211"/>
      <c r="BF2309" s="164"/>
      <c r="BG2309" s="76"/>
      <c r="BH2309" s="44"/>
      <c r="BI2309" s="275"/>
      <c r="BJ2309" s="52"/>
      <c r="BK2309" s="35"/>
      <c r="BL2309" s="79"/>
      <c r="BM2309" s="230"/>
      <c r="BN2309" s="211"/>
      <c r="BO2309" s="164"/>
      <c r="BP2309" s="76"/>
      <c r="BQ2309" s="44"/>
      <c r="BR2309" s="299"/>
      <c r="BS2309" s="52"/>
      <c r="BT2309" s="35"/>
      <c r="BU2309" s="79"/>
      <c r="BV2309" s="212"/>
      <c r="BW2309" s="304"/>
      <c r="BX2309" s="313"/>
      <c r="BY2309" s="138"/>
    </row>
    <row r="2310" spans="1:77" ht="15" customHeight="1" outlineLevel="1" x14ac:dyDescent="0.2">
      <c r="A2310" s="583" t="s">
        <v>37</v>
      </c>
      <c r="B2310" s="583"/>
      <c r="C2310" s="162" t="s">
        <v>2707</v>
      </c>
      <c r="D2310" s="806">
        <v>1.266</v>
      </c>
      <c r="E2310" s="162" t="s">
        <v>631</v>
      </c>
      <c r="F2310" s="729"/>
      <c r="G2310" s="730"/>
      <c r="H2310" s="73"/>
      <c r="I2310" s="90"/>
      <c r="J2310" s="73"/>
      <c r="K2310" s="734"/>
      <c r="L2310" s="717"/>
      <c r="M2310" s="73"/>
      <c r="N2310" s="811">
        <v>3.5969999999999999E-3</v>
      </c>
      <c r="O2310" s="1041"/>
      <c r="P2310" s="73"/>
      <c r="Q2310" s="811"/>
      <c r="R2310" s="1041"/>
      <c r="S2310" s="73"/>
      <c r="T2310" s="811"/>
      <c r="U2310" s="73"/>
      <c r="V2310" s="66"/>
      <c r="W2310" s="788">
        <f t="shared" ref="W2310" si="2030">AA2310*(1+AB2310)</f>
        <v>2.6977500000000001E-6</v>
      </c>
      <c r="X2310" s="789">
        <f t="shared" ref="X2310" si="2031">AA2310*(1+AC2310)</f>
        <v>2.6977500000000001E-6</v>
      </c>
      <c r="Y2310" s="52">
        <v>2010</v>
      </c>
      <c r="Z2310" s="52"/>
      <c r="AA2310" s="787">
        <f>+N2310/1000</f>
        <v>3.597E-6</v>
      </c>
      <c r="AB2310" s="256">
        <v>-0.25</v>
      </c>
      <c r="AC2310" s="688">
        <f t="shared" ref="AC2310" si="2032">AB2310</f>
        <v>-0.25</v>
      </c>
      <c r="AD2310" s="164"/>
      <c r="AE2310" s="164"/>
      <c r="AF2310" s="25"/>
      <c r="AG2310" s="26"/>
      <c r="AH2310" s="275"/>
      <c r="AI2310" s="52"/>
      <c r="AJ2310" s="35"/>
      <c r="AK2310" s="289"/>
      <c r="AL2310" s="290"/>
      <c r="AM2310" s="211"/>
      <c r="AN2310" s="164"/>
      <c r="AO2310" s="76"/>
      <c r="AP2310" s="44"/>
      <c r="AQ2310" s="275"/>
      <c r="AR2310" s="52"/>
      <c r="AS2310" s="35"/>
      <c r="AT2310" s="79"/>
      <c r="AU2310" s="212"/>
      <c r="AV2310" s="164"/>
      <c r="AW2310" s="164"/>
      <c r="AX2310" s="76"/>
      <c r="AY2310" s="44"/>
      <c r="AZ2310" s="275"/>
      <c r="BA2310" s="52"/>
      <c r="BB2310" s="35"/>
      <c r="BC2310" s="79"/>
      <c r="BD2310" s="230"/>
      <c r="BE2310" s="211"/>
      <c r="BF2310" s="164"/>
      <c r="BG2310" s="76"/>
      <c r="BH2310" s="44"/>
      <c r="BI2310" s="275"/>
      <c r="BJ2310" s="52"/>
      <c r="BK2310" s="35"/>
      <c r="BL2310" s="79"/>
      <c r="BM2310" s="230"/>
      <c r="BN2310" s="211"/>
      <c r="BO2310" s="164"/>
      <c r="BP2310" s="76"/>
      <c r="BQ2310" s="44"/>
      <c r="BR2310" s="299"/>
      <c r="BS2310" s="52"/>
      <c r="BT2310" s="35"/>
      <c r="BU2310" s="79"/>
      <c r="BV2310" s="212"/>
      <c r="BW2310" s="304"/>
      <c r="BX2310" s="313"/>
      <c r="BY2310" s="138"/>
    </row>
    <row r="2311" spans="1:77" ht="15" customHeight="1" outlineLevel="1" x14ac:dyDescent="0.2">
      <c r="A2311" s="583" t="s">
        <v>37</v>
      </c>
      <c r="B2311" s="583"/>
      <c r="C2311" s="162" t="s">
        <v>1099</v>
      </c>
      <c r="D2311" s="812">
        <v>0.58399999999999996</v>
      </c>
      <c r="E2311" s="162" t="s">
        <v>631</v>
      </c>
      <c r="F2311" s="729"/>
      <c r="G2311" s="730"/>
      <c r="H2311" s="73"/>
      <c r="I2311" s="90">
        <v>2007</v>
      </c>
      <c r="J2311" s="73"/>
      <c r="K2311" s="790">
        <v>9.4885E-4</v>
      </c>
      <c r="L2311" s="717"/>
      <c r="M2311" s="73"/>
      <c r="N2311" s="811"/>
      <c r="O2311" s="1041"/>
      <c r="P2311" s="73"/>
      <c r="Q2311" s="811"/>
      <c r="R2311" s="1041"/>
      <c r="S2311" s="73"/>
      <c r="T2311" s="811"/>
      <c r="U2311" s="73"/>
      <c r="V2311" s="66"/>
      <c r="W2311" s="788">
        <f t="shared" si="2011"/>
        <v>6.5470649999999992E-7</v>
      </c>
      <c r="X2311" s="789">
        <f t="shared" si="2012"/>
        <v>6.5470649999999992E-7</v>
      </c>
      <c r="Y2311" s="52">
        <v>2007</v>
      </c>
      <c r="Z2311" s="52"/>
      <c r="AA2311" s="787">
        <f t="shared" si="2019"/>
        <v>9.4885000000000003E-7</v>
      </c>
      <c r="AB2311" s="256">
        <v>-0.31</v>
      </c>
      <c r="AC2311" s="688">
        <f t="shared" si="2000"/>
        <v>-0.31</v>
      </c>
      <c r="AD2311" s="164"/>
      <c r="AE2311" s="164"/>
      <c r="AF2311" s="25"/>
      <c r="AG2311" s="26"/>
      <c r="AH2311" s="275"/>
      <c r="AI2311" s="52"/>
      <c r="AJ2311" s="35"/>
      <c r="AK2311" s="289"/>
      <c r="AL2311" s="290"/>
      <c r="AM2311" s="211"/>
      <c r="AN2311" s="164"/>
      <c r="AO2311" s="76"/>
      <c r="AP2311" s="44"/>
      <c r="AQ2311" s="275"/>
      <c r="AR2311" s="52"/>
      <c r="AS2311" s="35"/>
      <c r="AT2311" s="79"/>
      <c r="AU2311" s="212"/>
      <c r="AV2311" s="164"/>
      <c r="AW2311" s="164"/>
      <c r="AX2311" s="76"/>
      <c r="AY2311" s="44"/>
      <c r="AZ2311" s="275"/>
      <c r="BA2311" s="52"/>
      <c r="BB2311" s="35"/>
      <c r="BC2311" s="79"/>
      <c r="BD2311" s="230"/>
      <c r="BE2311" s="211"/>
      <c r="BF2311" s="164"/>
      <c r="BG2311" s="76"/>
      <c r="BH2311" s="44"/>
      <c r="BI2311" s="275"/>
      <c r="BJ2311" s="52"/>
      <c r="BK2311" s="35"/>
      <c r="BL2311" s="79"/>
      <c r="BM2311" s="230"/>
      <c r="BN2311" s="211"/>
      <c r="BO2311" s="164"/>
      <c r="BP2311" s="76"/>
      <c r="BQ2311" s="44"/>
      <c r="BR2311" s="299"/>
      <c r="BS2311" s="52"/>
      <c r="BT2311" s="35"/>
      <c r="BU2311" s="79"/>
      <c r="BV2311" s="212"/>
      <c r="BW2311" s="304"/>
      <c r="BX2311" s="313"/>
      <c r="BY2311" s="138"/>
    </row>
    <row r="2312" spans="1:77" ht="15" customHeight="1" outlineLevel="1" x14ac:dyDescent="0.2">
      <c r="A2312" s="583" t="s">
        <v>37</v>
      </c>
      <c r="B2312" s="583"/>
      <c r="C2312" s="162" t="s">
        <v>1031</v>
      </c>
      <c r="D2312" s="806">
        <v>0.622</v>
      </c>
      <c r="E2312" s="162" t="s">
        <v>631</v>
      </c>
      <c r="F2312" s="729"/>
      <c r="G2312" s="730"/>
      <c r="H2312" s="73"/>
      <c r="I2312" s="90">
        <v>2007</v>
      </c>
      <c r="J2312" s="73"/>
      <c r="K2312" s="790">
        <v>1.5380000000000001E-3</v>
      </c>
      <c r="L2312" s="717"/>
      <c r="M2312" s="73"/>
      <c r="N2312" s="811"/>
      <c r="O2312" s="1041"/>
      <c r="P2312" s="73"/>
      <c r="Q2312" s="811"/>
      <c r="R2312" s="1041"/>
      <c r="S2312" s="73"/>
      <c r="T2312" s="811"/>
      <c r="U2312" s="73"/>
      <c r="V2312" s="66"/>
      <c r="W2312" s="788">
        <f t="shared" si="2011"/>
        <v>1.06122E-6</v>
      </c>
      <c r="X2312" s="789">
        <f t="shared" si="2012"/>
        <v>1.06122E-6</v>
      </c>
      <c r="Y2312" s="52">
        <v>2007</v>
      </c>
      <c r="Z2312" s="52"/>
      <c r="AA2312" s="787">
        <f t="shared" si="2019"/>
        <v>1.5380000000000001E-6</v>
      </c>
      <c r="AB2312" s="256">
        <v>-0.31</v>
      </c>
      <c r="AC2312" s="688">
        <f t="shared" si="2000"/>
        <v>-0.31</v>
      </c>
      <c r="AD2312" s="164"/>
      <c r="AE2312" s="164"/>
      <c r="AF2312" s="25"/>
      <c r="AG2312" s="26"/>
      <c r="AH2312" s="275"/>
      <c r="AI2312" s="52"/>
      <c r="AJ2312" s="35"/>
      <c r="AK2312" s="289"/>
      <c r="AL2312" s="290"/>
      <c r="AM2312" s="211"/>
      <c r="AN2312" s="164"/>
      <c r="AO2312" s="76"/>
      <c r="AP2312" s="44"/>
      <c r="AQ2312" s="275"/>
      <c r="AR2312" s="52"/>
      <c r="AS2312" s="35"/>
      <c r="AT2312" s="79"/>
      <c r="AU2312" s="212"/>
      <c r="AV2312" s="164"/>
      <c r="AW2312" s="164"/>
      <c r="AX2312" s="76"/>
      <c r="AY2312" s="44"/>
      <c r="AZ2312" s="275"/>
      <c r="BA2312" s="52"/>
      <c r="BB2312" s="35"/>
      <c r="BC2312" s="79"/>
      <c r="BD2312" s="230"/>
      <c r="BE2312" s="211"/>
      <c r="BF2312" s="164"/>
      <c r="BG2312" s="76"/>
      <c r="BH2312" s="44"/>
      <c r="BI2312" s="275"/>
      <c r="BJ2312" s="52"/>
      <c r="BK2312" s="35"/>
      <c r="BL2312" s="79"/>
      <c r="BM2312" s="230"/>
      <c r="BN2312" s="211"/>
      <c r="BO2312" s="164"/>
      <c r="BP2312" s="76"/>
      <c r="BQ2312" s="44"/>
      <c r="BR2312" s="299"/>
      <c r="BS2312" s="52"/>
      <c r="BT2312" s="35"/>
      <c r="BU2312" s="79"/>
      <c r="BV2312" s="212"/>
      <c r="BW2312" s="304"/>
      <c r="BX2312" s="313"/>
      <c r="BY2312" s="138"/>
    </row>
    <row r="2313" spans="1:77" ht="15" customHeight="1" outlineLevel="1" x14ac:dyDescent="0.2">
      <c r="A2313" s="583" t="s">
        <v>37</v>
      </c>
      <c r="B2313" s="583"/>
      <c r="C2313" s="162" t="s">
        <v>2424</v>
      </c>
      <c r="D2313" s="806">
        <v>0.40100000000000002</v>
      </c>
      <c r="E2313" s="162" t="s">
        <v>631</v>
      </c>
      <c r="F2313" s="729"/>
      <c r="G2313" s="730"/>
      <c r="H2313" s="73"/>
      <c r="I2313" s="90"/>
      <c r="J2313" s="73"/>
      <c r="K2313" s="790"/>
      <c r="L2313" s="717"/>
      <c r="M2313" s="73"/>
      <c r="N2313" s="786">
        <v>1.01947E-3</v>
      </c>
      <c r="O2313" s="1041"/>
      <c r="P2313" s="73"/>
      <c r="Q2313" s="811"/>
      <c r="R2313" s="1041"/>
      <c r="S2313" s="73"/>
      <c r="T2313" s="811"/>
      <c r="U2313" s="73"/>
      <c r="V2313" s="66"/>
      <c r="W2313" s="808">
        <f t="shared" ref="W2313" si="2033">AA2313*(1+AB2313)</f>
        <v>8.0538129999999998E-7</v>
      </c>
      <c r="X2313" s="809">
        <f t="shared" ref="X2313" si="2034">AA2313*(1+AC2313)</f>
        <v>8.0538129999999998E-7</v>
      </c>
      <c r="Y2313" s="52">
        <v>2010</v>
      </c>
      <c r="Z2313" s="52"/>
      <c r="AA2313" s="787">
        <f>+N2313/1000</f>
        <v>1.01947E-6</v>
      </c>
      <c r="AB2313" s="256">
        <v>-0.21</v>
      </c>
      <c r="AC2313" s="688">
        <f t="shared" ref="AC2313" si="2035">AB2313</f>
        <v>-0.21</v>
      </c>
      <c r="AD2313" s="164"/>
      <c r="AE2313" s="164"/>
      <c r="AF2313" s="25"/>
      <c r="AG2313" s="26"/>
      <c r="AH2313" s="275"/>
      <c r="AI2313" s="52"/>
      <c r="AJ2313" s="35"/>
      <c r="AK2313" s="289"/>
      <c r="AL2313" s="290"/>
      <c r="AM2313" s="211"/>
      <c r="AN2313" s="164"/>
      <c r="AO2313" s="76"/>
      <c r="AP2313" s="44"/>
      <c r="AQ2313" s="275"/>
      <c r="AR2313" s="52"/>
      <c r="AS2313" s="35"/>
      <c r="AT2313" s="79"/>
      <c r="AU2313" s="212"/>
      <c r="AV2313" s="164"/>
      <c r="AW2313" s="164"/>
      <c r="AX2313" s="76"/>
      <c r="AY2313" s="44"/>
      <c r="AZ2313" s="275"/>
      <c r="BA2313" s="52"/>
      <c r="BB2313" s="35"/>
      <c r="BC2313" s="79"/>
      <c r="BD2313" s="230"/>
      <c r="BE2313" s="211"/>
      <c r="BF2313" s="164"/>
      <c r="BG2313" s="76"/>
      <c r="BH2313" s="44"/>
      <c r="BI2313" s="275"/>
      <c r="BJ2313" s="52"/>
      <c r="BK2313" s="35"/>
      <c r="BL2313" s="79"/>
      <c r="BM2313" s="230"/>
      <c r="BN2313" s="211"/>
      <c r="BO2313" s="164"/>
      <c r="BP2313" s="76"/>
      <c r="BQ2313" s="44"/>
      <c r="BR2313" s="299"/>
      <c r="BS2313" s="52"/>
      <c r="BT2313" s="35"/>
      <c r="BU2313" s="79"/>
      <c r="BV2313" s="212"/>
      <c r="BW2313" s="304"/>
      <c r="BX2313" s="313"/>
      <c r="BY2313" s="138"/>
    </row>
    <row r="2314" spans="1:77" ht="15" customHeight="1" outlineLevel="1" x14ac:dyDescent="0.2">
      <c r="A2314" s="583" t="s">
        <v>37</v>
      </c>
      <c r="B2314" s="583"/>
      <c r="C2314" s="162" t="s">
        <v>1176</v>
      </c>
      <c r="D2314" s="812">
        <v>3.6</v>
      </c>
      <c r="E2314" s="162" t="s">
        <v>631</v>
      </c>
      <c r="F2314" s="729"/>
      <c r="G2314" s="730"/>
      <c r="H2314" s="73"/>
      <c r="I2314" s="90">
        <v>2007</v>
      </c>
      <c r="J2314" s="73"/>
      <c r="K2314" s="734">
        <v>2.1042999999999999E-2</v>
      </c>
      <c r="L2314" s="717"/>
      <c r="M2314" s="73"/>
      <c r="N2314" s="811"/>
      <c r="O2314" s="1041"/>
      <c r="P2314" s="73"/>
      <c r="Q2314" s="811"/>
      <c r="R2314" s="1041"/>
      <c r="S2314" s="73"/>
      <c r="T2314" s="811"/>
      <c r="U2314" s="73"/>
      <c r="V2314" s="66"/>
      <c r="W2314" s="740">
        <f t="shared" si="2011"/>
        <v>1.367795E-5</v>
      </c>
      <c r="X2314" s="741">
        <f t="shared" si="2012"/>
        <v>1.367795E-5</v>
      </c>
      <c r="Y2314" s="52">
        <v>2007</v>
      </c>
      <c r="Z2314" s="52"/>
      <c r="AA2314" s="739">
        <f t="shared" ref="AA2314:AA2322" si="2036">+K2314/1000</f>
        <v>2.1042999999999998E-5</v>
      </c>
      <c r="AB2314" s="256">
        <v>-0.35</v>
      </c>
      <c r="AC2314" s="688">
        <f t="shared" si="2000"/>
        <v>-0.35</v>
      </c>
      <c r="AD2314" s="164"/>
      <c r="AE2314" s="164"/>
      <c r="AF2314" s="25"/>
      <c r="AG2314" s="26"/>
      <c r="AH2314" s="275"/>
      <c r="AI2314" s="52"/>
      <c r="AJ2314" s="35"/>
      <c r="AK2314" s="289"/>
      <c r="AL2314" s="290"/>
      <c r="AM2314" s="211"/>
      <c r="AN2314" s="164"/>
      <c r="AO2314" s="76"/>
      <c r="AP2314" s="44"/>
      <c r="AQ2314" s="275"/>
      <c r="AR2314" s="52"/>
      <c r="AS2314" s="35"/>
      <c r="AT2314" s="79"/>
      <c r="AU2314" s="212"/>
      <c r="AV2314" s="164"/>
      <c r="AW2314" s="164"/>
      <c r="AX2314" s="76"/>
      <c r="AY2314" s="44"/>
      <c r="AZ2314" s="275"/>
      <c r="BA2314" s="52"/>
      <c r="BB2314" s="35"/>
      <c r="BC2314" s="79"/>
      <c r="BD2314" s="230"/>
      <c r="BE2314" s="211"/>
      <c r="BF2314" s="164"/>
      <c r="BG2314" s="76"/>
      <c r="BH2314" s="44"/>
      <c r="BI2314" s="275"/>
      <c r="BJ2314" s="52"/>
      <c r="BK2314" s="35"/>
      <c r="BL2314" s="79"/>
      <c r="BM2314" s="230"/>
      <c r="BN2314" s="211"/>
      <c r="BO2314" s="164"/>
      <c r="BP2314" s="76"/>
      <c r="BQ2314" s="44"/>
      <c r="BR2314" s="299"/>
      <c r="BS2314" s="52"/>
      <c r="BT2314" s="35"/>
      <c r="BU2314" s="79"/>
      <c r="BV2314" s="212"/>
      <c r="BW2314" s="304"/>
      <c r="BX2314" s="313"/>
      <c r="BY2314" s="138"/>
    </row>
    <row r="2315" spans="1:77" ht="15" customHeight="1" outlineLevel="1" x14ac:dyDescent="0.2">
      <c r="A2315" s="583" t="s">
        <v>37</v>
      </c>
      <c r="B2315" s="583"/>
      <c r="C2315" s="162" t="s">
        <v>2425</v>
      </c>
      <c r="D2315" s="812">
        <v>0.97899999999999998</v>
      </c>
      <c r="E2315" s="162" t="s">
        <v>631</v>
      </c>
      <c r="F2315" s="729"/>
      <c r="G2315" s="730"/>
      <c r="H2315" s="73"/>
      <c r="I2315" s="90"/>
      <c r="J2315" s="73"/>
      <c r="K2315" s="734"/>
      <c r="L2315" s="717"/>
      <c r="M2315" s="73"/>
      <c r="N2315" s="811">
        <v>2.954E-3</v>
      </c>
      <c r="O2315" s="1041"/>
      <c r="P2315" s="73"/>
      <c r="Q2315" s="811"/>
      <c r="R2315" s="1041"/>
      <c r="S2315" s="73"/>
      <c r="T2315" s="811"/>
      <c r="U2315" s="73"/>
      <c r="V2315" s="66"/>
      <c r="W2315" s="788">
        <f t="shared" ref="W2315" si="2037">AA2315*(1+AB2315)</f>
        <v>2.2745800000000001E-6</v>
      </c>
      <c r="X2315" s="789">
        <f t="shared" ref="X2315" si="2038">AA2315*(1+AC2315)</f>
        <v>2.2745800000000001E-6</v>
      </c>
      <c r="Y2315" s="52">
        <v>2010</v>
      </c>
      <c r="Z2315" s="52"/>
      <c r="AA2315" s="787">
        <f>+N2315/1000</f>
        <v>2.954E-6</v>
      </c>
      <c r="AB2315" s="256">
        <v>-0.23</v>
      </c>
      <c r="AC2315" s="688">
        <f t="shared" ref="AC2315" si="2039">AB2315</f>
        <v>-0.23</v>
      </c>
      <c r="AD2315" s="164"/>
      <c r="AE2315" s="164"/>
      <c r="AF2315" s="25"/>
      <c r="AG2315" s="26"/>
      <c r="AH2315" s="275"/>
      <c r="AI2315" s="52"/>
      <c r="AJ2315" s="35"/>
      <c r="AK2315" s="289"/>
      <c r="AL2315" s="290"/>
      <c r="AM2315" s="211"/>
      <c r="AN2315" s="164"/>
      <c r="AO2315" s="76"/>
      <c r="AP2315" s="44"/>
      <c r="AQ2315" s="275"/>
      <c r="AR2315" s="52"/>
      <c r="AS2315" s="35"/>
      <c r="AT2315" s="79"/>
      <c r="AU2315" s="212"/>
      <c r="AV2315" s="164"/>
      <c r="AW2315" s="164"/>
      <c r="AX2315" s="76"/>
      <c r="AY2315" s="44"/>
      <c r="AZ2315" s="275"/>
      <c r="BA2315" s="52"/>
      <c r="BB2315" s="35"/>
      <c r="BC2315" s="79"/>
      <c r="BD2315" s="230"/>
      <c r="BE2315" s="211"/>
      <c r="BF2315" s="164"/>
      <c r="BG2315" s="76"/>
      <c r="BH2315" s="44"/>
      <c r="BI2315" s="275"/>
      <c r="BJ2315" s="52"/>
      <c r="BK2315" s="35"/>
      <c r="BL2315" s="79"/>
      <c r="BM2315" s="230"/>
      <c r="BN2315" s="211"/>
      <c r="BO2315" s="164"/>
      <c r="BP2315" s="76"/>
      <c r="BQ2315" s="44"/>
      <c r="BR2315" s="299"/>
      <c r="BS2315" s="52"/>
      <c r="BT2315" s="35"/>
      <c r="BU2315" s="79"/>
      <c r="BV2315" s="212"/>
      <c r="BW2315" s="304"/>
      <c r="BX2315" s="313"/>
      <c r="BY2315" s="138"/>
    </row>
    <row r="2316" spans="1:77" ht="15" customHeight="1" outlineLevel="1" x14ac:dyDescent="0.2">
      <c r="A2316" s="583" t="s">
        <v>37</v>
      </c>
      <c r="B2316" s="583"/>
      <c r="C2316" s="162" t="s">
        <v>2878</v>
      </c>
      <c r="D2316" s="812">
        <v>27.446999999999999</v>
      </c>
      <c r="E2316" s="162" t="s">
        <v>631</v>
      </c>
      <c r="F2316" s="729"/>
      <c r="G2316" s="730"/>
      <c r="H2316" s="73"/>
      <c r="I2316" s="90">
        <v>2006</v>
      </c>
      <c r="J2316" s="73"/>
      <c r="K2316" s="734">
        <v>0.15551999999999999</v>
      </c>
      <c r="L2316" s="717"/>
      <c r="M2316" s="73"/>
      <c r="N2316" s="811"/>
      <c r="O2316" s="1041"/>
      <c r="P2316" s="73"/>
      <c r="Q2316" s="811"/>
      <c r="R2316" s="1041"/>
      <c r="S2316" s="73"/>
      <c r="T2316" s="811"/>
      <c r="U2316" s="73"/>
      <c r="V2316" s="66"/>
      <c r="W2316" s="788"/>
      <c r="X2316" s="789"/>
      <c r="Y2316" s="52"/>
      <c r="Z2316" s="52"/>
      <c r="AA2316" s="787"/>
      <c r="AB2316" s="256"/>
      <c r="AC2316" s="688"/>
      <c r="AD2316" s="164"/>
      <c r="AE2316" s="164"/>
      <c r="AF2316" s="25"/>
      <c r="AG2316" s="26"/>
      <c r="AH2316" s="275"/>
      <c r="AI2316" s="52"/>
      <c r="AJ2316" s="35"/>
      <c r="AK2316" s="289"/>
      <c r="AL2316" s="290"/>
      <c r="AM2316" s="211"/>
      <c r="AN2316" s="164"/>
      <c r="AO2316" s="740">
        <f>AS2316*(1+AT2316)</f>
        <v>8.7091200000000011E-5</v>
      </c>
      <c r="AP2316" s="741">
        <f>AS2316*(1+AU2316)</f>
        <v>8.7091200000000011E-5</v>
      </c>
      <c r="AQ2316" s="275">
        <v>2006</v>
      </c>
      <c r="AR2316" s="52"/>
      <c r="AS2316" s="739">
        <f>+K2316/1000</f>
        <v>1.5552E-4</v>
      </c>
      <c r="AT2316" s="79">
        <v>-0.44</v>
      </c>
      <c r="AU2316" s="212">
        <f>AT2316</f>
        <v>-0.44</v>
      </c>
      <c r="AV2316" s="164"/>
      <c r="AW2316" s="164"/>
      <c r="AX2316" s="76"/>
      <c r="AY2316" s="44"/>
      <c r="AZ2316" s="275"/>
      <c r="BA2316" s="52"/>
      <c r="BB2316" s="35"/>
      <c r="BC2316" s="79"/>
      <c r="BD2316" s="230"/>
      <c r="BE2316" s="211"/>
      <c r="BF2316" s="164"/>
      <c r="BG2316" s="76"/>
      <c r="BH2316" s="44"/>
      <c r="BI2316" s="275"/>
      <c r="BJ2316" s="52"/>
      <c r="BK2316" s="35"/>
      <c r="BL2316" s="79"/>
      <c r="BM2316" s="230"/>
      <c r="BN2316" s="211"/>
      <c r="BO2316" s="164"/>
      <c r="BP2316" s="76"/>
      <c r="BQ2316" s="44"/>
      <c r="BR2316" s="299"/>
      <c r="BS2316" s="52"/>
      <c r="BT2316" s="35"/>
      <c r="BU2316" s="79"/>
      <c r="BV2316" s="212"/>
      <c r="BW2316" s="304"/>
      <c r="BX2316" s="313"/>
      <c r="BY2316" s="138"/>
    </row>
    <row r="2317" spans="1:77" ht="15" customHeight="1" outlineLevel="1" x14ac:dyDescent="0.2">
      <c r="A2317" s="583" t="s">
        <v>37</v>
      </c>
      <c r="B2317" s="583"/>
      <c r="C2317" s="162" t="s">
        <v>1145</v>
      </c>
      <c r="D2317" s="812">
        <v>0.51500000000000001</v>
      </c>
      <c r="E2317" s="162" t="s">
        <v>631</v>
      </c>
      <c r="F2317" s="729"/>
      <c r="G2317" s="730"/>
      <c r="H2317" s="73"/>
      <c r="I2317" s="90">
        <v>2007</v>
      </c>
      <c r="J2317" s="73"/>
      <c r="K2317" s="790">
        <v>2.2959999999999999E-3</v>
      </c>
      <c r="L2317" s="717"/>
      <c r="M2317" s="73"/>
      <c r="N2317" s="738"/>
      <c r="O2317" s="1041"/>
      <c r="P2317" s="73"/>
      <c r="Q2317" s="738"/>
      <c r="R2317" s="1041"/>
      <c r="S2317" s="73"/>
      <c r="T2317" s="738"/>
      <c r="U2317" s="73"/>
      <c r="V2317" s="66"/>
      <c r="W2317" s="788">
        <f t="shared" si="2011"/>
        <v>1.6301599999999996E-6</v>
      </c>
      <c r="X2317" s="789">
        <f t="shared" si="2012"/>
        <v>1.6301599999999996E-6</v>
      </c>
      <c r="Y2317" s="52">
        <v>2007</v>
      </c>
      <c r="Z2317" s="52"/>
      <c r="AA2317" s="787">
        <f t="shared" si="2036"/>
        <v>2.2959999999999997E-6</v>
      </c>
      <c r="AB2317" s="256">
        <v>-0.28999999999999998</v>
      </c>
      <c r="AC2317" s="688">
        <f t="shared" si="2000"/>
        <v>-0.28999999999999998</v>
      </c>
      <c r="AD2317" s="164"/>
      <c r="AE2317" s="164"/>
      <c r="AF2317" s="25"/>
      <c r="AG2317" s="26"/>
      <c r="AH2317" s="275"/>
      <c r="AI2317" s="52"/>
      <c r="AJ2317" s="35"/>
      <c r="AK2317" s="289"/>
      <c r="AL2317" s="290"/>
      <c r="AM2317" s="211"/>
      <c r="AN2317" s="164"/>
      <c r="AO2317" s="76"/>
      <c r="AP2317" s="44"/>
      <c r="AQ2317" s="275"/>
      <c r="AR2317" s="52"/>
      <c r="AS2317" s="35"/>
      <c r="AT2317" s="79"/>
      <c r="AU2317" s="212"/>
      <c r="AV2317" s="164"/>
      <c r="AW2317" s="164"/>
      <c r="AX2317" s="76"/>
      <c r="AY2317" s="44"/>
      <c r="AZ2317" s="275"/>
      <c r="BA2317" s="52"/>
      <c r="BB2317" s="35"/>
      <c r="BC2317" s="79"/>
      <c r="BD2317" s="230"/>
      <c r="BE2317" s="211"/>
      <c r="BF2317" s="164"/>
      <c r="BG2317" s="76"/>
      <c r="BH2317" s="44"/>
      <c r="BI2317" s="275"/>
      <c r="BJ2317" s="52"/>
      <c r="BK2317" s="35"/>
      <c r="BL2317" s="79"/>
      <c r="BM2317" s="230"/>
      <c r="BN2317" s="211"/>
      <c r="BO2317" s="164"/>
      <c r="BP2317" s="76"/>
      <c r="BQ2317" s="44"/>
      <c r="BR2317" s="299"/>
      <c r="BS2317" s="52"/>
      <c r="BT2317" s="35"/>
      <c r="BU2317" s="79"/>
      <c r="BV2317" s="212"/>
      <c r="BW2317" s="304"/>
      <c r="BX2317" s="313"/>
      <c r="BY2317" s="138"/>
    </row>
    <row r="2318" spans="1:77" ht="15" customHeight="1" outlineLevel="1" x14ac:dyDescent="0.2">
      <c r="A2318" s="583" t="s">
        <v>37</v>
      </c>
      <c r="B2318" s="583"/>
      <c r="C2318" s="162" t="s">
        <v>1146</v>
      </c>
      <c r="D2318" s="806">
        <v>0.26</v>
      </c>
      <c r="E2318" s="162" t="s">
        <v>631</v>
      </c>
      <c r="F2318" s="729"/>
      <c r="G2318" s="730"/>
      <c r="H2318" s="73"/>
      <c r="I2318" s="90">
        <v>2007</v>
      </c>
      <c r="J2318" s="73"/>
      <c r="K2318" s="790">
        <v>1.098E-3</v>
      </c>
      <c r="L2318" s="717"/>
      <c r="M2318" s="73"/>
      <c r="N2318" s="738"/>
      <c r="O2318" s="1041"/>
      <c r="P2318" s="73"/>
      <c r="Q2318" s="738"/>
      <c r="R2318" s="1041"/>
      <c r="S2318" s="73"/>
      <c r="T2318" s="738"/>
      <c r="U2318" s="73"/>
      <c r="V2318" s="66"/>
      <c r="W2318" s="788">
        <f t="shared" si="2011"/>
        <v>7.7958E-7</v>
      </c>
      <c r="X2318" s="789">
        <f t="shared" si="2012"/>
        <v>7.7958E-7</v>
      </c>
      <c r="Y2318" s="52">
        <v>2007</v>
      </c>
      <c r="Z2318" s="52"/>
      <c r="AA2318" s="787">
        <f t="shared" si="2036"/>
        <v>1.0980000000000001E-6</v>
      </c>
      <c r="AB2318" s="256">
        <v>-0.28999999999999998</v>
      </c>
      <c r="AC2318" s="688">
        <f t="shared" si="2000"/>
        <v>-0.28999999999999998</v>
      </c>
      <c r="AD2318" s="164"/>
      <c r="AE2318" s="164"/>
      <c r="AF2318" s="25"/>
      <c r="AG2318" s="26"/>
      <c r="AH2318" s="275"/>
      <c r="AI2318" s="52"/>
      <c r="AJ2318" s="35"/>
      <c r="AK2318" s="289"/>
      <c r="AL2318" s="290"/>
      <c r="AM2318" s="211"/>
      <c r="AN2318" s="164"/>
      <c r="AO2318" s="76"/>
      <c r="AP2318" s="44"/>
      <c r="AQ2318" s="275"/>
      <c r="AR2318" s="52"/>
      <c r="AS2318" s="35"/>
      <c r="AT2318" s="79"/>
      <c r="AU2318" s="212"/>
      <c r="AV2318" s="164"/>
      <c r="AW2318" s="164"/>
      <c r="AX2318" s="76"/>
      <c r="AY2318" s="44"/>
      <c r="AZ2318" s="275"/>
      <c r="BA2318" s="52"/>
      <c r="BB2318" s="35"/>
      <c r="BC2318" s="79"/>
      <c r="BD2318" s="230"/>
      <c r="BE2318" s="211"/>
      <c r="BF2318" s="164"/>
      <c r="BG2318" s="76"/>
      <c r="BH2318" s="44"/>
      <c r="BI2318" s="275"/>
      <c r="BJ2318" s="52"/>
      <c r="BK2318" s="35"/>
      <c r="BL2318" s="79"/>
      <c r="BM2318" s="230"/>
      <c r="BN2318" s="211"/>
      <c r="BO2318" s="164"/>
      <c r="BP2318" s="76"/>
      <c r="BQ2318" s="44"/>
      <c r="BR2318" s="299"/>
      <c r="BS2318" s="52"/>
      <c r="BT2318" s="35"/>
      <c r="BU2318" s="79"/>
      <c r="BV2318" s="212"/>
      <c r="BW2318" s="304"/>
      <c r="BX2318" s="313"/>
      <c r="BY2318" s="138"/>
    </row>
    <row r="2319" spans="1:77" ht="15" customHeight="1" outlineLevel="1" x14ac:dyDescent="0.2">
      <c r="A2319" s="583" t="s">
        <v>37</v>
      </c>
      <c r="B2319" s="583"/>
      <c r="C2319" s="162" t="s">
        <v>1147</v>
      </c>
      <c r="D2319" s="812">
        <v>1.085</v>
      </c>
      <c r="E2319" s="162" t="s">
        <v>631</v>
      </c>
      <c r="F2319" s="729"/>
      <c r="G2319" s="730"/>
      <c r="H2319" s="73"/>
      <c r="I2319" s="90">
        <v>2007</v>
      </c>
      <c r="J2319" s="73"/>
      <c r="K2319" s="790">
        <v>5.4539999999999996E-3</v>
      </c>
      <c r="L2319" s="717"/>
      <c r="M2319" s="73"/>
      <c r="N2319" s="738"/>
      <c r="O2319" s="1041"/>
      <c r="P2319" s="73"/>
      <c r="Q2319" s="738"/>
      <c r="R2319" s="1041"/>
      <c r="S2319" s="73"/>
      <c r="T2319" s="738"/>
      <c r="U2319" s="73"/>
      <c r="V2319" s="66"/>
      <c r="W2319" s="788">
        <f t="shared" si="2011"/>
        <v>4.0359599999999997E-6</v>
      </c>
      <c r="X2319" s="789">
        <f t="shared" si="2012"/>
        <v>4.0359599999999997E-6</v>
      </c>
      <c r="Y2319" s="52">
        <v>2007</v>
      </c>
      <c r="Z2319" s="52"/>
      <c r="AA2319" s="787">
        <f t="shared" si="2036"/>
        <v>5.4539999999999998E-6</v>
      </c>
      <c r="AB2319" s="256">
        <v>-0.26</v>
      </c>
      <c r="AC2319" s="688">
        <f t="shared" si="2000"/>
        <v>-0.26</v>
      </c>
      <c r="AD2319" s="164"/>
      <c r="AE2319" s="164"/>
      <c r="AF2319" s="25"/>
      <c r="AG2319" s="26"/>
      <c r="AH2319" s="275"/>
      <c r="AI2319" s="52"/>
      <c r="AJ2319" s="35"/>
      <c r="AK2319" s="289"/>
      <c r="AL2319" s="290"/>
      <c r="AM2319" s="211"/>
      <c r="AN2319" s="164"/>
      <c r="AO2319" s="76"/>
      <c r="AP2319" s="44"/>
      <c r="AQ2319" s="275"/>
      <c r="AR2319" s="52"/>
      <c r="AS2319" s="35"/>
      <c r="AT2319" s="79"/>
      <c r="AU2319" s="212"/>
      <c r="AV2319" s="164"/>
      <c r="AW2319" s="164"/>
      <c r="AX2319" s="76"/>
      <c r="AY2319" s="44"/>
      <c r="AZ2319" s="275"/>
      <c r="BA2319" s="52"/>
      <c r="BB2319" s="35"/>
      <c r="BC2319" s="79"/>
      <c r="BD2319" s="230"/>
      <c r="BE2319" s="211"/>
      <c r="BF2319" s="164"/>
      <c r="BG2319" s="76"/>
      <c r="BH2319" s="44"/>
      <c r="BI2319" s="275"/>
      <c r="BJ2319" s="52"/>
      <c r="BK2319" s="35"/>
      <c r="BL2319" s="79"/>
      <c r="BM2319" s="230"/>
      <c r="BN2319" s="211"/>
      <c r="BO2319" s="164"/>
      <c r="BP2319" s="76"/>
      <c r="BQ2319" s="44"/>
      <c r="BR2319" s="299"/>
      <c r="BS2319" s="52"/>
      <c r="BT2319" s="35"/>
      <c r="BU2319" s="79"/>
      <c r="BV2319" s="212"/>
      <c r="BW2319" s="304"/>
      <c r="BX2319" s="313"/>
      <c r="BY2319" s="138"/>
    </row>
    <row r="2320" spans="1:77" ht="15" customHeight="1" outlineLevel="1" x14ac:dyDescent="0.2">
      <c r="A2320" s="583" t="s">
        <v>37</v>
      </c>
      <c r="B2320" s="583"/>
      <c r="C2320" s="162" t="s">
        <v>2426</v>
      </c>
      <c r="D2320" s="812">
        <v>11.121</v>
      </c>
      <c r="E2320" s="162" t="s">
        <v>631</v>
      </c>
      <c r="F2320" s="729"/>
      <c r="G2320" s="730"/>
      <c r="H2320" s="73"/>
      <c r="I2320" s="90"/>
      <c r="J2320" s="73"/>
      <c r="K2320" s="790"/>
      <c r="L2320" s="717">
        <v>2013</v>
      </c>
      <c r="M2320" s="73"/>
      <c r="N2320" s="738">
        <v>2.8139999999999998E-2</v>
      </c>
      <c r="O2320" s="1041"/>
      <c r="P2320" s="73"/>
      <c r="Q2320" s="738"/>
      <c r="R2320" s="1041"/>
      <c r="S2320" s="73"/>
      <c r="T2320" s="738"/>
      <c r="U2320" s="73"/>
      <c r="V2320" s="66"/>
      <c r="W2320" s="788">
        <f t="shared" ref="W2320" si="2040">AA2320*(1+AB2320)</f>
        <v>2.19492E-5</v>
      </c>
      <c r="X2320" s="789">
        <f t="shared" ref="X2320" si="2041">AA2320*(1+AC2320)</f>
        <v>2.19492E-5</v>
      </c>
      <c r="Y2320" s="52">
        <v>2007</v>
      </c>
      <c r="Z2320" s="52"/>
      <c r="AA2320" s="787">
        <f>+N2320/1000</f>
        <v>2.8139999999999998E-5</v>
      </c>
      <c r="AB2320" s="256">
        <v>-0.22</v>
      </c>
      <c r="AC2320" s="688">
        <f t="shared" ref="AC2320" si="2042">AB2320</f>
        <v>-0.22</v>
      </c>
      <c r="AD2320" s="164"/>
      <c r="AE2320" s="164"/>
      <c r="AF2320" s="25"/>
      <c r="AG2320" s="26"/>
      <c r="AH2320" s="275"/>
      <c r="AI2320" s="52"/>
      <c r="AJ2320" s="35"/>
      <c r="AK2320" s="289"/>
      <c r="AL2320" s="290"/>
      <c r="AM2320" s="211"/>
      <c r="AN2320" s="164"/>
      <c r="AO2320" s="76"/>
      <c r="AP2320" s="44"/>
      <c r="AQ2320" s="275"/>
      <c r="AR2320" s="52"/>
      <c r="AS2320" s="35"/>
      <c r="AT2320" s="79"/>
      <c r="AU2320" s="212"/>
      <c r="AV2320" s="164"/>
      <c r="AW2320" s="164"/>
      <c r="AX2320" s="76"/>
      <c r="AY2320" s="44"/>
      <c r="AZ2320" s="275"/>
      <c r="BA2320" s="52"/>
      <c r="BB2320" s="35"/>
      <c r="BC2320" s="79"/>
      <c r="BD2320" s="230"/>
      <c r="BE2320" s="211"/>
      <c r="BF2320" s="164"/>
      <c r="BG2320" s="76"/>
      <c r="BH2320" s="44"/>
      <c r="BI2320" s="275"/>
      <c r="BJ2320" s="52"/>
      <c r="BK2320" s="35"/>
      <c r="BL2320" s="79"/>
      <c r="BM2320" s="230"/>
      <c r="BN2320" s="211"/>
      <c r="BO2320" s="164"/>
      <c r="BP2320" s="76"/>
      <c r="BQ2320" s="44"/>
      <c r="BR2320" s="299"/>
      <c r="BS2320" s="52"/>
      <c r="BT2320" s="35"/>
      <c r="BU2320" s="79"/>
      <c r="BV2320" s="212"/>
      <c r="BW2320" s="304"/>
      <c r="BX2320" s="313"/>
      <c r="BY2320" s="138"/>
    </row>
    <row r="2321" spans="1:77" ht="15" customHeight="1" outlineLevel="1" x14ac:dyDescent="0.2">
      <c r="A2321" s="583" t="s">
        <v>37</v>
      </c>
      <c r="B2321" s="583"/>
      <c r="C2321" s="162" t="s">
        <v>1000</v>
      </c>
      <c r="D2321" s="806">
        <v>0.68600000000000005</v>
      </c>
      <c r="E2321" s="162" t="s">
        <v>631</v>
      </c>
      <c r="F2321" s="729"/>
      <c r="G2321" s="730"/>
      <c r="H2321" s="73"/>
      <c r="I2321" s="90">
        <v>2007</v>
      </c>
      <c r="J2321" s="73"/>
      <c r="K2321" s="790">
        <v>1.8710000000000001E-3</v>
      </c>
      <c r="L2321" s="717"/>
      <c r="M2321" s="73"/>
      <c r="N2321" s="811"/>
      <c r="O2321" s="1041"/>
      <c r="P2321" s="73"/>
      <c r="Q2321" s="811"/>
      <c r="R2321" s="1041"/>
      <c r="S2321" s="73"/>
      <c r="T2321" s="811"/>
      <c r="U2321" s="73"/>
      <c r="V2321" s="66"/>
      <c r="W2321" s="808">
        <f t="shared" si="2011"/>
        <v>1.0103400000000001E-6</v>
      </c>
      <c r="X2321" s="809">
        <f t="shared" si="2012"/>
        <v>1.0103400000000001E-6</v>
      </c>
      <c r="Y2321" s="52">
        <v>2007</v>
      </c>
      <c r="Z2321" s="52"/>
      <c r="AA2321" s="807">
        <f t="shared" si="2036"/>
        <v>1.871E-6</v>
      </c>
      <c r="AB2321" s="256">
        <v>-0.46</v>
      </c>
      <c r="AC2321" s="688">
        <f t="shared" si="2000"/>
        <v>-0.46</v>
      </c>
      <c r="AD2321" s="164"/>
      <c r="AE2321" s="164"/>
      <c r="AF2321" s="25"/>
      <c r="AG2321" s="26"/>
      <c r="AH2321" s="275"/>
      <c r="AI2321" s="52"/>
      <c r="AJ2321" s="35"/>
      <c r="AK2321" s="289"/>
      <c r="AL2321" s="290"/>
      <c r="AM2321" s="211"/>
      <c r="AN2321" s="164"/>
      <c r="AO2321" s="76"/>
      <c r="AP2321" s="44"/>
      <c r="AQ2321" s="275"/>
      <c r="AR2321" s="52"/>
      <c r="AS2321" s="35"/>
      <c r="AT2321" s="79"/>
      <c r="AU2321" s="212"/>
      <c r="AV2321" s="164"/>
      <c r="AW2321" s="164"/>
      <c r="AX2321" s="76"/>
      <c r="AY2321" s="44"/>
      <c r="AZ2321" s="275"/>
      <c r="BA2321" s="52"/>
      <c r="BB2321" s="35"/>
      <c r="BC2321" s="79"/>
      <c r="BD2321" s="230"/>
      <c r="BE2321" s="211"/>
      <c r="BF2321" s="164"/>
      <c r="BG2321" s="76"/>
      <c r="BH2321" s="44"/>
      <c r="BI2321" s="275"/>
      <c r="BJ2321" s="52"/>
      <c r="BK2321" s="35"/>
      <c r="BL2321" s="79"/>
      <c r="BM2321" s="230"/>
      <c r="BN2321" s="211"/>
      <c r="BO2321" s="164"/>
      <c r="BP2321" s="76"/>
      <c r="BQ2321" s="44"/>
      <c r="BR2321" s="299"/>
      <c r="BS2321" s="52"/>
      <c r="BT2321" s="35"/>
      <c r="BU2321" s="79"/>
      <c r="BV2321" s="212"/>
      <c r="BW2321" s="304"/>
      <c r="BX2321" s="313"/>
      <c r="BY2321" s="138"/>
    </row>
    <row r="2322" spans="1:77" ht="15" customHeight="1" outlineLevel="1" x14ac:dyDescent="0.2">
      <c r="A2322" s="583" t="s">
        <v>37</v>
      </c>
      <c r="B2322" s="583"/>
      <c r="C2322" s="162" t="s">
        <v>1177</v>
      </c>
      <c r="D2322" s="812">
        <v>4.2779999999999996</v>
      </c>
      <c r="E2322" s="162" t="s">
        <v>631</v>
      </c>
      <c r="F2322" s="729"/>
      <c r="G2322" s="730"/>
      <c r="H2322" s="73"/>
      <c r="I2322" s="90">
        <v>2007</v>
      </c>
      <c r="J2322" s="73"/>
      <c r="K2322" s="734">
        <v>2.1239000000000001E-2</v>
      </c>
      <c r="L2322" s="717"/>
      <c r="M2322" s="73"/>
      <c r="N2322" s="811"/>
      <c r="O2322" s="1041"/>
      <c r="P2322" s="73"/>
      <c r="Q2322" s="811"/>
      <c r="R2322" s="1041"/>
      <c r="S2322" s="73"/>
      <c r="T2322" s="811"/>
      <c r="U2322" s="73"/>
      <c r="V2322" s="66"/>
      <c r="W2322" s="740">
        <f t="shared" si="2011"/>
        <v>1.3805350000000002E-5</v>
      </c>
      <c r="X2322" s="741">
        <f t="shared" si="2012"/>
        <v>1.3805350000000002E-5</v>
      </c>
      <c r="Y2322" s="52">
        <v>2007</v>
      </c>
      <c r="Z2322" s="52"/>
      <c r="AA2322" s="739">
        <f t="shared" si="2036"/>
        <v>2.1239000000000001E-5</v>
      </c>
      <c r="AB2322" s="256">
        <v>-0.35</v>
      </c>
      <c r="AC2322" s="688">
        <f t="shared" ref="AC2322:AC2338" si="2043">AB2322</f>
        <v>-0.35</v>
      </c>
      <c r="AD2322" s="164"/>
      <c r="AE2322" s="164"/>
      <c r="AF2322" s="25"/>
      <c r="AG2322" s="26"/>
      <c r="AH2322" s="275"/>
      <c r="AI2322" s="52"/>
      <c r="AJ2322" s="35"/>
      <c r="AK2322" s="289"/>
      <c r="AL2322" s="290"/>
      <c r="AM2322" s="211"/>
      <c r="AN2322" s="164"/>
      <c r="AO2322" s="76"/>
      <c r="AP2322" s="44"/>
      <c r="AQ2322" s="275"/>
      <c r="AR2322" s="52"/>
      <c r="AS2322" s="35"/>
      <c r="AT2322" s="79"/>
      <c r="AU2322" s="212"/>
      <c r="AV2322" s="164"/>
      <c r="AW2322" s="164"/>
      <c r="AX2322" s="76"/>
      <c r="AY2322" s="44"/>
      <c r="AZ2322" s="275"/>
      <c r="BA2322" s="52"/>
      <c r="BB2322" s="35"/>
      <c r="BC2322" s="79"/>
      <c r="BD2322" s="230"/>
      <c r="BE2322" s="211"/>
      <c r="BF2322" s="164"/>
      <c r="BG2322" s="76"/>
      <c r="BH2322" s="44"/>
      <c r="BI2322" s="275"/>
      <c r="BJ2322" s="52"/>
      <c r="BK2322" s="35"/>
      <c r="BL2322" s="79"/>
      <c r="BM2322" s="230"/>
      <c r="BN2322" s="211"/>
      <c r="BO2322" s="164"/>
      <c r="BP2322" s="76"/>
      <c r="BQ2322" s="44"/>
      <c r="BR2322" s="299"/>
      <c r="BS2322" s="52"/>
      <c r="BT2322" s="35"/>
      <c r="BU2322" s="79"/>
      <c r="BV2322" s="212"/>
      <c r="BW2322" s="304"/>
      <c r="BX2322" s="313"/>
      <c r="BY2322" s="138"/>
    </row>
    <row r="2323" spans="1:77" ht="15" customHeight="1" outlineLevel="1" x14ac:dyDescent="0.2">
      <c r="A2323" s="583" t="s">
        <v>37</v>
      </c>
      <c r="B2323" s="583"/>
      <c r="C2323" s="162" t="s">
        <v>985</v>
      </c>
      <c r="D2323" s="806">
        <v>0.5</v>
      </c>
      <c r="E2323" s="162" t="s">
        <v>631</v>
      </c>
      <c r="F2323" s="729"/>
      <c r="G2323" s="730"/>
      <c r="H2323" s="73"/>
      <c r="I2323" s="90"/>
      <c r="J2323" s="73"/>
      <c r="K2323" s="66"/>
      <c r="L2323" s="717">
        <v>2012</v>
      </c>
      <c r="M2323" s="73"/>
      <c r="N2323" s="786">
        <v>1.817E-3</v>
      </c>
      <c r="O2323" s="1041"/>
      <c r="P2323" s="73"/>
      <c r="Q2323" s="786"/>
      <c r="R2323" s="1041"/>
      <c r="S2323" s="73"/>
      <c r="T2323" s="786"/>
      <c r="U2323" s="73"/>
      <c r="V2323" s="66"/>
      <c r="W2323" s="808">
        <f t="shared" si="2011"/>
        <v>1.32641E-6</v>
      </c>
      <c r="X2323" s="809">
        <f t="shared" si="2012"/>
        <v>1.32641E-6</v>
      </c>
      <c r="Y2323" s="52">
        <v>2012</v>
      </c>
      <c r="Z2323" s="52"/>
      <c r="AA2323" s="807">
        <f>+N2323/1000</f>
        <v>1.8170000000000001E-6</v>
      </c>
      <c r="AB2323" s="256">
        <v>-0.27</v>
      </c>
      <c r="AC2323" s="688">
        <f t="shared" si="2043"/>
        <v>-0.27</v>
      </c>
      <c r="AD2323" s="164"/>
      <c r="AE2323" s="164"/>
      <c r="AF2323" s="25"/>
      <c r="AG2323" s="26"/>
      <c r="AH2323" s="275"/>
      <c r="AI2323" s="52"/>
      <c r="AJ2323" s="35"/>
      <c r="AK2323" s="289"/>
      <c r="AL2323" s="290"/>
      <c r="AM2323" s="211"/>
      <c r="AN2323" s="164"/>
      <c r="AO2323" s="76"/>
      <c r="AP2323" s="44"/>
      <c r="AQ2323" s="275"/>
      <c r="AR2323" s="52"/>
      <c r="AS2323" s="35"/>
      <c r="AT2323" s="79"/>
      <c r="AU2323" s="212"/>
      <c r="AV2323" s="164"/>
      <c r="AW2323" s="164"/>
      <c r="AX2323" s="76"/>
      <c r="AY2323" s="44"/>
      <c r="AZ2323" s="275"/>
      <c r="BA2323" s="52"/>
      <c r="BB2323" s="35"/>
      <c r="BC2323" s="79"/>
      <c r="BD2323" s="230"/>
      <c r="BE2323" s="211"/>
      <c r="BF2323" s="164"/>
      <c r="BG2323" s="76"/>
      <c r="BH2323" s="44"/>
      <c r="BI2323" s="275"/>
      <c r="BJ2323" s="52"/>
      <c r="BK2323" s="35"/>
      <c r="BL2323" s="79"/>
      <c r="BM2323" s="230"/>
      <c r="BN2323" s="211"/>
      <c r="BO2323" s="164"/>
      <c r="BP2323" s="76"/>
      <c r="BQ2323" s="44"/>
      <c r="BR2323" s="299"/>
      <c r="BS2323" s="52"/>
      <c r="BT2323" s="35"/>
      <c r="BU2323" s="79"/>
      <c r="BV2323" s="212"/>
      <c r="BW2323" s="304"/>
      <c r="BX2323" s="313"/>
      <c r="BY2323" s="138"/>
    </row>
    <row r="2324" spans="1:77" ht="15" customHeight="1" outlineLevel="1" x14ac:dyDescent="0.2">
      <c r="A2324" s="583" t="s">
        <v>37</v>
      </c>
      <c r="B2324" s="583"/>
      <c r="C2324" s="162" t="s">
        <v>1001</v>
      </c>
      <c r="D2324" s="812">
        <v>11.824</v>
      </c>
      <c r="E2324" s="162" t="s">
        <v>631</v>
      </c>
      <c r="F2324" s="729"/>
      <c r="G2324" s="730"/>
      <c r="H2324" s="73"/>
      <c r="I2324" s="90">
        <v>2007</v>
      </c>
      <c r="J2324" s="73"/>
      <c r="K2324" s="66">
        <v>5.8049999999999997E-2</v>
      </c>
      <c r="L2324" s="717"/>
      <c r="M2324" s="73"/>
      <c r="N2324" s="811"/>
      <c r="O2324" s="1041"/>
      <c r="P2324" s="73"/>
      <c r="Q2324" s="811"/>
      <c r="R2324" s="1041"/>
      <c r="S2324" s="73"/>
      <c r="T2324" s="811"/>
      <c r="U2324" s="73"/>
      <c r="V2324" s="66"/>
      <c r="W2324" s="740">
        <f t="shared" si="2011"/>
        <v>3.1927500000000002E-5</v>
      </c>
      <c r="X2324" s="741">
        <f t="shared" si="2012"/>
        <v>3.1927500000000002E-5</v>
      </c>
      <c r="Y2324" s="52">
        <v>2007</v>
      </c>
      <c r="Z2324" s="52"/>
      <c r="AA2324" s="739">
        <f>+K2324/1000</f>
        <v>5.8049999999999995E-5</v>
      </c>
      <c r="AB2324" s="256">
        <v>-0.45</v>
      </c>
      <c r="AC2324" s="688">
        <f t="shared" si="2043"/>
        <v>-0.45</v>
      </c>
      <c r="AD2324" s="164"/>
      <c r="AE2324" s="164"/>
      <c r="AF2324" s="25"/>
      <c r="AG2324" s="26"/>
      <c r="AH2324" s="275"/>
      <c r="AI2324" s="52"/>
      <c r="AJ2324" s="35"/>
      <c r="AK2324" s="289"/>
      <c r="AL2324" s="290"/>
      <c r="AM2324" s="211"/>
      <c r="AN2324" s="164"/>
      <c r="AO2324" s="76"/>
      <c r="AP2324" s="44"/>
      <c r="AQ2324" s="275"/>
      <c r="AR2324" s="52"/>
      <c r="AS2324" s="35"/>
      <c r="AT2324" s="79"/>
      <c r="AU2324" s="212"/>
      <c r="AV2324" s="164"/>
      <c r="AW2324" s="164"/>
      <c r="AX2324" s="76"/>
      <c r="AY2324" s="44"/>
      <c r="AZ2324" s="275"/>
      <c r="BA2324" s="52"/>
      <c r="BB2324" s="35"/>
      <c r="BC2324" s="79"/>
      <c r="BD2324" s="230"/>
      <c r="BE2324" s="211"/>
      <c r="BF2324" s="164"/>
      <c r="BG2324" s="76"/>
      <c r="BH2324" s="44"/>
      <c r="BI2324" s="275"/>
      <c r="BJ2324" s="52"/>
      <c r="BK2324" s="35"/>
      <c r="BL2324" s="79"/>
      <c r="BM2324" s="230"/>
      <c r="BN2324" s="211"/>
      <c r="BO2324" s="164"/>
      <c r="BP2324" s="76"/>
      <c r="BQ2324" s="44"/>
      <c r="BR2324" s="299"/>
      <c r="BS2324" s="52"/>
      <c r="BT2324" s="35"/>
      <c r="BU2324" s="79"/>
      <c r="BV2324" s="212"/>
      <c r="BW2324" s="304"/>
      <c r="BX2324" s="313"/>
      <c r="BY2324" s="138"/>
    </row>
    <row r="2325" spans="1:77" ht="15" customHeight="1" outlineLevel="1" x14ac:dyDescent="0.2">
      <c r="A2325" s="583" t="s">
        <v>37</v>
      </c>
      <c r="B2325" s="583"/>
      <c r="C2325" s="162" t="s">
        <v>1005</v>
      </c>
      <c r="D2325" s="812">
        <v>1.657</v>
      </c>
      <c r="E2325" s="162" t="s">
        <v>631</v>
      </c>
      <c r="F2325" s="729"/>
      <c r="G2325" s="730"/>
      <c r="H2325" s="73"/>
      <c r="I2325" s="90">
        <v>2007</v>
      </c>
      <c r="J2325" s="73"/>
      <c r="K2325" s="790">
        <v>7.79E-3</v>
      </c>
      <c r="L2325" s="717"/>
      <c r="M2325" s="73"/>
      <c r="N2325" s="811"/>
      <c r="O2325" s="1041"/>
      <c r="P2325" s="73"/>
      <c r="Q2325" s="811"/>
      <c r="R2325" s="1041"/>
      <c r="S2325" s="73"/>
      <c r="T2325" s="811"/>
      <c r="U2325" s="73"/>
      <c r="V2325" s="66"/>
      <c r="W2325" s="788">
        <f t="shared" si="2011"/>
        <v>4.7519000000000002E-6</v>
      </c>
      <c r="X2325" s="789">
        <f t="shared" si="2012"/>
        <v>4.7519000000000002E-6</v>
      </c>
      <c r="Y2325" s="52">
        <v>2007</v>
      </c>
      <c r="Z2325" s="52"/>
      <c r="AA2325" s="787">
        <f>+K2325/1000</f>
        <v>7.79E-6</v>
      </c>
      <c r="AB2325" s="256">
        <v>-0.39</v>
      </c>
      <c r="AC2325" s="688">
        <f t="shared" si="2043"/>
        <v>-0.39</v>
      </c>
      <c r="AD2325" s="164"/>
      <c r="AE2325" s="164"/>
      <c r="AF2325" s="25"/>
      <c r="AG2325" s="26"/>
      <c r="AH2325" s="275"/>
      <c r="AI2325" s="52"/>
      <c r="AJ2325" s="35"/>
      <c r="AK2325" s="289"/>
      <c r="AL2325" s="290"/>
      <c r="AM2325" s="211"/>
      <c r="AN2325" s="164"/>
      <c r="AO2325" s="76"/>
      <c r="AP2325" s="44"/>
      <c r="AQ2325" s="275"/>
      <c r="AR2325" s="52"/>
      <c r="AS2325" s="35"/>
      <c r="AT2325" s="79"/>
      <c r="AU2325" s="212"/>
      <c r="AV2325" s="164"/>
      <c r="AW2325" s="164"/>
      <c r="AX2325" s="76"/>
      <c r="AY2325" s="44"/>
      <c r="AZ2325" s="275"/>
      <c r="BA2325" s="52"/>
      <c r="BB2325" s="35"/>
      <c r="BC2325" s="79"/>
      <c r="BD2325" s="230"/>
      <c r="BE2325" s="211"/>
      <c r="BF2325" s="164"/>
      <c r="BG2325" s="76"/>
      <c r="BH2325" s="44"/>
      <c r="BI2325" s="275"/>
      <c r="BJ2325" s="52"/>
      <c r="BK2325" s="35"/>
      <c r="BL2325" s="79"/>
      <c r="BM2325" s="230"/>
      <c r="BN2325" s="211"/>
      <c r="BO2325" s="164"/>
      <c r="BP2325" s="76"/>
      <c r="BQ2325" s="44"/>
      <c r="BR2325" s="299"/>
      <c r="BS2325" s="52"/>
      <c r="BT2325" s="35"/>
      <c r="BU2325" s="79"/>
      <c r="BV2325" s="212"/>
      <c r="BW2325" s="304"/>
      <c r="BX2325" s="313"/>
      <c r="BY2325" s="138"/>
    </row>
    <row r="2326" spans="1:77" ht="15" customHeight="1" outlineLevel="1" x14ac:dyDescent="0.2">
      <c r="A2326" s="583" t="s">
        <v>37</v>
      </c>
      <c r="B2326" s="583"/>
      <c r="C2326" s="162" t="s">
        <v>1124</v>
      </c>
      <c r="D2326" s="806">
        <v>0.317</v>
      </c>
      <c r="E2326" s="162" t="s">
        <v>631</v>
      </c>
      <c r="F2326" s="729"/>
      <c r="G2326" s="730"/>
      <c r="H2326" s="73"/>
      <c r="I2326" s="90">
        <v>2007</v>
      </c>
      <c r="J2326" s="73"/>
      <c r="K2326" s="790">
        <v>7.1880999999999996E-4</v>
      </c>
      <c r="L2326" s="717"/>
      <c r="M2326" s="73"/>
      <c r="N2326" s="811"/>
      <c r="O2326" s="1041"/>
      <c r="P2326" s="73"/>
      <c r="Q2326" s="811"/>
      <c r="R2326" s="1041"/>
      <c r="S2326" s="73"/>
      <c r="T2326" s="811"/>
      <c r="U2326" s="73"/>
      <c r="V2326" s="66"/>
      <c r="W2326" s="808">
        <f t="shared" si="2011"/>
        <v>4.8160269999999992E-7</v>
      </c>
      <c r="X2326" s="809">
        <f t="shared" si="2012"/>
        <v>4.8160269999999992E-7</v>
      </c>
      <c r="Y2326" s="52">
        <v>2007</v>
      </c>
      <c r="Z2326" s="52"/>
      <c r="AA2326" s="787">
        <f>+K2326/1000</f>
        <v>7.1880999999999996E-7</v>
      </c>
      <c r="AB2326" s="256">
        <v>-0.33</v>
      </c>
      <c r="AC2326" s="688">
        <f t="shared" si="2043"/>
        <v>-0.33</v>
      </c>
      <c r="AD2326" s="164"/>
      <c r="AE2326" s="164"/>
      <c r="AF2326" s="25"/>
      <c r="AG2326" s="26"/>
      <c r="AH2326" s="275"/>
      <c r="AI2326" s="52"/>
      <c r="AJ2326" s="35"/>
      <c r="AK2326" s="289"/>
      <c r="AL2326" s="290"/>
      <c r="AM2326" s="211"/>
      <c r="AN2326" s="164"/>
      <c r="AO2326" s="76"/>
      <c r="AP2326" s="44"/>
      <c r="AQ2326" s="275"/>
      <c r="AR2326" s="52"/>
      <c r="AS2326" s="35"/>
      <c r="AT2326" s="79"/>
      <c r="AU2326" s="212"/>
      <c r="AV2326" s="164"/>
      <c r="AW2326" s="164"/>
      <c r="AX2326" s="76"/>
      <c r="AY2326" s="44"/>
      <c r="AZ2326" s="275"/>
      <c r="BA2326" s="52"/>
      <c r="BB2326" s="35"/>
      <c r="BC2326" s="79"/>
      <c r="BD2326" s="230"/>
      <c r="BE2326" s="211"/>
      <c r="BF2326" s="164"/>
      <c r="BG2326" s="76"/>
      <c r="BH2326" s="44"/>
      <c r="BI2326" s="275"/>
      <c r="BJ2326" s="52"/>
      <c r="BK2326" s="35"/>
      <c r="BL2326" s="79"/>
      <c r="BM2326" s="230"/>
      <c r="BN2326" s="211"/>
      <c r="BO2326" s="164"/>
      <c r="BP2326" s="76"/>
      <c r="BQ2326" s="44"/>
      <c r="BR2326" s="299"/>
      <c r="BS2326" s="52"/>
      <c r="BT2326" s="35"/>
      <c r="BU2326" s="79"/>
      <c r="BV2326" s="212"/>
      <c r="BW2326" s="304"/>
      <c r="BX2326" s="313"/>
      <c r="BY2326" s="138"/>
    </row>
    <row r="2327" spans="1:77" ht="15" customHeight="1" outlineLevel="1" x14ac:dyDescent="0.2">
      <c r="A2327" s="583" t="s">
        <v>37</v>
      </c>
      <c r="B2327" s="583"/>
      <c r="C2327" s="162" t="s">
        <v>1125</v>
      </c>
      <c r="D2327" s="812">
        <v>14.627000000000001</v>
      </c>
      <c r="E2327" s="162" t="s">
        <v>631</v>
      </c>
      <c r="F2327" s="729"/>
      <c r="G2327" s="730"/>
      <c r="H2327" s="73"/>
      <c r="I2327" s="90">
        <v>2007</v>
      </c>
      <c r="J2327" s="73"/>
      <c r="K2327" s="734">
        <v>7.1805999999999995E-2</v>
      </c>
      <c r="L2327" s="717"/>
      <c r="M2327" s="73"/>
      <c r="N2327" s="811"/>
      <c r="O2327" s="1041"/>
      <c r="P2327" s="73"/>
      <c r="Q2327" s="811"/>
      <c r="R2327" s="1041"/>
      <c r="S2327" s="73"/>
      <c r="T2327" s="811"/>
      <c r="U2327" s="73"/>
      <c r="V2327" s="66"/>
      <c r="W2327" s="740">
        <f t="shared" si="2011"/>
        <v>5.3854499999999997E-5</v>
      </c>
      <c r="X2327" s="741">
        <f t="shared" si="2012"/>
        <v>5.3854499999999997E-5</v>
      </c>
      <c r="Y2327" s="52">
        <v>2007</v>
      </c>
      <c r="Z2327" s="52"/>
      <c r="AA2327" s="739">
        <f>+K2327/1000</f>
        <v>7.1805999999999997E-5</v>
      </c>
      <c r="AB2327" s="256">
        <v>-0.25</v>
      </c>
      <c r="AC2327" s="688">
        <f t="shared" si="2043"/>
        <v>-0.25</v>
      </c>
      <c r="AD2327" s="164"/>
      <c r="AE2327" s="164"/>
      <c r="AF2327" s="25"/>
      <c r="AG2327" s="26"/>
      <c r="AH2327" s="275"/>
      <c r="AI2327" s="52"/>
      <c r="AJ2327" s="35"/>
      <c r="AK2327" s="289"/>
      <c r="AL2327" s="290"/>
      <c r="AM2327" s="211"/>
      <c r="AN2327" s="164"/>
      <c r="AO2327" s="76"/>
      <c r="AP2327" s="44"/>
      <c r="AQ2327" s="275"/>
      <c r="AR2327" s="52"/>
      <c r="AS2327" s="35"/>
      <c r="AT2327" s="79"/>
      <c r="AU2327" s="212"/>
      <c r="AV2327" s="164"/>
      <c r="AW2327" s="164"/>
      <c r="AX2327" s="76"/>
      <c r="AY2327" s="44"/>
      <c r="AZ2327" s="275"/>
      <c r="BA2327" s="52"/>
      <c r="BB2327" s="35"/>
      <c r="BC2327" s="79"/>
      <c r="BD2327" s="230"/>
      <c r="BE2327" s="211"/>
      <c r="BF2327" s="164"/>
      <c r="BG2327" s="76"/>
      <c r="BH2327" s="44"/>
      <c r="BI2327" s="275"/>
      <c r="BJ2327" s="52"/>
      <c r="BK2327" s="35"/>
      <c r="BL2327" s="79"/>
      <c r="BM2327" s="230"/>
      <c r="BN2327" s="211"/>
      <c r="BO2327" s="164"/>
      <c r="BP2327" s="76"/>
      <c r="BQ2327" s="44"/>
      <c r="BR2327" s="299"/>
      <c r="BS2327" s="52"/>
      <c r="BT2327" s="35"/>
      <c r="BU2327" s="79"/>
      <c r="BV2327" s="212"/>
      <c r="BW2327" s="304"/>
      <c r="BX2327" s="313"/>
      <c r="BY2327" s="138"/>
    </row>
    <row r="2328" spans="1:77" ht="15" customHeight="1" outlineLevel="1" x14ac:dyDescent="0.2">
      <c r="A2328" s="583" t="s">
        <v>37</v>
      </c>
      <c r="B2328" s="583"/>
      <c r="C2328" s="162" t="s">
        <v>1020</v>
      </c>
      <c r="D2328" s="812">
        <v>2.246</v>
      </c>
      <c r="E2328" s="162" t="s">
        <v>631</v>
      </c>
      <c r="F2328" s="729"/>
      <c r="G2328" s="730"/>
      <c r="H2328" s="73"/>
      <c r="I2328" s="90"/>
      <c r="J2328" s="73"/>
      <c r="K2328" s="734">
        <v>9.4439999999999993E-3</v>
      </c>
      <c r="L2328" s="717"/>
      <c r="M2328" s="73"/>
      <c r="N2328" s="811"/>
      <c r="O2328" s="1041"/>
      <c r="P2328" s="73"/>
      <c r="Q2328" s="811"/>
      <c r="R2328" s="1041"/>
      <c r="S2328" s="73"/>
      <c r="T2328" s="811"/>
      <c r="U2328" s="73"/>
      <c r="V2328" s="66"/>
      <c r="W2328" s="788">
        <f t="shared" si="2011"/>
        <v>6.5163599999999989E-6</v>
      </c>
      <c r="X2328" s="789">
        <f t="shared" si="2012"/>
        <v>6.5163599999999989E-6</v>
      </c>
      <c r="Y2328" s="52">
        <v>2005</v>
      </c>
      <c r="Z2328" s="52"/>
      <c r="AA2328" s="787">
        <f>+K2328/1000</f>
        <v>9.4439999999999997E-6</v>
      </c>
      <c r="AB2328" s="256">
        <v>-0.31</v>
      </c>
      <c r="AC2328" s="688">
        <f t="shared" si="2043"/>
        <v>-0.31</v>
      </c>
      <c r="AD2328" s="164"/>
      <c r="AE2328" s="164"/>
      <c r="AF2328" s="25"/>
      <c r="AG2328" s="26"/>
      <c r="AH2328" s="275"/>
      <c r="AI2328" s="52"/>
      <c r="AJ2328" s="35"/>
      <c r="AK2328" s="289"/>
      <c r="AL2328" s="290"/>
      <c r="AM2328" s="211"/>
      <c r="AN2328" s="164"/>
      <c r="AO2328" s="76"/>
      <c r="AP2328" s="44"/>
      <c r="AQ2328" s="275"/>
      <c r="AR2328" s="52"/>
      <c r="AS2328" s="35"/>
      <c r="AT2328" s="79"/>
      <c r="AU2328" s="212"/>
      <c r="AV2328" s="164"/>
      <c r="AW2328" s="164"/>
      <c r="AX2328" s="76"/>
      <c r="AY2328" s="44"/>
      <c r="AZ2328" s="275"/>
      <c r="BA2328" s="52"/>
      <c r="BB2328" s="35"/>
      <c r="BC2328" s="79"/>
      <c r="BD2328" s="230"/>
      <c r="BE2328" s="211"/>
      <c r="BF2328" s="164"/>
      <c r="BG2328" s="76"/>
      <c r="BH2328" s="44"/>
      <c r="BI2328" s="275"/>
      <c r="BJ2328" s="52"/>
      <c r="BK2328" s="35"/>
      <c r="BL2328" s="79"/>
      <c r="BM2328" s="230"/>
      <c r="BN2328" s="211"/>
      <c r="BO2328" s="164"/>
      <c r="BP2328" s="76"/>
      <c r="BQ2328" s="44"/>
      <c r="BR2328" s="299"/>
      <c r="BS2328" s="52"/>
      <c r="BT2328" s="35"/>
      <c r="BU2328" s="79"/>
      <c r="BV2328" s="212"/>
      <c r="BW2328" s="304"/>
      <c r="BX2328" s="313"/>
      <c r="BY2328" s="138"/>
    </row>
    <row r="2329" spans="1:77" ht="15" customHeight="1" outlineLevel="1" x14ac:dyDescent="0.2">
      <c r="A2329" s="583" t="s">
        <v>37</v>
      </c>
      <c r="B2329" s="583"/>
      <c r="C2329" s="162" t="s">
        <v>986</v>
      </c>
      <c r="D2329" s="806">
        <v>0.27900000000000003</v>
      </c>
      <c r="E2329" s="162" t="s">
        <v>631</v>
      </c>
      <c r="F2329" s="729"/>
      <c r="G2329" s="730"/>
      <c r="H2329" s="73"/>
      <c r="I2329" s="90"/>
      <c r="J2329" s="73"/>
      <c r="K2329" s="66"/>
      <c r="L2329" s="717"/>
      <c r="M2329" s="73"/>
      <c r="N2329" s="786">
        <v>6.5844000000000005E-4</v>
      </c>
      <c r="O2329" s="1041"/>
      <c r="P2329" s="73"/>
      <c r="Q2329" s="786"/>
      <c r="R2329" s="1041"/>
      <c r="S2329" s="73"/>
      <c r="T2329" s="786"/>
      <c r="U2329" s="73"/>
      <c r="V2329" s="66"/>
      <c r="W2329" s="808">
        <f t="shared" si="2011"/>
        <v>4.8066120000000008E-7</v>
      </c>
      <c r="X2329" s="809">
        <f t="shared" si="2012"/>
        <v>4.8066120000000008E-7</v>
      </c>
      <c r="Y2329" s="52">
        <v>2012</v>
      </c>
      <c r="Z2329" s="52"/>
      <c r="AA2329" s="807">
        <f>+N2329/1000</f>
        <v>6.5844000000000006E-7</v>
      </c>
      <c r="AB2329" s="256">
        <v>-0.27</v>
      </c>
      <c r="AC2329" s="688">
        <f t="shared" si="2043"/>
        <v>-0.27</v>
      </c>
      <c r="AD2329" s="164"/>
      <c r="AE2329" s="164"/>
      <c r="AF2329" s="25"/>
      <c r="AG2329" s="26"/>
      <c r="AH2329" s="275"/>
      <c r="AI2329" s="52"/>
      <c r="AJ2329" s="35"/>
      <c r="AK2329" s="289"/>
      <c r="AL2329" s="290"/>
      <c r="AM2329" s="211"/>
      <c r="AN2329" s="164"/>
      <c r="AO2329" s="76"/>
      <c r="AP2329" s="44"/>
      <c r="AQ2329" s="275"/>
      <c r="AR2329" s="52"/>
      <c r="AS2329" s="35"/>
      <c r="AT2329" s="79"/>
      <c r="AU2329" s="212"/>
      <c r="AV2329" s="164"/>
      <c r="AW2329" s="164"/>
      <c r="AX2329" s="76"/>
      <c r="AY2329" s="44"/>
      <c r="AZ2329" s="275"/>
      <c r="BA2329" s="52"/>
      <c r="BB2329" s="35"/>
      <c r="BC2329" s="79"/>
      <c r="BD2329" s="230"/>
      <c r="BE2329" s="211"/>
      <c r="BF2329" s="164"/>
      <c r="BG2329" s="76"/>
      <c r="BH2329" s="44"/>
      <c r="BI2329" s="275"/>
      <c r="BJ2329" s="52"/>
      <c r="BK2329" s="35"/>
      <c r="BL2329" s="79"/>
      <c r="BM2329" s="230"/>
      <c r="BN2329" s="211"/>
      <c r="BO2329" s="164"/>
      <c r="BP2329" s="76"/>
      <c r="BQ2329" s="44"/>
      <c r="BR2329" s="299"/>
      <c r="BS2329" s="52"/>
      <c r="BT2329" s="35"/>
      <c r="BU2329" s="79"/>
      <c r="BV2329" s="212"/>
      <c r="BW2329" s="304"/>
      <c r="BX2329" s="313"/>
      <c r="BY2329" s="138"/>
    </row>
    <row r="2330" spans="1:77" ht="15" customHeight="1" outlineLevel="1" x14ac:dyDescent="0.2">
      <c r="A2330" s="583" t="s">
        <v>37</v>
      </c>
      <c r="B2330" s="583"/>
      <c r="C2330" s="162" t="s">
        <v>987</v>
      </c>
      <c r="D2330" s="806">
        <v>7.5999999999999998E-2</v>
      </c>
      <c r="E2330" s="162" t="s">
        <v>631</v>
      </c>
      <c r="F2330" s="729"/>
      <c r="G2330" s="730"/>
      <c r="H2330" s="73"/>
      <c r="I2330" s="90"/>
      <c r="J2330" s="73"/>
      <c r="K2330" s="66"/>
      <c r="L2330" s="717"/>
      <c r="M2330" s="73"/>
      <c r="N2330" s="811">
        <v>2.6318000000000001E-4</v>
      </c>
      <c r="O2330" s="1041"/>
      <c r="P2330" s="73"/>
      <c r="Q2330" s="811"/>
      <c r="R2330" s="1041"/>
      <c r="S2330" s="73"/>
      <c r="T2330" s="811"/>
      <c r="U2330" s="73"/>
      <c r="V2330" s="66"/>
      <c r="W2330" s="808">
        <f t="shared" si="2011"/>
        <v>1.8685780000000001E-7</v>
      </c>
      <c r="X2330" s="809">
        <f t="shared" si="2012"/>
        <v>1.8685780000000001E-7</v>
      </c>
      <c r="Y2330" s="52">
        <v>2010</v>
      </c>
      <c r="Z2330" s="52"/>
      <c r="AA2330" s="807">
        <f>+N2330/1000</f>
        <v>2.6318E-7</v>
      </c>
      <c r="AB2330" s="256">
        <v>-0.28999999999999998</v>
      </c>
      <c r="AC2330" s="688">
        <f t="shared" si="2043"/>
        <v>-0.28999999999999998</v>
      </c>
      <c r="AD2330" s="164"/>
      <c r="AE2330" s="164"/>
      <c r="AF2330" s="25"/>
      <c r="AG2330" s="26"/>
      <c r="AH2330" s="275"/>
      <c r="AI2330" s="52"/>
      <c r="AJ2330" s="35"/>
      <c r="AK2330" s="289"/>
      <c r="AL2330" s="290"/>
      <c r="AM2330" s="211"/>
      <c r="AN2330" s="164"/>
      <c r="AO2330" s="76"/>
      <c r="AP2330" s="44"/>
      <c r="AQ2330" s="275"/>
      <c r="AR2330" s="52"/>
      <c r="AS2330" s="35"/>
      <c r="AT2330" s="79"/>
      <c r="AU2330" s="212"/>
      <c r="AV2330" s="164"/>
      <c r="AW2330" s="164"/>
      <c r="AX2330" s="76"/>
      <c r="AY2330" s="44"/>
      <c r="AZ2330" s="275"/>
      <c r="BA2330" s="52"/>
      <c r="BB2330" s="35"/>
      <c r="BC2330" s="79"/>
      <c r="BD2330" s="230"/>
      <c r="BE2330" s="211"/>
      <c r="BF2330" s="164"/>
      <c r="BG2330" s="76"/>
      <c r="BH2330" s="44"/>
      <c r="BI2330" s="275"/>
      <c r="BJ2330" s="52"/>
      <c r="BK2330" s="35"/>
      <c r="BL2330" s="79"/>
      <c r="BM2330" s="230"/>
      <c r="BN2330" s="211"/>
      <c r="BO2330" s="164"/>
      <c r="BP2330" s="76"/>
      <c r="BQ2330" s="44"/>
      <c r="BR2330" s="299"/>
      <c r="BS2330" s="52"/>
      <c r="BT2330" s="35"/>
      <c r="BU2330" s="79"/>
      <c r="BV2330" s="212"/>
      <c r="BW2330" s="304"/>
      <c r="BX2330" s="313"/>
      <c r="BY2330" s="138"/>
    </row>
    <row r="2331" spans="1:77" ht="15" customHeight="1" outlineLevel="1" x14ac:dyDescent="0.2">
      <c r="A2331" s="583" t="s">
        <v>37</v>
      </c>
      <c r="B2331" s="583"/>
      <c r="C2331" s="162" t="s">
        <v>1178</v>
      </c>
      <c r="D2331" s="812">
        <v>6.8929999999999998</v>
      </c>
      <c r="E2331" s="162" t="s">
        <v>631</v>
      </c>
      <c r="F2331" s="729"/>
      <c r="G2331" s="730"/>
      <c r="H2331" s="73"/>
      <c r="I2331" s="90">
        <v>2007</v>
      </c>
      <c r="J2331" s="73"/>
      <c r="K2331" s="734">
        <v>2.5519E-2</v>
      </c>
      <c r="L2331" s="717"/>
      <c r="M2331" s="73"/>
      <c r="N2331" s="811"/>
      <c r="O2331" s="1041"/>
      <c r="P2331" s="73"/>
      <c r="Q2331" s="811"/>
      <c r="R2331" s="1041"/>
      <c r="S2331" s="73"/>
      <c r="T2331" s="811"/>
      <c r="U2331" s="73"/>
      <c r="V2331" s="66"/>
      <c r="W2331" s="740">
        <f t="shared" si="2011"/>
        <v>1.02076E-5</v>
      </c>
      <c r="X2331" s="741">
        <f t="shared" si="2012"/>
        <v>1.02076E-5</v>
      </c>
      <c r="Y2331" s="52">
        <v>2007</v>
      </c>
      <c r="Z2331" s="52"/>
      <c r="AA2331" s="739">
        <f>+K2331/1000</f>
        <v>2.5519000000000001E-5</v>
      </c>
      <c r="AB2331" s="256">
        <v>-0.6</v>
      </c>
      <c r="AC2331" s="688">
        <f t="shared" si="2043"/>
        <v>-0.6</v>
      </c>
      <c r="AD2331" s="164"/>
      <c r="AE2331" s="164"/>
      <c r="AF2331" s="25"/>
      <c r="AG2331" s="26"/>
      <c r="AH2331" s="275"/>
      <c r="AI2331" s="52"/>
      <c r="AJ2331" s="35"/>
      <c r="AK2331" s="289"/>
      <c r="AL2331" s="290"/>
      <c r="AM2331" s="211"/>
      <c r="AN2331" s="164"/>
      <c r="AO2331" s="76"/>
      <c r="AP2331" s="44"/>
      <c r="AQ2331" s="275"/>
      <c r="AR2331" s="52"/>
      <c r="AS2331" s="35"/>
      <c r="AT2331" s="79"/>
      <c r="AU2331" s="212"/>
      <c r="AV2331" s="164"/>
      <c r="AW2331" s="164"/>
      <c r="AX2331" s="76"/>
      <c r="AY2331" s="44"/>
      <c r="AZ2331" s="275"/>
      <c r="BA2331" s="52"/>
      <c r="BB2331" s="35"/>
      <c r="BC2331" s="79"/>
      <c r="BD2331" s="230"/>
      <c r="BE2331" s="211"/>
      <c r="BF2331" s="164"/>
      <c r="BG2331" s="76"/>
      <c r="BH2331" s="44"/>
      <c r="BI2331" s="275"/>
      <c r="BJ2331" s="52"/>
      <c r="BK2331" s="35"/>
      <c r="BL2331" s="79"/>
      <c r="BM2331" s="230"/>
      <c r="BN2331" s="211"/>
      <c r="BO2331" s="164"/>
      <c r="BP2331" s="76"/>
      <c r="BQ2331" s="44"/>
      <c r="BR2331" s="299"/>
      <c r="BS2331" s="52"/>
      <c r="BT2331" s="35"/>
      <c r="BU2331" s="79"/>
      <c r="BV2331" s="212"/>
      <c r="BW2331" s="304"/>
      <c r="BX2331" s="313"/>
      <c r="BY2331" s="138"/>
    </row>
    <row r="2332" spans="1:77" ht="15" customHeight="1" outlineLevel="1" x14ac:dyDescent="0.2">
      <c r="A2332" s="583" t="s">
        <v>37</v>
      </c>
      <c r="B2332" s="583"/>
      <c r="C2332" s="162" t="s">
        <v>2427</v>
      </c>
      <c r="D2332" s="806">
        <v>0.40300000000000002</v>
      </c>
      <c r="E2332" s="162" t="s">
        <v>631</v>
      </c>
      <c r="F2332" s="729"/>
      <c r="G2332" s="730"/>
      <c r="H2332" s="73"/>
      <c r="I2332" s="90"/>
      <c r="J2332" s="73"/>
      <c r="K2332" s="734"/>
      <c r="L2332" s="717">
        <v>2011</v>
      </c>
      <c r="M2332" s="73"/>
      <c r="N2332" s="786">
        <v>1.738E-3</v>
      </c>
      <c r="O2332" s="1041"/>
      <c r="P2332" s="73"/>
      <c r="Q2332" s="811"/>
      <c r="R2332" s="1041"/>
      <c r="S2332" s="73"/>
      <c r="T2332" s="811"/>
      <c r="U2332" s="73"/>
      <c r="V2332" s="66"/>
      <c r="W2332" s="808">
        <f t="shared" ref="W2332" si="2044">AA2332*(1+AB2332)</f>
        <v>1.35564E-6</v>
      </c>
      <c r="X2332" s="809">
        <f t="shared" ref="X2332" si="2045">AA2332*(1+AC2332)</f>
        <v>1.35564E-6</v>
      </c>
      <c r="Y2332" s="52">
        <v>2011</v>
      </c>
      <c r="Z2332" s="52"/>
      <c r="AA2332" s="807">
        <f>+N2332/1000</f>
        <v>1.7379999999999999E-6</v>
      </c>
      <c r="AB2332" s="256">
        <v>-0.22</v>
      </c>
      <c r="AC2332" s="688">
        <f t="shared" ref="AC2332" si="2046">AB2332</f>
        <v>-0.22</v>
      </c>
      <c r="AD2332" s="164"/>
      <c r="AE2332" s="164"/>
      <c r="AF2332" s="25"/>
      <c r="AG2332" s="26"/>
      <c r="AH2332" s="275"/>
      <c r="AI2332" s="52"/>
      <c r="AJ2332" s="35"/>
      <c r="AK2332" s="289"/>
      <c r="AL2332" s="290"/>
      <c r="AM2332" s="211"/>
      <c r="AN2332" s="164"/>
      <c r="AO2332" s="76"/>
      <c r="AP2332" s="44"/>
      <c r="AQ2332" s="275"/>
      <c r="AR2332" s="52"/>
      <c r="AS2332" s="35"/>
      <c r="AT2332" s="79"/>
      <c r="AU2332" s="212"/>
      <c r="AV2332" s="164"/>
      <c r="AW2332" s="164"/>
      <c r="AX2332" s="76"/>
      <c r="AY2332" s="44"/>
      <c r="AZ2332" s="275"/>
      <c r="BA2332" s="52"/>
      <c r="BB2332" s="35"/>
      <c r="BC2332" s="79"/>
      <c r="BD2332" s="230"/>
      <c r="BE2332" s="211"/>
      <c r="BF2332" s="164"/>
      <c r="BG2332" s="76"/>
      <c r="BH2332" s="44"/>
      <c r="BI2332" s="275"/>
      <c r="BJ2332" s="52"/>
      <c r="BK2332" s="35"/>
      <c r="BL2332" s="79"/>
      <c r="BM2332" s="230"/>
      <c r="BN2332" s="211"/>
      <c r="BO2332" s="164"/>
      <c r="BP2332" s="76"/>
      <c r="BQ2332" s="44"/>
      <c r="BR2332" s="299"/>
      <c r="BS2332" s="52"/>
      <c r="BT2332" s="35"/>
      <c r="BU2332" s="79"/>
      <c r="BV2332" s="212"/>
      <c r="BW2332" s="304"/>
      <c r="BX2332" s="313"/>
      <c r="BY2332" s="138"/>
    </row>
    <row r="2333" spans="1:77" ht="15" customHeight="1" outlineLevel="1" x14ac:dyDescent="0.2">
      <c r="A2333" s="583" t="s">
        <v>37</v>
      </c>
      <c r="B2333" s="583"/>
      <c r="C2333" s="162" t="s">
        <v>1148</v>
      </c>
      <c r="D2333" s="806">
        <v>0.35299999999999998</v>
      </c>
      <c r="E2333" s="162" t="s">
        <v>631</v>
      </c>
      <c r="F2333" s="729"/>
      <c r="G2333" s="730"/>
      <c r="H2333" s="73"/>
      <c r="I2333" s="90">
        <v>2007</v>
      </c>
      <c r="J2333" s="73"/>
      <c r="K2333" s="790">
        <v>1.5809999999999999E-3</v>
      </c>
      <c r="L2333" s="717"/>
      <c r="M2333" s="73"/>
      <c r="N2333" s="738"/>
      <c r="O2333" s="1041"/>
      <c r="P2333" s="73"/>
      <c r="Q2333" s="738"/>
      <c r="R2333" s="1041"/>
      <c r="S2333" s="73"/>
      <c r="T2333" s="738"/>
      <c r="U2333" s="73"/>
      <c r="V2333" s="66"/>
      <c r="W2333" s="788">
        <f t="shared" si="2011"/>
        <v>1.07508E-6</v>
      </c>
      <c r="X2333" s="789">
        <f t="shared" si="2012"/>
        <v>1.07508E-6</v>
      </c>
      <c r="Y2333" s="52">
        <v>2007</v>
      </c>
      <c r="Z2333" s="52"/>
      <c r="AA2333" s="787">
        <f>+K2333/1000</f>
        <v>1.581E-6</v>
      </c>
      <c r="AB2333" s="256">
        <v>-0.32</v>
      </c>
      <c r="AC2333" s="688">
        <f t="shared" si="2043"/>
        <v>-0.32</v>
      </c>
      <c r="AD2333" s="164"/>
      <c r="AE2333" s="164"/>
      <c r="AF2333" s="25"/>
      <c r="AG2333" s="26"/>
      <c r="AH2333" s="275"/>
      <c r="AI2333" s="52"/>
      <c r="AJ2333" s="35"/>
      <c r="AK2333" s="289"/>
      <c r="AL2333" s="290"/>
      <c r="AM2333" s="211"/>
      <c r="AN2333" s="164"/>
      <c r="AO2333" s="76"/>
      <c r="AP2333" s="44"/>
      <c r="AQ2333" s="275"/>
      <c r="AR2333" s="52"/>
      <c r="AS2333" s="35"/>
      <c r="AT2333" s="79"/>
      <c r="AU2333" s="212"/>
      <c r="AV2333" s="164"/>
      <c r="AW2333" s="164"/>
      <c r="AX2333" s="76"/>
      <c r="AY2333" s="44"/>
      <c r="AZ2333" s="275"/>
      <c r="BA2333" s="52"/>
      <c r="BB2333" s="35"/>
      <c r="BC2333" s="79"/>
      <c r="BD2333" s="230"/>
      <c r="BE2333" s="211"/>
      <c r="BF2333" s="164"/>
      <c r="BG2333" s="76"/>
      <c r="BH2333" s="44"/>
      <c r="BI2333" s="275"/>
      <c r="BJ2333" s="52"/>
      <c r="BK2333" s="35"/>
      <c r="BL2333" s="79"/>
      <c r="BM2333" s="230"/>
      <c r="BN2333" s="211"/>
      <c r="BO2333" s="164"/>
      <c r="BP2333" s="76"/>
      <c r="BQ2333" s="44"/>
      <c r="BR2333" s="299"/>
      <c r="BS2333" s="52"/>
      <c r="BT2333" s="35"/>
      <c r="BU2333" s="79"/>
      <c r="BV2333" s="212"/>
      <c r="BW2333" s="304"/>
      <c r="BX2333" s="313"/>
      <c r="BY2333" s="138"/>
    </row>
    <row r="2334" spans="1:77" ht="15" customHeight="1" outlineLevel="1" x14ac:dyDescent="0.2">
      <c r="A2334" s="583" t="s">
        <v>37</v>
      </c>
      <c r="B2334" s="583"/>
      <c r="C2334" s="162" t="s">
        <v>1075</v>
      </c>
      <c r="D2334" s="812">
        <v>6.2309999999999999</v>
      </c>
      <c r="E2334" s="162" t="s">
        <v>631</v>
      </c>
      <c r="F2334" s="729"/>
      <c r="G2334" s="730"/>
      <c r="H2334" s="73"/>
      <c r="I2334" s="90"/>
      <c r="J2334" s="73"/>
      <c r="K2334" s="734">
        <v>2.8181000000000001E-2</v>
      </c>
      <c r="L2334" s="717"/>
      <c r="M2334" s="73"/>
      <c r="N2334" s="811"/>
      <c r="O2334" s="1041"/>
      <c r="P2334" s="73"/>
      <c r="Q2334" s="811"/>
      <c r="R2334" s="1041"/>
      <c r="S2334" s="73"/>
      <c r="T2334" s="811"/>
      <c r="U2334" s="73"/>
      <c r="V2334" s="66"/>
      <c r="W2334" s="788">
        <f t="shared" si="2011"/>
        <v>2.1135749999999998E-5</v>
      </c>
      <c r="X2334" s="789">
        <f t="shared" si="2012"/>
        <v>2.1135749999999998E-5</v>
      </c>
      <c r="Y2334" s="52">
        <v>2005</v>
      </c>
      <c r="Z2334" s="52"/>
      <c r="AA2334" s="787">
        <f>+K2334/1000</f>
        <v>2.8181E-5</v>
      </c>
      <c r="AB2334" s="256">
        <v>-0.25</v>
      </c>
      <c r="AC2334" s="688">
        <f t="shared" si="2043"/>
        <v>-0.25</v>
      </c>
      <c r="AD2334" s="164"/>
      <c r="AE2334" s="164"/>
      <c r="AF2334" s="25"/>
      <c r="AG2334" s="26"/>
      <c r="AH2334" s="275"/>
      <c r="AI2334" s="52"/>
      <c r="AJ2334" s="35"/>
      <c r="AK2334" s="289"/>
      <c r="AL2334" s="290"/>
      <c r="AM2334" s="211"/>
      <c r="AN2334" s="164"/>
      <c r="AO2334" s="76"/>
      <c r="AP2334" s="44"/>
      <c r="AQ2334" s="275"/>
      <c r="AR2334" s="52"/>
      <c r="AS2334" s="35"/>
      <c r="AT2334" s="79"/>
      <c r="AU2334" s="212"/>
      <c r="AV2334" s="164"/>
      <c r="AW2334" s="164"/>
      <c r="AX2334" s="76"/>
      <c r="AY2334" s="44"/>
      <c r="AZ2334" s="275"/>
      <c r="BA2334" s="52"/>
      <c r="BB2334" s="35"/>
      <c r="BC2334" s="79"/>
      <c r="BD2334" s="230"/>
      <c r="BE2334" s="211"/>
      <c r="BF2334" s="164"/>
      <c r="BG2334" s="76"/>
      <c r="BH2334" s="44"/>
      <c r="BI2334" s="275"/>
      <c r="BJ2334" s="52"/>
      <c r="BK2334" s="35"/>
      <c r="BL2334" s="79"/>
      <c r="BM2334" s="230"/>
      <c r="BN2334" s="211"/>
      <c r="BO2334" s="164"/>
      <c r="BP2334" s="76"/>
      <c r="BQ2334" s="44"/>
      <c r="BR2334" s="299"/>
      <c r="BS2334" s="52"/>
      <c r="BT2334" s="35"/>
      <c r="BU2334" s="79"/>
      <c r="BV2334" s="212"/>
      <c r="BW2334" s="304"/>
      <c r="BX2334" s="313"/>
      <c r="BY2334" s="138"/>
    </row>
    <row r="2335" spans="1:77" ht="15" customHeight="1" outlineLevel="1" x14ac:dyDescent="0.2">
      <c r="A2335" s="583" t="s">
        <v>37</v>
      </c>
      <c r="B2335" s="583"/>
      <c r="C2335" s="162" t="s">
        <v>1179</v>
      </c>
      <c r="D2335" s="812">
        <v>4.1980000000000004</v>
      </c>
      <c r="E2335" s="162" t="s">
        <v>631</v>
      </c>
      <c r="F2335" s="729"/>
      <c r="G2335" s="730"/>
      <c r="H2335" s="73"/>
      <c r="I2335" s="90">
        <v>2007</v>
      </c>
      <c r="J2335" s="73"/>
      <c r="K2335" s="734">
        <v>1.9200999999999999E-2</v>
      </c>
      <c r="L2335" s="717"/>
      <c r="M2335" s="73"/>
      <c r="N2335" s="811"/>
      <c r="O2335" s="1041"/>
      <c r="P2335" s="73"/>
      <c r="Q2335" s="811"/>
      <c r="R2335" s="1041"/>
      <c r="S2335" s="73"/>
      <c r="T2335" s="811"/>
      <c r="U2335" s="73"/>
      <c r="V2335" s="66"/>
      <c r="W2335" s="740">
        <f t="shared" si="2011"/>
        <v>1.4400749999999999E-5</v>
      </c>
      <c r="X2335" s="741">
        <f t="shared" si="2012"/>
        <v>1.4400749999999999E-5</v>
      </c>
      <c r="Y2335" s="52">
        <v>2007</v>
      </c>
      <c r="Z2335" s="52"/>
      <c r="AA2335" s="739">
        <f>+K2335/1000</f>
        <v>1.9200999999999998E-5</v>
      </c>
      <c r="AB2335" s="256">
        <v>-0.25</v>
      </c>
      <c r="AC2335" s="688">
        <f t="shared" si="2043"/>
        <v>-0.25</v>
      </c>
      <c r="AD2335" s="164"/>
      <c r="AE2335" s="164"/>
      <c r="AF2335" s="25"/>
      <c r="AG2335" s="26"/>
      <c r="AH2335" s="275"/>
      <c r="AI2335" s="52"/>
      <c r="AJ2335" s="35"/>
      <c r="AK2335" s="289"/>
      <c r="AL2335" s="290"/>
      <c r="AM2335" s="211"/>
      <c r="AN2335" s="164"/>
      <c r="AO2335" s="76"/>
      <c r="AP2335" s="44"/>
      <c r="AQ2335" s="275"/>
      <c r="AR2335" s="52"/>
      <c r="AS2335" s="35"/>
      <c r="AT2335" s="79"/>
      <c r="AU2335" s="212"/>
      <c r="AV2335" s="164"/>
      <c r="AW2335" s="164"/>
      <c r="AX2335" s="76"/>
      <c r="AY2335" s="44"/>
      <c r="AZ2335" s="275"/>
      <c r="BA2335" s="52"/>
      <c r="BB2335" s="35"/>
      <c r="BC2335" s="79"/>
      <c r="BD2335" s="230"/>
      <c r="BE2335" s="211"/>
      <c r="BF2335" s="164"/>
      <c r="BG2335" s="76"/>
      <c r="BH2335" s="44"/>
      <c r="BI2335" s="275"/>
      <c r="BJ2335" s="52"/>
      <c r="BK2335" s="35"/>
      <c r="BL2335" s="79"/>
      <c r="BM2335" s="230"/>
      <c r="BN2335" s="211"/>
      <c r="BO2335" s="164"/>
      <c r="BP2335" s="76"/>
      <c r="BQ2335" s="44"/>
      <c r="BR2335" s="299"/>
      <c r="BS2335" s="52"/>
      <c r="BT2335" s="35"/>
      <c r="BU2335" s="79"/>
      <c r="BV2335" s="212"/>
      <c r="BW2335" s="304"/>
      <c r="BX2335" s="313"/>
      <c r="BY2335" s="138"/>
    </row>
    <row r="2336" spans="1:77" ht="15" customHeight="1" outlineLevel="1" x14ac:dyDescent="0.2">
      <c r="A2336" s="583" t="s">
        <v>37</v>
      </c>
      <c r="B2336" s="583"/>
      <c r="C2336" s="162" t="s">
        <v>2428</v>
      </c>
      <c r="D2336" s="806">
        <v>7.9000000000000001E-2</v>
      </c>
      <c r="E2336" s="162" t="s">
        <v>631</v>
      </c>
      <c r="F2336" s="729"/>
      <c r="G2336" s="730"/>
      <c r="H2336" s="73"/>
      <c r="I2336" s="90"/>
      <c r="J2336" s="73"/>
      <c r="K2336" s="734"/>
      <c r="L2336" s="717">
        <v>2012</v>
      </c>
      <c r="M2336" s="73"/>
      <c r="N2336" s="811">
        <v>5.7897299999999999E-4</v>
      </c>
      <c r="O2336" s="1041"/>
      <c r="P2336" s="73"/>
      <c r="Q2336" s="811"/>
      <c r="R2336" s="1041"/>
      <c r="S2336" s="73"/>
      <c r="T2336" s="811"/>
      <c r="U2336" s="73"/>
      <c r="V2336" s="66"/>
      <c r="W2336" s="808">
        <f t="shared" ref="W2336" si="2047">AA2336*(1+AB2336)</f>
        <v>4.4580920999999999E-7</v>
      </c>
      <c r="X2336" s="809">
        <f t="shared" ref="X2336" si="2048">AA2336*(1+AC2336)</f>
        <v>4.4580920999999999E-7</v>
      </c>
      <c r="Y2336" s="52">
        <v>2010</v>
      </c>
      <c r="Z2336" s="52"/>
      <c r="AA2336" s="807">
        <f>+N2336/1000</f>
        <v>5.7897299999999998E-7</v>
      </c>
      <c r="AB2336" s="256">
        <v>-0.23</v>
      </c>
      <c r="AC2336" s="688">
        <f t="shared" ref="AC2336" si="2049">AB2336</f>
        <v>-0.23</v>
      </c>
      <c r="AD2336" s="164"/>
      <c r="AE2336" s="164"/>
      <c r="AF2336" s="25"/>
      <c r="AG2336" s="26"/>
      <c r="AH2336" s="275"/>
      <c r="AI2336" s="52"/>
      <c r="AJ2336" s="35"/>
      <c r="AK2336" s="289"/>
      <c r="AL2336" s="290"/>
      <c r="AM2336" s="211"/>
      <c r="AN2336" s="164"/>
      <c r="AO2336" s="76"/>
      <c r="AP2336" s="44"/>
      <c r="AQ2336" s="275"/>
      <c r="AR2336" s="52"/>
      <c r="AS2336" s="35"/>
      <c r="AT2336" s="79"/>
      <c r="AU2336" s="212"/>
      <c r="AV2336" s="164"/>
      <c r="AW2336" s="164"/>
      <c r="AX2336" s="76"/>
      <c r="AY2336" s="44"/>
      <c r="AZ2336" s="275"/>
      <c r="BA2336" s="52"/>
      <c r="BB2336" s="35"/>
      <c r="BC2336" s="79"/>
      <c r="BD2336" s="230"/>
      <c r="BE2336" s="211"/>
      <c r="BF2336" s="164"/>
      <c r="BG2336" s="76"/>
      <c r="BH2336" s="44"/>
      <c r="BI2336" s="275"/>
      <c r="BJ2336" s="52"/>
      <c r="BK2336" s="35"/>
      <c r="BL2336" s="79"/>
      <c r="BM2336" s="230"/>
      <c r="BN2336" s="211"/>
      <c r="BO2336" s="164"/>
      <c r="BP2336" s="76"/>
      <c r="BQ2336" s="44"/>
      <c r="BR2336" s="299"/>
      <c r="BS2336" s="52"/>
      <c r="BT2336" s="35"/>
      <c r="BU2336" s="79"/>
      <c r="BV2336" s="212"/>
      <c r="BW2336" s="304"/>
      <c r="BX2336" s="313"/>
      <c r="BY2336" s="138"/>
    </row>
    <row r="2337" spans="1:77" ht="15" customHeight="1" outlineLevel="1" x14ac:dyDescent="0.2">
      <c r="A2337" s="583" t="s">
        <v>37</v>
      </c>
      <c r="B2337" s="583"/>
      <c r="C2337" s="162" t="s">
        <v>464</v>
      </c>
      <c r="D2337" s="728">
        <v>810.06399999999996</v>
      </c>
      <c r="E2337" s="162" t="s">
        <v>631</v>
      </c>
      <c r="F2337" s="729"/>
      <c r="G2337" s="730"/>
      <c r="H2337" s="73"/>
      <c r="I2337" s="90">
        <v>2007</v>
      </c>
      <c r="J2337" s="73"/>
      <c r="K2337" s="734">
        <v>3.1379999999999999</v>
      </c>
      <c r="L2337" s="717"/>
      <c r="M2337" s="73"/>
      <c r="N2337" s="359"/>
      <c r="O2337" s="1041"/>
      <c r="P2337" s="73"/>
      <c r="Q2337" s="359"/>
      <c r="R2337" s="1041"/>
      <c r="S2337" s="73"/>
      <c r="T2337" s="359"/>
      <c r="U2337" s="73"/>
      <c r="V2337" s="66"/>
      <c r="W2337" s="740">
        <f t="shared" ref="W2337:W2338" si="2050">AA2337*(1+AB2337)</f>
        <v>2.5103999999999999E-3</v>
      </c>
      <c r="X2337" s="741">
        <f t="shared" ref="X2337:X2338" si="2051">AA2337*(1+AC2337)</f>
        <v>2.5103999999999999E-3</v>
      </c>
      <c r="Y2337" s="52">
        <v>2007</v>
      </c>
      <c r="Z2337" s="52"/>
      <c r="AA2337" s="739">
        <f>+K2337/1000</f>
        <v>3.1379999999999997E-3</v>
      </c>
      <c r="AB2337" s="256">
        <v>-0.2</v>
      </c>
      <c r="AC2337" s="731">
        <f t="shared" si="2043"/>
        <v>-0.2</v>
      </c>
      <c r="AD2337" s="164"/>
      <c r="AE2337" s="164"/>
      <c r="AF2337" s="25"/>
      <c r="AG2337" s="26"/>
      <c r="AH2337" s="275"/>
      <c r="AI2337" s="52"/>
      <c r="AJ2337" s="35"/>
      <c r="AK2337" s="289"/>
      <c r="AL2337" s="290"/>
      <c r="AM2337" s="211"/>
      <c r="AN2337" s="164"/>
      <c r="AO2337" s="76"/>
      <c r="AP2337" s="44"/>
      <c r="AQ2337" s="275"/>
      <c r="AR2337" s="52"/>
      <c r="AS2337" s="35"/>
      <c r="AT2337" s="79"/>
      <c r="AU2337" s="212"/>
      <c r="AV2337" s="164"/>
      <c r="AW2337" s="164"/>
      <c r="AX2337" s="76"/>
      <c r="AY2337" s="44"/>
      <c r="AZ2337" s="275"/>
      <c r="BA2337" s="52"/>
      <c r="BB2337" s="35"/>
      <c r="BC2337" s="79"/>
      <c r="BD2337" s="230"/>
      <c r="BE2337" s="211"/>
      <c r="BF2337" s="164"/>
      <c r="BG2337" s="76"/>
      <c r="BH2337" s="44"/>
      <c r="BI2337" s="275"/>
      <c r="BJ2337" s="52"/>
      <c r="BK2337" s="35"/>
      <c r="BL2337" s="79"/>
      <c r="BM2337" s="230"/>
      <c r="BN2337" s="211"/>
      <c r="BO2337" s="164"/>
      <c r="BP2337" s="76"/>
      <c r="BQ2337" s="44"/>
      <c r="BR2337" s="299"/>
      <c r="BS2337" s="52"/>
      <c r="BT2337" s="35"/>
      <c r="BU2337" s="79"/>
      <c r="BV2337" s="212"/>
      <c r="BW2337" s="304"/>
      <c r="BX2337" s="313" t="s">
        <v>465</v>
      </c>
      <c r="BY2337" s="138"/>
    </row>
    <row r="2338" spans="1:77" ht="15" customHeight="1" outlineLevel="1" x14ac:dyDescent="0.2">
      <c r="A2338" s="583" t="s">
        <v>37</v>
      </c>
      <c r="B2338" s="583"/>
      <c r="C2338" s="162" t="s">
        <v>2429</v>
      </c>
      <c r="D2338" s="806">
        <v>0.106</v>
      </c>
      <c r="E2338" s="162" t="s">
        <v>631</v>
      </c>
      <c r="F2338" s="729"/>
      <c r="G2338" s="730"/>
      <c r="H2338" s="73"/>
      <c r="I2338" s="90"/>
      <c r="J2338" s="73"/>
      <c r="K2338" s="734"/>
      <c r="L2338" s="717"/>
      <c r="M2338" s="73"/>
      <c r="N2338" s="811">
        <v>1.5941999999999999E-4</v>
      </c>
      <c r="O2338" s="1041"/>
      <c r="P2338" s="73"/>
      <c r="Q2338" s="359"/>
      <c r="R2338" s="1041"/>
      <c r="S2338" s="73"/>
      <c r="T2338" s="359"/>
      <c r="U2338" s="73"/>
      <c r="V2338" s="66"/>
      <c r="W2338" s="808">
        <f t="shared" si="2050"/>
        <v>1.2594179999999999E-7</v>
      </c>
      <c r="X2338" s="809">
        <f t="shared" si="2051"/>
        <v>1.2594179999999999E-7</v>
      </c>
      <c r="Y2338" s="52">
        <v>2010</v>
      </c>
      <c r="Z2338" s="52"/>
      <c r="AA2338" s="807">
        <f>+N2338/1000</f>
        <v>1.5941999999999998E-7</v>
      </c>
      <c r="AB2338" s="256">
        <v>-0.21</v>
      </c>
      <c r="AC2338" s="688">
        <f t="shared" si="2043"/>
        <v>-0.21</v>
      </c>
      <c r="AD2338" s="164"/>
      <c r="AE2338" s="164"/>
      <c r="AF2338" s="25"/>
      <c r="AG2338" s="26"/>
      <c r="AH2338" s="275"/>
      <c r="AI2338" s="52"/>
      <c r="AJ2338" s="35"/>
      <c r="AK2338" s="289"/>
      <c r="AL2338" s="290"/>
      <c r="AM2338" s="211"/>
      <c r="AN2338" s="164"/>
      <c r="AO2338" s="76"/>
      <c r="AP2338" s="44"/>
      <c r="AQ2338" s="275"/>
      <c r="AR2338" s="52"/>
      <c r="AS2338" s="35"/>
      <c r="AT2338" s="79"/>
      <c r="AU2338" s="212"/>
      <c r="AV2338" s="164"/>
      <c r="AW2338" s="164"/>
      <c r="AX2338" s="76"/>
      <c r="AY2338" s="44"/>
      <c r="AZ2338" s="275"/>
      <c r="BA2338" s="52"/>
      <c r="BB2338" s="35"/>
      <c r="BC2338" s="79"/>
      <c r="BD2338" s="230"/>
      <c r="BE2338" s="211"/>
      <c r="BF2338" s="164"/>
      <c r="BG2338" s="76"/>
      <c r="BH2338" s="44"/>
      <c r="BI2338" s="275"/>
      <c r="BJ2338" s="52"/>
      <c r="BK2338" s="35"/>
      <c r="BL2338" s="79"/>
      <c r="BM2338" s="230"/>
      <c r="BN2338" s="211"/>
      <c r="BO2338" s="164"/>
      <c r="BP2338" s="76"/>
      <c r="BQ2338" s="44"/>
      <c r="BR2338" s="299"/>
      <c r="BS2338" s="52"/>
      <c r="BT2338" s="35"/>
      <c r="BU2338" s="79"/>
      <c r="BV2338" s="212"/>
      <c r="BW2338" s="304"/>
      <c r="BX2338" s="313"/>
      <c r="BY2338" s="138"/>
    </row>
    <row r="2339" spans="1:77" ht="15" customHeight="1" outlineLevel="1" x14ac:dyDescent="0.2">
      <c r="A2339" s="583" t="s">
        <v>37</v>
      </c>
      <c r="B2339" s="583"/>
      <c r="C2339" s="162" t="s">
        <v>2430</v>
      </c>
      <c r="D2339" s="806">
        <v>0.16400000000000001</v>
      </c>
      <c r="E2339" s="162" t="s">
        <v>631</v>
      </c>
      <c r="F2339" s="729"/>
      <c r="G2339" s="730"/>
      <c r="H2339" s="73"/>
      <c r="I2339" s="90"/>
      <c r="J2339" s="73"/>
      <c r="K2339" s="734"/>
      <c r="L2339" s="717"/>
      <c r="M2339" s="73"/>
      <c r="N2339" s="811">
        <v>3.2585999999999997E-4</v>
      </c>
      <c r="O2339" s="1041"/>
      <c r="P2339" s="73"/>
      <c r="Q2339" s="359"/>
      <c r="R2339" s="1041"/>
      <c r="S2339" s="73"/>
      <c r="T2339" s="359"/>
      <c r="U2339" s="73"/>
      <c r="V2339" s="66"/>
      <c r="W2339" s="808">
        <f t="shared" ref="W2339:W2340" si="2052">AA2339*(1+AB2339)</f>
        <v>2.509122E-7</v>
      </c>
      <c r="X2339" s="809">
        <f t="shared" ref="X2339:X2340" si="2053">AA2339*(1+AC2339)</f>
        <v>2.509122E-7</v>
      </c>
      <c r="Y2339" s="52">
        <v>2010</v>
      </c>
      <c r="Z2339" s="52"/>
      <c r="AA2339" s="807">
        <f>+N2339/1000</f>
        <v>3.2585999999999998E-7</v>
      </c>
      <c r="AB2339" s="256">
        <v>-0.23</v>
      </c>
      <c r="AC2339" s="688">
        <f t="shared" ref="AC2339:AC2340" si="2054">AB2339</f>
        <v>-0.23</v>
      </c>
      <c r="AD2339" s="164"/>
      <c r="AE2339" s="164"/>
      <c r="AF2339" s="25"/>
      <c r="AG2339" s="26"/>
      <c r="AH2339" s="275"/>
      <c r="AI2339" s="52"/>
      <c r="AJ2339" s="35"/>
      <c r="AK2339" s="289"/>
      <c r="AL2339" s="290"/>
      <c r="AM2339" s="211"/>
      <c r="AN2339" s="164"/>
      <c r="AO2339" s="76"/>
      <c r="AP2339" s="44"/>
      <c r="AQ2339" s="275"/>
      <c r="AR2339" s="52"/>
      <c r="AS2339" s="35"/>
      <c r="AT2339" s="79"/>
      <c r="AU2339" s="212"/>
      <c r="AV2339" s="164"/>
      <c r="AW2339" s="164"/>
      <c r="AX2339" s="76"/>
      <c r="AY2339" s="44"/>
      <c r="AZ2339" s="275"/>
      <c r="BA2339" s="52"/>
      <c r="BB2339" s="35"/>
      <c r="BC2339" s="79"/>
      <c r="BD2339" s="230"/>
      <c r="BE2339" s="211"/>
      <c r="BF2339" s="164"/>
      <c r="BG2339" s="76"/>
      <c r="BH2339" s="44"/>
      <c r="BI2339" s="275"/>
      <c r="BJ2339" s="52"/>
      <c r="BK2339" s="35"/>
      <c r="BL2339" s="79"/>
      <c r="BM2339" s="230"/>
      <c r="BN2339" s="211"/>
      <c r="BO2339" s="164"/>
      <c r="BP2339" s="76"/>
      <c r="BQ2339" s="44"/>
      <c r="BR2339" s="299"/>
      <c r="BS2339" s="52"/>
      <c r="BT2339" s="35"/>
      <c r="BU2339" s="79"/>
      <c r="BV2339" s="212"/>
      <c r="BW2339" s="304"/>
      <c r="BX2339" s="313"/>
      <c r="BY2339" s="138"/>
    </row>
    <row r="2340" spans="1:77" ht="15" customHeight="1" outlineLevel="1" x14ac:dyDescent="0.2">
      <c r="A2340" s="583" t="s">
        <v>37</v>
      </c>
      <c r="B2340" s="583"/>
      <c r="C2340" s="162" t="s">
        <v>2708</v>
      </c>
      <c r="D2340" s="806">
        <v>4.9729999999999999</v>
      </c>
      <c r="E2340" s="162" t="s">
        <v>631</v>
      </c>
      <c r="F2340" s="729"/>
      <c r="G2340" s="730"/>
      <c r="H2340" s="73"/>
      <c r="I2340" s="90"/>
      <c r="J2340" s="73"/>
      <c r="K2340" s="734">
        <v>2.2426999999999999E-2</v>
      </c>
      <c r="L2340" s="717"/>
      <c r="M2340" s="73"/>
      <c r="N2340" s="811"/>
      <c r="O2340" s="1041"/>
      <c r="P2340" s="73"/>
      <c r="Q2340" s="359"/>
      <c r="R2340" s="1041"/>
      <c r="S2340" s="73"/>
      <c r="T2340" s="359"/>
      <c r="U2340" s="73"/>
      <c r="V2340" s="66"/>
      <c r="W2340" s="788">
        <f t="shared" si="2052"/>
        <v>1.12135E-5</v>
      </c>
      <c r="X2340" s="789">
        <f t="shared" si="2053"/>
        <v>1.12135E-5</v>
      </c>
      <c r="Y2340" s="52">
        <v>2005</v>
      </c>
      <c r="Z2340" s="52"/>
      <c r="AA2340" s="787">
        <f>+K2340/1000</f>
        <v>2.2427000000000001E-5</v>
      </c>
      <c r="AB2340" s="256">
        <v>-0.5</v>
      </c>
      <c r="AC2340" s="688">
        <f t="shared" si="2054"/>
        <v>-0.5</v>
      </c>
      <c r="AD2340" s="164"/>
      <c r="AE2340" s="164"/>
      <c r="AF2340" s="25"/>
      <c r="AG2340" s="26"/>
      <c r="AH2340" s="275"/>
      <c r="AI2340" s="52"/>
      <c r="AJ2340" s="35"/>
      <c r="AK2340" s="289"/>
      <c r="AL2340" s="290"/>
      <c r="AM2340" s="211"/>
      <c r="AN2340" s="164"/>
      <c r="AO2340" s="76"/>
      <c r="AP2340" s="44"/>
      <c r="AQ2340" s="275"/>
      <c r="AR2340" s="52"/>
      <c r="AS2340" s="35"/>
      <c r="AT2340" s="79"/>
      <c r="AU2340" s="212"/>
      <c r="AV2340" s="164"/>
      <c r="AW2340" s="164"/>
      <c r="AX2340" s="76"/>
      <c r="AY2340" s="44"/>
      <c r="AZ2340" s="275"/>
      <c r="BA2340" s="52"/>
      <c r="BB2340" s="35"/>
      <c r="BC2340" s="79"/>
      <c r="BD2340" s="230"/>
      <c r="BE2340" s="211"/>
      <c r="BF2340" s="164"/>
      <c r="BG2340" s="76"/>
      <c r="BH2340" s="44"/>
      <c r="BI2340" s="275"/>
      <c r="BJ2340" s="52"/>
      <c r="BK2340" s="35"/>
      <c r="BL2340" s="79"/>
      <c r="BM2340" s="230"/>
      <c r="BN2340" s="211"/>
      <c r="BO2340" s="164"/>
      <c r="BP2340" s="76"/>
      <c r="BQ2340" s="44"/>
      <c r="BR2340" s="299"/>
      <c r="BS2340" s="52"/>
      <c r="BT2340" s="35"/>
      <c r="BU2340" s="79"/>
      <c r="BV2340" s="212"/>
      <c r="BW2340" s="304"/>
      <c r="BX2340" s="313"/>
      <c r="BY2340" s="138"/>
    </row>
    <row r="2341" spans="1:77" ht="15" customHeight="1" outlineLevel="1" x14ac:dyDescent="0.2">
      <c r="A2341" s="583" t="s">
        <v>37</v>
      </c>
      <c r="B2341" s="583"/>
      <c r="C2341" s="162" t="s">
        <v>988</v>
      </c>
      <c r="D2341" s="806">
        <v>0.245</v>
      </c>
      <c r="E2341" s="162" t="s">
        <v>631</v>
      </c>
      <c r="F2341" s="729"/>
      <c r="G2341" s="730"/>
      <c r="H2341" s="73"/>
      <c r="I2341" s="90"/>
      <c r="J2341" s="73"/>
      <c r="K2341" s="66"/>
      <c r="L2341" s="717"/>
      <c r="M2341" s="73"/>
      <c r="N2341" s="811">
        <v>5.3189999999999997E-4</v>
      </c>
      <c r="O2341" s="1041"/>
      <c r="P2341" s="73"/>
      <c r="Q2341" s="811"/>
      <c r="R2341" s="1041"/>
      <c r="S2341" s="73"/>
      <c r="T2341" s="811"/>
      <c r="U2341" s="73"/>
      <c r="V2341" s="66"/>
      <c r="W2341" s="808">
        <f t="shared" ref="W2341:W2349" si="2055">AA2341*(1+AB2341)</f>
        <v>3.9360599999999993E-7</v>
      </c>
      <c r="X2341" s="809">
        <f t="shared" ref="X2341:X2349" si="2056">AA2341*(1+AC2341)</f>
        <v>3.9360599999999993E-7</v>
      </c>
      <c r="Y2341" s="52">
        <v>2010</v>
      </c>
      <c r="Z2341" s="52"/>
      <c r="AA2341" s="807">
        <f>+N2341/1000</f>
        <v>5.3189999999999994E-7</v>
      </c>
      <c r="AB2341" s="256">
        <v>-0.26</v>
      </c>
      <c r="AC2341" s="688">
        <f t="shared" ref="AC2341:AC2349" si="2057">AB2341</f>
        <v>-0.26</v>
      </c>
      <c r="AD2341" s="164"/>
      <c r="AE2341" s="164"/>
      <c r="AF2341" s="25"/>
      <c r="AG2341" s="26"/>
      <c r="AH2341" s="275"/>
      <c r="AI2341" s="52"/>
      <c r="AJ2341" s="35"/>
      <c r="AK2341" s="289"/>
      <c r="AL2341" s="290"/>
      <c r="AM2341" s="211"/>
      <c r="AN2341" s="164"/>
      <c r="AO2341" s="76"/>
      <c r="AP2341" s="44"/>
      <c r="AQ2341" s="275"/>
      <c r="AR2341" s="52"/>
      <c r="AS2341" s="35"/>
      <c r="AT2341" s="79"/>
      <c r="AU2341" s="212"/>
      <c r="AV2341" s="164"/>
      <c r="AW2341" s="164"/>
      <c r="AX2341" s="76"/>
      <c r="AY2341" s="44"/>
      <c r="AZ2341" s="275"/>
      <c r="BA2341" s="52"/>
      <c r="BB2341" s="35"/>
      <c r="BC2341" s="79"/>
      <c r="BD2341" s="230"/>
      <c r="BE2341" s="211"/>
      <c r="BF2341" s="164"/>
      <c r="BG2341" s="76"/>
      <c r="BH2341" s="44"/>
      <c r="BI2341" s="275"/>
      <c r="BJ2341" s="52"/>
      <c r="BK2341" s="35"/>
      <c r="BL2341" s="79"/>
      <c r="BM2341" s="230"/>
      <c r="BN2341" s="211"/>
      <c r="BO2341" s="164"/>
      <c r="BP2341" s="76"/>
      <c r="BQ2341" s="44"/>
      <c r="BR2341" s="299"/>
      <c r="BS2341" s="52"/>
      <c r="BT2341" s="35"/>
      <c r="BU2341" s="79"/>
      <c r="BV2341" s="212"/>
      <c r="BW2341" s="304"/>
      <c r="BX2341" s="313"/>
      <c r="BY2341" s="138"/>
    </row>
    <row r="2342" spans="1:77" ht="15" customHeight="1" outlineLevel="1" x14ac:dyDescent="0.2">
      <c r="A2342" s="583" t="s">
        <v>37</v>
      </c>
      <c r="B2342" s="583"/>
      <c r="C2342" s="162" t="s">
        <v>1251</v>
      </c>
      <c r="D2342" s="812">
        <v>0.80100000000000005</v>
      </c>
      <c r="E2342" s="162" t="s">
        <v>631</v>
      </c>
      <c r="F2342" s="729"/>
      <c r="G2342" s="730"/>
      <c r="H2342" s="73"/>
      <c r="I2342" s="90"/>
      <c r="J2342" s="73"/>
      <c r="K2342" s="734">
        <v>5.274E-3</v>
      </c>
      <c r="L2342" s="717"/>
      <c r="M2342" s="73"/>
      <c r="N2342" s="811"/>
      <c r="O2342" s="1041"/>
      <c r="P2342" s="73"/>
      <c r="Q2342" s="811"/>
      <c r="R2342" s="1041"/>
      <c r="S2342" s="73"/>
      <c r="T2342" s="811"/>
      <c r="U2342" s="73"/>
      <c r="V2342" s="66"/>
      <c r="W2342" s="788">
        <f t="shared" si="2055"/>
        <v>3.9554999999999997E-6</v>
      </c>
      <c r="X2342" s="789">
        <f t="shared" si="2056"/>
        <v>3.9554999999999997E-6</v>
      </c>
      <c r="Y2342" s="52">
        <v>2005</v>
      </c>
      <c r="Z2342" s="52"/>
      <c r="AA2342" s="787">
        <f>+K2342/1000</f>
        <v>5.2739999999999998E-6</v>
      </c>
      <c r="AB2342" s="256">
        <v>-0.25</v>
      </c>
      <c r="AC2342" s="688">
        <f t="shared" si="2057"/>
        <v>-0.25</v>
      </c>
      <c r="AD2342" s="164"/>
      <c r="AE2342" s="164"/>
      <c r="AF2342" s="25"/>
      <c r="AG2342" s="26"/>
      <c r="AH2342" s="275"/>
      <c r="AI2342" s="52"/>
      <c r="AJ2342" s="35"/>
      <c r="AK2342" s="289"/>
      <c r="AL2342" s="290"/>
      <c r="AM2342" s="211"/>
      <c r="AN2342" s="164"/>
      <c r="AO2342" s="76"/>
      <c r="AP2342" s="44"/>
      <c r="AQ2342" s="275"/>
      <c r="AR2342" s="52"/>
      <c r="AS2342" s="35"/>
      <c r="AT2342" s="79"/>
      <c r="AU2342" s="212"/>
      <c r="AV2342" s="164"/>
      <c r="AW2342" s="164"/>
      <c r="AX2342" s="76"/>
      <c r="AY2342" s="44"/>
      <c r="AZ2342" s="275"/>
      <c r="BA2342" s="52"/>
      <c r="BB2342" s="35"/>
      <c r="BC2342" s="79"/>
      <c r="BD2342" s="230"/>
      <c r="BE2342" s="211"/>
      <c r="BF2342" s="164"/>
      <c r="BG2342" s="76"/>
      <c r="BH2342" s="44"/>
      <c r="BI2342" s="275"/>
      <c r="BJ2342" s="52"/>
      <c r="BK2342" s="35"/>
      <c r="BL2342" s="79"/>
      <c r="BM2342" s="230"/>
      <c r="BN2342" s="211"/>
      <c r="BO2342" s="164"/>
      <c r="BP2342" s="76"/>
      <c r="BQ2342" s="44"/>
      <c r="BR2342" s="299"/>
      <c r="BS2342" s="52"/>
      <c r="BT2342" s="35"/>
      <c r="BU2342" s="79"/>
      <c r="BV2342" s="212"/>
      <c r="BW2342" s="304"/>
      <c r="BX2342" s="313"/>
      <c r="BY2342" s="138"/>
    </row>
    <row r="2343" spans="1:77" ht="15" customHeight="1" outlineLevel="1" x14ac:dyDescent="0.2">
      <c r="A2343" s="583" t="s">
        <v>37</v>
      </c>
      <c r="B2343" s="583"/>
      <c r="C2343" s="162" t="s">
        <v>1180</v>
      </c>
      <c r="D2343" s="812">
        <v>4.2</v>
      </c>
      <c r="E2343" s="162" t="s">
        <v>631</v>
      </c>
      <c r="F2343" s="729"/>
      <c r="G2343" s="730"/>
      <c r="H2343" s="73"/>
      <c r="I2343" s="90">
        <v>2007</v>
      </c>
      <c r="J2343" s="73"/>
      <c r="K2343" s="734">
        <v>2.6749999999999999E-2</v>
      </c>
      <c r="L2343" s="717"/>
      <c r="M2343" s="73"/>
      <c r="N2343" s="811"/>
      <c r="O2343" s="1041"/>
      <c r="P2343" s="73"/>
      <c r="Q2343" s="811"/>
      <c r="R2343" s="1041"/>
      <c r="S2343" s="73"/>
      <c r="T2343" s="811"/>
      <c r="U2343" s="73"/>
      <c r="V2343" s="66"/>
      <c r="W2343" s="740">
        <f t="shared" si="2055"/>
        <v>1.605E-5</v>
      </c>
      <c r="X2343" s="741">
        <f t="shared" si="2056"/>
        <v>1.605E-5</v>
      </c>
      <c r="Y2343" s="52">
        <v>2007</v>
      </c>
      <c r="Z2343" s="52"/>
      <c r="AA2343" s="739">
        <f>+K2343/1000</f>
        <v>2.675E-5</v>
      </c>
      <c r="AB2343" s="256">
        <v>-0.4</v>
      </c>
      <c r="AC2343" s="688">
        <f t="shared" si="2057"/>
        <v>-0.4</v>
      </c>
      <c r="AD2343" s="164"/>
      <c r="AE2343" s="164"/>
      <c r="AF2343" s="25"/>
      <c r="AG2343" s="26"/>
      <c r="AH2343" s="275"/>
      <c r="AI2343" s="52"/>
      <c r="AJ2343" s="35"/>
      <c r="AK2343" s="289"/>
      <c r="AL2343" s="290"/>
      <c r="AM2343" s="211"/>
      <c r="AN2343" s="164"/>
      <c r="AO2343" s="76"/>
      <c r="AP2343" s="44"/>
      <c r="AQ2343" s="275"/>
      <c r="AR2343" s="52"/>
      <c r="AS2343" s="35"/>
      <c r="AT2343" s="79"/>
      <c r="AU2343" s="212"/>
      <c r="AV2343" s="164"/>
      <c r="AW2343" s="164"/>
      <c r="AX2343" s="76"/>
      <c r="AY2343" s="44"/>
      <c r="AZ2343" s="275"/>
      <c r="BA2343" s="52"/>
      <c r="BB2343" s="35"/>
      <c r="BC2343" s="79"/>
      <c r="BD2343" s="230"/>
      <c r="BE2343" s="211"/>
      <c r="BF2343" s="164"/>
      <c r="BG2343" s="76"/>
      <c r="BH2343" s="44"/>
      <c r="BI2343" s="275"/>
      <c r="BJ2343" s="52"/>
      <c r="BK2343" s="35"/>
      <c r="BL2343" s="79"/>
      <c r="BM2343" s="230"/>
      <c r="BN2343" s="211"/>
      <c r="BO2343" s="164"/>
      <c r="BP2343" s="76"/>
      <c r="BQ2343" s="44"/>
      <c r="BR2343" s="299"/>
      <c r="BS2343" s="52"/>
      <c r="BT2343" s="35"/>
      <c r="BU2343" s="79"/>
      <c r="BV2343" s="212"/>
      <c r="BW2343" s="304"/>
      <c r="BX2343" s="313"/>
      <c r="BY2343" s="138"/>
    </row>
    <row r="2344" spans="1:77" ht="15" customHeight="1" outlineLevel="1" x14ac:dyDescent="0.2">
      <c r="A2344" s="583" t="s">
        <v>37</v>
      </c>
      <c r="B2344" s="583"/>
      <c r="C2344" s="162" t="s">
        <v>2709</v>
      </c>
      <c r="D2344" s="812">
        <v>1.179</v>
      </c>
      <c r="E2344" s="162" t="s">
        <v>631</v>
      </c>
      <c r="F2344" s="729"/>
      <c r="G2344" s="730"/>
      <c r="H2344" s="73"/>
      <c r="I2344" s="90"/>
      <c r="J2344" s="73"/>
      <c r="K2344" s="790">
        <v>3.6210000000000001E-3</v>
      </c>
      <c r="L2344" s="717"/>
      <c r="M2344" s="73"/>
      <c r="N2344" s="811"/>
      <c r="O2344" s="1041"/>
      <c r="P2344" s="73"/>
      <c r="Q2344" s="811"/>
      <c r="R2344" s="1041"/>
      <c r="S2344" s="73"/>
      <c r="T2344" s="811"/>
      <c r="U2344" s="73"/>
      <c r="V2344" s="66"/>
      <c r="W2344" s="788">
        <f t="shared" ref="W2344" si="2058">AA2344*(1+AB2344)</f>
        <v>2.3898599999999999E-6</v>
      </c>
      <c r="X2344" s="789">
        <f t="shared" ref="X2344" si="2059">AA2344*(1+AC2344)</f>
        <v>2.3898599999999999E-6</v>
      </c>
      <c r="Y2344" s="52">
        <v>2005</v>
      </c>
      <c r="Z2344" s="52"/>
      <c r="AA2344" s="787">
        <f>+K2344/1000</f>
        <v>3.6210000000000001E-6</v>
      </c>
      <c r="AB2344" s="256">
        <v>-0.34</v>
      </c>
      <c r="AC2344" s="688">
        <f t="shared" ref="AC2344" si="2060">AB2344</f>
        <v>-0.34</v>
      </c>
      <c r="AD2344" s="164"/>
      <c r="AE2344" s="164"/>
      <c r="AF2344" s="25"/>
      <c r="AG2344" s="26"/>
      <c r="AH2344" s="275"/>
      <c r="AI2344" s="52"/>
      <c r="AJ2344" s="35"/>
      <c r="AK2344" s="289"/>
      <c r="AL2344" s="290"/>
      <c r="AM2344" s="211"/>
      <c r="AN2344" s="164"/>
      <c r="AO2344" s="76"/>
      <c r="AP2344" s="44"/>
      <c r="AQ2344" s="275"/>
      <c r="AR2344" s="52"/>
      <c r="AS2344" s="35"/>
      <c r="AT2344" s="79"/>
      <c r="AU2344" s="212"/>
      <c r="AV2344" s="164"/>
      <c r="AW2344" s="164"/>
      <c r="AX2344" s="76"/>
      <c r="AY2344" s="44"/>
      <c r="AZ2344" s="275"/>
      <c r="BA2344" s="52"/>
      <c r="BB2344" s="35"/>
      <c r="BC2344" s="79"/>
      <c r="BD2344" s="230"/>
      <c r="BE2344" s="211"/>
      <c r="BF2344" s="164"/>
      <c r="BG2344" s="76"/>
      <c r="BH2344" s="44"/>
      <c r="BI2344" s="275"/>
      <c r="BJ2344" s="52"/>
      <c r="BK2344" s="35"/>
      <c r="BL2344" s="79"/>
      <c r="BM2344" s="230"/>
      <c r="BN2344" s="211"/>
      <c r="BO2344" s="164"/>
      <c r="BP2344" s="76"/>
      <c r="BQ2344" s="44"/>
      <c r="BR2344" s="299"/>
      <c r="BS2344" s="52"/>
      <c r="BT2344" s="35"/>
      <c r="BU2344" s="79"/>
      <c r="BV2344" s="212"/>
      <c r="BW2344" s="304"/>
      <c r="BX2344" s="313"/>
      <c r="BY2344" s="138"/>
    </row>
    <row r="2345" spans="1:77" ht="15" customHeight="1" outlineLevel="1" x14ac:dyDescent="0.2">
      <c r="A2345" s="583" t="s">
        <v>37</v>
      </c>
      <c r="B2345" s="583"/>
      <c r="C2345" s="162" t="s">
        <v>1085</v>
      </c>
      <c r="D2345" s="812">
        <v>8.6460000000000008</v>
      </c>
      <c r="E2345" s="162" t="s">
        <v>631</v>
      </c>
      <c r="F2345" s="729"/>
      <c r="G2345" s="730"/>
      <c r="H2345" s="73"/>
      <c r="I2345" s="90">
        <v>2007</v>
      </c>
      <c r="J2345" s="73"/>
      <c r="K2345" s="734">
        <v>5.5990999999999999E-2</v>
      </c>
      <c r="L2345" s="717"/>
      <c r="M2345" s="73"/>
      <c r="N2345" s="811"/>
      <c r="O2345" s="1041"/>
      <c r="P2345" s="73"/>
      <c r="Q2345" s="811"/>
      <c r="R2345" s="1041"/>
      <c r="S2345" s="73"/>
      <c r="T2345" s="811"/>
      <c r="U2345" s="73"/>
      <c r="V2345" s="66"/>
      <c r="W2345" s="740">
        <f t="shared" si="2055"/>
        <v>4.0313520000000001E-5</v>
      </c>
      <c r="X2345" s="741">
        <f t="shared" si="2056"/>
        <v>4.0313520000000001E-5</v>
      </c>
      <c r="Y2345" s="52">
        <v>2007</v>
      </c>
      <c r="Z2345" s="52"/>
      <c r="AA2345" s="739">
        <f>+K2345/1000</f>
        <v>5.5991E-5</v>
      </c>
      <c r="AB2345" s="256">
        <v>-0.28000000000000003</v>
      </c>
      <c r="AC2345" s="688">
        <f t="shared" si="2057"/>
        <v>-0.28000000000000003</v>
      </c>
      <c r="AD2345" s="164"/>
      <c r="AE2345" s="164"/>
      <c r="AF2345" s="25"/>
      <c r="AG2345" s="26"/>
      <c r="AH2345" s="275"/>
      <c r="AI2345" s="52"/>
      <c r="AJ2345" s="35"/>
      <c r="AK2345" s="289"/>
      <c r="AL2345" s="290"/>
      <c r="AM2345" s="211"/>
      <c r="AN2345" s="164"/>
      <c r="AO2345" s="76"/>
      <c r="AP2345" s="44"/>
      <c r="AQ2345" s="275"/>
      <c r="AR2345" s="52"/>
      <c r="AS2345" s="35"/>
      <c r="AT2345" s="79"/>
      <c r="AU2345" s="212"/>
      <c r="AV2345" s="164"/>
      <c r="AW2345" s="164"/>
      <c r="AX2345" s="76"/>
      <c r="AY2345" s="44"/>
      <c r="AZ2345" s="275"/>
      <c r="BA2345" s="52"/>
      <c r="BB2345" s="35"/>
      <c r="BC2345" s="79"/>
      <c r="BD2345" s="230"/>
      <c r="BE2345" s="211"/>
      <c r="BF2345" s="164"/>
      <c r="BG2345" s="76"/>
      <c r="BH2345" s="44"/>
      <c r="BI2345" s="275"/>
      <c r="BJ2345" s="52"/>
      <c r="BK2345" s="35"/>
      <c r="BL2345" s="79"/>
      <c r="BM2345" s="230"/>
      <c r="BN2345" s="211"/>
      <c r="BO2345" s="164"/>
      <c r="BP2345" s="76"/>
      <c r="BQ2345" s="44"/>
      <c r="BR2345" s="299"/>
      <c r="BS2345" s="52"/>
      <c r="BT2345" s="35"/>
      <c r="BU2345" s="79"/>
      <c r="BV2345" s="212"/>
      <c r="BW2345" s="304"/>
      <c r="BX2345" s="313"/>
      <c r="BY2345" s="138"/>
    </row>
    <row r="2346" spans="1:77" ht="15" customHeight="1" outlineLevel="1" x14ac:dyDescent="0.2">
      <c r="A2346" s="583" t="s">
        <v>37</v>
      </c>
      <c r="B2346" s="583"/>
      <c r="C2346" s="162" t="s">
        <v>1164</v>
      </c>
      <c r="D2346" s="812">
        <v>34.53</v>
      </c>
      <c r="E2346" s="162" t="s">
        <v>631</v>
      </c>
      <c r="F2346" s="729"/>
      <c r="G2346" s="730"/>
      <c r="H2346" s="73"/>
      <c r="I2346" s="90">
        <v>2002</v>
      </c>
      <c r="J2346" s="73"/>
      <c r="K2346" s="66">
        <v>0.171126</v>
      </c>
      <c r="L2346" s="717"/>
      <c r="M2346" s="73"/>
      <c r="N2346" s="811"/>
      <c r="O2346" s="1041"/>
      <c r="P2346" s="73"/>
      <c r="Q2346" s="811"/>
      <c r="R2346" s="1041"/>
      <c r="S2346" s="73"/>
      <c r="T2346" s="811"/>
      <c r="U2346" s="73"/>
      <c r="V2346" s="66"/>
      <c r="W2346" s="740">
        <f t="shared" si="2055"/>
        <v>1.2149945999999999E-4</v>
      </c>
      <c r="X2346" s="741">
        <f t="shared" si="2056"/>
        <v>1.2149945999999999E-4</v>
      </c>
      <c r="Y2346" s="52">
        <v>2007</v>
      </c>
      <c r="Z2346" s="52"/>
      <c r="AA2346" s="739">
        <f>+K2346/1000</f>
        <v>1.7112599999999999E-4</v>
      </c>
      <c r="AB2346" s="256">
        <v>-0.28999999999999998</v>
      </c>
      <c r="AC2346" s="688">
        <f t="shared" si="2057"/>
        <v>-0.28999999999999998</v>
      </c>
      <c r="AD2346" s="164"/>
      <c r="AE2346" s="164"/>
      <c r="AF2346" s="25"/>
      <c r="AG2346" s="26"/>
      <c r="AH2346" s="275"/>
      <c r="AI2346" s="52"/>
      <c r="AJ2346" s="35"/>
      <c r="AK2346" s="289"/>
      <c r="AL2346" s="290"/>
      <c r="AM2346" s="211"/>
      <c r="AN2346" s="164"/>
      <c r="AO2346" s="76"/>
      <c r="AP2346" s="44"/>
      <c r="AQ2346" s="275"/>
      <c r="AR2346" s="52"/>
      <c r="AS2346" s="35"/>
      <c r="AT2346" s="79"/>
      <c r="AU2346" s="212"/>
      <c r="AV2346" s="164"/>
      <c r="AW2346" s="164"/>
      <c r="AX2346" s="76"/>
      <c r="AY2346" s="44"/>
      <c r="AZ2346" s="275"/>
      <c r="BA2346" s="52"/>
      <c r="BB2346" s="35"/>
      <c r="BC2346" s="79"/>
      <c r="BD2346" s="230"/>
      <c r="BE2346" s="211"/>
      <c r="BF2346" s="164"/>
      <c r="BG2346" s="76"/>
      <c r="BH2346" s="44"/>
      <c r="BI2346" s="275"/>
      <c r="BJ2346" s="52"/>
      <c r="BK2346" s="35"/>
      <c r="BL2346" s="79"/>
      <c r="BM2346" s="230"/>
      <c r="BN2346" s="211"/>
      <c r="BO2346" s="164"/>
      <c r="BP2346" s="76"/>
      <c r="BQ2346" s="44"/>
      <c r="BR2346" s="299"/>
      <c r="BS2346" s="52"/>
      <c r="BT2346" s="35"/>
      <c r="BU2346" s="79"/>
      <c r="BV2346" s="212"/>
      <c r="BW2346" s="304"/>
      <c r="BX2346" s="313"/>
      <c r="BY2346" s="138"/>
    </row>
    <row r="2347" spans="1:77" ht="15" customHeight="1" outlineLevel="1" x14ac:dyDescent="0.2">
      <c r="A2347" s="583" t="s">
        <v>37</v>
      </c>
      <c r="B2347" s="583"/>
      <c r="C2347" s="162" t="s">
        <v>989</v>
      </c>
      <c r="D2347" s="806">
        <v>0.05</v>
      </c>
      <c r="E2347" s="162" t="s">
        <v>631</v>
      </c>
      <c r="F2347" s="729"/>
      <c r="G2347" s="730"/>
      <c r="H2347" s="73"/>
      <c r="I2347" s="90"/>
      <c r="J2347" s="73"/>
      <c r="K2347" s="66"/>
      <c r="L2347" s="717"/>
      <c r="M2347" s="73"/>
      <c r="N2347" s="811">
        <v>1.5558999999999999E-4</v>
      </c>
      <c r="O2347" s="1041"/>
      <c r="P2347" s="73"/>
      <c r="Q2347" s="811"/>
      <c r="R2347" s="1041"/>
      <c r="S2347" s="73"/>
      <c r="T2347" s="811"/>
      <c r="U2347" s="73"/>
      <c r="V2347" s="66"/>
      <c r="W2347" s="808">
        <f t="shared" si="2055"/>
        <v>1.151366E-7</v>
      </c>
      <c r="X2347" s="809">
        <f t="shared" si="2056"/>
        <v>1.151366E-7</v>
      </c>
      <c r="Y2347" s="52">
        <v>2010</v>
      </c>
      <c r="Z2347" s="52"/>
      <c r="AA2347" s="807">
        <f>+N2347/1000</f>
        <v>1.5559000000000001E-7</v>
      </c>
      <c r="AB2347" s="256">
        <v>-0.26</v>
      </c>
      <c r="AC2347" s="688">
        <f t="shared" si="2057"/>
        <v>-0.26</v>
      </c>
      <c r="AD2347" s="164"/>
      <c r="AE2347" s="164"/>
      <c r="AF2347" s="25"/>
      <c r="AG2347" s="26"/>
      <c r="AH2347" s="275"/>
      <c r="AI2347" s="52"/>
      <c r="AJ2347" s="35"/>
      <c r="AK2347" s="289"/>
      <c r="AL2347" s="290"/>
      <c r="AM2347" s="211"/>
      <c r="AN2347" s="164"/>
      <c r="AO2347" s="76"/>
      <c r="AP2347" s="44"/>
      <c r="AQ2347" s="275"/>
      <c r="AR2347" s="52"/>
      <c r="AS2347" s="35"/>
      <c r="AT2347" s="79"/>
      <c r="AU2347" s="212"/>
      <c r="AV2347" s="164"/>
      <c r="AW2347" s="164"/>
      <c r="AX2347" s="76"/>
      <c r="AY2347" s="44"/>
      <c r="AZ2347" s="275"/>
      <c r="BA2347" s="52"/>
      <c r="BB2347" s="35"/>
      <c r="BC2347" s="79"/>
      <c r="BD2347" s="230"/>
      <c r="BE2347" s="211"/>
      <c r="BF2347" s="164"/>
      <c r="BG2347" s="76"/>
      <c r="BH2347" s="44"/>
      <c r="BI2347" s="275"/>
      <c r="BJ2347" s="52"/>
      <c r="BK2347" s="35"/>
      <c r="BL2347" s="79"/>
      <c r="BM2347" s="230"/>
      <c r="BN2347" s="211"/>
      <c r="BO2347" s="164"/>
      <c r="BP2347" s="76"/>
      <c r="BQ2347" s="44"/>
      <c r="BR2347" s="299"/>
      <c r="BS2347" s="52"/>
      <c r="BT2347" s="35"/>
      <c r="BU2347" s="79"/>
      <c r="BV2347" s="212"/>
      <c r="BW2347" s="304"/>
      <c r="BX2347" s="313"/>
      <c r="BY2347" s="138"/>
    </row>
    <row r="2348" spans="1:77" ht="15" customHeight="1" outlineLevel="1" x14ac:dyDescent="0.2">
      <c r="A2348" s="583" t="s">
        <v>37</v>
      </c>
      <c r="B2348" s="583"/>
      <c r="C2348" s="162" t="s">
        <v>1109</v>
      </c>
      <c r="D2348" s="812">
        <v>2.7930000000000001</v>
      </c>
      <c r="E2348" s="162" t="s">
        <v>631</v>
      </c>
      <c r="F2348" s="729"/>
      <c r="G2348" s="730"/>
      <c r="H2348" s="73"/>
      <c r="I2348" s="90">
        <v>2007</v>
      </c>
      <c r="J2348" s="73"/>
      <c r="K2348" s="790">
        <v>6.4029999999999998E-3</v>
      </c>
      <c r="L2348" s="717"/>
      <c r="M2348" s="73"/>
      <c r="N2348" s="811"/>
      <c r="O2348" s="1041"/>
      <c r="P2348" s="73"/>
      <c r="Q2348" s="811"/>
      <c r="R2348" s="1041"/>
      <c r="S2348" s="73"/>
      <c r="T2348" s="811"/>
      <c r="U2348" s="73"/>
      <c r="V2348" s="66"/>
      <c r="W2348" s="788">
        <f t="shared" si="2055"/>
        <v>4.16195E-6</v>
      </c>
      <c r="X2348" s="789">
        <f t="shared" si="2056"/>
        <v>4.16195E-6</v>
      </c>
      <c r="Y2348" s="52">
        <v>2007</v>
      </c>
      <c r="Z2348" s="52"/>
      <c r="AA2348" s="787">
        <f>+K2348/1000</f>
        <v>6.4029999999999995E-6</v>
      </c>
      <c r="AB2348" s="256">
        <v>-0.35</v>
      </c>
      <c r="AC2348" s="688">
        <f t="shared" si="2057"/>
        <v>-0.35</v>
      </c>
      <c r="AD2348" s="164"/>
      <c r="AE2348" s="164"/>
      <c r="AF2348" s="25"/>
      <c r="AG2348" s="26"/>
      <c r="AH2348" s="275"/>
      <c r="AI2348" s="52"/>
      <c r="AJ2348" s="35"/>
      <c r="AK2348" s="289"/>
      <c r="AL2348" s="290"/>
      <c r="AM2348" s="211"/>
      <c r="AN2348" s="164"/>
      <c r="AO2348" s="76"/>
      <c r="AP2348" s="44"/>
      <c r="AQ2348" s="275"/>
      <c r="AR2348" s="52"/>
      <c r="AS2348" s="35"/>
      <c r="AT2348" s="79"/>
      <c r="AU2348" s="212"/>
      <c r="AV2348" s="164"/>
      <c r="AW2348" s="164"/>
      <c r="AX2348" s="76"/>
      <c r="AY2348" s="44"/>
      <c r="AZ2348" s="275"/>
      <c r="BA2348" s="52"/>
      <c r="BB2348" s="35"/>
      <c r="BC2348" s="79"/>
      <c r="BD2348" s="230"/>
      <c r="BE2348" s="211"/>
      <c r="BF2348" s="164"/>
      <c r="BG2348" s="76"/>
      <c r="BH2348" s="44"/>
      <c r="BI2348" s="275"/>
      <c r="BJ2348" s="52"/>
      <c r="BK2348" s="35"/>
      <c r="BL2348" s="79"/>
      <c r="BM2348" s="230"/>
      <c r="BN2348" s="211"/>
      <c r="BO2348" s="164"/>
      <c r="BP2348" s="76"/>
      <c r="BQ2348" s="44"/>
      <c r="BR2348" s="299"/>
      <c r="BS2348" s="52"/>
      <c r="BT2348" s="35"/>
      <c r="BU2348" s="79"/>
      <c r="BV2348" s="212"/>
      <c r="BW2348" s="304"/>
      <c r="BX2348" s="313"/>
      <c r="BY2348" s="138"/>
    </row>
    <row r="2349" spans="1:77" ht="15" customHeight="1" outlineLevel="1" x14ac:dyDescent="0.2">
      <c r="A2349" s="583" t="s">
        <v>37</v>
      </c>
      <c r="B2349" s="583"/>
      <c r="C2349" s="162" t="s">
        <v>472</v>
      </c>
      <c r="D2349" s="728">
        <v>701</v>
      </c>
      <c r="E2349" s="162" t="s">
        <v>2241</v>
      </c>
      <c r="F2349" s="729"/>
      <c r="G2349" s="730"/>
      <c r="H2349" s="73"/>
      <c r="I2349" s="90"/>
      <c r="J2349" s="73"/>
      <c r="K2349" s="66">
        <v>2.1883629999999998</v>
      </c>
      <c r="L2349" s="717"/>
      <c r="M2349" s="73"/>
      <c r="N2349" s="359">
        <v>1.2375529999999999</v>
      </c>
      <c r="O2349" s="1041">
        <v>2014</v>
      </c>
      <c r="P2349" s="73"/>
      <c r="Q2349" s="359">
        <v>1.7856037499999999</v>
      </c>
      <c r="R2349" s="1041"/>
      <c r="S2349" s="73"/>
      <c r="T2349" s="359"/>
      <c r="U2349" s="73"/>
      <c r="V2349" s="66"/>
      <c r="W2349" s="594">
        <f t="shared" si="2055"/>
        <v>9.9004239999999992E-4</v>
      </c>
      <c r="X2349" s="595">
        <f t="shared" si="2056"/>
        <v>9.9004239999999992E-4</v>
      </c>
      <c r="Y2349" s="52">
        <v>2010</v>
      </c>
      <c r="Z2349" s="52"/>
      <c r="AA2349" s="596">
        <f>N2349/1000</f>
        <v>1.237553E-3</v>
      </c>
      <c r="AB2349" s="256">
        <v>-0.2</v>
      </c>
      <c r="AC2349" s="731">
        <f t="shared" si="2057"/>
        <v>-0.2</v>
      </c>
      <c r="AD2349" s="164"/>
      <c r="AE2349" s="164"/>
      <c r="AF2349" s="25"/>
      <c r="AG2349" s="26"/>
      <c r="AH2349" s="275"/>
      <c r="AI2349" s="52"/>
      <c r="AJ2349" s="35"/>
      <c r="AK2349" s="289"/>
      <c r="AL2349" s="290"/>
      <c r="AM2349" s="211"/>
      <c r="AN2349" s="164"/>
      <c r="AO2349" s="594">
        <f>AR2349*(1+AT2349)</f>
        <v>9.8476334999999995E-4</v>
      </c>
      <c r="AP2349" s="595">
        <f>AR2349*(1+AU2349)</f>
        <v>9.8476334999999995E-4</v>
      </c>
      <c r="AQ2349" s="275">
        <v>2005</v>
      </c>
      <c r="AR2349" s="596">
        <f>+K2349/1000</f>
        <v>2.188363E-3</v>
      </c>
      <c r="AS2349" s="35"/>
      <c r="AT2349" s="840">
        <v>-0.55000000000000004</v>
      </c>
      <c r="AU2349" s="688">
        <v>-0.55000000000000004</v>
      </c>
      <c r="AV2349" s="164"/>
      <c r="AW2349" s="164"/>
      <c r="AX2349" s="76"/>
      <c r="AY2349" s="44"/>
      <c r="AZ2349" s="275"/>
      <c r="BA2349" s="52"/>
      <c r="BB2349" s="35"/>
      <c r="BC2349" s="79"/>
      <c r="BD2349" s="230"/>
      <c r="BE2349" s="211"/>
      <c r="BF2349" s="164"/>
      <c r="BG2349" s="76"/>
      <c r="BH2349" s="44"/>
      <c r="BI2349" s="275"/>
      <c r="BJ2349" s="52"/>
      <c r="BK2349" s="35"/>
      <c r="BL2349" s="79"/>
      <c r="BM2349" s="230"/>
      <c r="BN2349" s="211"/>
      <c r="BO2349" s="164"/>
      <c r="BP2349" s="76"/>
      <c r="BQ2349" s="44"/>
      <c r="BR2349" s="299"/>
      <c r="BS2349" s="52"/>
      <c r="BT2349" s="35"/>
      <c r="BU2349" s="79"/>
      <c r="BV2349" s="212"/>
      <c r="BW2349" s="304"/>
      <c r="BX2349" s="313"/>
      <c r="BY2349" s="138"/>
    </row>
    <row r="2350" spans="1:77" ht="15" customHeight="1" x14ac:dyDescent="0.2">
      <c r="A2350" s="57" t="s">
        <v>35</v>
      </c>
      <c r="B2350" s="583" t="s">
        <v>1606</v>
      </c>
      <c r="C2350" s="57"/>
      <c r="D2350" s="546">
        <v>9382.2970000000005</v>
      </c>
      <c r="E2350" s="1101" t="s">
        <v>2896</v>
      </c>
      <c r="F2350" s="729"/>
      <c r="G2350" s="730">
        <v>36.908000000000001</v>
      </c>
      <c r="H2350" s="723">
        <v>71.304000000000002</v>
      </c>
      <c r="I2350" s="1282"/>
      <c r="J2350" s="1283">
        <v>35.137</v>
      </c>
      <c r="K2350" s="1283">
        <v>66.587000000000003</v>
      </c>
      <c r="L2350" s="1282"/>
      <c r="M2350" s="1283">
        <v>20.335999999999999</v>
      </c>
      <c r="N2350" s="1283">
        <v>64.281999999999996</v>
      </c>
      <c r="O2350" s="1284"/>
      <c r="P2350" s="1283">
        <v>8.0053800000000006</v>
      </c>
      <c r="Q2350" s="796">
        <v>53.46058</v>
      </c>
      <c r="R2350" s="1284">
        <v>2017</v>
      </c>
      <c r="S2350" s="1283">
        <v>8.9329999999999998</v>
      </c>
      <c r="T2350" s="796">
        <v>52.66</v>
      </c>
      <c r="U2350" s="73"/>
      <c r="V2350" s="66"/>
      <c r="W2350" s="592"/>
      <c r="X2350" s="593"/>
      <c r="Y2350" s="52">
        <v>1990</v>
      </c>
      <c r="Z2350" s="52"/>
      <c r="AA2350" s="596"/>
      <c r="AB2350" s="824">
        <v>-0.2</v>
      </c>
      <c r="AC2350" s="825">
        <v>-0.3</v>
      </c>
      <c r="AD2350" s="164"/>
      <c r="AE2350" s="164"/>
      <c r="AF2350" s="25"/>
      <c r="AG2350" s="26"/>
      <c r="AH2350" s="275"/>
      <c r="AI2350" s="52"/>
      <c r="AJ2350" s="35"/>
      <c r="AK2350" s="289"/>
      <c r="AL2350" s="290"/>
      <c r="AM2350" s="211"/>
      <c r="AN2350" s="164"/>
      <c r="AO2350" s="76"/>
      <c r="AP2350" s="44"/>
      <c r="AQ2350" s="275"/>
      <c r="AR2350" s="52"/>
      <c r="AS2350" s="35"/>
      <c r="AT2350" s="840">
        <v>-0.55000000000000004</v>
      </c>
      <c r="AU2350" s="688">
        <v>-0.55000000000000004</v>
      </c>
      <c r="AV2350" s="164"/>
      <c r="AW2350" s="164"/>
      <c r="AX2350" s="76"/>
      <c r="AY2350" s="44"/>
      <c r="AZ2350" s="275"/>
      <c r="BA2350" s="52"/>
      <c r="BB2350" s="35"/>
      <c r="BC2350" s="79"/>
      <c r="BD2350" s="230"/>
      <c r="BE2350" s="211"/>
      <c r="BF2350" s="164"/>
      <c r="BG2350" s="76"/>
      <c r="BH2350" s="44"/>
      <c r="BI2350" s="275"/>
      <c r="BJ2350" s="52"/>
      <c r="BK2350" s="35"/>
      <c r="BL2350" s="79"/>
      <c r="BM2350" s="230"/>
      <c r="BN2350" s="211"/>
      <c r="BO2350" s="164"/>
      <c r="BP2350" s="76">
        <v>0</v>
      </c>
      <c r="BQ2350" s="44">
        <v>0</v>
      </c>
      <c r="BR2350" s="299">
        <v>1990</v>
      </c>
      <c r="BS2350" s="52"/>
      <c r="BT2350" s="35"/>
      <c r="BU2350" s="79">
        <v>-1</v>
      </c>
      <c r="BV2350" s="212">
        <f>BU2350</f>
        <v>-1</v>
      </c>
      <c r="BW2350" s="304"/>
      <c r="BX2350" s="313"/>
      <c r="BY2350" s="300" t="s">
        <v>264</v>
      </c>
    </row>
    <row r="2351" spans="1:77" ht="15" customHeight="1" x14ac:dyDescent="0.2">
      <c r="A2351" s="57" t="s">
        <v>35</v>
      </c>
      <c r="B2351" s="583" t="s">
        <v>452</v>
      </c>
      <c r="C2351" s="57"/>
      <c r="D2351" s="546">
        <v>152.75700000000001</v>
      </c>
      <c r="E2351" s="162" t="s">
        <v>2546</v>
      </c>
      <c r="F2351" s="358"/>
      <c r="G2351" s="65"/>
      <c r="H2351" s="73">
        <v>1.0780000000000001</v>
      </c>
      <c r="I2351" s="90"/>
      <c r="J2351" s="73"/>
      <c r="K2351" s="66"/>
      <c r="L2351" s="717"/>
      <c r="M2351" s="73"/>
      <c r="N2351" s="359"/>
      <c r="O2351" s="1041">
        <v>2014</v>
      </c>
      <c r="P2351" s="735"/>
      <c r="Q2351" s="359">
        <v>0.61408600000000002</v>
      </c>
      <c r="R2351" s="1041"/>
      <c r="S2351" s="735"/>
      <c r="T2351" s="359"/>
      <c r="U2351" s="73"/>
      <c r="V2351" s="66"/>
      <c r="W2351" s="594">
        <f t="shared" ref="W2351:W2356" si="2061">AA2351*(1+AB2351)</f>
        <v>5.3899999999999998E-4</v>
      </c>
      <c r="X2351" s="595">
        <f t="shared" ref="X2351:X2356" si="2062">AA2351*(1+AC2351)</f>
        <v>5.3899999999999998E-4</v>
      </c>
      <c r="Y2351" s="52">
        <v>1990</v>
      </c>
      <c r="Z2351" s="52"/>
      <c r="AA2351" s="596">
        <f>+H2351/1000</f>
        <v>1.078E-3</v>
      </c>
      <c r="AB2351" s="256">
        <v>-0.5</v>
      </c>
      <c r="AC2351" s="688">
        <f t="shared" ref="AC2351:AC2356" si="2063">AB2351</f>
        <v>-0.5</v>
      </c>
      <c r="AD2351" s="164"/>
      <c r="AE2351" s="164"/>
      <c r="AF2351" s="25"/>
      <c r="AG2351" s="26"/>
      <c r="AH2351" s="275"/>
      <c r="AI2351" s="52"/>
      <c r="AJ2351" s="35"/>
      <c r="AK2351" s="289"/>
      <c r="AL2351" s="290"/>
      <c r="AM2351" s="211"/>
      <c r="AN2351" s="164"/>
      <c r="AO2351" s="76"/>
      <c r="AP2351" s="44"/>
      <c r="AQ2351" s="275"/>
      <c r="AR2351" s="52"/>
      <c r="AS2351" s="35"/>
      <c r="AT2351" s="79"/>
      <c r="AU2351" s="212"/>
      <c r="AV2351" s="164"/>
      <c r="AW2351" s="164"/>
      <c r="AX2351" s="76"/>
      <c r="AY2351" s="44"/>
      <c r="AZ2351" s="275"/>
      <c r="BA2351" s="52"/>
      <c r="BB2351" s="35"/>
      <c r="BC2351" s="79"/>
      <c r="BD2351" s="230"/>
      <c r="BE2351" s="211"/>
      <c r="BF2351" s="164"/>
      <c r="BG2351" s="76"/>
      <c r="BH2351" s="44"/>
      <c r="BI2351" s="275"/>
      <c r="BJ2351" s="52"/>
      <c r="BK2351" s="35"/>
      <c r="BL2351" s="79"/>
      <c r="BM2351" s="230"/>
      <c r="BN2351" s="211"/>
      <c r="BO2351" s="164"/>
      <c r="BP2351" s="76"/>
      <c r="BQ2351" s="44"/>
      <c r="BR2351" s="299"/>
      <c r="BS2351" s="52"/>
      <c r="BT2351" s="35"/>
      <c r="BU2351" s="79"/>
      <c r="BV2351" s="212"/>
      <c r="BW2351" s="304"/>
      <c r="BX2351" s="313"/>
      <c r="BY2351" s="300"/>
    </row>
    <row r="2352" spans="1:77" ht="15" customHeight="1" x14ac:dyDescent="0.2">
      <c r="A2352" s="57" t="s">
        <v>35</v>
      </c>
      <c r="B2352" s="583" t="s">
        <v>477</v>
      </c>
      <c r="C2352" s="583" t="s">
        <v>931</v>
      </c>
      <c r="D2352" s="546">
        <v>64.031999999999996</v>
      </c>
      <c r="E2352" s="162" t="s">
        <v>631</v>
      </c>
      <c r="F2352" s="358"/>
      <c r="G2352" s="65"/>
      <c r="H2352" s="73">
        <v>0.32419999999999999</v>
      </c>
      <c r="I2352" s="90"/>
      <c r="J2352" s="73"/>
      <c r="K2352" s="66"/>
      <c r="L2352" s="717"/>
      <c r="M2352" s="73"/>
      <c r="N2352" s="359"/>
      <c r="O2352" s="1041"/>
      <c r="P2352" s="73"/>
      <c r="Q2352" s="359"/>
      <c r="R2352" s="1041"/>
      <c r="S2352" s="73"/>
      <c r="T2352" s="359"/>
      <c r="U2352" s="73"/>
      <c r="V2352" s="66"/>
      <c r="W2352" s="594">
        <f t="shared" si="2061"/>
        <v>1.6209999999999998E-4</v>
      </c>
      <c r="X2352" s="595">
        <f t="shared" si="2062"/>
        <v>1.6209999999999998E-4</v>
      </c>
      <c r="Y2352" s="52">
        <v>1990</v>
      </c>
      <c r="Z2352" s="52"/>
      <c r="AA2352" s="596">
        <f>+H2352/1000</f>
        <v>3.2419999999999997E-4</v>
      </c>
      <c r="AB2352" s="256">
        <v>-0.5</v>
      </c>
      <c r="AC2352" s="688">
        <f t="shared" si="2063"/>
        <v>-0.5</v>
      </c>
      <c r="AD2352" s="164"/>
      <c r="AE2352" s="164"/>
      <c r="AF2352" s="25"/>
      <c r="AG2352" s="26"/>
      <c r="AH2352" s="275"/>
      <c r="AI2352" s="52"/>
      <c r="AJ2352" s="35"/>
      <c r="AK2352" s="289"/>
      <c r="AL2352" s="290"/>
      <c r="AM2352" s="211"/>
      <c r="AN2352" s="164"/>
      <c r="AO2352" s="594"/>
      <c r="AP2352" s="595"/>
      <c r="AQ2352" s="275"/>
      <c r="AR2352" s="52"/>
      <c r="AS2352" s="596"/>
      <c r="AT2352" s="79"/>
      <c r="AU2352" s="212"/>
      <c r="AV2352" s="164"/>
      <c r="AW2352" s="164"/>
      <c r="AX2352" s="76"/>
      <c r="AY2352" s="44"/>
      <c r="AZ2352" s="275"/>
      <c r="BA2352" s="52"/>
      <c r="BB2352" s="35"/>
      <c r="BC2352" s="79"/>
      <c r="BD2352" s="230"/>
      <c r="BE2352" s="211"/>
      <c r="BF2352" s="164"/>
      <c r="BG2352" s="25"/>
      <c r="BH2352" s="26"/>
      <c r="BI2352" s="275"/>
      <c r="BJ2352" s="52"/>
      <c r="BK2352" s="35"/>
      <c r="BL2352" s="79"/>
      <c r="BM2352" s="230"/>
      <c r="BN2352" s="211"/>
      <c r="BO2352" s="164"/>
      <c r="BP2352" s="76"/>
      <c r="BQ2352" s="44"/>
      <c r="BR2352" s="299"/>
      <c r="BS2352" s="52"/>
      <c r="BT2352" s="35"/>
      <c r="BU2352" s="79"/>
      <c r="BV2352" s="212"/>
      <c r="BW2352" s="304"/>
      <c r="BX2352" s="313"/>
      <c r="BY2352" s="300"/>
    </row>
    <row r="2353" spans="1:77" ht="15" customHeight="1" x14ac:dyDescent="0.2">
      <c r="A2353" s="57" t="s">
        <v>35</v>
      </c>
      <c r="B2353" s="583" t="s">
        <v>477</v>
      </c>
      <c r="C2353" s="583" t="s">
        <v>930</v>
      </c>
      <c r="D2353" s="546">
        <v>28</v>
      </c>
      <c r="E2353" s="162" t="s">
        <v>631</v>
      </c>
      <c r="F2353" s="358"/>
      <c r="G2353" s="65"/>
      <c r="H2353" s="73"/>
      <c r="I2353" s="90"/>
      <c r="J2353" s="73"/>
      <c r="K2353" s="66"/>
      <c r="L2353" s="717"/>
      <c r="M2353" s="73"/>
      <c r="N2353" s="359">
        <v>8.906E-2</v>
      </c>
      <c r="O2353" s="1041"/>
      <c r="P2353" s="73"/>
      <c r="Q2353" s="359"/>
      <c r="R2353" s="1041"/>
      <c r="S2353" s="73"/>
      <c r="T2353" s="359"/>
      <c r="U2353" s="73"/>
      <c r="V2353" s="66"/>
      <c r="W2353" s="740">
        <f t="shared" si="2061"/>
        <v>5.3436000000000001E-5</v>
      </c>
      <c r="X2353" s="741">
        <f t="shared" si="2062"/>
        <v>5.3436000000000001E-5</v>
      </c>
      <c r="Y2353" s="52">
        <v>2010</v>
      </c>
      <c r="Z2353" s="52"/>
      <c r="AA2353" s="739">
        <f>+N2353/1000</f>
        <v>8.9060000000000005E-5</v>
      </c>
      <c r="AB2353" s="256">
        <v>-0.4</v>
      </c>
      <c r="AC2353" s="688">
        <f t="shared" si="2063"/>
        <v>-0.4</v>
      </c>
      <c r="AD2353" s="164"/>
      <c r="AE2353" s="164"/>
      <c r="AF2353" s="25"/>
      <c r="AG2353" s="26"/>
      <c r="AH2353" s="275"/>
      <c r="AI2353" s="52"/>
      <c r="AJ2353" s="35"/>
      <c r="AK2353" s="289"/>
      <c r="AL2353" s="290"/>
      <c r="AM2353" s="211"/>
      <c r="AN2353" s="164"/>
      <c r="AO2353" s="594"/>
      <c r="AP2353" s="595"/>
      <c r="AQ2353" s="275"/>
      <c r="AR2353" s="52"/>
      <c r="AS2353" s="596"/>
      <c r="AT2353" s="79"/>
      <c r="AU2353" s="212"/>
      <c r="AV2353" s="164"/>
      <c r="AW2353" s="164"/>
      <c r="AX2353" s="76"/>
      <c r="AY2353" s="44"/>
      <c r="AZ2353" s="275"/>
      <c r="BA2353" s="52"/>
      <c r="BB2353" s="35"/>
      <c r="BC2353" s="79"/>
      <c r="BD2353" s="230"/>
      <c r="BE2353" s="211"/>
      <c r="BF2353" s="164"/>
      <c r="BG2353" s="25"/>
      <c r="BH2353" s="26"/>
      <c r="BI2353" s="275"/>
      <c r="BJ2353" s="52"/>
      <c r="BK2353" s="35"/>
      <c r="BL2353" s="79"/>
      <c r="BM2353" s="230"/>
      <c r="BN2353" s="211"/>
      <c r="BO2353" s="164"/>
      <c r="BP2353" s="76"/>
      <c r="BQ2353" s="44"/>
      <c r="BR2353" s="299"/>
      <c r="BS2353" s="52"/>
      <c r="BT2353" s="35"/>
      <c r="BU2353" s="79"/>
      <c r="BV2353" s="212"/>
      <c r="BW2353" s="304"/>
      <c r="BX2353" s="313"/>
      <c r="BY2353" s="300"/>
    </row>
    <row r="2354" spans="1:77" ht="15" customHeight="1" x14ac:dyDescent="0.2">
      <c r="A2354" s="57" t="s">
        <v>35</v>
      </c>
      <c r="B2354" s="583" t="s">
        <v>2939</v>
      </c>
      <c r="C2354" s="583"/>
      <c r="D2354" s="546"/>
      <c r="E2354" s="162" t="s">
        <v>2941</v>
      </c>
      <c r="F2354" s="358"/>
      <c r="G2354" s="65"/>
      <c r="H2354" s="735">
        <v>0.97</v>
      </c>
      <c r="I2354" s="90"/>
      <c r="J2354" s="73"/>
      <c r="K2354" s="734">
        <v>0.748</v>
      </c>
      <c r="L2354" s="717">
        <v>2012</v>
      </c>
      <c r="M2354" s="73"/>
      <c r="N2354" s="738">
        <v>0.66</v>
      </c>
      <c r="O2354" s="1041"/>
      <c r="P2354" s="73"/>
      <c r="Q2354" s="359"/>
      <c r="R2354" s="1041"/>
      <c r="S2354" s="73"/>
      <c r="T2354" s="359"/>
      <c r="U2354" s="73"/>
      <c r="V2354" s="66"/>
      <c r="W2354" s="740">
        <f t="shared" si="2061"/>
        <v>5.3350000000000001E-4</v>
      </c>
      <c r="X2354" s="741">
        <f t="shared" si="2062"/>
        <v>5.3350000000000001E-4</v>
      </c>
      <c r="Y2354" s="52">
        <v>1990</v>
      </c>
      <c r="Z2354" s="52"/>
      <c r="AA2354" s="739">
        <f>+H2354/1000</f>
        <v>9.6999999999999994E-4</v>
      </c>
      <c r="AB2354" s="256">
        <v>-0.45</v>
      </c>
      <c r="AC2354" s="688">
        <f t="shared" si="2063"/>
        <v>-0.45</v>
      </c>
      <c r="AD2354" s="164"/>
      <c r="AE2354" s="164"/>
      <c r="AF2354" s="25"/>
      <c r="AG2354" s="26"/>
      <c r="AH2354" s="275"/>
      <c r="AI2354" s="52"/>
      <c r="AJ2354" s="35"/>
      <c r="AK2354" s="289"/>
      <c r="AL2354" s="290"/>
      <c r="AM2354" s="211"/>
      <c r="AN2354" s="164"/>
      <c r="AO2354" s="594"/>
      <c r="AP2354" s="595"/>
      <c r="AQ2354" s="275"/>
      <c r="AR2354" s="52"/>
      <c r="AS2354" s="596"/>
      <c r="AT2354" s="79"/>
      <c r="AU2354" s="212"/>
      <c r="AV2354" s="164"/>
      <c r="AW2354" s="164"/>
      <c r="AX2354" s="76"/>
      <c r="AY2354" s="44"/>
      <c r="AZ2354" s="275"/>
      <c r="BA2354" s="52"/>
      <c r="BB2354" s="35"/>
      <c r="BC2354" s="79"/>
      <c r="BD2354" s="230"/>
      <c r="BE2354" s="211"/>
      <c r="BF2354" s="164"/>
      <c r="BG2354" s="25"/>
      <c r="BH2354" s="26"/>
      <c r="BI2354" s="275"/>
      <c r="BJ2354" s="52"/>
      <c r="BK2354" s="35"/>
      <c r="BL2354" s="79"/>
      <c r="BM2354" s="230"/>
      <c r="BN2354" s="211"/>
      <c r="BO2354" s="164"/>
      <c r="BP2354" s="76"/>
      <c r="BQ2354" s="44"/>
      <c r="BR2354" s="299"/>
      <c r="BS2354" s="52"/>
      <c r="BT2354" s="35"/>
      <c r="BU2354" s="79"/>
      <c r="BV2354" s="212"/>
      <c r="BW2354" s="304"/>
      <c r="BX2354" s="313"/>
      <c r="BY2354" s="300" t="s">
        <v>2940</v>
      </c>
    </row>
    <row r="2355" spans="1:77" ht="15" customHeight="1" x14ac:dyDescent="0.2">
      <c r="A2355" s="57" t="s">
        <v>35</v>
      </c>
      <c r="B2355" s="583" t="s">
        <v>453</v>
      </c>
      <c r="C2355" s="57"/>
      <c r="D2355" s="546">
        <v>113</v>
      </c>
      <c r="E2355" s="162" t="s">
        <v>1609</v>
      </c>
      <c r="F2355" s="358"/>
      <c r="G2355" s="65"/>
      <c r="H2355" s="73">
        <v>1.1599999999999999</v>
      </c>
      <c r="I2355" s="90"/>
      <c r="J2355" s="73"/>
      <c r="K2355" s="66"/>
      <c r="L2355" s="717">
        <v>2011</v>
      </c>
      <c r="M2355" s="73"/>
      <c r="N2355" s="738">
        <f>H2355*0.76</f>
        <v>0.88159999999999994</v>
      </c>
      <c r="O2355" s="1041"/>
      <c r="P2355" s="73"/>
      <c r="Q2355" s="359"/>
      <c r="R2355" s="1041"/>
      <c r="S2355" s="73"/>
      <c r="T2355" s="359"/>
      <c r="U2355" s="73"/>
      <c r="V2355" s="66"/>
      <c r="W2355" s="594">
        <f t="shared" si="2061"/>
        <v>5.8E-4</v>
      </c>
      <c r="X2355" s="595">
        <f t="shared" si="2062"/>
        <v>5.8E-4</v>
      </c>
      <c r="Y2355" s="52">
        <v>1990</v>
      </c>
      <c r="Z2355" s="52"/>
      <c r="AA2355" s="596">
        <f>+H2355/1000</f>
        <v>1.16E-3</v>
      </c>
      <c r="AB2355" s="256">
        <v>-0.5</v>
      </c>
      <c r="AC2355" s="688">
        <f t="shared" si="2063"/>
        <v>-0.5</v>
      </c>
      <c r="AD2355" s="164"/>
      <c r="AE2355" s="164"/>
      <c r="AF2355" s="600">
        <f>AJ2355*(1+AK2355)</f>
        <v>0</v>
      </c>
      <c r="AG2355" s="601">
        <f>AJ2355*(1+AL2355)</f>
        <v>0</v>
      </c>
      <c r="AH2355" s="587">
        <v>1990</v>
      </c>
      <c r="AI2355" s="588"/>
      <c r="AJ2355" s="725">
        <f>+H2355/1000</f>
        <v>1.16E-3</v>
      </c>
      <c r="AK2355" s="590">
        <v>-1</v>
      </c>
      <c r="AL2355" s="591">
        <f>AK2355</f>
        <v>-1</v>
      </c>
      <c r="AM2355" s="211"/>
      <c r="AN2355" s="164"/>
      <c r="AO2355" s="76"/>
      <c r="AP2355" s="44"/>
      <c r="AQ2355" s="275"/>
      <c r="AR2355" s="52"/>
      <c r="AS2355" s="35"/>
      <c r="AT2355" s="79"/>
      <c r="AU2355" s="212"/>
      <c r="AV2355" s="164"/>
      <c r="AW2355" s="164"/>
      <c r="AX2355" s="76"/>
      <c r="AY2355" s="44"/>
      <c r="AZ2355" s="275"/>
      <c r="BA2355" s="52"/>
      <c r="BB2355" s="35"/>
      <c r="BC2355" s="79"/>
      <c r="BD2355" s="230"/>
      <c r="BE2355" s="211"/>
      <c r="BF2355" s="164"/>
      <c r="BG2355" s="76"/>
      <c r="BH2355" s="44"/>
      <c r="BI2355" s="275"/>
      <c r="BJ2355" s="52"/>
      <c r="BK2355" s="35"/>
      <c r="BL2355" s="79"/>
      <c r="BM2355" s="230"/>
      <c r="BN2355" s="211"/>
      <c r="BO2355" s="164"/>
      <c r="BP2355" s="76"/>
      <c r="BQ2355" s="44"/>
      <c r="BR2355" s="299"/>
      <c r="BS2355" s="52"/>
      <c r="BT2355" s="35"/>
      <c r="BU2355" s="79"/>
      <c r="BV2355" s="212"/>
      <c r="BW2355" s="304"/>
      <c r="BX2355" s="313"/>
      <c r="BY2355" s="300"/>
    </row>
    <row r="2356" spans="1:77" ht="15" customHeight="1" x14ac:dyDescent="0.2">
      <c r="A2356" s="57" t="s">
        <v>35</v>
      </c>
      <c r="B2356" s="583" t="s">
        <v>477</v>
      </c>
      <c r="C2356" s="583" t="s">
        <v>492</v>
      </c>
      <c r="D2356" s="546">
        <v>59</v>
      </c>
      <c r="E2356" s="162" t="s">
        <v>762</v>
      </c>
      <c r="F2356" s="358"/>
      <c r="G2356" s="65"/>
      <c r="H2356" s="73">
        <v>0.28817900000000002</v>
      </c>
      <c r="I2356" s="90"/>
      <c r="J2356" s="73"/>
      <c r="K2356" s="66"/>
      <c r="L2356" s="717"/>
      <c r="M2356" s="73"/>
      <c r="N2356" s="359">
        <v>0.27014300000000002</v>
      </c>
      <c r="O2356" s="1041"/>
      <c r="P2356" s="73"/>
      <c r="Q2356" s="359"/>
      <c r="R2356" s="1041"/>
      <c r="S2356" s="73"/>
      <c r="T2356" s="359"/>
      <c r="U2356" s="73"/>
      <c r="V2356" s="66"/>
      <c r="W2356" s="594">
        <f t="shared" si="2061"/>
        <v>1.152716E-4</v>
      </c>
      <c r="X2356" s="595">
        <f t="shared" si="2062"/>
        <v>1.152716E-4</v>
      </c>
      <c r="Y2356" s="52">
        <v>1990</v>
      </c>
      <c r="Z2356" s="52"/>
      <c r="AA2356" s="596">
        <f>+H2356/1000</f>
        <v>2.8817900000000001E-4</v>
      </c>
      <c r="AB2356" s="256">
        <v>-0.6</v>
      </c>
      <c r="AC2356" s="688">
        <f t="shared" si="2063"/>
        <v>-0.6</v>
      </c>
      <c r="AD2356" s="164"/>
      <c r="AE2356" s="164"/>
      <c r="AF2356" s="600"/>
      <c r="AG2356" s="601"/>
      <c r="AH2356" s="587"/>
      <c r="AI2356" s="588"/>
      <c r="AJ2356" s="725"/>
      <c r="AK2356" s="590"/>
      <c r="AL2356" s="591"/>
      <c r="AM2356" s="211"/>
      <c r="AN2356" s="164"/>
      <c r="AO2356" s="594">
        <f>AS2356*(1+AT2356)</f>
        <v>0</v>
      </c>
      <c r="AP2356" s="595">
        <f>AS2356*(1+AU2356)</f>
        <v>0</v>
      </c>
      <c r="AQ2356" s="275">
        <v>2010</v>
      </c>
      <c r="AR2356" s="52"/>
      <c r="AS2356" s="596">
        <f>+N2356/1000</f>
        <v>2.7014300000000003E-4</v>
      </c>
      <c r="AT2356" s="79">
        <v>-1</v>
      </c>
      <c r="AU2356" s="212">
        <f>AT2356</f>
        <v>-1</v>
      </c>
      <c r="AV2356" s="164"/>
      <c r="AW2356" s="164"/>
      <c r="AX2356" s="76"/>
      <c r="AY2356" s="44"/>
      <c r="AZ2356" s="275"/>
      <c r="BA2356" s="52"/>
      <c r="BB2356" s="35"/>
      <c r="BC2356" s="79"/>
      <c r="BD2356" s="230"/>
      <c r="BE2356" s="211"/>
      <c r="BF2356" s="164"/>
      <c r="BG2356" s="76"/>
      <c r="BH2356" s="44"/>
      <c r="BI2356" s="275"/>
      <c r="BJ2356" s="52"/>
      <c r="BK2356" s="35"/>
      <c r="BL2356" s="79"/>
      <c r="BM2356" s="230"/>
      <c r="BN2356" s="211"/>
      <c r="BO2356" s="164"/>
      <c r="BP2356" s="76"/>
      <c r="BQ2356" s="44"/>
      <c r="BR2356" s="299"/>
      <c r="BS2356" s="52"/>
      <c r="BT2356" s="35"/>
      <c r="BU2356" s="79"/>
      <c r="BV2356" s="212"/>
      <c r="BW2356" s="304"/>
      <c r="BX2356" s="313"/>
      <c r="BY2356" s="300"/>
    </row>
    <row r="2357" spans="1:77" ht="15" customHeight="1" x14ac:dyDescent="0.2">
      <c r="A2357" s="57" t="s">
        <v>35</v>
      </c>
      <c r="B2357" s="583" t="s">
        <v>454</v>
      </c>
      <c r="C2357" s="57"/>
      <c r="D2357" s="546">
        <v>184</v>
      </c>
      <c r="E2357" s="162" t="s">
        <v>387</v>
      </c>
      <c r="F2357" s="358"/>
      <c r="G2357" s="65"/>
      <c r="H2357" s="73">
        <v>1.1000000000000001</v>
      </c>
      <c r="I2357" s="90"/>
      <c r="J2357" s="73"/>
      <c r="K2357" s="66"/>
      <c r="L2357" s="717"/>
      <c r="M2357" s="73"/>
      <c r="N2357" s="359"/>
      <c r="O2357" s="1041"/>
      <c r="P2357" s="73"/>
      <c r="Q2357" s="359"/>
      <c r="R2357" s="1041"/>
      <c r="S2357" s="73"/>
      <c r="T2357" s="359"/>
      <c r="U2357" s="73"/>
      <c r="V2357" s="66"/>
      <c r="W2357" s="594"/>
      <c r="X2357" s="595"/>
      <c r="Y2357" s="52"/>
      <c r="Z2357" s="52"/>
      <c r="AA2357" s="596"/>
      <c r="AB2357" s="256"/>
      <c r="AC2357" s="688"/>
      <c r="AD2357" s="164"/>
      <c r="AE2357" s="164"/>
      <c r="AF2357" s="600">
        <f>AJ2357*(1+AK2357)</f>
        <v>0</v>
      </c>
      <c r="AG2357" s="601">
        <f>AJ2357*(1+AL2357)</f>
        <v>0</v>
      </c>
      <c r="AH2357" s="587">
        <v>1990</v>
      </c>
      <c r="AI2357" s="588"/>
      <c r="AJ2357" s="725">
        <f>+H2357/1000</f>
        <v>1.1000000000000001E-3</v>
      </c>
      <c r="AK2357" s="590">
        <v>-1</v>
      </c>
      <c r="AL2357" s="591">
        <f>AK2357</f>
        <v>-1</v>
      </c>
      <c r="AM2357" s="211"/>
      <c r="AN2357" s="164"/>
      <c r="AO2357" s="76"/>
      <c r="AP2357" s="44"/>
      <c r="AQ2357" s="275"/>
      <c r="AR2357" s="52"/>
      <c r="AS2357" s="35"/>
      <c r="AT2357" s="79"/>
      <c r="AU2357" s="212"/>
      <c r="AV2357" s="164"/>
      <c r="AW2357" s="164"/>
      <c r="AX2357" s="76"/>
      <c r="AY2357" s="44"/>
      <c r="AZ2357" s="275"/>
      <c r="BA2357" s="52"/>
      <c r="BB2357" s="35"/>
      <c r="BC2357" s="79"/>
      <c r="BD2357" s="230"/>
      <c r="BE2357" s="211"/>
      <c r="BF2357" s="164"/>
      <c r="BG2357" s="76"/>
      <c r="BH2357" s="44"/>
      <c r="BI2357" s="275"/>
      <c r="BJ2357" s="52"/>
      <c r="BK2357" s="35"/>
      <c r="BL2357" s="79"/>
      <c r="BM2357" s="230"/>
      <c r="BN2357" s="211"/>
      <c r="BO2357" s="164"/>
      <c r="BP2357" s="76"/>
      <c r="BQ2357" s="44"/>
      <c r="BR2357" s="299"/>
      <c r="BS2357" s="52"/>
      <c r="BT2357" s="35"/>
      <c r="BU2357" s="79"/>
      <c r="BV2357" s="212"/>
      <c r="BW2357" s="304"/>
      <c r="BX2357" s="313"/>
      <c r="BY2357" s="300"/>
    </row>
    <row r="2358" spans="1:77" ht="15" customHeight="1" x14ac:dyDescent="0.2">
      <c r="A2358" s="57" t="s">
        <v>35</v>
      </c>
      <c r="B2358" s="583" t="s">
        <v>477</v>
      </c>
      <c r="C2358" s="583" t="s">
        <v>944</v>
      </c>
      <c r="D2358" s="546">
        <v>18.757000000000001</v>
      </c>
      <c r="E2358" s="162" t="s">
        <v>631</v>
      </c>
      <c r="F2358" s="358"/>
      <c r="G2358" s="65"/>
      <c r="H2358" s="73">
        <v>5.9200000000000003E-2</v>
      </c>
      <c r="I2358" s="90"/>
      <c r="J2358" s="73"/>
      <c r="K2358" s="66"/>
      <c r="L2358" s="717"/>
      <c r="M2358" s="73"/>
      <c r="N2358" s="359"/>
      <c r="O2358" s="1041"/>
      <c r="P2358" s="73"/>
      <c r="Q2358" s="359"/>
      <c r="R2358" s="1041"/>
      <c r="S2358" s="73"/>
      <c r="T2358" s="359"/>
      <c r="U2358" s="73"/>
      <c r="V2358" s="66"/>
      <c r="W2358" s="740">
        <f>AA2358*(1+AB2358)</f>
        <v>3.9071999999999995E-5</v>
      </c>
      <c r="X2358" s="741">
        <f>AA2358*(1+AC2358)</f>
        <v>3.9071999999999995E-5</v>
      </c>
      <c r="Y2358" s="52">
        <v>1990</v>
      </c>
      <c r="Z2358" s="52"/>
      <c r="AA2358" s="739">
        <f>+H2358/1000</f>
        <v>5.9200000000000002E-5</v>
      </c>
      <c r="AB2358" s="256">
        <v>-0.34</v>
      </c>
      <c r="AC2358" s="688">
        <f>AB2358</f>
        <v>-0.34</v>
      </c>
      <c r="AD2358" s="164"/>
      <c r="AE2358" s="164"/>
      <c r="AF2358" s="25"/>
      <c r="AG2358" s="26"/>
      <c r="AH2358" s="275"/>
      <c r="AI2358" s="52"/>
      <c r="AJ2358" s="35"/>
      <c r="AK2358" s="289"/>
      <c r="AL2358" s="290"/>
      <c r="AM2358" s="211"/>
      <c r="AN2358" s="164"/>
      <c r="AO2358" s="594"/>
      <c r="AP2358" s="595"/>
      <c r="AQ2358" s="275"/>
      <c r="AR2358" s="52"/>
      <c r="AS2358" s="596"/>
      <c r="AT2358" s="79"/>
      <c r="AU2358" s="212"/>
      <c r="AV2358" s="164"/>
      <c r="AW2358" s="164"/>
      <c r="AX2358" s="76"/>
      <c r="AY2358" s="44"/>
      <c r="AZ2358" s="275"/>
      <c r="BA2358" s="52"/>
      <c r="BB2358" s="35"/>
      <c r="BC2358" s="79"/>
      <c r="BD2358" s="230"/>
      <c r="BE2358" s="211"/>
      <c r="BF2358" s="164"/>
      <c r="BG2358" s="25"/>
      <c r="BH2358" s="26"/>
      <c r="BI2358" s="275"/>
      <c r="BJ2358" s="52"/>
      <c r="BK2358" s="35"/>
      <c r="BL2358" s="79"/>
      <c r="BM2358" s="230"/>
      <c r="BN2358" s="211"/>
      <c r="BO2358" s="164"/>
      <c r="BP2358" s="76"/>
      <c r="BQ2358" s="44"/>
      <c r="BR2358" s="299"/>
      <c r="BS2358" s="52"/>
      <c r="BT2358" s="35"/>
      <c r="BU2358" s="79"/>
      <c r="BV2358" s="212"/>
      <c r="BW2358" s="304"/>
      <c r="BX2358" s="313"/>
      <c r="BY2358" s="300"/>
    </row>
    <row r="2359" spans="1:77" ht="15" customHeight="1" x14ac:dyDescent="0.2">
      <c r="A2359" s="57" t="s">
        <v>35</v>
      </c>
      <c r="B2359" s="583" t="s">
        <v>477</v>
      </c>
      <c r="C2359" s="583" t="s">
        <v>491</v>
      </c>
      <c r="D2359" s="546">
        <v>93</v>
      </c>
      <c r="E2359" s="162" t="s">
        <v>762</v>
      </c>
      <c r="F2359" s="800">
        <v>1993</v>
      </c>
      <c r="G2359" s="65"/>
      <c r="H2359" s="73">
        <v>0.45918900000000001</v>
      </c>
      <c r="I2359" s="90"/>
      <c r="J2359" s="73"/>
      <c r="K2359" s="66"/>
      <c r="L2359" s="717">
        <v>2013</v>
      </c>
      <c r="M2359" s="73"/>
      <c r="N2359" s="359">
        <v>0.20699999999999999</v>
      </c>
      <c r="O2359" s="1041">
        <v>2013</v>
      </c>
      <c r="P2359" s="73"/>
      <c r="Q2359" s="359">
        <v>0.20699999999999999</v>
      </c>
      <c r="R2359" s="1041"/>
      <c r="S2359" s="73"/>
      <c r="T2359" s="359"/>
      <c r="U2359" s="73"/>
      <c r="V2359" s="66"/>
      <c r="W2359" s="740">
        <f>AA2359*(1+AB2359)</f>
        <v>1.6071615000000001E-4</v>
      </c>
      <c r="X2359" s="741">
        <f>AA2359*(1+AC2359)</f>
        <v>1.6071615000000001E-4</v>
      </c>
      <c r="Y2359" s="52">
        <v>1990</v>
      </c>
      <c r="Z2359" s="52"/>
      <c r="AA2359" s="739">
        <f>+H2359/1000</f>
        <v>4.5918900000000004E-4</v>
      </c>
      <c r="AB2359" s="256">
        <v>-0.65</v>
      </c>
      <c r="AC2359" s="688">
        <f>AB2359</f>
        <v>-0.65</v>
      </c>
      <c r="AD2359" s="164"/>
      <c r="AE2359" s="164"/>
      <c r="AF2359" s="25"/>
      <c r="AG2359" s="26"/>
      <c r="AH2359" s="275"/>
      <c r="AI2359" s="52"/>
      <c r="AJ2359" s="35"/>
      <c r="AK2359" s="289"/>
      <c r="AL2359" s="290"/>
      <c r="AM2359" s="211"/>
      <c r="AN2359" s="164"/>
      <c r="AO2359" s="594">
        <f>AS2359*(1+AT2359)</f>
        <v>0</v>
      </c>
      <c r="AP2359" s="595">
        <f>AS2359*(1+AU2359)</f>
        <v>0</v>
      </c>
      <c r="AQ2359" s="275">
        <v>1993</v>
      </c>
      <c r="AR2359" s="52"/>
      <c r="AS2359" s="596">
        <f>H2359/1000</f>
        <v>4.5918900000000004E-4</v>
      </c>
      <c r="AT2359" s="79">
        <v>-1</v>
      </c>
      <c r="AU2359" s="212">
        <f>AT2359</f>
        <v>-1</v>
      </c>
      <c r="AV2359" s="164"/>
      <c r="AW2359" s="164"/>
      <c r="AX2359" s="76"/>
      <c r="AY2359" s="44"/>
      <c r="AZ2359" s="275"/>
      <c r="BA2359" s="52"/>
      <c r="BB2359" s="35"/>
      <c r="BC2359" s="79"/>
      <c r="BD2359" s="230"/>
      <c r="BE2359" s="211"/>
      <c r="BF2359" s="164"/>
      <c r="BG2359" s="25"/>
      <c r="BH2359" s="26"/>
      <c r="BI2359" s="275"/>
      <c r="BJ2359" s="52"/>
      <c r="BK2359" s="35"/>
      <c r="BL2359" s="79"/>
      <c r="BM2359" s="230"/>
      <c r="BN2359" s="211"/>
      <c r="BO2359" s="164"/>
      <c r="BP2359" s="76"/>
      <c r="BQ2359" s="44"/>
      <c r="BR2359" s="299"/>
      <c r="BS2359" s="52"/>
      <c r="BT2359" s="35"/>
      <c r="BU2359" s="79"/>
      <c r="BV2359" s="212"/>
      <c r="BW2359" s="304"/>
      <c r="BX2359" s="313"/>
      <c r="BY2359" s="300"/>
    </row>
    <row r="2360" spans="1:77" ht="15" customHeight="1" x14ac:dyDescent="0.2">
      <c r="A2360" s="57" t="s">
        <v>35</v>
      </c>
      <c r="B2360" s="583" t="s">
        <v>2555</v>
      </c>
      <c r="C2360" s="583"/>
      <c r="D2360" s="546">
        <v>195</v>
      </c>
      <c r="E2360" s="162" t="s">
        <v>2549</v>
      </c>
      <c r="F2360" s="800"/>
      <c r="G2360" s="65"/>
      <c r="H2360" s="73"/>
      <c r="I2360" s="90"/>
      <c r="J2360" s="73"/>
      <c r="K2360" s="66">
        <v>5</v>
      </c>
      <c r="L2360" s="717"/>
      <c r="M2360" s="73"/>
      <c r="N2360" s="359"/>
      <c r="O2360" s="1041"/>
      <c r="P2360" s="73"/>
      <c r="Q2360" s="359"/>
      <c r="R2360" s="1041"/>
      <c r="S2360" s="73"/>
      <c r="T2360" s="359"/>
      <c r="U2360" s="73"/>
      <c r="V2360" s="66"/>
      <c r="W2360" s="594">
        <f>AA2360*(1+AB2360)</f>
        <v>6.2500000000000003E-3</v>
      </c>
      <c r="X2360" s="595">
        <f>AA2360*(1+AC2360)</f>
        <v>6.2500000000000003E-3</v>
      </c>
      <c r="Y2360" s="52">
        <v>2005</v>
      </c>
      <c r="Z2360" s="52"/>
      <c r="AA2360" s="596">
        <f>+K2360/1000</f>
        <v>5.0000000000000001E-3</v>
      </c>
      <c r="AB2360" s="256">
        <v>0.25</v>
      </c>
      <c r="AC2360" s="688">
        <f>AB2360</f>
        <v>0.25</v>
      </c>
      <c r="AD2360" s="164"/>
      <c r="AE2360" s="164"/>
      <c r="AF2360" s="25"/>
      <c r="AG2360" s="26"/>
      <c r="AH2360" s="275"/>
      <c r="AI2360" s="52"/>
      <c r="AJ2360" s="35"/>
      <c r="AK2360" s="289"/>
      <c r="AL2360" s="290"/>
      <c r="AM2360" s="211"/>
      <c r="AN2360" s="164"/>
      <c r="AO2360" s="594">
        <f>AS2360*(1+AT2360)</f>
        <v>2.6250000000000002E-3</v>
      </c>
      <c r="AP2360" s="595">
        <f>AS2360*(1+AU2360)</f>
        <v>2.6250000000000002E-3</v>
      </c>
      <c r="AQ2360" s="275">
        <v>2005</v>
      </c>
      <c r="AR2360" s="52"/>
      <c r="AS2360" s="596">
        <f>+K2360/1000</f>
        <v>5.0000000000000001E-3</v>
      </c>
      <c r="AT2360" s="1125">
        <v>-0.47499999999999998</v>
      </c>
      <c r="AU2360" s="1126">
        <f>AT2360</f>
        <v>-0.47499999999999998</v>
      </c>
      <c r="AV2360" s="164"/>
      <c r="AW2360" s="164"/>
      <c r="AX2360" s="76"/>
      <c r="AY2360" s="44"/>
      <c r="AZ2360" s="275"/>
      <c r="BA2360" s="52"/>
      <c r="BB2360" s="35"/>
      <c r="BC2360" s="79"/>
      <c r="BD2360" s="230"/>
      <c r="BE2360" s="211"/>
      <c r="BF2360" s="164"/>
      <c r="BG2360" s="25"/>
      <c r="BH2360" s="26"/>
      <c r="BI2360" s="275"/>
      <c r="BJ2360" s="52"/>
      <c r="BK2360" s="35"/>
      <c r="BL2360" s="79"/>
      <c r="BM2360" s="230"/>
      <c r="BN2360" s="211"/>
      <c r="BO2360" s="164"/>
      <c r="BP2360" s="584">
        <f>+BT2360*(1+BU2360)</f>
        <v>7.5000000000000012E-4</v>
      </c>
      <c r="BQ2360" s="585">
        <f>BT2360*(1+BV2360)</f>
        <v>7.5000000000000012E-4</v>
      </c>
      <c r="BR2360" s="299">
        <v>2005</v>
      </c>
      <c r="BS2360" s="35"/>
      <c r="BT2360" s="596">
        <f>+K2360/1000</f>
        <v>5.0000000000000001E-3</v>
      </c>
      <c r="BU2360" s="79">
        <v>-0.85</v>
      </c>
      <c r="BV2360" s="212">
        <f>BU2360</f>
        <v>-0.85</v>
      </c>
      <c r="BW2360" s="304"/>
      <c r="BX2360" s="313"/>
      <c r="BY2360" s="300"/>
    </row>
    <row r="2361" spans="1:77" ht="15" customHeight="1" x14ac:dyDescent="0.2">
      <c r="A2361" s="57" t="s">
        <v>35</v>
      </c>
      <c r="B2361" s="583"/>
      <c r="C2361" s="583" t="s">
        <v>2845</v>
      </c>
      <c r="D2361" s="546">
        <v>28</v>
      </c>
      <c r="E2361" s="162" t="s">
        <v>631</v>
      </c>
      <c r="F2361" s="800"/>
      <c r="G2361" s="65"/>
      <c r="H2361" s="73"/>
      <c r="I2361" s="90"/>
      <c r="J2361" s="73"/>
      <c r="K2361" s="790">
        <v>9.4223000000000001E-2</v>
      </c>
      <c r="L2361" s="717"/>
      <c r="M2361" s="73"/>
      <c r="N2361" s="359"/>
      <c r="O2361" s="1041"/>
      <c r="P2361" s="73"/>
      <c r="Q2361" s="359"/>
      <c r="R2361" s="1041"/>
      <c r="S2361" s="73"/>
      <c r="T2361" s="359"/>
      <c r="U2361" s="73"/>
      <c r="V2361" s="66"/>
      <c r="W2361" s="594"/>
      <c r="X2361" s="595"/>
      <c r="Y2361" s="52"/>
      <c r="Z2361" s="52"/>
      <c r="AA2361" s="596"/>
      <c r="AB2361" s="256"/>
      <c r="AC2361" s="688"/>
      <c r="AD2361" s="164"/>
      <c r="AE2361" s="164"/>
      <c r="AF2361" s="25"/>
      <c r="AG2361" s="26"/>
      <c r="AH2361" s="275"/>
      <c r="AI2361" s="52"/>
      <c r="AJ2361" s="35"/>
      <c r="AK2361" s="289"/>
      <c r="AL2361" s="290"/>
      <c r="AM2361" s="211"/>
      <c r="AN2361" s="164"/>
      <c r="AO2361" s="788">
        <f>AS2361*(1+AT2361)</f>
        <v>5.1822650000000004E-5</v>
      </c>
      <c r="AP2361" s="789">
        <f>AS2361*(1+AU2361)</f>
        <v>5.1822650000000004E-5</v>
      </c>
      <c r="AQ2361" s="275">
        <v>2005</v>
      </c>
      <c r="AR2361" s="52"/>
      <c r="AS2361" s="787">
        <f>+K2361/1000</f>
        <v>9.4222999999999996E-5</v>
      </c>
      <c r="AT2361" s="79">
        <v>-0.45</v>
      </c>
      <c r="AU2361" s="212">
        <f>AT2361</f>
        <v>-0.45</v>
      </c>
      <c r="AV2361" s="164"/>
      <c r="AW2361" s="164"/>
      <c r="AX2361" s="76"/>
      <c r="AY2361" s="44"/>
      <c r="AZ2361" s="275"/>
      <c r="BA2361" s="52"/>
      <c r="BB2361" s="35"/>
      <c r="BC2361" s="79"/>
      <c r="BD2361" s="230"/>
      <c r="BE2361" s="211"/>
      <c r="BF2361" s="164"/>
      <c r="BG2361" s="25"/>
      <c r="BH2361" s="26"/>
      <c r="BI2361" s="275"/>
      <c r="BJ2361" s="52"/>
      <c r="BK2361" s="35"/>
      <c r="BL2361" s="79"/>
      <c r="BM2361" s="230"/>
      <c r="BN2361" s="211"/>
      <c r="BO2361" s="164"/>
      <c r="BP2361" s="584"/>
      <c r="BQ2361" s="585"/>
      <c r="BR2361" s="299"/>
      <c r="BS2361" s="35"/>
      <c r="BT2361" s="596"/>
      <c r="BU2361" s="79"/>
      <c r="BV2361" s="212"/>
      <c r="BW2361" s="304"/>
      <c r="BX2361" s="313"/>
      <c r="BY2361" s="300"/>
    </row>
    <row r="2362" spans="1:77" ht="15" customHeight="1" x14ac:dyDescent="0.2">
      <c r="A2362" s="57" t="s">
        <v>35</v>
      </c>
      <c r="B2362" s="57"/>
      <c r="C2362" s="583" t="s">
        <v>928</v>
      </c>
      <c r="D2362" s="546">
        <v>60.185000000000002</v>
      </c>
      <c r="E2362" s="162" t="s">
        <v>631</v>
      </c>
      <c r="F2362" s="358"/>
      <c r="G2362" s="65"/>
      <c r="H2362" s="73"/>
      <c r="I2362" s="90"/>
      <c r="J2362" s="73"/>
      <c r="K2362" s="66"/>
      <c r="L2362" s="717">
        <v>2009</v>
      </c>
      <c r="M2362" s="73"/>
      <c r="N2362" s="359">
        <v>0.163492</v>
      </c>
      <c r="O2362" s="1041"/>
      <c r="P2362" s="73"/>
      <c r="Q2362" s="359"/>
      <c r="R2362" s="1041"/>
      <c r="S2362" s="73"/>
      <c r="T2362" s="359"/>
      <c r="U2362" s="73"/>
      <c r="V2362" s="66"/>
      <c r="W2362" s="740">
        <f>AA2362*(1+AB2362)</f>
        <v>1.22619E-4</v>
      </c>
      <c r="X2362" s="741">
        <f>AA2362*(1+AC2362)</f>
        <v>1.22619E-4</v>
      </c>
      <c r="Y2362" s="52">
        <v>2009</v>
      </c>
      <c r="Z2362" s="52"/>
      <c r="AA2362" s="739">
        <f>+N2362/1000</f>
        <v>1.63492E-4</v>
      </c>
      <c r="AB2362" s="256">
        <v>-0.25</v>
      </c>
      <c r="AC2362" s="688">
        <f>AB2362</f>
        <v>-0.25</v>
      </c>
      <c r="AD2362" s="164"/>
      <c r="AE2362" s="164"/>
      <c r="AF2362" s="25"/>
      <c r="AG2362" s="26"/>
      <c r="AH2362" s="275"/>
      <c r="AI2362" s="52"/>
      <c r="AJ2362" s="35"/>
      <c r="AK2362" s="289"/>
      <c r="AL2362" s="290"/>
      <c r="AM2362" s="211"/>
      <c r="AN2362" s="164"/>
      <c r="AO2362" s="594"/>
      <c r="AP2362" s="595"/>
      <c r="AQ2362" s="275"/>
      <c r="AR2362" s="52"/>
      <c r="AS2362" s="596"/>
      <c r="AT2362" s="79"/>
      <c r="AU2362" s="212"/>
      <c r="AV2362" s="164"/>
      <c r="AW2362" s="164"/>
      <c r="AX2362" s="76"/>
      <c r="AY2362" s="44"/>
      <c r="AZ2362" s="275"/>
      <c r="BA2362" s="52"/>
      <c r="BB2362" s="35"/>
      <c r="BC2362" s="79"/>
      <c r="BD2362" s="230"/>
      <c r="BE2362" s="211"/>
      <c r="BF2362" s="164"/>
      <c r="BG2362" s="25"/>
      <c r="BH2362" s="26"/>
      <c r="BI2362" s="275"/>
      <c r="BJ2362" s="52"/>
      <c r="BK2362" s="35"/>
      <c r="BL2362" s="79"/>
      <c r="BM2362" s="230"/>
      <c r="BN2362" s="211"/>
      <c r="BO2362" s="164"/>
      <c r="BP2362" s="76"/>
      <c r="BQ2362" s="44"/>
      <c r="BR2362" s="299"/>
      <c r="BS2362" s="52"/>
      <c r="BT2362" s="35"/>
      <c r="BU2362" s="79"/>
      <c r="BV2362" s="212"/>
      <c r="BW2362" s="304"/>
      <c r="BX2362" s="313"/>
      <c r="BY2362" s="300"/>
    </row>
    <row r="2363" spans="1:77" ht="15" customHeight="1" x14ac:dyDescent="0.2">
      <c r="A2363" s="57" t="s">
        <v>35</v>
      </c>
      <c r="B2363" s="57"/>
      <c r="C2363" s="583" t="s">
        <v>3318</v>
      </c>
      <c r="D2363" s="546">
        <v>33.334000000000003</v>
      </c>
      <c r="E2363" s="162" t="s">
        <v>387</v>
      </c>
      <c r="F2363" s="358"/>
      <c r="G2363" s="65"/>
      <c r="H2363" s="73">
        <v>0.329876</v>
      </c>
      <c r="I2363" s="90"/>
      <c r="J2363" s="73"/>
      <c r="K2363" s="66"/>
      <c r="L2363" s="717"/>
      <c r="M2363" s="73"/>
      <c r="N2363" s="359"/>
      <c r="O2363" s="1041"/>
      <c r="P2363" s="73"/>
      <c r="Q2363" s="359"/>
      <c r="R2363" s="1041"/>
      <c r="S2363" s="73"/>
      <c r="T2363" s="359"/>
      <c r="U2363" s="73"/>
      <c r="V2363" s="66"/>
      <c r="W2363" s="740">
        <f>AA2363*(1+AB2363)</f>
        <v>1.9792559999999999E-4</v>
      </c>
      <c r="X2363" s="741">
        <f>AA2363*(1+AC2363)</f>
        <v>1.9792559999999999E-4</v>
      </c>
      <c r="Y2363" s="52">
        <v>1990</v>
      </c>
      <c r="Z2363" s="52"/>
      <c r="AA2363" s="739">
        <f>+H2363/1000</f>
        <v>3.29876E-4</v>
      </c>
      <c r="AB2363" s="256">
        <v>-0.4</v>
      </c>
      <c r="AC2363" s="688">
        <f>AB2363</f>
        <v>-0.4</v>
      </c>
      <c r="AD2363" s="164"/>
      <c r="AE2363" s="164"/>
      <c r="AF2363" s="25"/>
      <c r="AG2363" s="26"/>
      <c r="AH2363" s="275"/>
      <c r="AI2363" s="52"/>
      <c r="AJ2363" s="35"/>
      <c r="AK2363" s="289"/>
      <c r="AL2363" s="290"/>
      <c r="AM2363" s="211"/>
      <c r="AN2363" s="164"/>
      <c r="AO2363" s="594"/>
      <c r="AP2363" s="595"/>
      <c r="AQ2363" s="275"/>
      <c r="AR2363" s="52"/>
      <c r="AS2363" s="596"/>
      <c r="AT2363" s="79"/>
      <c r="AU2363" s="212"/>
      <c r="AV2363" s="164"/>
      <c r="AW2363" s="164"/>
      <c r="AX2363" s="76"/>
      <c r="AY2363" s="44"/>
      <c r="AZ2363" s="275"/>
      <c r="BA2363" s="52"/>
      <c r="BB2363" s="35"/>
      <c r="BC2363" s="79"/>
      <c r="BD2363" s="230"/>
      <c r="BE2363" s="211"/>
      <c r="BF2363" s="164"/>
      <c r="BG2363" s="25"/>
      <c r="BH2363" s="26"/>
      <c r="BI2363" s="275"/>
      <c r="BJ2363" s="52"/>
      <c r="BK2363" s="35"/>
      <c r="BL2363" s="79"/>
      <c r="BM2363" s="230"/>
      <c r="BN2363" s="211"/>
      <c r="BO2363" s="164"/>
      <c r="BP2363" s="76"/>
      <c r="BQ2363" s="44"/>
      <c r="BR2363" s="299"/>
      <c r="BS2363" s="52"/>
      <c r="BT2363" s="35"/>
      <c r="BU2363" s="79"/>
      <c r="BV2363" s="212"/>
      <c r="BW2363" s="304"/>
      <c r="BX2363" s="313"/>
      <c r="BY2363" s="300"/>
    </row>
    <row r="2364" spans="1:77" ht="15" customHeight="1" x14ac:dyDescent="0.2">
      <c r="A2364" s="57" t="s">
        <v>35</v>
      </c>
      <c r="B2364" s="57"/>
      <c r="C2364" s="583" t="s">
        <v>949</v>
      </c>
      <c r="D2364" s="546">
        <v>20.733000000000001</v>
      </c>
      <c r="E2364" s="162" t="s">
        <v>631</v>
      </c>
      <c r="F2364" s="358"/>
      <c r="G2364" s="65"/>
      <c r="H2364" s="73">
        <v>0.118116</v>
      </c>
      <c r="I2364" s="90"/>
      <c r="J2364" s="73"/>
      <c r="K2364" s="66"/>
      <c r="L2364" s="717"/>
      <c r="M2364" s="73"/>
      <c r="N2364" s="359"/>
      <c r="O2364" s="1041"/>
      <c r="P2364" s="73"/>
      <c r="Q2364" s="359"/>
      <c r="R2364" s="1041"/>
      <c r="S2364" s="73"/>
      <c r="T2364" s="359"/>
      <c r="U2364" s="73"/>
      <c r="V2364" s="66"/>
      <c r="W2364" s="740">
        <f>AA2364*(1+AB2364)</f>
        <v>7.0869600000000003E-5</v>
      </c>
      <c r="X2364" s="741">
        <f>AA2364*(1+AC2364)</f>
        <v>7.0869600000000003E-5</v>
      </c>
      <c r="Y2364" s="52">
        <v>1990</v>
      </c>
      <c r="Z2364" s="52"/>
      <c r="AA2364" s="739">
        <f>+H2364/1000</f>
        <v>1.1811600000000001E-4</v>
      </c>
      <c r="AB2364" s="256">
        <v>-0.4</v>
      </c>
      <c r="AC2364" s="688">
        <f>AB2364</f>
        <v>-0.4</v>
      </c>
      <c r="AD2364" s="164"/>
      <c r="AE2364" s="164"/>
      <c r="AF2364" s="25"/>
      <c r="AG2364" s="26"/>
      <c r="AH2364" s="275"/>
      <c r="AI2364" s="52"/>
      <c r="AJ2364" s="35"/>
      <c r="AK2364" s="289"/>
      <c r="AL2364" s="290"/>
      <c r="AM2364" s="211"/>
      <c r="AN2364" s="164"/>
      <c r="AO2364" s="594"/>
      <c r="AP2364" s="595"/>
      <c r="AQ2364" s="275"/>
      <c r="AR2364" s="52"/>
      <c r="AS2364" s="596"/>
      <c r="AT2364" s="79"/>
      <c r="AU2364" s="212"/>
      <c r="AV2364" s="164"/>
      <c r="AW2364" s="164"/>
      <c r="AX2364" s="76"/>
      <c r="AY2364" s="44"/>
      <c r="AZ2364" s="275"/>
      <c r="BA2364" s="52"/>
      <c r="BB2364" s="35"/>
      <c r="BC2364" s="79"/>
      <c r="BD2364" s="230"/>
      <c r="BE2364" s="211"/>
      <c r="BF2364" s="164"/>
      <c r="BG2364" s="25"/>
      <c r="BH2364" s="26"/>
      <c r="BI2364" s="275"/>
      <c r="BJ2364" s="52"/>
      <c r="BK2364" s="35"/>
      <c r="BL2364" s="79"/>
      <c r="BM2364" s="230"/>
      <c r="BN2364" s="211"/>
      <c r="BO2364" s="164"/>
      <c r="BP2364" s="76"/>
      <c r="BQ2364" s="44"/>
      <c r="BR2364" s="299"/>
      <c r="BS2364" s="52"/>
      <c r="BT2364" s="35"/>
      <c r="BU2364" s="79"/>
      <c r="BV2364" s="212"/>
      <c r="BW2364" s="304"/>
      <c r="BX2364" s="313"/>
      <c r="BY2364" s="300"/>
    </row>
    <row r="2365" spans="1:77" ht="15" customHeight="1" x14ac:dyDescent="0.2">
      <c r="A2365" s="57" t="s">
        <v>35</v>
      </c>
      <c r="B2365" s="583"/>
      <c r="C2365" s="583" t="s">
        <v>498</v>
      </c>
      <c r="D2365" s="546">
        <v>71</v>
      </c>
      <c r="E2365" s="162" t="s">
        <v>392</v>
      </c>
      <c r="F2365" s="358"/>
      <c r="G2365" s="65"/>
      <c r="H2365" s="73"/>
      <c r="I2365" s="90"/>
      <c r="J2365" s="73"/>
      <c r="K2365" s="66"/>
      <c r="L2365" s="717">
        <v>2011</v>
      </c>
      <c r="M2365" s="73"/>
      <c r="N2365" s="359">
        <v>0.36299999999999999</v>
      </c>
      <c r="O2365" s="1041"/>
      <c r="P2365" s="73"/>
      <c r="Q2365" s="359"/>
      <c r="R2365" s="1041"/>
      <c r="S2365" s="73"/>
      <c r="T2365" s="359"/>
      <c r="U2365" s="73"/>
      <c r="V2365" s="66"/>
      <c r="W2365" s="594"/>
      <c r="X2365" s="595"/>
      <c r="Y2365" s="52"/>
      <c r="Z2365" s="52"/>
      <c r="AA2365" s="596"/>
      <c r="AB2365" s="256"/>
      <c r="AC2365" s="688"/>
      <c r="AD2365" s="164"/>
      <c r="AE2365" s="164"/>
      <c r="AF2365" s="600"/>
      <c r="AG2365" s="601"/>
      <c r="AH2365" s="587"/>
      <c r="AI2365" s="588"/>
      <c r="AJ2365" s="725"/>
      <c r="AK2365" s="590"/>
      <c r="AL2365" s="591"/>
      <c r="AM2365" s="211"/>
      <c r="AN2365" s="164"/>
      <c r="AO2365" s="594">
        <f>AS2365*(1+AT2365)</f>
        <v>0</v>
      </c>
      <c r="AP2365" s="595">
        <f>AS2365*(1+AU2365)</f>
        <v>0</v>
      </c>
      <c r="AQ2365" s="275">
        <v>2010</v>
      </c>
      <c r="AR2365" s="52"/>
      <c r="AS2365" s="596">
        <f>+N2365/1000</f>
        <v>3.6299999999999999E-4</v>
      </c>
      <c r="AT2365" s="79">
        <v>-1</v>
      </c>
      <c r="AU2365" s="212">
        <f>AT2365</f>
        <v>-1</v>
      </c>
      <c r="AV2365" s="164"/>
      <c r="AW2365" s="164"/>
      <c r="AX2365" s="76"/>
      <c r="AY2365" s="44"/>
      <c r="AZ2365" s="275"/>
      <c r="BA2365" s="52"/>
      <c r="BB2365" s="35"/>
      <c r="BC2365" s="79"/>
      <c r="BD2365" s="230"/>
      <c r="BE2365" s="211"/>
      <c r="BF2365" s="164"/>
      <c r="BG2365" s="76"/>
      <c r="BH2365" s="44"/>
      <c r="BI2365" s="275"/>
      <c r="BJ2365" s="52"/>
      <c r="BK2365" s="35"/>
      <c r="BL2365" s="79"/>
      <c r="BM2365" s="230"/>
      <c r="BN2365" s="211"/>
      <c r="BO2365" s="164"/>
      <c r="BP2365" s="76"/>
      <c r="BQ2365" s="44"/>
      <c r="BR2365" s="299"/>
      <c r="BS2365" s="52"/>
      <c r="BT2365" s="35"/>
      <c r="BU2365" s="79"/>
      <c r="BV2365" s="212"/>
      <c r="BW2365" s="304"/>
      <c r="BX2365" s="313"/>
      <c r="BY2365" s="300"/>
    </row>
    <row r="2366" spans="1:77" ht="15" customHeight="1" x14ac:dyDescent="0.2">
      <c r="A2366" s="57" t="s">
        <v>35</v>
      </c>
      <c r="B2366" s="57"/>
      <c r="C2366" s="583" t="s">
        <v>950</v>
      </c>
      <c r="D2366" s="546">
        <v>29.212</v>
      </c>
      <c r="E2366" s="162" t="s">
        <v>631</v>
      </c>
      <c r="F2366" s="358"/>
      <c r="G2366" s="65"/>
      <c r="H2366" s="73">
        <v>0.13530300000000001</v>
      </c>
      <c r="I2366" s="90"/>
      <c r="J2366" s="73"/>
      <c r="K2366" s="66"/>
      <c r="L2366" s="717"/>
      <c r="M2366" s="73"/>
      <c r="N2366" s="359"/>
      <c r="O2366" s="1041"/>
      <c r="P2366" s="73"/>
      <c r="Q2366" s="359"/>
      <c r="R2366" s="1041"/>
      <c r="S2366" s="73"/>
      <c r="T2366" s="359"/>
      <c r="U2366" s="73"/>
      <c r="V2366" s="66"/>
      <c r="W2366" s="740">
        <f t="shared" ref="W2366:W2394" si="2064">AA2366*(1+AB2366)</f>
        <v>7.5769680000000006E-5</v>
      </c>
      <c r="X2366" s="741">
        <f t="shared" ref="X2366:X2394" si="2065">AA2366*(1+AC2366)</f>
        <v>7.5769680000000006E-5</v>
      </c>
      <c r="Y2366" s="52">
        <v>1990</v>
      </c>
      <c r="Z2366" s="52"/>
      <c r="AA2366" s="739">
        <f>+H2366/1000</f>
        <v>1.35303E-4</v>
      </c>
      <c r="AB2366" s="256">
        <v>-0.44</v>
      </c>
      <c r="AC2366" s="688">
        <f t="shared" ref="AC2366:AC2394" si="2066">AB2366</f>
        <v>-0.44</v>
      </c>
      <c r="AD2366" s="164"/>
      <c r="AE2366" s="164"/>
      <c r="AF2366" s="25"/>
      <c r="AG2366" s="26"/>
      <c r="AH2366" s="275"/>
      <c r="AI2366" s="52"/>
      <c r="AJ2366" s="35"/>
      <c r="AK2366" s="289"/>
      <c r="AL2366" s="290"/>
      <c r="AM2366" s="211"/>
      <c r="AN2366" s="164"/>
      <c r="AO2366" s="594"/>
      <c r="AP2366" s="595"/>
      <c r="AQ2366" s="275"/>
      <c r="AR2366" s="52"/>
      <c r="AS2366" s="596"/>
      <c r="AT2366" s="79"/>
      <c r="AU2366" s="212"/>
      <c r="AV2366" s="164"/>
      <c r="AW2366" s="164"/>
      <c r="AX2366" s="76"/>
      <c r="AY2366" s="44"/>
      <c r="AZ2366" s="275"/>
      <c r="BA2366" s="52"/>
      <c r="BB2366" s="35"/>
      <c r="BC2366" s="79"/>
      <c r="BD2366" s="230"/>
      <c r="BE2366" s="211"/>
      <c r="BF2366" s="164"/>
      <c r="BG2366" s="25"/>
      <c r="BH2366" s="26"/>
      <c r="BI2366" s="275"/>
      <c r="BJ2366" s="52"/>
      <c r="BK2366" s="35"/>
      <c r="BL2366" s="79"/>
      <c r="BM2366" s="230"/>
      <c r="BN2366" s="211"/>
      <c r="BO2366" s="164"/>
      <c r="BP2366" s="76"/>
      <c r="BQ2366" s="44"/>
      <c r="BR2366" s="299"/>
      <c r="BS2366" s="52"/>
      <c r="BT2366" s="35"/>
      <c r="BU2366" s="79"/>
      <c r="BV2366" s="212"/>
      <c r="BW2366" s="304"/>
      <c r="BX2366" s="313"/>
      <c r="BY2366" s="300"/>
    </row>
    <row r="2367" spans="1:77" ht="15" customHeight="1" x14ac:dyDescent="0.2">
      <c r="A2367" s="57" t="s">
        <v>35</v>
      </c>
      <c r="B2367" s="57"/>
      <c r="C2367" s="583" t="s">
        <v>939</v>
      </c>
      <c r="D2367" s="546">
        <v>579.28099999999995</v>
      </c>
      <c r="E2367" s="162" t="s">
        <v>2259</v>
      </c>
      <c r="F2367" s="358"/>
      <c r="G2367" s="65"/>
      <c r="H2367" s="73">
        <v>1.6659999999999999</v>
      </c>
      <c r="I2367" s="90"/>
      <c r="J2367" s="73"/>
      <c r="K2367" s="66"/>
      <c r="L2367" s="717"/>
      <c r="M2367" s="73"/>
      <c r="N2367" s="359"/>
      <c r="O2367" s="1041"/>
      <c r="P2367" s="73"/>
      <c r="Q2367" s="359"/>
      <c r="R2367" s="1041"/>
      <c r="S2367" s="73"/>
      <c r="T2367" s="359"/>
      <c r="U2367" s="73"/>
      <c r="V2367" s="66"/>
      <c r="W2367" s="594">
        <f t="shared" si="2064"/>
        <v>9.9960000000000001E-4</v>
      </c>
      <c r="X2367" s="595">
        <f t="shared" si="2065"/>
        <v>9.9960000000000001E-4</v>
      </c>
      <c r="Y2367" s="52">
        <v>1990</v>
      </c>
      <c r="Z2367" s="52"/>
      <c r="AA2367" s="596">
        <f>+H2367/1000</f>
        <v>1.6659999999999999E-3</v>
      </c>
      <c r="AB2367" s="256">
        <v>-0.4</v>
      </c>
      <c r="AC2367" s="688">
        <f t="shared" si="2066"/>
        <v>-0.4</v>
      </c>
      <c r="AD2367" s="164"/>
      <c r="AE2367" s="164"/>
      <c r="AF2367" s="25"/>
      <c r="AG2367" s="26"/>
      <c r="AH2367" s="275"/>
      <c r="AI2367" s="52"/>
      <c r="AJ2367" s="35"/>
      <c r="AK2367" s="289"/>
      <c r="AL2367" s="290"/>
      <c r="AM2367" s="211"/>
      <c r="AN2367" s="164"/>
      <c r="AO2367" s="594"/>
      <c r="AP2367" s="595"/>
      <c r="AQ2367" s="275"/>
      <c r="AR2367" s="52"/>
      <c r="AS2367" s="596"/>
      <c r="AT2367" s="79"/>
      <c r="AU2367" s="212"/>
      <c r="AV2367" s="164"/>
      <c r="AW2367" s="164"/>
      <c r="AX2367" s="76"/>
      <c r="AY2367" s="44"/>
      <c r="AZ2367" s="275"/>
      <c r="BA2367" s="52"/>
      <c r="BB2367" s="35"/>
      <c r="BC2367" s="79"/>
      <c r="BD2367" s="230"/>
      <c r="BE2367" s="211"/>
      <c r="BF2367" s="164"/>
      <c r="BG2367" s="25"/>
      <c r="BH2367" s="26"/>
      <c r="BI2367" s="275"/>
      <c r="BJ2367" s="52"/>
      <c r="BK2367" s="35"/>
      <c r="BL2367" s="79"/>
      <c r="BM2367" s="230"/>
      <c r="BN2367" s="211"/>
      <c r="BO2367" s="164"/>
      <c r="BP2367" s="584">
        <f>+BT2367*(1+BU2367)</f>
        <v>3.3319999999999991E-4</v>
      </c>
      <c r="BQ2367" s="585">
        <f>BT2367*(1+BV2367)</f>
        <v>3.3319999999999991E-4</v>
      </c>
      <c r="BR2367" s="299">
        <v>1990</v>
      </c>
      <c r="BS2367" s="35"/>
      <c r="BT2367" s="596">
        <f>+H2367/1000</f>
        <v>1.6659999999999999E-3</v>
      </c>
      <c r="BU2367" s="79">
        <v>-0.8</v>
      </c>
      <c r="BV2367" s="212">
        <f>BU2367</f>
        <v>-0.8</v>
      </c>
      <c r="BW2367" s="304"/>
      <c r="BX2367" s="313"/>
      <c r="BY2367" s="300"/>
    </row>
    <row r="2368" spans="1:77" ht="15" customHeight="1" x14ac:dyDescent="0.2">
      <c r="A2368" s="57" t="s">
        <v>35</v>
      </c>
      <c r="B2368" s="57"/>
      <c r="C2368" s="583" t="s">
        <v>946</v>
      </c>
      <c r="D2368" s="546">
        <v>96.8</v>
      </c>
      <c r="E2368" s="162" t="s">
        <v>631</v>
      </c>
      <c r="F2368" s="358"/>
      <c r="G2368" s="65"/>
      <c r="H2368" s="73">
        <v>0.60031999999999996</v>
      </c>
      <c r="I2368" s="90"/>
      <c r="J2368" s="73"/>
      <c r="K2368" s="66"/>
      <c r="L2368" s="717"/>
      <c r="M2368" s="73"/>
      <c r="N2368" s="359"/>
      <c r="O2368" s="1041"/>
      <c r="P2368" s="73"/>
      <c r="Q2368" s="359"/>
      <c r="R2368" s="1041"/>
      <c r="S2368" s="73"/>
      <c r="T2368" s="359"/>
      <c r="U2368" s="73"/>
      <c r="V2368" s="66"/>
      <c r="W2368" s="594">
        <f t="shared" si="2064"/>
        <v>3.30176E-4</v>
      </c>
      <c r="X2368" s="595">
        <f t="shared" si="2065"/>
        <v>3.30176E-4</v>
      </c>
      <c r="Y2368" s="52">
        <v>1990</v>
      </c>
      <c r="Z2368" s="52"/>
      <c r="AA2368" s="596">
        <f>+H2368/1000</f>
        <v>6.0032E-4</v>
      </c>
      <c r="AB2368" s="256">
        <v>-0.45</v>
      </c>
      <c r="AC2368" s="688">
        <f t="shared" si="2066"/>
        <v>-0.45</v>
      </c>
      <c r="AD2368" s="164"/>
      <c r="AE2368" s="164"/>
      <c r="AF2368" s="25"/>
      <c r="AG2368" s="26"/>
      <c r="AH2368" s="275"/>
      <c r="AI2368" s="52"/>
      <c r="AJ2368" s="35"/>
      <c r="AK2368" s="289"/>
      <c r="AL2368" s="290"/>
      <c r="AM2368" s="211"/>
      <c r="AN2368" s="164"/>
      <c r="AO2368" s="594"/>
      <c r="AP2368" s="595"/>
      <c r="AQ2368" s="275"/>
      <c r="AR2368" s="52"/>
      <c r="AS2368" s="596"/>
      <c r="AT2368" s="79"/>
      <c r="AU2368" s="212"/>
      <c r="AV2368" s="164"/>
      <c r="AW2368" s="164"/>
      <c r="AX2368" s="76"/>
      <c r="AY2368" s="44"/>
      <c r="AZ2368" s="275"/>
      <c r="BA2368" s="52"/>
      <c r="BB2368" s="35"/>
      <c r="BC2368" s="79"/>
      <c r="BD2368" s="230"/>
      <c r="BE2368" s="211"/>
      <c r="BF2368" s="164"/>
      <c r="BG2368" s="25"/>
      <c r="BH2368" s="26"/>
      <c r="BI2368" s="275"/>
      <c r="BJ2368" s="52"/>
      <c r="BK2368" s="35"/>
      <c r="BL2368" s="79"/>
      <c r="BM2368" s="230"/>
      <c r="BN2368" s="211"/>
      <c r="BO2368" s="164"/>
      <c r="BP2368" s="76"/>
      <c r="BQ2368" s="44"/>
      <c r="BR2368" s="299"/>
      <c r="BS2368" s="52"/>
      <c r="BT2368" s="35"/>
      <c r="BU2368" s="79"/>
      <c r="BV2368" s="212"/>
      <c r="BW2368" s="304"/>
      <c r="BX2368" s="313"/>
      <c r="BY2368" s="300"/>
    </row>
    <row r="2369" spans="1:77" ht="15" customHeight="1" x14ac:dyDescent="0.2">
      <c r="A2369" s="57" t="s">
        <v>35</v>
      </c>
      <c r="B2369" s="57"/>
      <c r="C2369" s="583" t="s">
        <v>934</v>
      </c>
      <c r="D2369" s="546">
        <v>76.236999999999995</v>
      </c>
      <c r="E2369" s="162" t="s">
        <v>2144</v>
      </c>
      <c r="F2369" s="358"/>
      <c r="G2369" s="65"/>
      <c r="H2369" s="73">
        <v>0.17021600000000001</v>
      </c>
      <c r="I2369" s="90"/>
      <c r="J2369" s="73"/>
      <c r="K2369" s="66"/>
      <c r="L2369" s="717"/>
      <c r="M2369" s="73"/>
      <c r="N2369" s="359"/>
      <c r="O2369" s="1041"/>
      <c r="P2369" s="73"/>
      <c r="Q2369" s="359"/>
      <c r="R2369" s="1041"/>
      <c r="S2369" s="73"/>
      <c r="T2369" s="359"/>
      <c r="U2369" s="73"/>
      <c r="V2369" s="66"/>
      <c r="W2369" s="594">
        <f t="shared" si="2064"/>
        <v>1.021296E-4</v>
      </c>
      <c r="X2369" s="595">
        <f t="shared" si="2065"/>
        <v>1.021296E-4</v>
      </c>
      <c r="Y2369" s="52">
        <v>1990</v>
      </c>
      <c r="Z2369" s="52"/>
      <c r="AA2369" s="596">
        <f>+H2369/1000</f>
        <v>1.70216E-4</v>
      </c>
      <c r="AB2369" s="256">
        <v>-0.4</v>
      </c>
      <c r="AC2369" s="688">
        <f t="shared" si="2066"/>
        <v>-0.4</v>
      </c>
      <c r="AD2369" s="164"/>
      <c r="AE2369" s="164"/>
      <c r="AF2369" s="25"/>
      <c r="AG2369" s="26"/>
      <c r="AH2369" s="275"/>
      <c r="AI2369" s="52"/>
      <c r="AJ2369" s="35"/>
      <c r="AK2369" s="289"/>
      <c r="AL2369" s="290"/>
      <c r="AM2369" s="211"/>
      <c r="AN2369" s="164"/>
      <c r="AO2369" s="594"/>
      <c r="AP2369" s="595"/>
      <c r="AQ2369" s="275"/>
      <c r="AR2369" s="52"/>
      <c r="AS2369" s="596"/>
      <c r="AT2369" s="79"/>
      <c r="AU2369" s="212"/>
      <c r="AV2369" s="164"/>
      <c r="AW2369" s="164"/>
      <c r="AX2369" s="76"/>
      <c r="AY2369" s="44"/>
      <c r="AZ2369" s="275"/>
      <c r="BA2369" s="52"/>
      <c r="BB2369" s="35"/>
      <c r="BC2369" s="79"/>
      <c r="BD2369" s="230"/>
      <c r="BE2369" s="211"/>
      <c r="BF2369" s="164"/>
      <c r="BG2369" s="25"/>
      <c r="BH2369" s="26"/>
      <c r="BI2369" s="275"/>
      <c r="BJ2369" s="52"/>
      <c r="BK2369" s="35"/>
      <c r="BL2369" s="79"/>
      <c r="BM2369" s="230"/>
      <c r="BN2369" s="211"/>
      <c r="BO2369" s="164"/>
      <c r="BP2369" s="726">
        <f>+BT2369*(1+BU2369)</f>
        <v>1.7021599999999996E-5</v>
      </c>
      <c r="BQ2369" s="727">
        <f>BT2369*(1+BV2369)</f>
        <v>1.7021599999999996E-5</v>
      </c>
      <c r="BR2369" s="299">
        <v>1990</v>
      </c>
      <c r="BS2369" s="35"/>
      <c r="BT2369" s="739">
        <f>+H2369/1000</f>
        <v>1.70216E-4</v>
      </c>
      <c r="BU2369" s="79">
        <v>-0.9</v>
      </c>
      <c r="BV2369" s="212">
        <f>BU2369</f>
        <v>-0.9</v>
      </c>
      <c r="BW2369" s="304"/>
      <c r="BX2369" s="313"/>
      <c r="BY2369" s="300"/>
    </row>
    <row r="2370" spans="1:77" ht="15" customHeight="1" x14ac:dyDescent="0.2">
      <c r="A2370" s="57" t="s">
        <v>35</v>
      </c>
      <c r="B2370" s="57"/>
      <c r="C2370" s="583" t="s">
        <v>2143</v>
      </c>
      <c r="D2370" s="546">
        <v>104</v>
      </c>
      <c r="E2370" s="162" t="s">
        <v>392</v>
      </c>
      <c r="F2370" s="358"/>
      <c r="G2370" s="65"/>
      <c r="H2370" s="73"/>
      <c r="I2370" s="90"/>
      <c r="J2370" s="73"/>
      <c r="K2370" s="66"/>
      <c r="L2370" s="717"/>
      <c r="M2370" s="73"/>
      <c r="N2370" s="359"/>
      <c r="O2370" s="1041">
        <v>2012</v>
      </c>
      <c r="P2370" s="73"/>
      <c r="Q2370" s="786">
        <v>2.5000000000000001E-3</v>
      </c>
      <c r="R2370" s="1041"/>
      <c r="S2370" s="73"/>
      <c r="T2370" s="786"/>
      <c r="U2370" s="73"/>
      <c r="V2370" s="66"/>
      <c r="W2370" s="594"/>
      <c r="X2370" s="595"/>
      <c r="Y2370" s="52"/>
      <c r="Z2370" s="52"/>
      <c r="AA2370" s="596"/>
      <c r="AB2370" s="256"/>
      <c r="AC2370" s="688"/>
      <c r="AD2370" s="164"/>
      <c r="AE2370" s="164"/>
      <c r="AF2370" s="25"/>
      <c r="AG2370" s="26"/>
      <c r="AH2370" s="275"/>
      <c r="AI2370" s="52"/>
      <c r="AJ2370" s="35"/>
      <c r="AK2370" s="289"/>
      <c r="AL2370" s="290"/>
      <c r="AM2370" s="211"/>
      <c r="AN2370" s="164"/>
      <c r="AO2370" s="594"/>
      <c r="AP2370" s="595"/>
      <c r="AQ2370" s="275"/>
      <c r="AR2370" s="52"/>
      <c r="AS2370" s="596"/>
      <c r="AT2370" s="79"/>
      <c r="AU2370" s="212"/>
      <c r="AV2370" s="164"/>
      <c r="AW2370" s="164"/>
      <c r="AX2370" s="76"/>
      <c r="AY2370" s="44"/>
      <c r="AZ2370" s="275"/>
      <c r="BA2370" s="52"/>
      <c r="BB2370" s="35"/>
      <c r="BC2370" s="79"/>
      <c r="BD2370" s="230"/>
      <c r="BE2370" s="211"/>
      <c r="BF2370" s="164"/>
      <c r="BG2370" s="25"/>
      <c r="BH2370" s="26"/>
      <c r="BI2370" s="275"/>
      <c r="BJ2370" s="52"/>
      <c r="BK2370" s="35"/>
      <c r="BL2370" s="79"/>
      <c r="BM2370" s="230"/>
      <c r="BN2370" s="211"/>
      <c r="BO2370" s="164"/>
      <c r="BP2370" s="930">
        <f>+BT2370*(1+BU2370)</f>
        <v>3.7500000000000006E-7</v>
      </c>
      <c r="BQ2370" s="931">
        <f>BT2370*(1+BV2370)</f>
        <v>3.7500000000000006E-7</v>
      </c>
      <c r="BR2370" s="299">
        <v>1990</v>
      </c>
      <c r="BS2370" s="35"/>
      <c r="BT2370" s="787">
        <f>+Q2370/1000</f>
        <v>2.5000000000000002E-6</v>
      </c>
      <c r="BU2370" s="79">
        <v>-0.85</v>
      </c>
      <c r="BV2370" s="212">
        <f>BU2370</f>
        <v>-0.85</v>
      </c>
      <c r="BW2370" s="304"/>
      <c r="BX2370" s="313"/>
      <c r="BY2370" s="300"/>
    </row>
    <row r="2371" spans="1:77" ht="15" customHeight="1" x14ac:dyDescent="0.2">
      <c r="A2371" s="57" t="s">
        <v>35</v>
      </c>
      <c r="B2371" s="57"/>
      <c r="C2371" s="583" t="s">
        <v>947</v>
      </c>
      <c r="D2371" s="546">
        <v>130</v>
      </c>
      <c r="E2371" s="162" t="s">
        <v>3319</v>
      </c>
      <c r="F2371" s="358"/>
      <c r="G2371" s="65"/>
      <c r="H2371" s="73">
        <v>1.032</v>
      </c>
      <c r="I2371" s="90"/>
      <c r="J2371" s="73"/>
      <c r="K2371" s="66">
        <v>0.60737300000000005</v>
      </c>
      <c r="L2371" s="717"/>
      <c r="M2371" s="73"/>
      <c r="N2371" s="359"/>
      <c r="O2371" s="1041"/>
      <c r="P2371" s="73"/>
      <c r="Q2371" s="359"/>
      <c r="R2371" s="1041"/>
      <c r="S2371" s="73"/>
      <c r="T2371" s="359"/>
      <c r="U2371" s="73"/>
      <c r="V2371" s="66"/>
      <c r="W2371" s="594">
        <f t="shared" si="2064"/>
        <v>3.8871872000000002E-4</v>
      </c>
      <c r="X2371" s="595">
        <f t="shared" si="2065"/>
        <v>3.8871872000000002E-4</v>
      </c>
      <c r="Y2371" s="52">
        <v>1990</v>
      </c>
      <c r="Z2371" s="52"/>
      <c r="AA2371" s="596">
        <f>+K2371/1000</f>
        <v>6.0737300000000003E-4</v>
      </c>
      <c r="AB2371" s="256">
        <v>-0.36</v>
      </c>
      <c r="AC2371" s="688">
        <f t="shared" si="2066"/>
        <v>-0.36</v>
      </c>
      <c r="AD2371" s="164"/>
      <c r="AE2371" s="164"/>
      <c r="AF2371" s="25"/>
      <c r="AG2371" s="26"/>
      <c r="AH2371" s="275"/>
      <c r="AI2371" s="52"/>
      <c r="AJ2371" s="35"/>
      <c r="AK2371" s="289"/>
      <c r="AL2371" s="290"/>
      <c r="AM2371" s="211"/>
      <c r="AN2371" s="164"/>
      <c r="AO2371" s="594"/>
      <c r="AP2371" s="595"/>
      <c r="AQ2371" s="275"/>
      <c r="AR2371" s="52"/>
      <c r="AS2371" s="596"/>
      <c r="AT2371" s="79"/>
      <c r="AU2371" s="212"/>
      <c r="AV2371" s="164"/>
      <c r="AW2371" s="164"/>
      <c r="AX2371" s="76">
        <v>0</v>
      </c>
      <c r="AY2371" s="44">
        <v>0</v>
      </c>
      <c r="AZ2371" s="275"/>
      <c r="BA2371" s="52"/>
      <c r="BB2371" s="35"/>
      <c r="BC2371" s="79">
        <v>-1</v>
      </c>
      <c r="BD2371" s="230">
        <v>-1</v>
      </c>
      <c r="BE2371" s="211"/>
      <c r="BF2371" s="164"/>
      <c r="BG2371" s="25"/>
      <c r="BH2371" s="26"/>
      <c r="BI2371" s="275"/>
      <c r="BJ2371" s="52"/>
      <c r="BK2371" s="35"/>
      <c r="BL2371" s="79"/>
      <c r="BM2371" s="230"/>
      <c r="BN2371" s="211"/>
      <c r="BO2371" s="164"/>
      <c r="BP2371" s="76"/>
      <c r="BQ2371" s="44"/>
      <c r="BR2371" s="299"/>
      <c r="BS2371" s="52"/>
      <c r="BT2371" s="35"/>
      <c r="BU2371" s="79"/>
      <c r="BV2371" s="212"/>
      <c r="BW2371" s="304"/>
      <c r="BX2371" s="313"/>
      <c r="BY2371" s="300"/>
    </row>
    <row r="2372" spans="1:77" ht="15" customHeight="1" x14ac:dyDescent="0.2">
      <c r="A2372" s="57" t="s">
        <v>35</v>
      </c>
      <c r="B2372" s="57"/>
      <c r="C2372" s="583" t="s">
        <v>942</v>
      </c>
      <c r="D2372" s="546">
        <v>126.331</v>
      </c>
      <c r="E2372" s="162" t="s">
        <v>631</v>
      </c>
      <c r="F2372" s="358"/>
      <c r="G2372" s="65"/>
      <c r="H2372" s="73">
        <v>0.67038200000000003</v>
      </c>
      <c r="I2372" s="90"/>
      <c r="J2372" s="73"/>
      <c r="K2372" s="66"/>
      <c r="L2372" s="717"/>
      <c r="M2372" s="73"/>
      <c r="N2372" s="359"/>
      <c r="O2372" s="1041"/>
      <c r="P2372" s="73"/>
      <c r="Q2372" s="359"/>
      <c r="R2372" s="1041"/>
      <c r="S2372" s="73"/>
      <c r="T2372" s="359"/>
      <c r="U2372" s="73"/>
      <c r="V2372" s="66"/>
      <c r="W2372" s="594">
        <f t="shared" si="2064"/>
        <v>4.0222920000000006E-4</v>
      </c>
      <c r="X2372" s="595">
        <f t="shared" si="2065"/>
        <v>4.0222920000000006E-4</v>
      </c>
      <c r="Y2372" s="52">
        <v>1990</v>
      </c>
      <c r="Z2372" s="52"/>
      <c r="AA2372" s="596">
        <f>+H2372/1000</f>
        <v>6.7038200000000007E-4</v>
      </c>
      <c r="AB2372" s="256">
        <v>-0.4</v>
      </c>
      <c r="AC2372" s="688">
        <f t="shared" si="2066"/>
        <v>-0.4</v>
      </c>
      <c r="AD2372" s="164"/>
      <c r="AE2372" s="164"/>
      <c r="AF2372" s="25"/>
      <c r="AG2372" s="26"/>
      <c r="AH2372" s="275"/>
      <c r="AI2372" s="52"/>
      <c r="AJ2372" s="35"/>
      <c r="AK2372" s="289"/>
      <c r="AL2372" s="290"/>
      <c r="AM2372" s="211"/>
      <c r="AN2372" s="164"/>
      <c r="AO2372" s="594"/>
      <c r="AP2372" s="595"/>
      <c r="AQ2372" s="275"/>
      <c r="AR2372" s="52"/>
      <c r="AS2372" s="596"/>
      <c r="AT2372" s="79"/>
      <c r="AU2372" s="212"/>
      <c r="AV2372" s="164"/>
      <c r="AW2372" s="164"/>
      <c r="AX2372" s="76"/>
      <c r="AY2372" s="44"/>
      <c r="AZ2372" s="275"/>
      <c r="BA2372" s="52"/>
      <c r="BB2372" s="35"/>
      <c r="BC2372" s="79"/>
      <c r="BD2372" s="230"/>
      <c r="BE2372" s="211"/>
      <c r="BF2372" s="164"/>
      <c r="BG2372" s="25"/>
      <c r="BH2372" s="26"/>
      <c r="BI2372" s="275"/>
      <c r="BJ2372" s="52"/>
      <c r="BK2372" s="35"/>
      <c r="BL2372" s="79"/>
      <c r="BM2372" s="230"/>
      <c r="BN2372" s="211"/>
      <c r="BO2372" s="164"/>
      <c r="BP2372" s="76"/>
      <c r="BQ2372" s="44"/>
      <c r="BR2372" s="299"/>
      <c r="BS2372" s="52"/>
      <c r="BT2372" s="35"/>
      <c r="BU2372" s="79"/>
      <c r="BV2372" s="212"/>
      <c r="BW2372" s="304"/>
      <c r="BX2372" s="313"/>
      <c r="BY2372" s="300"/>
    </row>
    <row r="2373" spans="1:77" ht="15" customHeight="1" x14ac:dyDescent="0.2">
      <c r="A2373" s="57" t="s">
        <v>35</v>
      </c>
      <c r="B2373" s="57"/>
      <c r="C2373" s="583" t="s">
        <v>3322</v>
      </c>
      <c r="D2373" s="546">
        <v>78.48</v>
      </c>
      <c r="E2373" s="162" t="s">
        <v>387</v>
      </c>
      <c r="F2373" s="358"/>
      <c r="G2373" s="65"/>
      <c r="H2373" s="73">
        <v>0.122081</v>
      </c>
      <c r="I2373" s="90"/>
      <c r="J2373" s="73"/>
      <c r="K2373" s="66"/>
      <c r="L2373" s="717"/>
      <c r="M2373" s="73"/>
      <c r="N2373" s="359"/>
      <c r="O2373" s="1041"/>
      <c r="P2373" s="73"/>
      <c r="Q2373" s="359"/>
      <c r="R2373" s="1041"/>
      <c r="S2373" s="73"/>
      <c r="T2373" s="359"/>
      <c r="U2373" s="73"/>
      <c r="V2373" s="66"/>
      <c r="W2373" s="594"/>
      <c r="X2373" s="595"/>
      <c r="Y2373" s="52"/>
      <c r="Z2373" s="52"/>
      <c r="AA2373" s="596"/>
      <c r="AB2373" s="256"/>
      <c r="AC2373" s="688"/>
      <c r="AD2373" s="164"/>
      <c r="AE2373" s="164"/>
      <c r="AF2373" s="25"/>
      <c r="AG2373" s="26"/>
      <c r="AH2373" s="275"/>
      <c r="AI2373" s="52"/>
      <c r="AJ2373" s="35"/>
      <c r="AK2373" s="289"/>
      <c r="AL2373" s="290"/>
      <c r="AM2373" s="211"/>
      <c r="AN2373" s="164"/>
      <c r="AO2373" s="594"/>
      <c r="AP2373" s="595"/>
      <c r="AQ2373" s="275"/>
      <c r="AR2373" s="52"/>
      <c r="AS2373" s="596"/>
      <c r="AT2373" s="79"/>
      <c r="AU2373" s="212"/>
      <c r="AV2373" s="164"/>
      <c r="AW2373" s="164"/>
      <c r="AX2373" s="76"/>
      <c r="AY2373" s="44"/>
      <c r="AZ2373" s="275"/>
      <c r="BA2373" s="52"/>
      <c r="BB2373" s="35"/>
      <c r="BC2373" s="79"/>
      <c r="BD2373" s="230"/>
      <c r="BE2373" s="211"/>
      <c r="BF2373" s="164"/>
      <c r="BG2373" s="25"/>
      <c r="BH2373" s="26"/>
      <c r="BI2373" s="275"/>
      <c r="BJ2373" s="52"/>
      <c r="BK2373" s="35"/>
      <c r="BL2373" s="79"/>
      <c r="BM2373" s="230"/>
      <c r="BN2373" s="211"/>
      <c r="BO2373" s="164"/>
      <c r="BP2373" s="76">
        <v>0</v>
      </c>
      <c r="BQ2373" s="44">
        <v>0</v>
      </c>
      <c r="BR2373" s="299"/>
      <c r="BS2373" s="52"/>
      <c r="BT2373" s="35"/>
      <c r="BU2373" s="79">
        <v>-1</v>
      </c>
      <c r="BV2373" s="212">
        <v>-1</v>
      </c>
      <c r="BW2373" s="304"/>
      <c r="BX2373" s="313"/>
      <c r="BY2373" s="300"/>
    </row>
    <row r="2374" spans="1:77" ht="15" customHeight="1" x14ac:dyDescent="0.2">
      <c r="A2374" s="57" t="s">
        <v>35</v>
      </c>
      <c r="B2374" s="57"/>
      <c r="C2374" s="583" t="s">
        <v>951</v>
      </c>
      <c r="D2374" s="546">
        <v>63</v>
      </c>
      <c r="E2374" s="162" t="s">
        <v>631</v>
      </c>
      <c r="F2374" s="358"/>
      <c r="G2374" s="65"/>
      <c r="H2374" s="73"/>
      <c r="I2374" s="90"/>
      <c r="J2374" s="73"/>
      <c r="K2374" s="66"/>
      <c r="L2374" s="717">
        <v>2008</v>
      </c>
      <c r="M2374" s="73"/>
      <c r="N2374" s="359">
        <v>0.27512999999999999</v>
      </c>
      <c r="O2374" s="1041"/>
      <c r="P2374" s="73"/>
      <c r="Q2374" s="359"/>
      <c r="R2374" s="1041"/>
      <c r="S2374" s="73"/>
      <c r="T2374" s="359"/>
      <c r="U2374" s="73"/>
      <c r="V2374" s="66"/>
      <c r="W2374" s="594">
        <f t="shared" si="2064"/>
        <v>1.37565E-4</v>
      </c>
      <c r="X2374" s="595">
        <f t="shared" si="2065"/>
        <v>1.37565E-4</v>
      </c>
      <c r="Y2374" s="52">
        <v>2008</v>
      </c>
      <c r="Z2374" s="52"/>
      <c r="AA2374" s="596">
        <f>+N2374/1000</f>
        <v>2.7513E-4</v>
      </c>
      <c r="AB2374" s="256">
        <v>-0.5</v>
      </c>
      <c r="AC2374" s="688">
        <f t="shared" si="2066"/>
        <v>-0.5</v>
      </c>
      <c r="AD2374" s="164"/>
      <c r="AE2374" s="164"/>
      <c r="AF2374" s="25"/>
      <c r="AG2374" s="26"/>
      <c r="AH2374" s="275"/>
      <c r="AI2374" s="52"/>
      <c r="AJ2374" s="35"/>
      <c r="AK2374" s="289"/>
      <c r="AL2374" s="290"/>
      <c r="AM2374" s="211"/>
      <c r="AN2374" s="164"/>
      <c r="AO2374" s="594"/>
      <c r="AP2374" s="595"/>
      <c r="AQ2374" s="275"/>
      <c r="AR2374" s="52"/>
      <c r="AS2374" s="596"/>
      <c r="AT2374" s="79"/>
      <c r="AU2374" s="212"/>
      <c r="AV2374" s="164"/>
      <c r="AW2374" s="164"/>
      <c r="AX2374" s="76"/>
      <c r="AY2374" s="44"/>
      <c r="AZ2374" s="275"/>
      <c r="BA2374" s="52"/>
      <c r="BB2374" s="35"/>
      <c r="BC2374" s="79"/>
      <c r="BD2374" s="230"/>
      <c r="BE2374" s="211"/>
      <c r="BF2374" s="164"/>
      <c r="BG2374" s="25"/>
      <c r="BH2374" s="26"/>
      <c r="BI2374" s="275"/>
      <c r="BJ2374" s="52"/>
      <c r="BK2374" s="35"/>
      <c r="BL2374" s="79"/>
      <c r="BM2374" s="230"/>
      <c r="BN2374" s="211"/>
      <c r="BO2374" s="164"/>
      <c r="BP2374" s="76"/>
      <c r="BQ2374" s="44"/>
      <c r="BR2374" s="299"/>
      <c r="BS2374" s="52"/>
      <c r="BT2374" s="35"/>
      <c r="BU2374" s="79"/>
      <c r="BV2374" s="212"/>
      <c r="BW2374" s="304"/>
      <c r="BX2374" s="313"/>
      <c r="BY2374" s="300"/>
    </row>
    <row r="2375" spans="1:77" ht="15" customHeight="1" x14ac:dyDescent="0.2">
      <c r="A2375" s="57" t="s">
        <v>35</v>
      </c>
      <c r="B2375" s="57"/>
      <c r="C2375" s="583" t="s">
        <v>953</v>
      </c>
      <c r="D2375" s="546">
        <v>86.4</v>
      </c>
      <c r="E2375" s="162" t="s">
        <v>631</v>
      </c>
      <c r="F2375" s="358"/>
      <c r="G2375" s="65"/>
      <c r="H2375" s="73"/>
      <c r="I2375" s="90"/>
      <c r="J2375" s="73"/>
      <c r="K2375" s="66"/>
      <c r="L2375" s="717">
        <v>2008</v>
      </c>
      <c r="M2375" s="73"/>
      <c r="N2375" s="359">
        <v>0.44824399999999998</v>
      </c>
      <c r="O2375" s="1041"/>
      <c r="P2375" s="73"/>
      <c r="Q2375" s="359"/>
      <c r="R2375" s="1041"/>
      <c r="S2375" s="73"/>
      <c r="T2375" s="359"/>
      <c r="U2375" s="73"/>
      <c r="V2375" s="66"/>
      <c r="W2375" s="594">
        <f t="shared" si="2064"/>
        <v>3.3618299999999999E-4</v>
      </c>
      <c r="X2375" s="595">
        <f t="shared" si="2065"/>
        <v>3.3618299999999999E-4</v>
      </c>
      <c r="Y2375" s="52">
        <v>2008</v>
      </c>
      <c r="Z2375" s="52"/>
      <c r="AA2375" s="596">
        <f>+N2375/1000</f>
        <v>4.4824399999999999E-4</v>
      </c>
      <c r="AB2375" s="256">
        <v>-0.25</v>
      </c>
      <c r="AC2375" s="688">
        <f t="shared" si="2066"/>
        <v>-0.25</v>
      </c>
      <c r="AD2375" s="164"/>
      <c r="AE2375" s="164"/>
      <c r="AF2375" s="25"/>
      <c r="AG2375" s="26"/>
      <c r="AH2375" s="275"/>
      <c r="AI2375" s="52"/>
      <c r="AJ2375" s="35"/>
      <c r="AK2375" s="289"/>
      <c r="AL2375" s="290"/>
      <c r="AM2375" s="211"/>
      <c r="AN2375" s="164"/>
      <c r="AO2375" s="594"/>
      <c r="AP2375" s="595"/>
      <c r="AQ2375" s="275"/>
      <c r="AR2375" s="52"/>
      <c r="AS2375" s="596"/>
      <c r="AT2375" s="79"/>
      <c r="AU2375" s="212"/>
      <c r="AV2375" s="164"/>
      <c r="AW2375" s="164"/>
      <c r="AX2375" s="76"/>
      <c r="AY2375" s="44"/>
      <c r="AZ2375" s="275"/>
      <c r="BA2375" s="52"/>
      <c r="BB2375" s="35"/>
      <c r="BC2375" s="79"/>
      <c r="BD2375" s="230"/>
      <c r="BE2375" s="211"/>
      <c r="BF2375" s="164"/>
      <c r="BG2375" s="25"/>
      <c r="BH2375" s="26"/>
      <c r="BI2375" s="275"/>
      <c r="BJ2375" s="52"/>
      <c r="BK2375" s="35"/>
      <c r="BL2375" s="79"/>
      <c r="BM2375" s="230"/>
      <c r="BN2375" s="211"/>
      <c r="BO2375" s="164"/>
      <c r="BP2375" s="76"/>
      <c r="BQ2375" s="44"/>
      <c r="BR2375" s="299"/>
      <c r="BS2375" s="52"/>
      <c r="BT2375" s="35"/>
      <c r="BU2375" s="79"/>
      <c r="BV2375" s="212"/>
      <c r="BW2375" s="304"/>
      <c r="BX2375" s="313"/>
      <c r="BY2375" s="300"/>
    </row>
    <row r="2376" spans="1:77" ht="15" customHeight="1" x14ac:dyDescent="0.2">
      <c r="A2376" s="57" t="s">
        <v>35</v>
      </c>
      <c r="B2376" s="57"/>
      <c r="C2376" s="583" t="s">
        <v>933</v>
      </c>
      <c r="D2376" s="546">
        <v>78</v>
      </c>
      <c r="E2376" s="162" t="s">
        <v>387</v>
      </c>
      <c r="F2376" s="358"/>
      <c r="G2376" s="65"/>
      <c r="H2376" s="73">
        <v>0.61850400000000005</v>
      </c>
      <c r="I2376" s="90"/>
      <c r="J2376" s="73"/>
      <c r="K2376" s="66"/>
      <c r="L2376" s="717"/>
      <c r="M2376" s="73"/>
      <c r="N2376" s="359"/>
      <c r="O2376" s="1041"/>
      <c r="P2376" s="73"/>
      <c r="Q2376" s="359"/>
      <c r="R2376" s="1041"/>
      <c r="S2376" s="73"/>
      <c r="T2376" s="359"/>
      <c r="U2376" s="73"/>
      <c r="V2376" s="66"/>
      <c r="W2376" s="594">
        <f t="shared" si="2064"/>
        <v>3.7110240000000003E-4</v>
      </c>
      <c r="X2376" s="595">
        <f t="shared" si="2065"/>
        <v>3.7110240000000003E-4</v>
      </c>
      <c r="Y2376" s="52">
        <v>1990</v>
      </c>
      <c r="Z2376" s="52"/>
      <c r="AA2376" s="596">
        <f t="shared" ref="AA2376:AA2386" si="2067">+H2376/1000</f>
        <v>6.1850400000000008E-4</v>
      </c>
      <c r="AB2376" s="256">
        <v>-0.4</v>
      </c>
      <c r="AC2376" s="688">
        <f t="shared" si="2066"/>
        <v>-0.4</v>
      </c>
      <c r="AD2376" s="164"/>
      <c r="AE2376" s="164"/>
      <c r="AF2376" s="25"/>
      <c r="AG2376" s="26"/>
      <c r="AH2376" s="275"/>
      <c r="AI2376" s="52"/>
      <c r="AJ2376" s="35"/>
      <c r="AK2376" s="289"/>
      <c r="AL2376" s="290"/>
      <c r="AM2376" s="211"/>
      <c r="AN2376" s="164"/>
      <c r="AO2376" s="740">
        <f t="shared" ref="AO2376" si="2068">AS2376*(1+AT2376)</f>
        <v>2.4740160000000005E-4</v>
      </c>
      <c r="AP2376" s="741">
        <f t="shared" ref="AP2376" si="2069">AS2376*(1+AU2376)</f>
        <v>2.4740160000000005E-4</v>
      </c>
      <c r="AQ2376" s="52">
        <v>1990</v>
      </c>
      <c r="AR2376" s="52"/>
      <c r="AS2376" s="739">
        <f>+H2376/1000</f>
        <v>6.1850400000000008E-4</v>
      </c>
      <c r="AT2376" s="256">
        <v>-0.6</v>
      </c>
      <c r="AU2376" s="688">
        <f t="shared" ref="AU2376" si="2070">AT2376</f>
        <v>-0.6</v>
      </c>
      <c r="AV2376" s="164"/>
      <c r="AW2376" s="164"/>
      <c r="AX2376" s="76"/>
      <c r="AY2376" s="44"/>
      <c r="AZ2376" s="275"/>
      <c r="BA2376" s="52"/>
      <c r="BB2376" s="35"/>
      <c r="BC2376" s="79"/>
      <c r="BD2376" s="230"/>
      <c r="BE2376" s="211"/>
      <c r="BF2376" s="164"/>
      <c r="BG2376" s="740">
        <f t="shared" ref="BG2376" si="2071">BK2376*(1+BL2376)</f>
        <v>1.5462600000000002E-4</v>
      </c>
      <c r="BH2376" s="741">
        <f t="shared" ref="BH2376" si="2072">BK2376*(1+BM2376)</f>
        <v>1.5462600000000002E-4</v>
      </c>
      <c r="BI2376" s="52">
        <v>1990</v>
      </c>
      <c r="BJ2376" s="52"/>
      <c r="BK2376" s="739">
        <f>+H2376/1000</f>
        <v>6.1850400000000008E-4</v>
      </c>
      <c r="BL2376" s="256">
        <v>-0.75</v>
      </c>
      <c r="BM2376" s="688">
        <f t="shared" ref="BM2376" si="2073">BL2376</f>
        <v>-0.75</v>
      </c>
      <c r="BN2376" s="211"/>
      <c r="BO2376" s="164"/>
      <c r="BP2376" s="740">
        <f t="shared" ref="BP2376" si="2074">BT2376*(1+BU2376)</f>
        <v>9.277560000000002E-5</v>
      </c>
      <c r="BQ2376" s="741">
        <f t="shared" ref="BQ2376" si="2075">BT2376*(1+BV2376)</f>
        <v>9.277560000000002E-5</v>
      </c>
      <c r="BR2376" s="52">
        <v>1990</v>
      </c>
      <c r="BS2376" s="52"/>
      <c r="BT2376" s="739">
        <f>+H2376/1000</f>
        <v>6.1850400000000008E-4</v>
      </c>
      <c r="BU2376" s="256">
        <v>-0.85</v>
      </c>
      <c r="BV2376" s="688">
        <f t="shared" ref="BV2376" si="2076">BU2376</f>
        <v>-0.85</v>
      </c>
      <c r="BW2376" s="304"/>
      <c r="BX2376" s="313"/>
      <c r="BY2376" s="300"/>
    </row>
    <row r="2377" spans="1:77" ht="15" customHeight="1" x14ac:dyDescent="0.2">
      <c r="A2377" s="57" t="s">
        <v>35</v>
      </c>
      <c r="B2377" s="57"/>
      <c r="C2377" s="583" t="s">
        <v>2863</v>
      </c>
      <c r="D2377" s="546">
        <v>80</v>
      </c>
      <c r="E2377" s="162" t="s">
        <v>631</v>
      </c>
      <c r="F2377" s="358"/>
      <c r="G2377" s="65"/>
      <c r="H2377" s="73">
        <v>0.217588</v>
      </c>
      <c r="I2377" s="90"/>
      <c r="J2377" s="73"/>
      <c r="K2377" s="66"/>
      <c r="L2377" s="717"/>
      <c r="M2377" s="73"/>
      <c r="N2377" s="359"/>
      <c r="O2377" s="1041"/>
      <c r="P2377" s="73"/>
      <c r="Q2377" s="359"/>
      <c r="R2377" s="1041"/>
      <c r="S2377" s="73"/>
      <c r="T2377" s="359"/>
      <c r="U2377" s="73"/>
      <c r="V2377" s="66"/>
      <c r="W2377" s="594"/>
      <c r="X2377" s="595"/>
      <c r="Y2377" s="52"/>
      <c r="Z2377" s="52"/>
      <c r="AA2377" s="596"/>
      <c r="AB2377" s="256"/>
      <c r="AC2377" s="688"/>
      <c r="AD2377" s="164"/>
      <c r="AE2377" s="164"/>
      <c r="AF2377" s="25"/>
      <c r="AG2377" s="26"/>
      <c r="AH2377" s="275"/>
      <c r="AI2377" s="52"/>
      <c r="AJ2377" s="35"/>
      <c r="AK2377" s="289"/>
      <c r="AL2377" s="290"/>
      <c r="AM2377" s="211"/>
      <c r="AN2377" s="164"/>
      <c r="AO2377" s="740">
        <f t="shared" ref="AO2377" si="2077">AS2377*(1+AT2377)</f>
        <v>8.2683439999999998E-5</v>
      </c>
      <c r="AP2377" s="741">
        <f t="shared" ref="AP2377" si="2078">AS2377*(1+AU2377)</f>
        <v>8.2683439999999998E-5</v>
      </c>
      <c r="AQ2377" s="52">
        <v>1990</v>
      </c>
      <c r="AR2377" s="52"/>
      <c r="AS2377" s="739">
        <f>+H2377/1000</f>
        <v>2.17588E-4</v>
      </c>
      <c r="AT2377" s="256">
        <v>-0.62</v>
      </c>
      <c r="AU2377" s="688">
        <f t="shared" ref="AU2377" si="2079">AT2377</f>
        <v>-0.62</v>
      </c>
      <c r="AV2377" s="164"/>
      <c r="AW2377" s="164"/>
      <c r="AX2377" s="76"/>
      <c r="AY2377" s="44"/>
      <c r="AZ2377" s="275"/>
      <c r="BA2377" s="52"/>
      <c r="BB2377" s="35"/>
      <c r="BC2377" s="79"/>
      <c r="BD2377" s="230"/>
      <c r="BE2377" s="211"/>
      <c r="BF2377" s="164"/>
      <c r="BG2377" s="25"/>
      <c r="BH2377" s="26"/>
      <c r="BI2377" s="275"/>
      <c r="BJ2377" s="52"/>
      <c r="BK2377" s="35"/>
      <c r="BL2377" s="79"/>
      <c r="BM2377" s="230"/>
      <c r="BN2377" s="211"/>
      <c r="BO2377" s="164"/>
      <c r="BP2377" s="76"/>
      <c r="BQ2377" s="44"/>
      <c r="BR2377" s="299"/>
      <c r="BS2377" s="52"/>
      <c r="BT2377" s="35"/>
      <c r="BU2377" s="79"/>
      <c r="BV2377" s="212"/>
      <c r="BW2377" s="304"/>
      <c r="BX2377" s="313"/>
      <c r="BY2377" s="300"/>
    </row>
    <row r="2378" spans="1:77" ht="15" customHeight="1" x14ac:dyDescent="0.2">
      <c r="A2378" s="57" t="s">
        <v>35</v>
      </c>
      <c r="B2378" s="57"/>
      <c r="C2378" s="583" t="s">
        <v>948</v>
      </c>
      <c r="D2378" s="546">
        <v>40.268000000000001</v>
      </c>
      <c r="E2378" s="162" t="s">
        <v>631</v>
      </c>
      <c r="F2378" s="358"/>
      <c r="G2378" s="65"/>
      <c r="H2378" s="73">
        <v>0.141569</v>
      </c>
      <c r="I2378" s="90"/>
      <c r="J2378" s="73"/>
      <c r="K2378" s="66"/>
      <c r="L2378" s="717"/>
      <c r="M2378" s="73"/>
      <c r="N2378" s="359"/>
      <c r="O2378" s="1041"/>
      <c r="P2378" s="73"/>
      <c r="Q2378" s="359"/>
      <c r="R2378" s="1041"/>
      <c r="S2378" s="73"/>
      <c r="T2378" s="359"/>
      <c r="U2378" s="73"/>
      <c r="V2378" s="66"/>
      <c r="W2378" s="740">
        <f t="shared" si="2064"/>
        <v>8.49414E-5</v>
      </c>
      <c r="X2378" s="741">
        <f t="shared" si="2065"/>
        <v>8.49414E-5</v>
      </c>
      <c r="Y2378" s="52">
        <v>1990</v>
      </c>
      <c r="Z2378" s="52"/>
      <c r="AA2378" s="739">
        <f t="shared" si="2067"/>
        <v>1.41569E-4</v>
      </c>
      <c r="AB2378" s="256">
        <v>-0.4</v>
      </c>
      <c r="AC2378" s="688">
        <f t="shared" si="2066"/>
        <v>-0.4</v>
      </c>
      <c r="AD2378" s="164"/>
      <c r="AE2378" s="164"/>
      <c r="AF2378" s="25"/>
      <c r="AG2378" s="26"/>
      <c r="AH2378" s="275"/>
      <c r="AI2378" s="52"/>
      <c r="AJ2378" s="35"/>
      <c r="AK2378" s="289"/>
      <c r="AL2378" s="290"/>
      <c r="AM2378" s="211"/>
      <c r="AN2378" s="164"/>
      <c r="AO2378" s="594"/>
      <c r="AP2378" s="595"/>
      <c r="AQ2378" s="275"/>
      <c r="AR2378" s="52"/>
      <c r="AS2378" s="596"/>
      <c r="AT2378" s="79"/>
      <c r="AU2378" s="212"/>
      <c r="AV2378" s="164"/>
      <c r="AW2378" s="164"/>
      <c r="AX2378" s="76"/>
      <c r="AY2378" s="44"/>
      <c r="AZ2378" s="275"/>
      <c r="BA2378" s="52"/>
      <c r="BB2378" s="35"/>
      <c r="BC2378" s="79"/>
      <c r="BD2378" s="230"/>
      <c r="BE2378" s="211"/>
      <c r="BF2378" s="164"/>
      <c r="BG2378" s="25"/>
      <c r="BH2378" s="26"/>
      <c r="BI2378" s="275"/>
      <c r="BJ2378" s="52"/>
      <c r="BK2378" s="35"/>
      <c r="BL2378" s="79"/>
      <c r="BM2378" s="230"/>
      <c r="BN2378" s="211"/>
      <c r="BO2378" s="164"/>
      <c r="BP2378" s="76"/>
      <c r="BQ2378" s="44"/>
      <c r="BR2378" s="299"/>
      <c r="BS2378" s="52"/>
      <c r="BT2378" s="35"/>
      <c r="BU2378" s="79"/>
      <c r="BV2378" s="212"/>
      <c r="BW2378" s="304"/>
      <c r="BX2378" s="313"/>
      <c r="BY2378" s="300"/>
    </row>
    <row r="2379" spans="1:77" ht="15" customHeight="1" x14ac:dyDescent="0.2">
      <c r="A2379" s="57" t="s">
        <v>35</v>
      </c>
      <c r="B2379" s="57"/>
      <c r="C2379" s="583" t="s">
        <v>926</v>
      </c>
      <c r="D2379" s="546">
        <v>39.07</v>
      </c>
      <c r="E2379" s="162" t="s">
        <v>631</v>
      </c>
      <c r="F2379" s="358"/>
      <c r="G2379" s="65"/>
      <c r="H2379" s="73">
        <v>9.3257000000000007E-2</v>
      </c>
      <c r="I2379" s="90"/>
      <c r="J2379" s="73"/>
      <c r="K2379" s="66"/>
      <c r="L2379" s="717"/>
      <c r="M2379" s="73"/>
      <c r="N2379" s="359"/>
      <c r="O2379" s="1041"/>
      <c r="P2379" s="73"/>
      <c r="Q2379" s="359"/>
      <c r="R2379" s="1041"/>
      <c r="S2379" s="73"/>
      <c r="T2379" s="359"/>
      <c r="U2379" s="73"/>
      <c r="V2379" s="66"/>
      <c r="W2379" s="740">
        <f t="shared" si="2064"/>
        <v>3.7302800000000005E-5</v>
      </c>
      <c r="X2379" s="741">
        <f t="shared" si="2065"/>
        <v>3.7302800000000005E-5</v>
      </c>
      <c r="Y2379" s="52">
        <v>1990</v>
      </c>
      <c r="Z2379" s="52"/>
      <c r="AA2379" s="739">
        <f t="shared" si="2067"/>
        <v>9.3257000000000005E-5</v>
      </c>
      <c r="AB2379" s="256">
        <v>-0.6</v>
      </c>
      <c r="AC2379" s="688">
        <f t="shared" si="2066"/>
        <v>-0.6</v>
      </c>
      <c r="AD2379" s="164"/>
      <c r="AE2379" s="164"/>
      <c r="AF2379" s="25"/>
      <c r="AG2379" s="26"/>
      <c r="AH2379" s="275"/>
      <c r="AI2379" s="52"/>
      <c r="AJ2379" s="35"/>
      <c r="AK2379" s="289"/>
      <c r="AL2379" s="290"/>
      <c r="AM2379" s="211"/>
      <c r="AN2379" s="164"/>
      <c r="AO2379" s="594"/>
      <c r="AP2379" s="595"/>
      <c r="AQ2379" s="275"/>
      <c r="AR2379" s="52"/>
      <c r="AS2379" s="596"/>
      <c r="AT2379" s="79"/>
      <c r="AU2379" s="212"/>
      <c r="AV2379" s="164"/>
      <c r="AW2379" s="164"/>
      <c r="AX2379" s="76"/>
      <c r="AY2379" s="44"/>
      <c r="AZ2379" s="275"/>
      <c r="BA2379" s="52"/>
      <c r="BB2379" s="35"/>
      <c r="BC2379" s="79"/>
      <c r="BD2379" s="230"/>
      <c r="BE2379" s="211"/>
      <c r="BF2379" s="164"/>
      <c r="BG2379" s="25"/>
      <c r="BH2379" s="26"/>
      <c r="BI2379" s="275"/>
      <c r="BJ2379" s="52"/>
      <c r="BK2379" s="35"/>
      <c r="BL2379" s="79"/>
      <c r="BM2379" s="230"/>
      <c r="BN2379" s="211"/>
      <c r="BO2379" s="164"/>
      <c r="BP2379" s="76"/>
      <c r="BQ2379" s="44"/>
      <c r="BR2379" s="299"/>
      <c r="BS2379" s="52"/>
      <c r="BT2379" s="35"/>
      <c r="BU2379" s="79"/>
      <c r="BV2379" s="212"/>
      <c r="BW2379" s="304"/>
      <c r="BX2379" s="313"/>
      <c r="BY2379" s="300"/>
    </row>
    <row r="2380" spans="1:77" ht="15" customHeight="1" x14ac:dyDescent="0.2">
      <c r="A2380" s="57" t="s">
        <v>35</v>
      </c>
      <c r="B2380" s="57"/>
      <c r="C2380" s="583" t="s">
        <v>2675</v>
      </c>
      <c r="D2380" s="546">
        <v>8.4009999999999998</v>
      </c>
      <c r="E2380" s="162" t="s">
        <v>631</v>
      </c>
      <c r="F2380" s="358"/>
      <c r="G2380" s="65"/>
      <c r="H2380" s="73"/>
      <c r="I2380" s="90">
        <v>2002</v>
      </c>
      <c r="J2380" s="73"/>
      <c r="K2380" s="790">
        <v>3.3711999999999999E-2</v>
      </c>
      <c r="L2380" s="717"/>
      <c r="M2380" s="73"/>
      <c r="N2380" s="359"/>
      <c r="O2380" s="1041"/>
      <c r="P2380" s="73"/>
      <c r="Q2380" s="359"/>
      <c r="R2380" s="1041"/>
      <c r="S2380" s="73"/>
      <c r="T2380" s="359"/>
      <c r="U2380" s="73"/>
      <c r="V2380" s="66"/>
      <c r="W2380" s="740"/>
      <c r="X2380" s="741"/>
      <c r="Y2380" s="52"/>
      <c r="Z2380" s="52"/>
      <c r="AA2380" s="739"/>
      <c r="AB2380" s="256"/>
      <c r="AC2380" s="688"/>
      <c r="AD2380" s="164"/>
      <c r="AE2380" s="164"/>
      <c r="AF2380" s="25"/>
      <c r="AG2380" s="26"/>
      <c r="AH2380" s="275"/>
      <c r="AI2380" s="52"/>
      <c r="AJ2380" s="35"/>
      <c r="AK2380" s="289"/>
      <c r="AL2380" s="290"/>
      <c r="AM2380" s="211"/>
      <c r="AN2380" s="164"/>
      <c r="AO2380" s="740">
        <f t="shared" ref="AO2380" si="2080">AS2380*(1+AT2380)</f>
        <v>1.281056E-5</v>
      </c>
      <c r="AP2380" s="741">
        <f t="shared" ref="AP2380" si="2081">AS2380*(1+AU2380)</f>
        <v>1.281056E-5</v>
      </c>
      <c r="AQ2380" s="52">
        <v>2002</v>
      </c>
      <c r="AR2380" s="52"/>
      <c r="AS2380" s="739">
        <f>+K2380/1000</f>
        <v>3.3711999999999998E-5</v>
      </c>
      <c r="AT2380" s="256">
        <v>-0.62</v>
      </c>
      <c r="AU2380" s="688">
        <f t="shared" ref="AU2380" si="2082">AT2380</f>
        <v>-0.62</v>
      </c>
      <c r="AV2380" s="164"/>
      <c r="AW2380" s="164"/>
      <c r="AX2380" s="76"/>
      <c r="AY2380" s="44"/>
      <c r="AZ2380" s="275"/>
      <c r="BA2380" s="52"/>
      <c r="BB2380" s="35"/>
      <c r="BC2380" s="79"/>
      <c r="BD2380" s="230"/>
      <c r="BE2380" s="211"/>
      <c r="BF2380" s="164"/>
      <c r="BG2380" s="25"/>
      <c r="BH2380" s="26"/>
      <c r="BI2380" s="275"/>
      <c r="BJ2380" s="52"/>
      <c r="BK2380" s="35"/>
      <c r="BL2380" s="79"/>
      <c r="BM2380" s="230"/>
      <c r="BN2380" s="211"/>
      <c r="BO2380" s="164"/>
      <c r="BP2380" s="76"/>
      <c r="BQ2380" s="44"/>
      <c r="BR2380" s="299"/>
      <c r="BS2380" s="52"/>
      <c r="BT2380" s="35"/>
      <c r="BU2380" s="79"/>
      <c r="BV2380" s="212"/>
      <c r="BW2380" s="304"/>
      <c r="BX2380" s="313"/>
      <c r="BY2380" s="300"/>
    </row>
    <row r="2381" spans="1:77" ht="15" customHeight="1" x14ac:dyDescent="0.2">
      <c r="A2381" s="57" t="s">
        <v>35</v>
      </c>
      <c r="B2381" s="57"/>
      <c r="C2381" s="583" t="s">
        <v>935</v>
      </c>
      <c r="D2381" s="546">
        <v>38</v>
      </c>
      <c r="E2381" s="162" t="s">
        <v>631</v>
      </c>
      <c r="F2381" s="358"/>
      <c r="G2381" s="65"/>
      <c r="H2381" s="73">
        <v>0.15342800000000001</v>
      </c>
      <c r="I2381" s="90"/>
      <c r="J2381" s="73"/>
      <c r="K2381" s="66"/>
      <c r="L2381" s="717"/>
      <c r="M2381" s="73"/>
      <c r="N2381" s="359"/>
      <c r="O2381" s="1041"/>
      <c r="P2381" s="73"/>
      <c r="Q2381" s="359"/>
      <c r="R2381" s="1041"/>
      <c r="S2381" s="73"/>
      <c r="T2381" s="359"/>
      <c r="U2381" s="73"/>
      <c r="V2381" s="66"/>
      <c r="W2381" s="594">
        <f t="shared" si="2064"/>
        <v>9.9728200000000005E-5</v>
      </c>
      <c r="X2381" s="595">
        <f t="shared" si="2065"/>
        <v>9.9728200000000005E-5</v>
      </c>
      <c r="Y2381" s="52">
        <v>1990</v>
      </c>
      <c r="Z2381" s="52"/>
      <c r="AA2381" s="596">
        <f t="shared" si="2067"/>
        <v>1.53428E-4</v>
      </c>
      <c r="AB2381" s="256">
        <v>-0.35</v>
      </c>
      <c r="AC2381" s="688">
        <f t="shared" si="2066"/>
        <v>-0.35</v>
      </c>
      <c r="AD2381" s="164"/>
      <c r="AE2381" s="164"/>
      <c r="AF2381" s="25"/>
      <c r="AG2381" s="26"/>
      <c r="AH2381" s="275"/>
      <c r="AI2381" s="52"/>
      <c r="AJ2381" s="35"/>
      <c r="AK2381" s="289"/>
      <c r="AL2381" s="290"/>
      <c r="AM2381" s="211"/>
      <c r="AN2381" s="164"/>
      <c r="AO2381" s="594"/>
      <c r="AP2381" s="595"/>
      <c r="AQ2381" s="275"/>
      <c r="AR2381" s="52"/>
      <c r="AS2381" s="596"/>
      <c r="AT2381" s="79"/>
      <c r="AU2381" s="212"/>
      <c r="AV2381" s="164"/>
      <c r="AW2381" s="164"/>
      <c r="AX2381" s="76"/>
      <c r="AY2381" s="44"/>
      <c r="AZ2381" s="275"/>
      <c r="BA2381" s="52"/>
      <c r="BB2381" s="35"/>
      <c r="BC2381" s="79"/>
      <c r="BD2381" s="230"/>
      <c r="BE2381" s="211"/>
      <c r="BF2381" s="164"/>
      <c r="BG2381" s="25"/>
      <c r="BH2381" s="26"/>
      <c r="BI2381" s="275"/>
      <c r="BJ2381" s="52"/>
      <c r="BK2381" s="35"/>
      <c r="BL2381" s="79"/>
      <c r="BM2381" s="230"/>
      <c r="BN2381" s="211"/>
      <c r="BO2381" s="164"/>
      <c r="BP2381" s="76"/>
      <c r="BQ2381" s="44"/>
      <c r="BR2381" s="299"/>
      <c r="BS2381" s="52"/>
      <c r="BT2381" s="35"/>
      <c r="BU2381" s="79"/>
      <c r="BV2381" s="212"/>
      <c r="BW2381" s="304"/>
      <c r="BX2381" s="313"/>
      <c r="BY2381" s="300"/>
    </row>
    <row r="2382" spans="1:77" ht="15" customHeight="1" x14ac:dyDescent="0.2">
      <c r="A2382" s="57" t="s">
        <v>35</v>
      </c>
      <c r="B2382" s="57"/>
      <c r="C2382" s="583" t="s">
        <v>938</v>
      </c>
      <c r="D2382" s="546">
        <v>146.422</v>
      </c>
      <c r="E2382" s="162" t="s">
        <v>631</v>
      </c>
      <c r="F2382" s="358"/>
      <c r="G2382" s="65"/>
      <c r="H2382" s="73">
        <v>0.75982099999999997</v>
      </c>
      <c r="I2382" s="90"/>
      <c r="J2382" s="73"/>
      <c r="K2382" s="66"/>
      <c r="L2382" s="717">
        <v>2009</v>
      </c>
      <c r="M2382" s="73"/>
      <c r="N2382" s="359">
        <v>1.0962270000000001</v>
      </c>
      <c r="O2382" s="1041"/>
      <c r="P2382" s="73"/>
      <c r="Q2382" s="359"/>
      <c r="R2382" s="1041"/>
      <c r="S2382" s="73"/>
      <c r="T2382" s="359"/>
      <c r="U2382" s="73"/>
      <c r="V2382" s="66"/>
      <c r="W2382" s="594">
        <f t="shared" si="2064"/>
        <v>5.3187469999999991E-4</v>
      </c>
      <c r="X2382" s="595">
        <f t="shared" si="2065"/>
        <v>5.3187469999999991E-4</v>
      </c>
      <c r="Y2382" s="52">
        <v>1990</v>
      </c>
      <c r="Z2382" s="52"/>
      <c r="AA2382" s="596">
        <f t="shared" si="2067"/>
        <v>7.5982099999999993E-4</v>
      </c>
      <c r="AB2382" s="256">
        <v>-0.3</v>
      </c>
      <c r="AC2382" s="688">
        <f t="shared" si="2066"/>
        <v>-0.3</v>
      </c>
      <c r="AD2382" s="164"/>
      <c r="AE2382" s="164"/>
      <c r="AF2382" s="25">
        <v>0</v>
      </c>
      <c r="AG2382" s="26">
        <v>0</v>
      </c>
      <c r="AH2382" s="275"/>
      <c r="AI2382" s="52"/>
      <c r="AJ2382" s="35"/>
      <c r="AK2382" s="289">
        <v>-1</v>
      </c>
      <c r="AL2382" s="290">
        <v>-1</v>
      </c>
      <c r="AM2382" s="211"/>
      <c r="AN2382" s="164"/>
      <c r="AO2382" s="594"/>
      <c r="AP2382" s="595"/>
      <c r="AQ2382" s="275"/>
      <c r="AR2382" s="52"/>
      <c r="AS2382" s="596"/>
      <c r="AT2382" s="79"/>
      <c r="AU2382" s="212"/>
      <c r="AV2382" s="164"/>
      <c r="AW2382" s="164"/>
      <c r="AX2382" s="76"/>
      <c r="AY2382" s="44"/>
      <c r="AZ2382" s="275"/>
      <c r="BA2382" s="52"/>
      <c r="BB2382" s="35"/>
      <c r="BC2382" s="79"/>
      <c r="BD2382" s="230"/>
      <c r="BE2382" s="211"/>
      <c r="BF2382" s="164"/>
      <c r="BG2382" s="25"/>
      <c r="BH2382" s="26"/>
      <c r="BI2382" s="275"/>
      <c r="BJ2382" s="52"/>
      <c r="BK2382" s="35"/>
      <c r="BL2382" s="79"/>
      <c r="BM2382" s="230"/>
      <c r="BN2382" s="211"/>
      <c r="BO2382" s="164"/>
      <c r="BP2382" s="76"/>
      <c r="BQ2382" s="44"/>
      <c r="BR2382" s="299"/>
      <c r="BS2382" s="52"/>
      <c r="BT2382" s="35"/>
      <c r="BU2382" s="79"/>
      <c r="BV2382" s="212"/>
      <c r="BW2382" s="304"/>
      <c r="BX2382" s="313"/>
      <c r="BY2382" s="300"/>
    </row>
    <row r="2383" spans="1:77" ht="15" customHeight="1" x14ac:dyDescent="0.2">
      <c r="A2383" s="57" t="s">
        <v>35</v>
      </c>
      <c r="B2383" s="57"/>
      <c r="C2383" s="583" t="s">
        <v>929</v>
      </c>
      <c r="D2383" s="546">
        <v>75.94</v>
      </c>
      <c r="E2383" s="162" t="s">
        <v>631</v>
      </c>
      <c r="F2383" s="800">
        <v>1995</v>
      </c>
      <c r="G2383" s="65"/>
      <c r="H2383" s="73">
        <v>0.29060399999999997</v>
      </c>
      <c r="I2383" s="90"/>
      <c r="J2383" s="73"/>
      <c r="K2383" s="66"/>
      <c r="L2383" s="717"/>
      <c r="M2383" s="73"/>
      <c r="N2383" s="359"/>
      <c r="O2383" s="1041"/>
      <c r="P2383" s="73"/>
      <c r="Q2383" s="359"/>
      <c r="R2383" s="1041"/>
      <c r="S2383" s="73"/>
      <c r="T2383" s="359"/>
      <c r="U2383" s="73"/>
      <c r="V2383" s="66"/>
      <c r="W2383" s="594">
        <f t="shared" si="2064"/>
        <v>2.0342279999999998E-4</v>
      </c>
      <c r="X2383" s="595">
        <f t="shared" si="2065"/>
        <v>2.0342279999999998E-4</v>
      </c>
      <c r="Y2383" s="52">
        <v>1995</v>
      </c>
      <c r="Z2383" s="52"/>
      <c r="AA2383" s="596">
        <f t="shared" si="2067"/>
        <v>2.9060399999999997E-4</v>
      </c>
      <c r="AB2383" s="256">
        <v>-0.3</v>
      </c>
      <c r="AC2383" s="688">
        <f t="shared" si="2066"/>
        <v>-0.3</v>
      </c>
      <c r="AD2383" s="164"/>
      <c r="AE2383" s="164"/>
      <c r="AF2383" s="25"/>
      <c r="AG2383" s="26"/>
      <c r="AH2383" s="275"/>
      <c r="AI2383" s="52"/>
      <c r="AJ2383" s="35"/>
      <c r="AK2383" s="289"/>
      <c r="AL2383" s="290"/>
      <c r="AM2383" s="211"/>
      <c r="AN2383" s="164"/>
      <c r="AO2383" s="594"/>
      <c r="AP2383" s="595"/>
      <c r="AQ2383" s="275"/>
      <c r="AR2383" s="52"/>
      <c r="AS2383" s="596"/>
      <c r="AT2383" s="79"/>
      <c r="AU2383" s="212"/>
      <c r="AV2383" s="164"/>
      <c r="AW2383" s="164"/>
      <c r="AX2383" s="76"/>
      <c r="AY2383" s="44"/>
      <c r="AZ2383" s="275"/>
      <c r="BA2383" s="52"/>
      <c r="BB2383" s="35"/>
      <c r="BC2383" s="79"/>
      <c r="BD2383" s="230"/>
      <c r="BE2383" s="211"/>
      <c r="BF2383" s="164"/>
      <c r="BG2383" s="25"/>
      <c r="BH2383" s="26"/>
      <c r="BI2383" s="275"/>
      <c r="BJ2383" s="52"/>
      <c r="BK2383" s="35"/>
      <c r="BL2383" s="79"/>
      <c r="BM2383" s="230"/>
      <c r="BN2383" s="211"/>
      <c r="BO2383" s="164"/>
      <c r="BP2383" s="76"/>
      <c r="BQ2383" s="44"/>
      <c r="BR2383" s="299"/>
      <c r="BS2383" s="52"/>
      <c r="BT2383" s="35"/>
      <c r="BU2383" s="79"/>
      <c r="BV2383" s="212"/>
      <c r="BW2383" s="304"/>
      <c r="BX2383" s="313"/>
      <c r="BY2383" s="300"/>
    </row>
    <row r="2384" spans="1:77" ht="15" customHeight="1" x14ac:dyDescent="0.2">
      <c r="A2384" s="57" t="s">
        <v>35</v>
      </c>
      <c r="B2384" s="583"/>
      <c r="C2384" s="583" t="s">
        <v>499</v>
      </c>
      <c r="D2384" s="546">
        <v>83</v>
      </c>
      <c r="E2384" s="162" t="s">
        <v>3320</v>
      </c>
      <c r="F2384" s="358"/>
      <c r="G2384" s="65"/>
      <c r="H2384" s="73">
        <v>0.33140900000000001</v>
      </c>
      <c r="I2384" s="90"/>
      <c r="J2384" s="73"/>
      <c r="K2384" s="66"/>
      <c r="L2384" s="717"/>
      <c r="M2384" s="73"/>
      <c r="N2384" s="359">
        <v>0.37217600000000001</v>
      </c>
      <c r="O2384" s="1041"/>
      <c r="P2384" s="73"/>
      <c r="Q2384" s="359"/>
      <c r="R2384" s="1041"/>
      <c r="S2384" s="73"/>
      <c r="T2384" s="359"/>
      <c r="U2384" s="73"/>
      <c r="V2384" s="66"/>
      <c r="W2384" s="594">
        <f t="shared" si="2064"/>
        <v>1.6570450000000001E-4</v>
      </c>
      <c r="X2384" s="595">
        <f t="shared" si="2065"/>
        <v>1.6570450000000001E-4</v>
      </c>
      <c r="Y2384" s="52">
        <v>1990</v>
      </c>
      <c r="Z2384" s="52"/>
      <c r="AA2384" s="596">
        <f t="shared" si="2067"/>
        <v>3.3140900000000001E-4</v>
      </c>
      <c r="AB2384" s="256">
        <v>-0.5</v>
      </c>
      <c r="AC2384" s="688">
        <f t="shared" si="2066"/>
        <v>-0.5</v>
      </c>
      <c r="AD2384" s="164"/>
      <c r="AE2384" s="164"/>
      <c r="AF2384" s="740">
        <f t="shared" ref="AF2384" si="2083">AJ2384*(1+AK2384)</f>
        <v>1.3026159999999999E-4</v>
      </c>
      <c r="AG2384" s="741">
        <f t="shared" ref="AG2384" si="2084">AJ2384*(1+AL2384)</f>
        <v>1.3026159999999999E-4</v>
      </c>
      <c r="AH2384" s="275">
        <v>2005</v>
      </c>
      <c r="AI2384" s="52"/>
      <c r="AJ2384" s="739">
        <f>+N2384/1000</f>
        <v>3.72176E-4</v>
      </c>
      <c r="AK2384" s="590">
        <v>-0.65</v>
      </c>
      <c r="AL2384" s="591">
        <f>AK2384</f>
        <v>-0.65</v>
      </c>
      <c r="AM2384" s="211"/>
      <c r="AN2384" s="164"/>
      <c r="AO2384" s="740">
        <f t="shared" ref="AO2384" si="2085">AS2384*(1+AT2384)</f>
        <v>7.4435199999999988E-5</v>
      </c>
      <c r="AP2384" s="741">
        <f t="shared" ref="AP2384" si="2086">AS2384*(1+AU2384)</f>
        <v>7.4435199999999988E-5</v>
      </c>
      <c r="AQ2384" s="275">
        <v>2005</v>
      </c>
      <c r="AR2384" s="52"/>
      <c r="AS2384" s="739">
        <f>+N2384/1000</f>
        <v>3.72176E-4</v>
      </c>
      <c r="AT2384" s="590">
        <v>-0.8</v>
      </c>
      <c r="AU2384" s="591">
        <f>AT2384</f>
        <v>-0.8</v>
      </c>
      <c r="AV2384" s="164"/>
      <c r="AW2384" s="164"/>
      <c r="AX2384" s="76"/>
      <c r="AY2384" s="44"/>
      <c r="AZ2384" s="275"/>
      <c r="BA2384" s="52"/>
      <c r="BB2384" s="35"/>
      <c r="BC2384" s="79"/>
      <c r="BD2384" s="230"/>
      <c r="BE2384" s="211"/>
      <c r="BF2384" s="164"/>
      <c r="BG2384" s="76"/>
      <c r="BH2384" s="44"/>
      <c r="BI2384" s="275"/>
      <c r="BJ2384" s="52"/>
      <c r="BK2384" s="35"/>
      <c r="BL2384" s="79"/>
      <c r="BM2384" s="230"/>
      <c r="BN2384" s="211"/>
      <c r="BO2384" s="164"/>
      <c r="BP2384" s="584">
        <f>+BT2384*(1+BU2384)</f>
        <v>0</v>
      </c>
      <c r="BQ2384" s="585">
        <f>BT2384*(1+BV2384)</f>
        <v>0</v>
      </c>
      <c r="BR2384" s="299">
        <v>2012</v>
      </c>
      <c r="BS2384" s="35"/>
      <c r="BT2384" s="596">
        <f>+N2384/1000</f>
        <v>3.72176E-4</v>
      </c>
      <c r="BU2384" s="79">
        <v>-1</v>
      </c>
      <c r="BV2384" s="212">
        <f>BU2384</f>
        <v>-1</v>
      </c>
      <c r="BW2384" s="304"/>
      <c r="BX2384" s="313"/>
      <c r="BY2384" s="300"/>
    </row>
    <row r="2385" spans="1:77" ht="15" customHeight="1" x14ac:dyDescent="0.2">
      <c r="A2385" s="57" t="s">
        <v>35</v>
      </c>
      <c r="B2385" s="57"/>
      <c r="C2385" s="583" t="s">
        <v>954</v>
      </c>
      <c r="D2385" s="546">
        <v>334</v>
      </c>
      <c r="E2385" s="162" t="s">
        <v>387</v>
      </c>
      <c r="F2385" s="358"/>
      <c r="G2385" s="65"/>
      <c r="H2385" s="73">
        <v>1.46</v>
      </c>
      <c r="I2385" s="90"/>
      <c r="J2385" s="73"/>
      <c r="K2385" s="66"/>
      <c r="L2385" s="717"/>
      <c r="M2385" s="73"/>
      <c r="N2385" s="359"/>
      <c r="O2385" s="1041"/>
      <c r="P2385" s="73"/>
      <c r="Q2385" s="359"/>
      <c r="R2385" s="1041"/>
      <c r="S2385" s="73"/>
      <c r="T2385" s="359"/>
      <c r="U2385" s="73"/>
      <c r="V2385" s="66"/>
      <c r="W2385" s="594">
        <f t="shared" si="2064"/>
        <v>8.7599999999999993E-4</v>
      </c>
      <c r="X2385" s="595">
        <f t="shared" si="2065"/>
        <v>8.7599999999999993E-4</v>
      </c>
      <c r="Y2385" s="52">
        <v>1990</v>
      </c>
      <c r="Z2385" s="52"/>
      <c r="AA2385" s="596">
        <f t="shared" si="2067"/>
        <v>1.4599999999999999E-3</v>
      </c>
      <c r="AB2385" s="256">
        <v>-0.4</v>
      </c>
      <c r="AC2385" s="688">
        <f t="shared" si="2066"/>
        <v>-0.4</v>
      </c>
      <c r="AD2385" s="164"/>
      <c r="AE2385" s="164"/>
      <c r="AF2385" s="25"/>
      <c r="AG2385" s="26"/>
      <c r="AH2385" s="275"/>
      <c r="AI2385" s="52"/>
      <c r="AJ2385" s="35"/>
      <c r="AK2385" s="289"/>
      <c r="AL2385" s="290"/>
      <c r="AM2385" s="211"/>
      <c r="AN2385" s="164"/>
      <c r="AO2385" s="740">
        <f t="shared" ref="AO2385" si="2087">AS2385*(1+AT2385)</f>
        <v>4.3800000000000002E-4</v>
      </c>
      <c r="AP2385" s="741">
        <f t="shared" ref="AP2385" si="2088">AS2385*(1+AU2385)</f>
        <v>4.3800000000000002E-4</v>
      </c>
      <c r="AQ2385" s="275">
        <v>1990</v>
      </c>
      <c r="AR2385" s="52"/>
      <c r="AS2385" s="739">
        <f>+H2385/1000</f>
        <v>1.4599999999999999E-3</v>
      </c>
      <c r="AT2385" s="590">
        <v>-0.7</v>
      </c>
      <c r="AU2385" s="591">
        <f>AT2385</f>
        <v>-0.7</v>
      </c>
      <c r="AV2385" s="164"/>
      <c r="AW2385" s="164"/>
      <c r="AX2385" s="76"/>
      <c r="AY2385" s="44"/>
      <c r="AZ2385" s="275"/>
      <c r="BA2385" s="52"/>
      <c r="BB2385" s="35"/>
      <c r="BC2385" s="79"/>
      <c r="BD2385" s="230"/>
      <c r="BE2385" s="211"/>
      <c r="BF2385" s="164"/>
      <c r="BG2385" s="25"/>
      <c r="BH2385" s="26"/>
      <c r="BI2385" s="275"/>
      <c r="BJ2385" s="52"/>
      <c r="BK2385" s="35"/>
      <c r="BL2385" s="79"/>
      <c r="BM2385" s="230"/>
      <c r="BN2385" s="211"/>
      <c r="BO2385" s="164"/>
      <c r="BP2385" s="76"/>
      <c r="BQ2385" s="44"/>
      <c r="BR2385" s="299"/>
      <c r="BS2385" s="52"/>
      <c r="BT2385" s="35"/>
      <c r="BU2385" s="79"/>
      <c r="BV2385" s="212"/>
      <c r="BW2385" s="304"/>
      <c r="BX2385" s="313"/>
      <c r="BY2385" s="300"/>
    </row>
    <row r="2386" spans="1:77" ht="15" customHeight="1" x14ac:dyDescent="0.2">
      <c r="A2386" s="57" t="s">
        <v>35</v>
      </c>
      <c r="B2386" s="57"/>
      <c r="C2386" s="583" t="s">
        <v>945</v>
      </c>
      <c r="D2386" s="546">
        <v>26.023</v>
      </c>
      <c r="E2386" s="162" t="s">
        <v>631</v>
      </c>
      <c r="F2386" s="358"/>
      <c r="G2386" s="65"/>
      <c r="H2386" s="73">
        <v>8.0555000000000002E-2</v>
      </c>
      <c r="I2386" s="90"/>
      <c r="J2386" s="73"/>
      <c r="K2386" s="66"/>
      <c r="L2386" s="717"/>
      <c r="M2386" s="73"/>
      <c r="N2386" s="359"/>
      <c r="O2386" s="1041"/>
      <c r="P2386" s="73"/>
      <c r="Q2386" s="359"/>
      <c r="R2386" s="1041"/>
      <c r="S2386" s="73"/>
      <c r="T2386" s="359"/>
      <c r="U2386" s="73"/>
      <c r="V2386" s="66"/>
      <c r="W2386" s="740">
        <f t="shared" si="2064"/>
        <v>4.8333E-5</v>
      </c>
      <c r="X2386" s="741">
        <f t="shared" si="2065"/>
        <v>4.8333E-5</v>
      </c>
      <c r="Y2386" s="52">
        <v>1990</v>
      </c>
      <c r="Z2386" s="52"/>
      <c r="AA2386" s="739">
        <f t="shared" si="2067"/>
        <v>8.0555000000000004E-5</v>
      </c>
      <c r="AB2386" s="256">
        <v>-0.4</v>
      </c>
      <c r="AC2386" s="688">
        <f t="shared" si="2066"/>
        <v>-0.4</v>
      </c>
      <c r="AD2386" s="164"/>
      <c r="AE2386" s="164"/>
      <c r="AF2386" s="25"/>
      <c r="AG2386" s="26"/>
      <c r="AH2386" s="275"/>
      <c r="AI2386" s="52"/>
      <c r="AJ2386" s="35"/>
      <c r="AK2386" s="289"/>
      <c r="AL2386" s="290"/>
      <c r="AM2386" s="211"/>
      <c r="AN2386" s="164"/>
      <c r="AO2386" s="594"/>
      <c r="AP2386" s="595"/>
      <c r="AQ2386" s="275"/>
      <c r="AR2386" s="52"/>
      <c r="AS2386" s="596"/>
      <c r="AT2386" s="79"/>
      <c r="AU2386" s="212"/>
      <c r="AV2386" s="164"/>
      <c r="AW2386" s="164"/>
      <c r="AX2386" s="76"/>
      <c r="AY2386" s="44"/>
      <c r="AZ2386" s="275"/>
      <c r="BA2386" s="52"/>
      <c r="BB2386" s="35"/>
      <c r="BC2386" s="79"/>
      <c r="BD2386" s="230"/>
      <c r="BE2386" s="211"/>
      <c r="BF2386" s="164"/>
      <c r="BG2386" s="25"/>
      <c r="BH2386" s="26"/>
      <c r="BI2386" s="275"/>
      <c r="BJ2386" s="52"/>
      <c r="BK2386" s="35"/>
      <c r="BL2386" s="79"/>
      <c r="BM2386" s="230"/>
      <c r="BN2386" s="211"/>
      <c r="BO2386" s="164"/>
      <c r="BP2386" s="76"/>
      <c r="BQ2386" s="44"/>
      <c r="BR2386" s="299"/>
      <c r="BS2386" s="52"/>
      <c r="BT2386" s="35"/>
      <c r="BU2386" s="79"/>
      <c r="BV2386" s="212"/>
      <c r="BW2386" s="304"/>
      <c r="BX2386" s="313"/>
      <c r="BY2386" s="300"/>
    </row>
    <row r="2387" spans="1:77" ht="15" customHeight="1" x14ac:dyDescent="0.2">
      <c r="A2387" s="57" t="s">
        <v>35</v>
      </c>
      <c r="B2387" s="57"/>
      <c r="C2387" s="583" t="s">
        <v>936</v>
      </c>
      <c r="D2387" s="546">
        <v>155.696</v>
      </c>
      <c r="E2387" s="162" t="s">
        <v>631</v>
      </c>
      <c r="F2387" s="358"/>
      <c r="G2387" s="65"/>
      <c r="H2387" s="73"/>
      <c r="I2387" s="90">
        <v>2000</v>
      </c>
      <c r="J2387" s="73"/>
      <c r="K2387" s="66">
        <v>0.90097400000000005</v>
      </c>
      <c r="L2387" s="717"/>
      <c r="M2387" s="73"/>
      <c r="N2387" s="359"/>
      <c r="O2387" s="1041"/>
      <c r="P2387" s="73"/>
      <c r="Q2387" s="359"/>
      <c r="R2387" s="1041"/>
      <c r="S2387" s="73"/>
      <c r="T2387" s="359"/>
      <c r="U2387" s="73"/>
      <c r="V2387" s="66"/>
      <c r="W2387" s="594">
        <f t="shared" si="2064"/>
        <v>5.4058440000000001E-4</v>
      </c>
      <c r="X2387" s="595">
        <f t="shared" si="2065"/>
        <v>5.4058440000000001E-4</v>
      </c>
      <c r="Y2387" s="52">
        <v>2000</v>
      </c>
      <c r="Z2387" s="52"/>
      <c r="AA2387" s="596">
        <f>+K2387/1000</f>
        <v>9.0097400000000002E-4</v>
      </c>
      <c r="AB2387" s="256">
        <v>-0.4</v>
      </c>
      <c r="AC2387" s="688">
        <f t="shared" si="2066"/>
        <v>-0.4</v>
      </c>
      <c r="AD2387" s="164"/>
      <c r="AE2387" s="164"/>
      <c r="AF2387" s="25"/>
      <c r="AG2387" s="26"/>
      <c r="AH2387" s="275"/>
      <c r="AI2387" s="52"/>
      <c r="AJ2387" s="35"/>
      <c r="AK2387" s="289"/>
      <c r="AL2387" s="290"/>
      <c r="AM2387" s="211"/>
      <c r="AN2387" s="164"/>
      <c r="AO2387" s="740">
        <f t="shared" ref="AO2387" si="2089">AS2387*(1+AT2387)</f>
        <v>2.7029220000000006E-4</v>
      </c>
      <c r="AP2387" s="741">
        <f t="shared" ref="AP2387" si="2090">AS2387*(1+AU2387)</f>
        <v>2.7029220000000006E-4</v>
      </c>
      <c r="AQ2387" s="52">
        <v>2002</v>
      </c>
      <c r="AR2387" s="52"/>
      <c r="AS2387" s="739">
        <f>+K2387/1000</f>
        <v>9.0097400000000002E-4</v>
      </c>
      <c r="AT2387" s="256">
        <v>-0.7</v>
      </c>
      <c r="AU2387" s="688">
        <f t="shared" ref="AU2387" si="2091">AT2387</f>
        <v>-0.7</v>
      </c>
      <c r="AV2387" s="164"/>
      <c r="AW2387" s="164"/>
      <c r="AX2387" s="76"/>
      <c r="AY2387" s="44"/>
      <c r="AZ2387" s="275"/>
      <c r="BA2387" s="52"/>
      <c r="BB2387" s="35"/>
      <c r="BC2387" s="79"/>
      <c r="BD2387" s="230"/>
      <c r="BE2387" s="211"/>
      <c r="BF2387" s="164"/>
      <c r="BG2387" s="1001">
        <v>0</v>
      </c>
      <c r="BH2387" s="1002">
        <v>0</v>
      </c>
      <c r="BI2387" s="1003">
        <v>2000</v>
      </c>
      <c r="BJ2387" s="996"/>
      <c r="BK2387" s="1004"/>
      <c r="BL2387" s="1009">
        <v>-1</v>
      </c>
      <c r="BM2387" s="1013">
        <v>-1</v>
      </c>
      <c r="BN2387" s="211"/>
      <c r="BO2387" s="164"/>
      <c r="BP2387" s="584">
        <f>+BT2387*(1+BU2387)</f>
        <v>0</v>
      </c>
      <c r="BQ2387" s="585">
        <f>BT2387*(1+BV2387)</f>
        <v>0</v>
      </c>
      <c r="BR2387" s="299">
        <v>2005</v>
      </c>
      <c r="BS2387" s="35"/>
      <c r="BT2387" s="596">
        <f>+K2387/1000</f>
        <v>9.0097400000000002E-4</v>
      </c>
      <c r="BU2387" s="79">
        <v>-1</v>
      </c>
      <c r="BV2387" s="212">
        <f>BU2387</f>
        <v>-1</v>
      </c>
      <c r="BW2387" s="304"/>
      <c r="BX2387" s="313"/>
      <c r="BY2387" s="300"/>
    </row>
    <row r="2388" spans="1:77" ht="15" customHeight="1" x14ac:dyDescent="0.2">
      <c r="A2388" s="57" t="s">
        <v>35</v>
      </c>
      <c r="B2388" s="57"/>
      <c r="C2388" s="583" t="s">
        <v>927</v>
      </c>
      <c r="D2388" s="546">
        <v>26.16</v>
      </c>
      <c r="E2388" s="162" t="s">
        <v>631</v>
      </c>
      <c r="F2388" s="358"/>
      <c r="G2388" s="65"/>
      <c r="H2388" s="73">
        <v>0.18418899999999999</v>
      </c>
      <c r="I2388" s="90"/>
      <c r="J2388" s="73"/>
      <c r="K2388" s="66"/>
      <c r="L2388" s="717"/>
      <c r="M2388" s="73"/>
      <c r="N2388" s="359"/>
      <c r="O2388" s="1041"/>
      <c r="P2388" s="73"/>
      <c r="Q2388" s="359"/>
      <c r="R2388" s="1041"/>
      <c r="S2388" s="73"/>
      <c r="T2388" s="359"/>
      <c r="U2388" s="73"/>
      <c r="V2388" s="66"/>
      <c r="W2388" s="740">
        <f t="shared" si="2064"/>
        <v>9.2094499999999997E-5</v>
      </c>
      <c r="X2388" s="741">
        <f t="shared" si="2065"/>
        <v>9.2094499999999997E-5</v>
      </c>
      <c r="Y2388" s="52">
        <v>1990</v>
      </c>
      <c r="Z2388" s="52"/>
      <c r="AA2388" s="739">
        <f>+H2388/1000</f>
        <v>1.8418899999999999E-4</v>
      </c>
      <c r="AB2388" s="256">
        <v>-0.5</v>
      </c>
      <c r="AC2388" s="688">
        <f t="shared" si="2066"/>
        <v>-0.5</v>
      </c>
      <c r="AD2388" s="164"/>
      <c r="AE2388" s="164"/>
      <c r="AF2388" s="25"/>
      <c r="AG2388" s="26"/>
      <c r="AH2388" s="275"/>
      <c r="AI2388" s="52"/>
      <c r="AJ2388" s="35"/>
      <c r="AK2388" s="289"/>
      <c r="AL2388" s="290"/>
      <c r="AM2388" s="211"/>
      <c r="AN2388" s="164"/>
      <c r="AO2388" s="594"/>
      <c r="AP2388" s="595"/>
      <c r="AQ2388" s="275"/>
      <c r="AR2388" s="52"/>
      <c r="AS2388" s="596"/>
      <c r="AT2388" s="79"/>
      <c r="AU2388" s="212"/>
      <c r="AV2388" s="164"/>
      <c r="AW2388" s="164"/>
      <c r="AX2388" s="76"/>
      <c r="AY2388" s="44"/>
      <c r="AZ2388" s="275"/>
      <c r="BA2388" s="52"/>
      <c r="BB2388" s="35"/>
      <c r="BC2388" s="79"/>
      <c r="BD2388" s="230"/>
      <c r="BE2388" s="211"/>
      <c r="BF2388" s="164"/>
      <c r="BG2388" s="25"/>
      <c r="BH2388" s="26"/>
      <c r="BI2388" s="275"/>
      <c r="BJ2388" s="52"/>
      <c r="BK2388" s="35"/>
      <c r="BL2388" s="79"/>
      <c r="BM2388" s="230"/>
      <c r="BN2388" s="211"/>
      <c r="BO2388" s="164"/>
      <c r="BP2388" s="76"/>
      <c r="BQ2388" s="44"/>
      <c r="BR2388" s="299"/>
      <c r="BS2388" s="52"/>
      <c r="BT2388" s="35"/>
      <c r="BU2388" s="79"/>
      <c r="BV2388" s="212"/>
      <c r="BW2388" s="304"/>
      <c r="BX2388" s="313"/>
      <c r="BY2388" s="300"/>
    </row>
    <row r="2389" spans="1:77" ht="15" customHeight="1" x14ac:dyDescent="0.2">
      <c r="A2389" s="57" t="s">
        <v>35</v>
      </c>
      <c r="B2389" s="57"/>
      <c r="C2389" s="583" t="s">
        <v>932</v>
      </c>
      <c r="D2389" s="546">
        <v>41</v>
      </c>
      <c r="E2389" s="162" t="s">
        <v>631</v>
      </c>
      <c r="F2389" s="800">
        <v>1998</v>
      </c>
      <c r="G2389" s="65"/>
      <c r="H2389" s="73">
        <v>0.24990000000000001</v>
      </c>
      <c r="I2389" s="90"/>
      <c r="J2389" s="73"/>
      <c r="K2389" s="66"/>
      <c r="L2389" s="717"/>
      <c r="M2389" s="73"/>
      <c r="N2389" s="359"/>
      <c r="O2389" s="1041"/>
      <c r="P2389" s="73"/>
      <c r="Q2389" s="359"/>
      <c r="R2389" s="1041"/>
      <c r="S2389" s="73"/>
      <c r="T2389" s="359"/>
      <c r="U2389" s="73"/>
      <c r="V2389" s="66"/>
      <c r="W2389" s="594">
        <f t="shared" si="2064"/>
        <v>1.2495E-4</v>
      </c>
      <c r="X2389" s="595">
        <f t="shared" si="2065"/>
        <v>1.2495E-4</v>
      </c>
      <c r="Y2389" s="52">
        <v>1998</v>
      </c>
      <c r="Z2389" s="52"/>
      <c r="AA2389" s="596">
        <f>+H2389/1000</f>
        <v>2.499E-4</v>
      </c>
      <c r="AB2389" s="256">
        <v>-0.5</v>
      </c>
      <c r="AC2389" s="688">
        <f t="shared" si="2066"/>
        <v>-0.5</v>
      </c>
      <c r="AD2389" s="164"/>
      <c r="AE2389" s="164"/>
      <c r="AF2389" s="25"/>
      <c r="AG2389" s="26"/>
      <c r="AH2389" s="275"/>
      <c r="AI2389" s="52"/>
      <c r="AJ2389" s="35"/>
      <c r="AK2389" s="289"/>
      <c r="AL2389" s="290"/>
      <c r="AM2389" s="211"/>
      <c r="AN2389" s="164"/>
      <c r="AO2389" s="594"/>
      <c r="AP2389" s="595"/>
      <c r="AQ2389" s="275"/>
      <c r="AR2389" s="52"/>
      <c r="AS2389" s="596"/>
      <c r="AT2389" s="79"/>
      <c r="AU2389" s="212"/>
      <c r="AV2389" s="164"/>
      <c r="AW2389" s="164"/>
      <c r="AX2389" s="76"/>
      <c r="AY2389" s="44"/>
      <c r="AZ2389" s="275"/>
      <c r="BA2389" s="52"/>
      <c r="BB2389" s="35"/>
      <c r="BC2389" s="79"/>
      <c r="BD2389" s="230"/>
      <c r="BE2389" s="211"/>
      <c r="BF2389" s="164"/>
      <c r="BG2389" s="25"/>
      <c r="BH2389" s="26"/>
      <c r="BI2389" s="275"/>
      <c r="BJ2389" s="52"/>
      <c r="BK2389" s="35"/>
      <c r="BL2389" s="79"/>
      <c r="BM2389" s="230"/>
      <c r="BN2389" s="211"/>
      <c r="BO2389" s="164"/>
      <c r="BP2389" s="76"/>
      <c r="BQ2389" s="44"/>
      <c r="BR2389" s="299"/>
      <c r="BS2389" s="52"/>
      <c r="BT2389" s="35"/>
      <c r="BU2389" s="79"/>
      <c r="BV2389" s="212"/>
      <c r="BW2389" s="304"/>
      <c r="BX2389" s="313"/>
      <c r="BY2389" s="300"/>
    </row>
    <row r="2390" spans="1:77" ht="15" customHeight="1" x14ac:dyDescent="0.2">
      <c r="A2390" s="57" t="s">
        <v>35</v>
      </c>
      <c r="B2390" s="57"/>
      <c r="C2390" s="583" t="s">
        <v>941</v>
      </c>
      <c r="D2390" s="546">
        <v>52</v>
      </c>
      <c r="E2390" s="162" t="s">
        <v>631</v>
      </c>
      <c r="F2390" s="358"/>
      <c r="G2390" s="65"/>
      <c r="H2390" s="735">
        <v>9.2180000000000005E-3</v>
      </c>
      <c r="I2390" s="90"/>
      <c r="J2390" s="73"/>
      <c r="K2390" s="66"/>
      <c r="L2390" s="717"/>
      <c r="M2390" s="73"/>
      <c r="N2390" s="359"/>
      <c r="O2390" s="1041"/>
      <c r="P2390" s="73"/>
      <c r="Q2390" s="359"/>
      <c r="R2390" s="1041"/>
      <c r="S2390" s="73"/>
      <c r="T2390" s="359"/>
      <c r="U2390" s="73"/>
      <c r="V2390" s="66"/>
      <c r="W2390" s="788">
        <f t="shared" si="2064"/>
        <v>5.5308000000000005E-6</v>
      </c>
      <c r="X2390" s="789">
        <f t="shared" si="2065"/>
        <v>5.5308000000000005E-6</v>
      </c>
      <c r="Y2390" s="52">
        <v>1990</v>
      </c>
      <c r="Z2390" s="52"/>
      <c r="AA2390" s="787">
        <f>+H2390/1000</f>
        <v>9.2180000000000005E-6</v>
      </c>
      <c r="AB2390" s="256">
        <v>-0.4</v>
      </c>
      <c r="AC2390" s="688">
        <f t="shared" si="2066"/>
        <v>-0.4</v>
      </c>
      <c r="AD2390" s="164"/>
      <c r="AE2390" s="164"/>
      <c r="AF2390" s="25"/>
      <c r="AG2390" s="26"/>
      <c r="AH2390" s="275"/>
      <c r="AI2390" s="52"/>
      <c r="AJ2390" s="35"/>
      <c r="AK2390" s="289"/>
      <c r="AL2390" s="290"/>
      <c r="AM2390" s="211"/>
      <c r="AN2390" s="164"/>
      <c r="AO2390" s="594"/>
      <c r="AP2390" s="595"/>
      <c r="AQ2390" s="275"/>
      <c r="AR2390" s="52"/>
      <c r="AS2390" s="596"/>
      <c r="AT2390" s="79"/>
      <c r="AU2390" s="212"/>
      <c r="AV2390" s="164"/>
      <c r="AW2390" s="164"/>
      <c r="AX2390" s="76"/>
      <c r="AY2390" s="44"/>
      <c r="AZ2390" s="275"/>
      <c r="BA2390" s="52"/>
      <c r="BB2390" s="35"/>
      <c r="BC2390" s="79"/>
      <c r="BD2390" s="230"/>
      <c r="BE2390" s="211"/>
      <c r="BF2390" s="164"/>
      <c r="BG2390" s="25"/>
      <c r="BH2390" s="26"/>
      <c r="BI2390" s="275"/>
      <c r="BJ2390" s="52"/>
      <c r="BK2390" s="35"/>
      <c r="BL2390" s="79"/>
      <c r="BM2390" s="230"/>
      <c r="BN2390" s="211"/>
      <c r="BO2390" s="164"/>
      <c r="BP2390" s="76"/>
      <c r="BQ2390" s="44"/>
      <c r="BR2390" s="299"/>
      <c r="BS2390" s="52"/>
      <c r="BT2390" s="35"/>
      <c r="BU2390" s="79"/>
      <c r="BV2390" s="212"/>
      <c r="BW2390" s="304"/>
      <c r="BX2390" s="313"/>
      <c r="BY2390" s="300"/>
    </row>
    <row r="2391" spans="1:77" ht="15" customHeight="1" x14ac:dyDescent="0.2">
      <c r="A2391" s="57" t="s">
        <v>35</v>
      </c>
      <c r="B2391" s="57"/>
      <c r="C2391" s="583" t="s">
        <v>940</v>
      </c>
      <c r="D2391" s="546">
        <v>85.27</v>
      </c>
      <c r="E2391" s="162" t="s">
        <v>631</v>
      </c>
      <c r="F2391" s="358"/>
      <c r="G2391" s="65"/>
      <c r="H2391" s="73">
        <v>0.35656500000000002</v>
      </c>
      <c r="I2391" s="90"/>
      <c r="J2391" s="73"/>
      <c r="K2391" s="66"/>
      <c r="L2391" s="717"/>
      <c r="M2391" s="73"/>
      <c r="N2391" s="359"/>
      <c r="O2391" s="1041"/>
      <c r="P2391" s="73"/>
      <c r="Q2391" s="359"/>
      <c r="R2391" s="1041"/>
      <c r="S2391" s="73"/>
      <c r="T2391" s="359"/>
      <c r="U2391" s="73"/>
      <c r="V2391" s="66"/>
      <c r="W2391" s="594">
        <f t="shared" si="2064"/>
        <v>1.2479775000000002E-4</v>
      </c>
      <c r="X2391" s="595">
        <f t="shared" si="2065"/>
        <v>1.2479775000000002E-4</v>
      </c>
      <c r="Y2391" s="52">
        <v>1990</v>
      </c>
      <c r="Z2391" s="52"/>
      <c r="AA2391" s="596">
        <f>+H2391/1000</f>
        <v>3.5656500000000004E-4</v>
      </c>
      <c r="AB2391" s="256">
        <v>-0.65</v>
      </c>
      <c r="AC2391" s="688">
        <f t="shared" si="2066"/>
        <v>-0.65</v>
      </c>
      <c r="AD2391" s="164"/>
      <c r="AE2391" s="164"/>
      <c r="AF2391" s="25"/>
      <c r="AG2391" s="26"/>
      <c r="AH2391" s="275"/>
      <c r="AI2391" s="52"/>
      <c r="AJ2391" s="35"/>
      <c r="AK2391" s="289"/>
      <c r="AL2391" s="290"/>
      <c r="AM2391" s="211"/>
      <c r="AN2391" s="164"/>
      <c r="AO2391" s="594"/>
      <c r="AP2391" s="595"/>
      <c r="AQ2391" s="275"/>
      <c r="AR2391" s="52"/>
      <c r="AS2391" s="596"/>
      <c r="AT2391" s="79"/>
      <c r="AU2391" s="212"/>
      <c r="AV2391" s="164"/>
      <c r="AW2391" s="164"/>
      <c r="AX2391" s="76"/>
      <c r="AY2391" s="44"/>
      <c r="AZ2391" s="275"/>
      <c r="BA2391" s="52"/>
      <c r="BB2391" s="35"/>
      <c r="BC2391" s="79"/>
      <c r="BD2391" s="230"/>
      <c r="BE2391" s="211"/>
      <c r="BF2391" s="164"/>
      <c r="BG2391" s="25"/>
      <c r="BH2391" s="26"/>
      <c r="BI2391" s="275"/>
      <c r="BJ2391" s="52"/>
      <c r="BK2391" s="35"/>
      <c r="BL2391" s="79"/>
      <c r="BM2391" s="230"/>
      <c r="BN2391" s="211"/>
      <c r="BO2391" s="164"/>
      <c r="BP2391" s="76"/>
      <c r="BQ2391" s="44"/>
      <c r="BR2391" s="299"/>
      <c r="BS2391" s="52"/>
      <c r="BT2391" s="35"/>
      <c r="BU2391" s="79"/>
      <c r="BV2391" s="212"/>
      <c r="BW2391" s="304"/>
      <c r="BX2391" s="313"/>
      <c r="BY2391" s="300"/>
    </row>
    <row r="2392" spans="1:77" s="135" customFormat="1" ht="13.5" customHeight="1" x14ac:dyDescent="0.2">
      <c r="A2392" s="1020" t="s">
        <v>35</v>
      </c>
      <c r="B2392" s="1020"/>
      <c r="C2392" s="984" t="s">
        <v>369</v>
      </c>
      <c r="D2392" s="985">
        <v>936</v>
      </c>
      <c r="E2392" s="971" t="s">
        <v>2813</v>
      </c>
      <c r="F2392" s="986"/>
      <c r="G2392" s="987"/>
      <c r="H2392" s="988">
        <v>3.6680000000000001</v>
      </c>
      <c r="I2392" s="989"/>
      <c r="J2392" s="988"/>
      <c r="K2392" s="993"/>
      <c r="L2392" s="991">
        <v>2011</v>
      </c>
      <c r="M2392" s="988"/>
      <c r="N2392" s="1136">
        <v>2.742</v>
      </c>
      <c r="O2392" s="1046">
        <v>2014</v>
      </c>
      <c r="P2392" s="988"/>
      <c r="Q2392" s="1136">
        <v>1.7965899999999999</v>
      </c>
      <c r="R2392" s="1046"/>
      <c r="S2392" s="988"/>
      <c r="T2392" s="1136"/>
      <c r="U2392" s="988"/>
      <c r="V2392" s="993"/>
      <c r="W2392" s="1244">
        <f t="shared" si="2064"/>
        <v>2.7876800000000003E-3</v>
      </c>
      <c r="X2392" s="1245">
        <f t="shared" si="2065"/>
        <v>2.7876800000000003E-3</v>
      </c>
      <c r="Y2392" s="996">
        <v>1990</v>
      </c>
      <c r="Z2392" s="996"/>
      <c r="AA2392" s="1004">
        <f>+H2392/1000</f>
        <v>3.6680000000000003E-3</v>
      </c>
      <c r="AB2392" s="1246">
        <v>-0.24</v>
      </c>
      <c r="AC2392" s="1247">
        <f t="shared" si="2066"/>
        <v>-0.24</v>
      </c>
      <c r="AD2392" s="1000"/>
      <c r="AE2392" s="1000"/>
      <c r="AF2392" s="1001"/>
      <c r="AG2392" s="1002"/>
      <c r="AH2392" s="1003"/>
      <c r="AI2392" s="996"/>
      <c r="AJ2392" s="1004"/>
      <c r="AK2392" s="1005"/>
      <c r="AL2392" s="1006"/>
      <c r="AM2392" s="1007"/>
      <c r="AN2392" s="1000"/>
      <c r="AO2392" s="1011"/>
      <c r="AP2392" s="1012"/>
      <c r="AQ2392" s="1003"/>
      <c r="AR2392" s="996"/>
      <c r="AS2392" s="1004"/>
      <c r="AT2392" s="1009"/>
      <c r="AU2392" s="1010"/>
      <c r="AV2392" s="1000"/>
      <c r="AW2392" s="1000"/>
      <c r="AX2392" s="1011"/>
      <c r="AY2392" s="1012"/>
      <c r="AZ2392" s="1003"/>
      <c r="BA2392" s="996"/>
      <c r="BB2392" s="1004"/>
      <c r="BC2392" s="1009"/>
      <c r="BD2392" s="1013"/>
      <c r="BE2392" s="1007"/>
      <c r="BF2392" s="1000"/>
      <c r="BG2392" s="1001">
        <v>0</v>
      </c>
      <c r="BH2392" s="1002">
        <v>0</v>
      </c>
      <c r="BI2392" s="1003">
        <v>1990</v>
      </c>
      <c r="BJ2392" s="996"/>
      <c r="BK2392" s="1004"/>
      <c r="BL2392" s="1009">
        <v>-1</v>
      </c>
      <c r="BM2392" s="1013">
        <v>-1</v>
      </c>
      <c r="BN2392" s="1007"/>
      <c r="BO2392" s="1000"/>
      <c r="BP2392" s="1011"/>
      <c r="BQ2392" s="1012"/>
      <c r="BR2392" s="1016"/>
      <c r="BS2392" s="996"/>
      <c r="BT2392" s="1004"/>
      <c r="BU2392" s="977">
        <v>-1</v>
      </c>
      <c r="BV2392" s="1253">
        <f t="shared" ref="BV2392" si="2092">BU2392</f>
        <v>-1</v>
      </c>
      <c r="BW2392" s="304"/>
      <c r="BX2392" s="313"/>
      <c r="BY2392" s="1248"/>
    </row>
    <row r="2393" spans="1:77" ht="17.25" customHeight="1" x14ac:dyDescent="0.2">
      <c r="A2393" s="57" t="s">
        <v>35</v>
      </c>
      <c r="B2393" s="57"/>
      <c r="C2393" s="583" t="s">
        <v>943</v>
      </c>
      <c r="D2393" s="546">
        <v>41.23</v>
      </c>
      <c r="E2393" s="162" t="s">
        <v>631</v>
      </c>
      <c r="F2393" s="358"/>
      <c r="G2393" s="65"/>
      <c r="H2393" s="73"/>
      <c r="I2393" s="90"/>
      <c r="J2393" s="73"/>
      <c r="K2393" s="66"/>
      <c r="L2393" s="717">
        <v>2008</v>
      </c>
      <c r="M2393" s="73"/>
      <c r="N2393" s="359">
        <v>6.4739000000000005E-2</v>
      </c>
      <c r="O2393" s="1041"/>
      <c r="P2393" s="73"/>
      <c r="Q2393" s="359"/>
      <c r="R2393" s="1041"/>
      <c r="S2393" s="73"/>
      <c r="T2393" s="359"/>
      <c r="U2393" s="73"/>
      <c r="V2393" s="66"/>
      <c r="W2393" s="740">
        <f t="shared" si="2064"/>
        <v>3.8843400000000002E-5</v>
      </c>
      <c r="X2393" s="741">
        <f t="shared" si="2065"/>
        <v>3.8843400000000002E-5</v>
      </c>
      <c r="Y2393" s="52">
        <v>2008</v>
      </c>
      <c r="Z2393" s="52"/>
      <c r="AA2393" s="739">
        <f>+N2393/1000</f>
        <v>6.4739000000000005E-5</v>
      </c>
      <c r="AB2393" s="256">
        <v>-0.4</v>
      </c>
      <c r="AC2393" s="688">
        <f t="shared" si="2066"/>
        <v>-0.4</v>
      </c>
      <c r="AD2393" s="164"/>
      <c r="AE2393" s="164"/>
      <c r="AF2393" s="25"/>
      <c r="AG2393" s="26"/>
      <c r="AH2393" s="275"/>
      <c r="AI2393" s="52"/>
      <c r="AJ2393" s="35"/>
      <c r="AK2393" s="289"/>
      <c r="AL2393" s="290"/>
      <c r="AM2393" s="211"/>
      <c r="AN2393" s="164"/>
      <c r="AO2393" s="594"/>
      <c r="AP2393" s="595"/>
      <c r="AQ2393" s="275"/>
      <c r="AR2393" s="52"/>
      <c r="AS2393" s="596"/>
      <c r="AT2393" s="79"/>
      <c r="AU2393" s="212"/>
      <c r="AV2393" s="164"/>
      <c r="AW2393" s="164"/>
      <c r="AX2393" s="76"/>
      <c r="AY2393" s="44"/>
      <c r="AZ2393" s="275"/>
      <c r="BA2393" s="52"/>
      <c r="BB2393" s="35"/>
      <c r="BC2393" s="79"/>
      <c r="BD2393" s="230"/>
      <c r="BE2393" s="211"/>
      <c r="BF2393" s="164"/>
      <c r="BG2393" s="25"/>
      <c r="BH2393" s="26"/>
      <c r="BI2393" s="275"/>
      <c r="BJ2393" s="52"/>
      <c r="BK2393" s="35"/>
      <c r="BL2393" s="79"/>
      <c r="BM2393" s="230"/>
      <c r="BN2393" s="211"/>
      <c r="BO2393" s="164"/>
      <c r="BP2393" s="76"/>
      <c r="BQ2393" s="44"/>
      <c r="BR2393" s="299"/>
      <c r="BS2393" s="52"/>
      <c r="BT2393" s="35"/>
      <c r="BU2393" s="79"/>
      <c r="BV2393" s="212"/>
      <c r="BW2393" s="304"/>
      <c r="BX2393" s="313"/>
      <c r="BY2393" s="300"/>
    </row>
    <row r="2394" spans="1:77" ht="15" customHeight="1" x14ac:dyDescent="0.2">
      <c r="A2394" s="57" t="s">
        <v>35</v>
      </c>
      <c r="B2394" s="57"/>
      <c r="C2394" s="583" t="s">
        <v>937</v>
      </c>
      <c r="D2394" s="546">
        <v>117.5</v>
      </c>
      <c r="E2394" s="162" t="s">
        <v>3321</v>
      </c>
      <c r="F2394" s="358"/>
      <c r="G2394" s="65"/>
      <c r="H2394" s="73">
        <v>0.39088699999999998</v>
      </c>
      <c r="I2394" s="90"/>
      <c r="J2394" s="73"/>
      <c r="K2394" s="66"/>
      <c r="L2394" s="717"/>
      <c r="M2394" s="73"/>
      <c r="N2394" s="359"/>
      <c r="O2394" s="1041"/>
      <c r="P2394" s="73"/>
      <c r="Q2394" s="359"/>
      <c r="R2394" s="1041"/>
      <c r="S2394" s="73"/>
      <c r="T2394" s="359"/>
      <c r="U2394" s="73"/>
      <c r="V2394" s="66"/>
      <c r="W2394" s="740">
        <f t="shared" si="2064"/>
        <v>2.3453219999999998E-4</v>
      </c>
      <c r="X2394" s="741">
        <f t="shared" si="2065"/>
        <v>2.3453219999999998E-4</v>
      </c>
      <c r="Y2394" s="52">
        <v>1990</v>
      </c>
      <c r="Z2394" s="52"/>
      <c r="AA2394" s="596">
        <f>+H2394/1000</f>
        <v>3.9088699999999997E-4</v>
      </c>
      <c r="AB2394" s="256">
        <v>-0.4</v>
      </c>
      <c r="AC2394" s="688">
        <f t="shared" si="2066"/>
        <v>-0.4</v>
      </c>
      <c r="AD2394" s="164"/>
      <c r="AE2394" s="164"/>
      <c r="AF2394" s="740">
        <f t="shared" ref="AF2394" si="2093">AJ2394*(1+AK2394)</f>
        <v>1.9544349999999999E-4</v>
      </c>
      <c r="AG2394" s="741">
        <f t="shared" ref="AG2394" si="2094">AJ2394*(1+AL2394)</f>
        <v>1.9544349999999999E-4</v>
      </c>
      <c r="AH2394" s="275">
        <v>1990</v>
      </c>
      <c r="AI2394" s="52"/>
      <c r="AJ2394" s="596">
        <f>+H2394/1000</f>
        <v>3.9088699999999997E-4</v>
      </c>
      <c r="AK2394" s="590">
        <v>-0.5</v>
      </c>
      <c r="AL2394" s="591">
        <f>AK2394</f>
        <v>-0.5</v>
      </c>
      <c r="AM2394" s="211"/>
      <c r="AN2394" s="164"/>
      <c r="AO2394" s="594"/>
      <c r="AP2394" s="595"/>
      <c r="AQ2394" s="275"/>
      <c r="AR2394" s="52"/>
      <c r="AS2394" s="596"/>
      <c r="AT2394" s="79"/>
      <c r="AU2394" s="212"/>
      <c r="AV2394" s="164"/>
      <c r="AW2394" s="164"/>
      <c r="AX2394" s="76"/>
      <c r="AY2394" s="44"/>
      <c r="AZ2394" s="275"/>
      <c r="BA2394" s="52"/>
      <c r="BB2394" s="35"/>
      <c r="BC2394" s="79"/>
      <c r="BD2394" s="230"/>
      <c r="BE2394" s="211"/>
      <c r="BF2394" s="164"/>
      <c r="BG2394" s="25">
        <v>0</v>
      </c>
      <c r="BH2394" s="26">
        <v>0</v>
      </c>
      <c r="BI2394" s="275"/>
      <c r="BJ2394" s="52"/>
      <c r="BK2394" s="35"/>
      <c r="BL2394" s="79">
        <v>-1</v>
      </c>
      <c r="BM2394" s="230">
        <v>-1</v>
      </c>
      <c r="BN2394" s="211"/>
      <c r="BO2394" s="164"/>
      <c r="BP2394" s="76"/>
      <c r="BQ2394" s="44"/>
      <c r="BR2394" s="299"/>
      <c r="BS2394" s="52"/>
      <c r="BT2394" s="35"/>
      <c r="BU2394" s="79"/>
      <c r="BV2394" s="212"/>
      <c r="BW2394" s="304"/>
      <c r="BX2394" s="313"/>
      <c r="BY2394" s="300"/>
    </row>
    <row r="2395" spans="1:77" ht="15" customHeight="1" x14ac:dyDescent="0.2">
      <c r="A2395" s="57" t="s">
        <v>35</v>
      </c>
      <c r="B2395" s="57"/>
      <c r="C2395" s="583" t="s">
        <v>583</v>
      </c>
      <c r="D2395" s="546">
        <v>208</v>
      </c>
      <c r="E2395" s="162" t="s">
        <v>392</v>
      </c>
      <c r="F2395" s="358"/>
      <c r="G2395" s="65"/>
      <c r="H2395" s="73"/>
      <c r="I2395" s="90"/>
      <c r="J2395" s="73"/>
      <c r="K2395" s="66"/>
      <c r="L2395" s="717">
        <v>2011</v>
      </c>
      <c r="M2395" s="73"/>
      <c r="N2395" s="359">
        <v>1.099</v>
      </c>
      <c r="O2395" s="1041"/>
      <c r="P2395" s="73"/>
      <c r="Q2395" s="359"/>
      <c r="R2395" s="1041"/>
      <c r="S2395" s="73"/>
      <c r="T2395" s="359"/>
      <c r="U2395" s="73"/>
      <c r="V2395" s="66"/>
      <c r="W2395" s="592"/>
      <c r="X2395" s="593"/>
      <c r="Y2395" s="52"/>
      <c r="Z2395" s="52"/>
      <c r="AA2395" s="596"/>
      <c r="AB2395" s="256"/>
      <c r="AC2395" s="688"/>
      <c r="AD2395" s="164"/>
      <c r="AE2395" s="164"/>
      <c r="AF2395" s="25"/>
      <c r="AG2395" s="26"/>
      <c r="AH2395" s="275"/>
      <c r="AI2395" s="52"/>
      <c r="AJ2395" s="35"/>
      <c r="AK2395" s="289"/>
      <c r="AL2395" s="290"/>
      <c r="AM2395" s="211"/>
      <c r="AN2395" s="164"/>
      <c r="AO2395" s="594">
        <f>AS2395*(1+AT2395)</f>
        <v>0</v>
      </c>
      <c r="AP2395" s="595">
        <f>AS2395*(1+AU2395)</f>
        <v>0</v>
      </c>
      <c r="AQ2395" s="275"/>
      <c r="AR2395" s="52"/>
      <c r="AS2395" s="596"/>
      <c r="AT2395" s="79">
        <v>-1</v>
      </c>
      <c r="AU2395" s="212">
        <f>AT2395</f>
        <v>-1</v>
      </c>
      <c r="AV2395" s="164"/>
      <c r="AW2395" s="164"/>
      <c r="AX2395" s="76"/>
      <c r="AY2395" s="44"/>
      <c r="AZ2395" s="275"/>
      <c r="BA2395" s="52"/>
      <c r="BB2395" s="35"/>
      <c r="BC2395" s="79"/>
      <c r="BD2395" s="230"/>
      <c r="BE2395" s="211"/>
      <c r="BF2395" s="164"/>
      <c r="BG2395" s="25"/>
      <c r="BH2395" s="26"/>
      <c r="BI2395" s="275"/>
      <c r="BJ2395" s="52"/>
      <c r="BK2395" s="35"/>
      <c r="BL2395" s="79"/>
      <c r="BM2395" s="230"/>
      <c r="BN2395" s="211"/>
      <c r="BO2395" s="164"/>
      <c r="BP2395" s="76"/>
      <c r="BQ2395" s="44"/>
      <c r="BR2395" s="299"/>
      <c r="BS2395" s="52"/>
      <c r="BT2395" s="35"/>
      <c r="BU2395" s="79"/>
      <c r="BV2395" s="212"/>
      <c r="BW2395" s="304"/>
      <c r="BX2395" s="313"/>
      <c r="BY2395" s="300"/>
    </row>
    <row r="2396" spans="1:77" ht="15" customHeight="1" x14ac:dyDescent="0.2">
      <c r="A2396" s="57" t="s">
        <v>35</v>
      </c>
      <c r="B2396" s="57"/>
      <c r="C2396" s="583" t="s">
        <v>952</v>
      </c>
      <c r="D2396" s="546">
        <v>140</v>
      </c>
      <c r="E2396" s="162" t="s">
        <v>631</v>
      </c>
      <c r="F2396" s="358"/>
      <c r="G2396" s="65"/>
      <c r="H2396" s="73">
        <v>0.90771999999999997</v>
      </c>
      <c r="I2396" s="90"/>
      <c r="J2396" s="73"/>
      <c r="K2396" s="66"/>
      <c r="L2396" s="717"/>
      <c r="M2396" s="73"/>
      <c r="N2396" s="359"/>
      <c r="O2396" s="1041"/>
      <c r="P2396" s="73"/>
      <c r="Q2396" s="359"/>
      <c r="R2396" s="1041"/>
      <c r="S2396" s="73"/>
      <c r="T2396" s="359"/>
      <c r="U2396" s="73"/>
      <c r="V2396" s="66"/>
      <c r="W2396" s="594">
        <f>AA2396*(1+AB2396)</f>
        <v>3.6308800000000002E-4</v>
      </c>
      <c r="X2396" s="595">
        <f>AA2396*(1+AC2396)</f>
        <v>3.6308800000000002E-4</v>
      </c>
      <c r="Y2396" s="52">
        <v>1990</v>
      </c>
      <c r="Z2396" s="52"/>
      <c r="AA2396" s="596">
        <f>+H2396/1000</f>
        <v>9.0771999999999999E-4</v>
      </c>
      <c r="AB2396" s="256">
        <v>-0.6</v>
      </c>
      <c r="AC2396" s="688">
        <f>AB2396</f>
        <v>-0.6</v>
      </c>
      <c r="AD2396" s="164"/>
      <c r="AE2396" s="164"/>
      <c r="AF2396" s="25"/>
      <c r="AG2396" s="26"/>
      <c r="AH2396" s="275"/>
      <c r="AI2396" s="52"/>
      <c r="AJ2396" s="35"/>
      <c r="AK2396" s="289"/>
      <c r="AL2396" s="290"/>
      <c r="AM2396" s="211"/>
      <c r="AN2396" s="164"/>
      <c r="AO2396" s="594"/>
      <c r="AP2396" s="595"/>
      <c r="AQ2396" s="275"/>
      <c r="AR2396" s="52"/>
      <c r="AS2396" s="596"/>
      <c r="AT2396" s="79"/>
      <c r="AU2396" s="212"/>
      <c r="AV2396" s="164"/>
      <c r="AW2396" s="164"/>
      <c r="AX2396" s="76"/>
      <c r="AY2396" s="44"/>
      <c r="AZ2396" s="275"/>
      <c r="BA2396" s="52"/>
      <c r="BB2396" s="35"/>
      <c r="BC2396" s="79"/>
      <c r="BD2396" s="230"/>
      <c r="BE2396" s="211"/>
      <c r="BF2396" s="164"/>
      <c r="BG2396" s="25"/>
      <c r="BH2396" s="26"/>
      <c r="BI2396" s="275"/>
      <c r="BJ2396" s="52"/>
      <c r="BK2396" s="35"/>
      <c r="BL2396" s="79"/>
      <c r="BM2396" s="230"/>
      <c r="BN2396" s="211"/>
      <c r="BO2396" s="164"/>
      <c r="BP2396" s="584">
        <f>+BT2396*(1+BU2396)</f>
        <v>1.8154399999999995E-4</v>
      </c>
      <c r="BQ2396" s="585">
        <f>BT2396*(1+BV2396)</f>
        <v>1.8154399999999995E-4</v>
      </c>
      <c r="BR2396" s="299">
        <v>1990</v>
      </c>
      <c r="BS2396" s="35"/>
      <c r="BT2396" s="35">
        <f>+AA2396</f>
        <v>9.0771999999999999E-4</v>
      </c>
      <c r="BU2396" s="79">
        <v>-0.8</v>
      </c>
      <c r="BV2396" s="212">
        <v>-0.8</v>
      </c>
      <c r="BW2396" s="304"/>
      <c r="BX2396" s="313"/>
      <c r="BY2396" s="300"/>
    </row>
    <row r="2397" spans="1:77" ht="15" customHeight="1" x14ac:dyDescent="0.2">
      <c r="A2397" s="57" t="s">
        <v>135</v>
      </c>
      <c r="B2397" s="583" t="s">
        <v>1606</v>
      </c>
      <c r="C2397" s="57"/>
      <c r="D2397" s="546">
        <v>62066.35</v>
      </c>
      <c r="E2397" s="1101" t="s">
        <v>2896</v>
      </c>
      <c r="F2397" s="729"/>
      <c r="G2397" s="730">
        <v>798.20299999999997</v>
      </c>
      <c r="H2397" s="723">
        <v>797.94799999999998</v>
      </c>
      <c r="I2397" s="1282"/>
      <c r="J2397" s="1283">
        <v>688.05</v>
      </c>
      <c r="K2397" s="1283">
        <v>695.16499999999996</v>
      </c>
      <c r="L2397" s="1282"/>
      <c r="M2397" s="1283">
        <v>605.25099999999998</v>
      </c>
      <c r="N2397" s="1283">
        <v>614.36099999999999</v>
      </c>
      <c r="O2397" s="1284"/>
      <c r="P2397" s="1283">
        <v>502.26832000000002</v>
      </c>
      <c r="Q2397" s="796">
        <v>511.98025999999999</v>
      </c>
      <c r="R2397" s="1284">
        <v>2017</v>
      </c>
      <c r="S2397" s="1283">
        <v>464.45299999999997</v>
      </c>
      <c r="T2397" s="796">
        <v>474.346</v>
      </c>
      <c r="U2397" s="73"/>
      <c r="V2397" s="66"/>
      <c r="W2397" s="592">
        <v>0.51300000000000001</v>
      </c>
      <c r="X2397" s="593">
        <v>0.51300000000000001</v>
      </c>
      <c r="Y2397" s="52">
        <v>1990</v>
      </c>
      <c r="Z2397" s="52"/>
      <c r="AA2397" s="596"/>
      <c r="AB2397" s="824">
        <v>-0.2</v>
      </c>
      <c r="AC2397" s="825">
        <v>-0.3</v>
      </c>
      <c r="AD2397" s="164"/>
      <c r="AE2397" s="164"/>
      <c r="AF2397" s="25"/>
      <c r="AG2397" s="26"/>
      <c r="AH2397" s="275"/>
      <c r="AI2397" s="52"/>
      <c r="AJ2397" s="35"/>
      <c r="AK2397" s="289"/>
      <c r="AL2397" s="290"/>
      <c r="AM2397" s="1420"/>
      <c r="AN2397" s="1421"/>
      <c r="AO2397" s="1422">
        <f>AR2397*(1+AT2397)</f>
        <v>0.25542495999999998</v>
      </c>
      <c r="AP2397" s="1423">
        <f>AO2397</f>
        <v>0.25542495999999998</v>
      </c>
      <c r="AQ2397" s="1424">
        <v>1990</v>
      </c>
      <c r="AR2397" s="1425">
        <f>+G2397/1000</f>
        <v>0.798203</v>
      </c>
      <c r="AS2397" s="1425"/>
      <c r="AT2397" s="1426">
        <v>-0.68</v>
      </c>
      <c r="AU2397" s="1427">
        <f t="shared" ref="AU2397" si="2095">AT2397</f>
        <v>-0.68</v>
      </c>
      <c r="AV2397" s="164"/>
      <c r="AW2397" s="164"/>
      <c r="AX2397" s="76"/>
      <c r="AY2397" s="44"/>
      <c r="AZ2397" s="275"/>
      <c r="BA2397" s="52"/>
      <c r="BB2397" s="35"/>
      <c r="BC2397" s="79"/>
      <c r="BD2397" s="230"/>
      <c r="BE2397" s="211"/>
      <c r="BF2397" s="164"/>
      <c r="BG2397" s="76"/>
      <c r="BH2397" s="44"/>
      <c r="BI2397" s="275"/>
      <c r="BJ2397" s="52"/>
      <c r="BK2397" s="35"/>
      <c r="BL2397" s="79"/>
      <c r="BM2397" s="230"/>
      <c r="BN2397" s="211"/>
      <c r="BO2397" s="164"/>
      <c r="BP2397" s="76">
        <v>0.157</v>
      </c>
      <c r="BQ2397" s="44">
        <v>0.157</v>
      </c>
      <c r="BR2397" s="299">
        <v>1990</v>
      </c>
      <c r="BS2397" s="52"/>
      <c r="BT2397" s="35"/>
      <c r="BU2397" s="79">
        <v>-1</v>
      </c>
      <c r="BV2397" s="212">
        <f>BU2397</f>
        <v>-1</v>
      </c>
      <c r="BW2397" s="304"/>
      <c r="BX2397" s="313"/>
      <c r="BY2397" s="300" t="s">
        <v>245</v>
      </c>
    </row>
    <row r="2398" spans="1:77" ht="15" customHeight="1" x14ac:dyDescent="0.2">
      <c r="A2398" s="57" t="s">
        <v>135</v>
      </c>
      <c r="B2398" s="583" t="s">
        <v>449</v>
      </c>
      <c r="C2398" s="57"/>
      <c r="D2398" s="546">
        <v>5314</v>
      </c>
      <c r="E2398" s="971" t="s">
        <v>2931</v>
      </c>
      <c r="F2398" s="358"/>
      <c r="G2398" s="65"/>
      <c r="H2398" s="73">
        <v>76.262950000000004</v>
      </c>
      <c r="I2398" s="90"/>
      <c r="J2398" s="73"/>
      <c r="K2398" s="66"/>
      <c r="L2398" s="717"/>
      <c r="M2398" s="73"/>
      <c r="N2398" s="359"/>
      <c r="O2398" s="1041"/>
      <c r="P2398" s="73"/>
      <c r="Q2398" s="359">
        <f>H2398*0.59</f>
        <v>44.995140499999998</v>
      </c>
      <c r="R2398" s="1041">
        <v>2017</v>
      </c>
      <c r="S2398" s="73">
        <v>40.521593000000003</v>
      </c>
      <c r="T2398" s="359">
        <v>53.54513</v>
      </c>
      <c r="U2398" s="73"/>
      <c r="V2398" s="66"/>
      <c r="W2398" s="594">
        <f t="shared" ref="W2398:W2403" si="2096">AA2398*(1+AB2398)</f>
        <v>3.3555698000000002E-2</v>
      </c>
      <c r="X2398" s="595">
        <f t="shared" ref="X2398:X2403" si="2097">AA2398*(1+AC2398)</f>
        <v>3.3555698000000002E-2</v>
      </c>
      <c r="Y2398" s="52">
        <v>1990</v>
      </c>
      <c r="Z2398" s="52"/>
      <c r="AA2398" s="596">
        <f>+H2398/1000</f>
        <v>7.626295000000001E-2</v>
      </c>
      <c r="AB2398" s="256">
        <v>-0.56000000000000005</v>
      </c>
      <c r="AC2398" s="688">
        <f t="shared" ref="AC2398:AC2403" si="2098">AB2398</f>
        <v>-0.56000000000000005</v>
      </c>
      <c r="AD2398" s="164"/>
      <c r="AE2398" s="164"/>
      <c r="AF2398" s="25"/>
      <c r="AG2398" s="26"/>
      <c r="AH2398" s="275"/>
      <c r="AI2398" s="52"/>
      <c r="AJ2398" s="35"/>
      <c r="AK2398" s="289"/>
      <c r="AL2398" s="290"/>
      <c r="AM2398" s="211"/>
      <c r="AN2398" s="164"/>
      <c r="AO2398" s="594">
        <f t="shared" ref="AO2398" si="2099">AS2398*(1+AT2398)</f>
        <v>1.9065737500000002E-2</v>
      </c>
      <c r="AP2398" s="595">
        <f t="shared" ref="AP2398" si="2100">AS2398*(1+AU2398)</f>
        <v>1.9065737500000002E-2</v>
      </c>
      <c r="AQ2398" s="52">
        <v>1990</v>
      </c>
      <c r="AR2398" s="52"/>
      <c r="AS2398" s="596">
        <f>+H2398/1000</f>
        <v>7.626295000000001E-2</v>
      </c>
      <c r="AT2398" s="256">
        <v>-0.75</v>
      </c>
      <c r="AU2398" s="688">
        <f t="shared" ref="AU2398" si="2101">AT2398</f>
        <v>-0.75</v>
      </c>
      <c r="AV2398" s="164"/>
      <c r="AW2398" s="164"/>
      <c r="AX2398" s="76"/>
      <c r="AY2398" s="44"/>
      <c r="AZ2398" s="275"/>
      <c r="BA2398" s="52"/>
      <c r="BB2398" s="35"/>
      <c r="BC2398" s="79"/>
      <c r="BD2398" s="230"/>
      <c r="BE2398" s="211"/>
      <c r="BF2398" s="164"/>
      <c r="BG2398" s="76"/>
      <c r="BH2398" s="44"/>
      <c r="BI2398" s="275"/>
      <c r="BJ2398" s="52"/>
      <c r="BK2398" s="35"/>
      <c r="BL2398" s="79"/>
      <c r="BM2398" s="230"/>
      <c r="BN2398" s="211"/>
      <c r="BO2398" s="164"/>
      <c r="BP2398" s="584">
        <f>+BT2398*(1+BU2398)</f>
        <v>0</v>
      </c>
      <c r="BQ2398" s="585">
        <f>BT2398*(1+BV2398)</f>
        <v>0</v>
      </c>
      <c r="BR2398" s="299">
        <v>1990</v>
      </c>
      <c r="BS2398" s="35"/>
      <c r="BT2398" s="35">
        <f>+AA2398</f>
        <v>7.626295000000001E-2</v>
      </c>
      <c r="BU2398" s="79">
        <v>-1</v>
      </c>
      <c r="BV2398" s="212">
        <v>-1</v>
      </c>
      <c r="BW2398" s="304"/>
      <c r="BX2398" s="313" t="s">
        <v>2742</v>
      </c>
      <c r="BY2398" s="300"/>
    </row>
    <row r="2399" spans="1:77" ht="15" customHeight="1" x14ac:dyDescent="0.2">
      <c r="A2399" s="57" t="s">
        <v>135</v>
      </c>
      <c r="B2399" s="583" t="s">
        <v>477</v>
      </c>
      <c r="C2399" s="583" t="s">
        <v>955</v>
      </c>
      <c r="D2399" s="546">
        <v>213.81</v>
      </c>
      <c r="E2399" s="162" t="s">
        <v>631</v>
      </c>
      <c r="F2399" s="358"/>
      <c r="G2399" s="65"/>
      <c r="H2399" s="73"/>
      <c r="I2399" s="90"/>
      <c r="J2399" s="73"/>
      <c r="K2399" s="66"/>
      <c r="L2399" s="717">
        <v>2008</v>
      </c>
      <c r="M2399" s="73"/>
      <c r="N2399" s="359">
        <f>9.1*D2399/1000</f>
        <v>1.9456710000000002</v>
      </c>
      <c r="O2399" s="1041"/>
      <c r="P2399" s="73"/>
      <c r="Q2399" s="359"/>
      <c r="R2399" s="1041"/>
      <c r="S2399" s="73"/>
      <c r="T2399" s="359"/>
      <c r="U2399" s="73"/>
      <c r="V2399" s="66"/>
      <c r="W2399" s="594">
        <f t="shared" si="2096"/>
        <v>1.3425129900000001E-3</v>
      </c>
      <c r="X2399" s="595">
        <f t="shared" si="2097"/>
        <v>1.3425129900000001E-3</v>
      </c>
      <c r="Y2399" s="52">
        <v>2008</v>
      </c>
      <c r="Z2399" s="52"/>
      <c r="AA2399" s="596">
        <f>+N2399/1000</f>
        <v>1.9456710000000002E-3</v>
      </c>
      <c r="AB2399" s="256">
        <v>-0.31</v>
      </c>
      <c r="AC2399" s="688">
        <f t="shared" si="2098"/>
        <v>-0.31</v>
      </c>
      <c r="AD2399" s="164"/>
      <c r="AE2399" s="164"/>
      <c r="AF2399" s="25"/>
      <c r="AG2399" s="26"/>
      <c r="AH2399" s="275"/>
      <c r="AI2399" s="52"/>
      <c r="AJ2399" s="35"/>
      <c r="AK2399" s="289"/>
      <c r="AL2399" s="290"/>
      <c r="AM2399" s="211"/>
      <c r="AN2399" s="164"/>
      <c r="AO2399" s="76"/>
      <c r="AP2399" s="44"/>
      <c r="AQ2399" s="275"/>
      <c r="AR2399" s="52"/>
      <c r="AS2399" s="35"/>
      <c r="AT2399" s="79"/>
      <c r="AU2399" s="212"/>
      <c r="AV2399" s="164"/>
      <c r="AW2399" s="164"/>
      <c r="AX2399" s="76"/>
      <c r="AY2399" s="44"/>
      <c r="AZ2399" s="275"/>
      <c r="BA2399" s="52"/>
      <c r="BB2399" s="35"/>
      <c r="BC2399" s="79"/>
      <c r="BD2399" s="230"/>
      <c r="BE2399" s="211"/>
      <c r="BF2399" s="164"/>
      <c r="BG2399" s="76"/>
      <c r="BH2399" s="44"/>
      <c r="BI2399" s="275"/>
      <c r="BJ2399" s="52"/>
      <c r="BK2399" s="35"/>
      <c r="BL2399" s="79"/>
      <c r="BM2399" s="230"/>
      <c r="BN2399" s="211"/>
      <c r="BO2399" s="164"/>
      <c r="BP2399" s="584"/>
      <c r="BQ2399" s="585"/>
      <c r="BR2399" s="299"/>
      <c r="BS2399" s="35"/>
      <c r="BT2399" s="35"/>
      <c r="BU2399" s="79"/>
      <c r="BV2399" s="212"/>
      <c r="BW2399" s="304"/>
      <c r="BX2399" s="313"/>
      <c r="BY2399" s="300"/>
    </row>
    <row r="2400" spans="1:77" ht="15" customHeight="1" x14ac:dyDescent="0.2">
      <c r="A2400" s="57" t="s">
        <v>135</v>
      </c>
      <c r="B2400" s="583" t="s">
        <v>477</v>
      </c>
      <c r="C2400" s="583" t="s">
        <v>956</v>
      </c>
      <c r="D2400" s="546">
        <v>486.12</v>
      </c>
      <c r="E2400" s="162" t="s">
        <v>631</v>
      </c>
      <c r="F2400" s="358"/>
      <c r="G2400" s="65"/>
      <c r="H2400" s="73"/>
      <c r="I2400" s="90"/>
      <c r="J2400" s="73"/>
      <c r="K2400" s="66">
        <v>3.2829999999999999</v>
      </c>
      <c r="L2400" s="717"/>
      <c r="M2400" s="73"/>
      <c r="N2400" s="359"/>
      <c r="O2400" s="1041"/>
      <c r="P2400" s="73"/>
      <c r="Q2400" s="359"/>
      <c r="R2400" s="1041"/>
      <c r="S2400" s="73"/>
      <c r="T2400" s="359"/>
      <c r="U2400" s="73"/>
      <c r="V2400" s="66"/>
      <c r="W2400" s="594">
        <f t="shared" si="2096"/>
        <v>1.9041400000000001E-3</v>
      </c>
      <c r="X2400" s="595">
        <f t="shared" si="2097"/>
        <v>1.9041400000000001E-3</v>
      </c>
      <c r="Y2400" s="52">
        <v>2005</v>
      </c>
      <c r="Z2400" s="52"/>
      <c r="AA2400" s="596">
        <f>+K2400/1000</f>
        <v>3.2829999999999999E-3</v>
      </c>
      <c r="AB2400" s="256">
        <v>-0.42</v>
      </c>
      <c r="AC2400" s="688">
        <f t="shared" si="2098"/>
        <v>-0.42</v>
      </c>
      <c r="AD2400" s="164"/>
      <c r="AE2400" s="164"/>
      <c r="AF2400" s="25"/>
      <c r="AG2400" s="26"/>
      <c r="AH2400" s="275"/>
      <c r="AI2400" s="52"/>
      <c r="AJ2400" s="35"/>
      <c r="AK2400" s="289"/>
      <c r="AL2400" s="290"/>
      <c r="AM2400" s="211"/>
      <c r="AN2400" s="164"/>
      <c r="AO2400" s="76"/>
      <c r="AP2400" s="44"/>
      <c r="AQ2400" s="275"/>
      <c r="AR2400" s="52"/>
      <c r="AS2400" s="35"/>
      <c r="AT2400" s="79"/>
      <c r="AU2400" s="212"/>
      <c r="AV2400" s="164"/>
      <c r="AW2400" s="164"/>
      <c r="AX2400" s="76"/>
      <c r="AY2400" s="44"/>
      <c r="AZ2400" s="275"/>
      <c r="BA2400" s="52"/>
      <c r="BB2400" s="35"/>
      <c r="BC2400" s="79"/>
      <c r="BD2400" s="230"/>
      <c r="BE2400" s="211"/>
      <c r="BF2400" s="164"/>
      <c r="BG2400" s="76"/>
      <c r="BH2400" s="44"/>
      <c r="BI2400" s="275"/>
      <c r="BJ2400" s="52"/>
      <c r="BK2400" s="35"/>
      <c r="BL2400" s="79"/>
      <c r="BM2400" s="230"/>
      <c r="BN2400" s="211"/>
      <c r="BO2400" s="164"/>
      <c r="BP2400" s="584"/>
      <c r="BQ2400" s="585"/>
      <c r="BR2400" s="299"/>
      <c r="BS2400" s="35"/>
      <c r="BT2400" s="35"/>
      <c r="BU2400" s="79"/>
      <c r="BV2400" s="212"/>
      <c r="BW2400" s="304"/>
      <c r="BX2400" s="313"/>
      <c r="BY2400" s="300"/>
    </row>
    <row r="2401" spans="1:77" ht="15" customHeight="1" x14ac:dyDescent="0.2">
      <c r="A2401" s="583" t="s">
        <v>459</v>
      </c>
      <c r="B2401" s="583" t="s">
        <v>477</v>
      </c>
      <c r="C2401" s="583" t="s">
        <v>483</v>
      </c>
      <c r="D2401" s="546">
        <v>593</v>
      </c>
      <c r="E2401" s="162" t="s">
        <v>683</v>
      </c>
      <c r="F2401" s="358"/>
      <c r="G2401" s="65"/>
      <c r="H2401" s="73"/>
      <c r="I2401" s="90">
        <v>2006</v>
      </c>
      <c r="J2401" s="73"/>
      <c r="K2401" s="193">
        <v>4.0943269999999998</v>
      </c>
      <c r="L2401" s="717">
        <v>2012</v>
      </c>
      <c r="M2401" s="73"/>
      <c r="N2401" s="359">
        <v>3.5636239999999999</v>
      </c>
      <c r="O2401" s="1041"/>
      <c r="P2401" s="73"/>
      <c r="Q2401" s="359"/>
      <c r="R2401" s="1041"/>
      <c r="S2401" s="73"/>
      <c r="T2401" s="359"/>
      <c r="U2401" s="73"/>
      <c r="V2401" s="66"/>
      <c r="W2401" s="594">
        <f t="shared" si="2096"/>
        <v>2.8660288999999999E-3</v>
      </c>
      <c r="X2401" s="595">
        <f t="shared" si="2097"/>
        <v>2.8660288999999999E-3</v>
      </c>
      <c r="Y2401" s="52">
        <v>2006</v>
      </c>
      <c r="Z2401" s="52"/>
      <c r="AA2401" s="596">
        <f>+K2401/1000</f>
        <v>4.094327E-3</v>
      </c>
      <c r="AB2401" s="256">
        <v>-0.3</v>
      </c>
      <c r="AC2401" s="688">
        <f t="shared" si="2098"/>
        <v>-0.3</v>
      </c>
      <c r="AD2401" s="164"/>
      <c r="AE2401" s="164"/>
      <c r="AF2401" s="25"/>
      <c r="AG2401" s="26"/>
      <c r="AH2401" s="275"/>
      <c r="AI2401" s="52"/>
      <c r="AJ2401" s="35"/>
      <c r="AK2401" s="289"/>
      <c r="AL2401" s="290"/>
      <c r="AM2401" s="211"/>
      <c r="AN2401" s="164"/>
      <c r="AO2401" s="76"/>
      <c r="AP2401" s="44"/>
      <c r="AQ2401" s="275"/>
      <c r="AR2401" s="52"/>
      <c r="AS2401" s="35"/>
      <c r="AT2401" s="79"/>
      <c r="AU2401" s="212"/>
      <c r="AV2401" s="164"/>
      <c r="AW2401" s="164"/>
      <c r="AX2401" s="76"/>
      <c r="AY2401" s="44"/>
      <c r="AZ2401" s="275"/>
      <c r="BA2401" s="52"/>
      <c r="BB2401" s="35"/>
      <c r="BC2401" s="79"/>
      <c r="BD2401" s="230"/>
      <c r="BE2401" s="211"/>
      <c r="BF2401" s="164"/>
      <c r="BG2401" s="76"/>
      <c r="BH2401" s="44"/>
      <c r="BI2401" s="275"/>
      <c r="BJ2401" s="52"/>
      <c r="BK2401" s="35"/>
      <c r="BL2401" s="79"/>
      <c r="BM2401" s="230"/>
      <c r="BN2401" s="211"/>
      <c r="BO2401" s="164"/>
      <c r="BP2401" s="584"/>
      <c r="BQ2401" s="585"/>
      <c r="BR2401" s="299"/>
      <c r="BS2401" s="35"/>
      <c r="BT2401" s="35"/>
      <c r="BU2401" s="79"/>
      <c r="BV2401" s="212"/>
      <c r="BW2401" s="304"/>
      <c r="BX2401" s="313"/>
      <c r="BY2401" s="300"/>
    </row>
    <row r="2402" spans="1:77" ht="15" customHeight="1" x14ac:dyDescent="0.2">
      <c r="A2402" s="57" t="s">
        <v>135</v>
      </c>
      <c r="B2402" s="583" t="s">
        <v>450</v>
      </c>
      <c r="C2402" s="57"/>
      <c r="D2402" s="546">
        <v>2226</v>
      </c>
      <c r="E2402" s="971" t="s">
        <v>2934</v>
      </c>
      <c r="F2402" s="358"/>
      <c r="G2402" s="65"/>
      <c r="H2402" s="73">
        <v>55.729784000000002</v>
      </c>
      <c r="I2402" s="90"/>
      <c r="J2402" s="73"/>
      <c r="K2402" s="66"/>
      <c r="L2402" s="717">
        <v>2012</v>
      </c>
      <c r="M2402" s="73"/>
      <c r="N2402" s="359">
        <v>45.825984409999997</v>
      </c>
      <c r="O2402" s="1041"/>
      <c r="P2402" s="73"/>
      <c r="Q2402" s="359">
        <f>H2402*0.8</f>
        <v>44.583827200000002</v>
      </c>
      <c r="R2402" s="1041">
        <v>2017</v>
      </c>
      <c r="S2402" s="73">
        <v>41.746912340000002</v>
      </c>
      <c r="T2402" s="359">
        <v>42.1416386</v>
      </c>
      <c r="U2402" s="73"/>
      <c r="V2402" s="66"/>
      <c r="W2402" s="594">
        <f t="shared" si="2096"/>
        <v>3.34378704E-2</v>
      </c>
      <c r="X2402" s="595">
        <f t="shared" si="2097"/>
        <v>3.34378704E-2</v>
      </c>
      <c r="Y2402" s="52">
        <v>1990</v>
      </c>
      <c r="Z2402" s="52"/>
      <c r="AA2402" s="596">
        <f>+H2402/1000</f>
        <v>5.5729784000000004E-2</v>
      </c>
      <c r="AB2402" s="256">
        <v>-0.4</v>
      </c>
      <c r="AC2402" s="688">
        <f t="shared" si="2098"/>
        <v>-0.4</v>
      </c>
      <c r="AD2402" s="164"/>
      <c r="AE2402" s="164"/>
      <c r="AF2402" s="25"/>
      <c r="AG2402" s="26"/>
      <c r="AH2402" s="275"/>
      <c r="AI2402" s="52"/>
      <c r="AJ2402" s="35"/>
      <c r="AK2402" s="289"/>
      <c r="AL2402" s="290"/>
      <c r="AM2402" s="211"/>
      <c r="AN2402" s="164"/>
      <c r="AO2402" s="76"/>
      <c r="AP2402" s="44"/>
      <c r="AQ2402" s="275"/>
      <c r="AR2402" s="52"/>
      <c r="AS2402" s="35"/>
      <c r="AT2402" s="79"/>
      <c r="AU2402" s="212"/>
      <c r="AV2402" s="164"/>
      <c r="AW2402" s="164"/>
      <c r="AX2402" s="76"/>
      <c r="AY2402" s="44"/>
      <c r="AZ2402" s="275"/>
      <c r="BA2402" s="52"/>
      <c r="BB2402" s="35"/>
      <c r="BC2402" s="79"/>
      <c r="BD2402" s="230"/>
      <c r="BE2402" s="211"/>
      <c r="BF2402" s="164"/>
      <c r="BG2402" s="76"/>
      <c r="BH2402" s="44"/>
      <c r="BI2402" s="275"/>
      <c r="BJ2402" s="52"/>
      <c r="BK2402" s="35"/>
      <c r="BL2402" s="79"/>
      <c r="BM2402" s="230"/>
      <c r="BN2402" s="211"/>
      <c r="BO2402" s="164"/>
      <c r="BP2402" s="584">
        <f>+BT2402*(1+BU2402)</f>
        <v>1.1145956799999999E-2</v>
      </c>
      <c r="BQ2402" s="585">
        <f>BT2402*(1+BV2402)</f>
        <v>1.1145956799999999E-2</v>
      </c>
      <c r="BR2402" s="299">
        <v>1990</v>
      </c>
      <c r="BS2402" s="35"/>
      <c r="BT2402" s="35">
        <f>+AA2402</f>
        <v>5.5729784000000004E-2</v>
      </c>
      <c r="BU2402" s="79">
        <v>-0.8</v>
      </c>
      <c r="BV2402" s="212">
        <v>-0.8</v>
      </c>
      <c r="BW2402" s="304"/>
      <c r="BX2402" s="313"/>
      <c r="BY2402" s="300"/>
    </row>
    <row r="2403" spans="1:77" ht="15" customHeight="1" x14ac:dyDescent="0.2">
      <c r="A2403" s="57" t="s">
        <v>135</v>
      </c>
      <c r="B2403" s="583" t="s">
        <v>477</v>
      </c>
      <c r="C2403" s="583" t="s">
        <v>957</v>
      </c>
      <c r="D2403" s="546">
        <v>336.2</v>
      </c>
      <c r="E2403" s="162" t="s">
        <v>2587</v>
      </c>
      <c r="F2403" s="358"/>
      <c r="G2403" s="65"/>
      <c r="H2403" s="73"/>
      <c r="I2403" s="90"/>
      <c r="J2403" s="73"/>
      <c r="K2403" s="66">
        <v>2.6669999999999998</v>
      </c>
      <c r="L2403" s="1041">
        <v>2013</v>
      </c>
      <c r="M2403" s="73"/>
      <c r="N2403" s="359">
        <v>2.1280000000000001</v>
      </c>
      <c r="O2403" s="1041">
        <v>2014</v>
      </c>
      <c r="P2403" s="73"/>
      <c r="Q2403" s="738">
        <v>1.9599</v>
      </c>
      <c r="R2403" s="1041"/>
      <c r="S2403" s="73"/>
      <c r="T2403" s="738"/>
      <c r="U2403" s="73"/>
      <c r="V2403" s="66"/>
      <c r="W2403" s="1134">
        <f t="shared" si="2096"/>
        <v>1.9735799999999995E-3</v>
      </c>
      <c r="X2403" s="1135">
        <f t="shared" si="2097"/>
        <v>1.9735799999999995E-3</v>
      </c>
      <c r="Y2403" s="52">
        <v>2005</v>
      </c>
      <c r="Z2403" s="52"/>
      <c r="AA2403" s="596">
        <f t="shared" ref="AA2403:AA2408" si="2102">+K2403/1000</f>
        <v>2.6669999999999997E-3</v>
      </c>
      <c r="AB2403" s="1109">
        <v>-0.26</v>
      </c>
      <c r="AC2403" s="1110">
        <f t="shared" si="2098"/>
        <v>-0.26</v>
      </c>
      <c r="AD2403" s="164"/>
      <c r="AE2403" s="164"/>
      <c r="AF2403" s="25"/>
      <c r="AG2403" s="26"/>
      <c r="AH2403" s="275"/>
      <c r="AI2403" s="52"/>
      <c r="AJ2403" s="35"/>
      <c r="AK2403" s="289"/>
      <c r="AL2403" s="290"/>
      <c r="AM2403" s="211"/>
      <c r="AN2403" s="164"/>
      <c r="AO2403" s="76"/>
      <c r="AP2403" s="44"/>
      <c r="AQ2403" s="275"/>
      <c r="AR2403" s="52"/>
      <c r="AS2403" s="35"/>
      <c r="AT2403" s="79"/>
      <c r="AU2403" s="212"/>
      <c r="AV2403" s="164"/>
      <c r="AW2403" s="164"/>
      <c r="AX2403" s="76"/>
      <c r="AY2403" s="44"/>
      <c r="AZ2403" s="275"/>
      <c r="BA2403" s="52"/>
      <c r="BB2403" s="35"/>
      <c r="BC2403" s="79"/>
      <c r="BD2403" s="230"/>
      <c r="BE2403" s="211"/>
      <c r="BF2403" s="164"/>
      <c r="BG2403" s="76"/>
      <c r="BH2403" s="44"/>
      <c r="BI2403" s="275"/>
      <c r="BJ2403" s="52"/>
      <c r="BK2403" s="35"/>
      <c r="BL2403" s="79"/>
      <c r="BM2403" s="230"/>
      <c r="BN2403" s="211"/>
      <c r="BO2403" s="164"/>
      <c r="BP2403" s="584"/>
      <c r="BQ2403" s="585"/>
      <c r="BR2403" s="299"/>
      <c r="BS2403" s="35"/>
      <c r="BT2403" s="35"/>
      <c r="BU2403" s="79"/>
      <c r="BV2403" s="212"/>
      <c r="BW2403" s="304"/>
      <c r="BX2403" s="313"/>
      <c r="BY2403" s="300"/>
    </row>
    <row r="2404" spans="1:77" ht="15" customHeight="1" x14ac:dyDescent="0.2">
      <c r="A2404" s="583" t="s">
        <v>459</v>
      </c>
      <c r="B2404" s="583"/>
      <c r="C2404" s="583" t="s">
        <v>959</v>
      </c>
      <c r="D2404" s="546">
        <v>169.04</v>
      </c>
      <c r="E2404" s="162" t="s">
        <v>631</v>
      </c>
      <c r="F2404" s="358"/>
      <c r="G2404" s="65"/>
      <c r="H2404" s="73"/>
      <c r="I2404" s="90"/>
      <c r="J2404" s="73"/>
      <c r="K2404" s="66">
        <v>1.1020000000000001</v>
      </c>
      <c r="L2404" s="717"/>
      <c r="M2404" s="73"/>
      <c r="N2404" s="359"/>
      <c r="O2404" s="1041"/>
      <c r="P2404" s="73"/>
      <c r="Q2404" s="359"/>
      <c r="R2404" s="1041"/>
      <c r="S2404" s="73"/>
      <c r="T2404" s="359"/>
      <c r="U2404" s="73"/>
      <c r="V2404" s="66"/>
      <c r="W2404" s="594">
        <f t="shared" ref="W2404:W2422" si="2103">AA2404*(1+AB2404)</f>
        <v>7.7139999999999999E-4</v>
      </c>
      <c r="X2404" s="595">
        <f t="shared" ref="X2404:X2422" si="2104">AA2404*(1+AC2404)</f>
        <v>7.7139999999999999E-4</v>
      </c>
      <c r="Y2404" s="52">
        <v>2005</v>
      </c>
      <c r="Z2404" s="52"/>
      <c r="AA2404" s="596">
        <f t="shared" si="2102"/>
        <v>1.1020000000000001E-3</v>
      </c>
      <c r="AB2404" s="256">
        <v>-0.3</v>
      </c>
      <c r="AC2404" s="688">
        <f t="shared" ref="AC2404:AC2422" si="2105">AB2404</f>
        <v>-0.3</v>
      </c>
      <c r="AD2404" s="164"/>
      <c r="AE2404" s="164"/>
      <c r="AF2404" s="25"/>
      <c r="AG2404" s="26"/>
      <c r="AH2404" s="275"/>
      <c r="AI2404" s="52"/>
      <c r="AJ2404" s="35"/>
      <c r="AK2404" s="289"/>
      <c r="AL2404" s="290"/>
      <c r="AM2404" s="211"/>
      <c r="AN2404" s="164"/>
      <c r="AO2404" s="76"/>
      <c r="AP2404" s="44"/>
      <c r="AQ2404" s="275"/>
      <c r="AR2404" s="52"/>
      <c r="AS2404" s="35"/>
      <c r="AT2404" s="79"/>
      <c r="AU2404" s="212"/>
      <c r="AV2404" s="164"/>
      <c r="AW2404" s="164"/>
      <c r="AX2404" s="76"/>
      <c r="AY2404" s="44"/>
      <c r="AZ2404" s="275"/>
      <c r="BA2404" s="52"/>
      <c r="BB2404" s="35"/>
      <c r="BC2404" s="79"/>
      <c r="BD2404" s="230"/>
      <c r="BE2404" s="211"/>
      <c r="BF2404" s="164"/>
      <c r="BG2404" s="76"/>
      <c r="BH2404" s="44"/>
      <c r="BI2404" s="275"/>
      <c r="BJ2404" s="52"/>
      <c r="BK2404" s="35"/>
      <c r="BL2404" s="79"/>
      <c r="BM2404" s="230"/>
      <c r="BN2404" s="211"/>
      <c r="BO2404" s="164"/>
      <c r="BP2404" s="76"/>
      <c r="BQ2404" s="44"/>
      <c r="BR2404" s="299"/>
      <c r="BS2404" s="52"/>
      <c r="BT2404" s="35"/>
      <c r="BU2404" s="79"/>
      <c r="BV2404" s="212"/>
      <c r="BW2404" s="304"/>
      <c r="BX2404" s="313"/>
      <c r="BY2404" s="300"/>
    </row>
    <row r="2405" spans="1:77" ht="15" customHeight="1" x14ac:dyDescent="0.2">
      <c r="A2405" s="583" t="s">
        <v>459</v>
      </c>
      <c r="B2405" s="583"/>
      <c r="C2405" s="583" t="s">
        <v>963</v>
      </c>
      <c r="D2405" s="546">
        <v>1141.4000000000001</v>
      </c>
      <c r="E2405" s="162" t="s">
        <v>2287</v>
      </c>
      <c r="F2405" s="358"/>
      <c r="G2405" s="65"/>
      <c r="H2405" s="73">
        <v>6.8739999999999997</v>
      </c>
      <c r="I2405" s="90"/>
      <c r="J2405" s="73"/>
      <c r="K2405" s="66">
        <v>6.944</v>
      </c>
      <c r="L2405" s="717"/>
      <c r="M2405" s="73"/>
      <c r="N2405" s="359"/>
      <c r="O2405" s="1041">
        <v>2013</v>
      </c>
      <c r="P2405" s="73"/>
      <c r="Q2405" s="359">
        <v>5.1997</v>
      </c>
      <c r="R2405" s="1041"/>
      <c r="S2405" s="73"/>
      <c r="T2405" s="359"/>
      <c r="U2405" s="73"/>
      <c r="V2405" s="66"/>
      <c r="W2405" s="594">
        <f t="shared" si="2103"/>
        <v>4.7219199999999992E-3</v>
      </c>
      <c r="X2405" s="595">
        <f t="shared" si="2104"/>
        <v>4.7219199999999992E-3</v>
      </c>
      <c r="Y2405" s="52">
        <v>2005</v>
      </c>
      <c r="Z2405" s="52"/>
      <c r="AA2405" s="35">
        <f t="shared" si="2102"/>
        <v>6.9439999999999997E-3</v>
      </c>
      <c r="AB2405" s="256">
        <v>-0.32</v>
      </c>
      <c r="AC2405" s="688">
        <f t="shared" si="2105"/>
        <v>-0.32</v>
      </c>
      <c r="AD2405" s="164"/>
      <c r="AE2405" s="164"/>
      <c r="AF2405" s="600">
        <f>AJ2405*(1+AK2405)</f>
        <v>2.7496E-3</v>
      </c>
      <c r="AG2405" s="601">
        <f>AJ2405*(1+AL2405)</f>
        <v>2.7496E-3</v>
      </c>
      <c r="AH2405" s="587">
        <v>1990</v>
      </c>
      <c r="AI2405" s="588"/>
      <c r="AJ2405" s="589">
        <f>+H2405/1000</f>
        <v>6.8739999999999999E-3</v>
      </c>
      <c r="AK2405" s="590">
        <v>-0.6</v>
      </c>
      <c r="AL2405" s="591">
        <v>-0.6</v>
      </c>
      <c r="AM2405" s="211"/>
      <c r="AN2405" s="164"/>
      <c r="AO2405" s="594">
        <f t="shared" ref="AO2405" si="2106">AS2405*(1+AT2405)</f>
        <v>0</v>
      </c>
      <c r="AP2405" s="595">
        <f t="shared" ref="AP2405" si="2107">AS2405*(1+AU2405)</f>
        <v>0</v>
      </c>
      <c r="AQ2405" s="52">
        <v>1990</v>
      </c>
      <c r="AR2405" s="52"/>
      <c r="AS2405" s="596">
        <f>+H2405/1000</f>
        <v>6.8739999999999999E-3</v>
      </c>
      <c r="AT2405" s="256">
        <v>-1</v>
      </c>
      <c r="AU2405" s="688">
        <f t="shared" ref="AU2405" si="2108">AT2405</f>
        <v>-1</v>
      </c>
      <c r="AV2405" s="164"/>
      <c r="AW2405" s="164"/>
      <c r="AX2405" s="76"/>
      <c r="AY2405" s="44"/>
      <c r="AZ2405" s="275"/>
      <c r="BA2405" s="52"/>
      <c r="BB2405" s="35"/>
      <c r="BC2405" s="79"/>
      <c r="BD2405" s="230"/>
      <c r="BE2405" s="211"/>
      <c r="BF2405" s="164"/>
      <c r="BG2405" s="76"/>
      <c r="BH2405" s="44"/>
      <c r="BI2405" s="275"/>
      <c r="BJ2405" s="52"/>
      <c r="BK2405" s="35"/>
      <c r="BL2405" s="79"/>
      <c r="BM2405" s="230"/>
      <c r="BN2405" s="211"/>
      <c r="BO2405" s="164"/>
      <c r="BP2405" s="76"/>
      <c r="BQ2405" s="44"/>
      <c r="BR2405" s="299"/>
      <c r="BS2405" s="52"/>
      <c r="BT2405" s="35"/>
      <c r="BU2405" s="79"/>
      <c r="BV2405" s="212"/>
      <c r="BW2405" s="304"/>
      <c r="BX2405" s="313"/>
      <c r="BY2405" s="300"/>
    </row>
    <row r="2406" spans="1:77" ht="15" customHeight="1" x14ac:dyDescent="0.2">
      <c r="A2406" s="583" t="s">
        <v>459</v>
      </c>
      <c r="B2406" s="583"/>
      <c r="C2406" s="583" t="s">
        <v>2288</v>
      </c>
      <c r="D2406" s="546">
        <v>395.3</v>
      </c>
      <c r="E2406" s="162" t="s">
        <v>387</v>
      </c>
      <c r="F2406" s="358"/>
      <c r="G2406" s="65"/>
      <c r="H2406" s="73"/>
      <c r="I2406" s="90"/>
      <c r="J2406" s="73"/>
      <c r="K2406" s="66">
        <v>1.07559</v>
      </c>
      <c r="L2406" s="717">
        <v>2012</v>
      </c>
      <c r="M2406" s="73"/>
      <c r="N2406" s="738">
        <v>0.81810000000000005</v>
      </c>
      <c r="O2406" s="1041">
        <v>2013</v>
      </c>
      <c r="P2406" s="73"/>
      <c r="Q2406" s="738">
        <v>0.73123000000000005</v>
      </c>
      <c r="R2406" s="1041">
        <v>2017</v>
      </c>
      <c r="S2406" s="73"/>
      <c r="T2406" s="738">
        <v>1.94333</v>
      </c>
      <c r="U2406" s="73"/>
      <c r="V2406" s="66"/>
      <c r="W2406" s="1134">
        <f t="shared" ref="W2406" si="2109">AA2406*(1+AB2406)</f>
        <v>7.5291299999999991E-4</v>
      </c>
      <c r="X2406" s="1135">
        <f t="shared" ref="X2406" si="2110">AA2406*(1+AC2406)</f>
        <v>7.5291299999999991E-4</v>
      </c>
      <c r="Y2406" s="52">
        <v>2005</v>
      </c>
      <c r="Z2406" s="52"/>
      <c r="AA2406" s="596">
        <f t="shared" si="2102"/>
        <v>1.07559E-3</v>
      </c>
      <c r="AB2406" s="1109">
        <v>-0.3</v>
      </c>
      <c r="AC2406" s="1110">
        <f t="shared" ref="AC2406" si="2111">AB2406</f>
        <v>-0.3</v>
      </c>
      <c r="AD2406" s="164"/>
      <c r="AE2406" s="164"/>
      <c r="AF2406" s="600"/>
      <c r="AG2406" s="601"/>
      <c r="AH2406" s="587"/>
      <c r="AI2406" s="588"/>
      <c r="AJ2406" s="589"/>
      <c r="AK2406" s="590"/>
      <c r="AL2406" s="591"/>
      <c r="AM2406" s="211"/>
      <c r="AN2406" s="164"/>
      <c r="AO2406" s="594">
        <f t="shared" ref="AO2406" si="2112">AS2406*(1+AT2406)</f>
        <v>0</v>
      </c>
      <c r="AP2406" s="595">
        <f t="shared" ref="AP2406" si="2113">AS2406*(1+AU2406)</f>
        <v>0</v>
      </c>
      <c r="AQ2406" s="52">
        <v>1990</v>
      </c>
      <c r="AR2406" s="52"/>
      <c r="AS2406" s="596">
        <f>+T2406/1000</f>
        <v>1.9433300000000001E-3</v>
      </c>
      <c r="AT2406" s="256">
        <v>-1</v>
      </c>
      <c r="AU2406" s="688">
        <f t="shared" ref="AU2406" si="2114">AT2406</f>
        <v>-1</v>
      </c>
      <c r="AV2406" s="164"/>
      <c r="AW2406" s="164"/>
      <c r="AX2406" s="76"/>
      <c r="AY2406" s="44"/>
      <c r="AZ2406" s="275"/>
      <c r="BA2406" s="52"/>
      <c r="BB2406" s="35"/>
      <c r="BC2406" s="79"/>
      <c r="BD2406" s="230"/>
      <c r="BE2406" s="211"/>
      <c r="BF2406" s="164"/>
      <c r="BG2406" s="76"/>
      <c r="BH2406" s="44"/>
      <c r="BI2406" s="275"/>
      <c r="BJ2406" s="52"/>
      <c r="BK2406" s="35"/>
      <c r="BL2406" s="79"/>
      <c r="BM2406" s="230"/>
      <c r="BN2406" s="211"/>
      <c r="BO2406" s="164"/>
      <c r="BP2406" s="76"/>
      <c r="BQ2406" s="44"/>
      <c r="BR2406" s="299"/>
      <c r="BS2406" s="52"/>
      <c r="BT2406" s="35"/>
      <c r="BU2406" s="79"/>
      <c r="BV2406" s="212"/>
      <c r="BW2406" s="304"/>
      <c r="BX2406" s="313"/>
      <c r="BY2406" s="300"/>
    </row>
    <row r="2407" spans="1:77" ht="15" customHeight="1" x14ac:dyDescent="0.2">
      <c r="A2407" s="583" t="s">
        <v>459</v>
      </c>
      <c r="B2407" s="583"/>
      <c r="C2407" s="583" t="s">
        <v>966</v>
      </c>
      <c r="D2407" s="546">
        <v>463.4</v>
      </c>
      <c r="E2407" s="162" t="s">
        <v>3177</v>
      </c>
      <c r="F2407" s="358"/>
      <c r="G2407" s="65"/>
      <c r="H2407" s="73"/>
      <c r="I2407" s="90"/>
      <c r="J2407" s="73"/>
      <c r="K2407" s="66">
        <v>2.3746</v>
      </c>
      <c r="L2407" s="717"/>
      <c r="M2407" s="73"/>
      <c r="N2407" s="359"/>
      <c r="O2407" s="1041"/>
      <c r="P2407" s="73"/>
      <c r="Q2407" s="359"/>
      <c r="R2407" s="1041"/>
      <c r="S2407" s="73"/>
      <c r="T2407" s="359"/>
      <c r="U2407" s="73"/>
      <c r="V2407" s="66"/>
      <c r="W2407" s="804">
        <f t="shared" si="2103"/>
        <v>1.42476E-3</v>
      </c>
      <c r="X2407" s="805">
        <f t="shared" si="2104"/>
        <v>1.42476E-3</v>
      </c>
      <c r="Y2407" s="52">
        <v>2005</v>
      </c>
      <c r="Z2407" s="52"/>
      <c r="AA2407" s="35">
        <f t="shared" si="2102"/>
        <v>2.3746000000000001E-3</v>
      </c>
      <c r="AB2407" s="256">
        <v>-0.4</v>
      </c>
      <c r="AC2407" s="688">
        <f t="shared" si="2105"/>
        <v>-0.4</v>
      </c>
      <c r="AD2407" s="164"/>
      <c r="AE2407" s="164"/>
      <c r="AF2407" s="25"/>
      <c r="AG2407" s="26"/>
      <c r="AH2407" s="275"/>
      <c r="AI2407" s="52"/>
      <c r="AJ2407" s="35"/>
      <c r="AK2407" s="289"/>
      <c r="AL2407" s="290"/>
      <c r="AM2407" s="211"/>
      <c r="AN2407" s="164"/>
      <c r="AO2407" s="76"/>
      <c r="AP2407" s="44"/>
      <c r="AQ2407" s="275"/>
      <c r="AR2407" s="52"/>
      <c r="AS2407" s="35"/>
      <c r="AT2407" s="79"/>
      <c r="AU2407" s="212"/>
      <c r="AV2407" s="164"/>
      <c r="AW2407" s="164"/>
      <c r="AX2407" s="76"/>
      <c r="AY2407" s="44"/>
      <c r="AZ2407" s="275"/>
      <c r="BA2407" s="52"/>
      <c r="BB2407" s="35"/>
      <c r="BC2407" s="79"/>
      <c r="BD2407" s="230"/>
      <c r="BE2407" s="211"/>
      <c r="BF2407" s="164"/>
      <c r="BG2407" s="76"/>
      <c r="BH2407" s="44"/>
      <c r="BI2407" s="275"/>
      <c r="BJ2407" s="52"/>
      <c r="BK2407" s="35"/>
      <c r="BL2407" s="79"/>
      <c r="BM2407" s="230"/>
      <c r="BN2407" s="211"/>
      <c r="BO2407" s="164"/>
      <c r="BP2407" s="584">
        <f>+BT2407*(1+BU2407)</f>
        <v>4.7491999999999993E-4</v>
      </c>
      <c r="BQ2407" s="585">
        <f>BT2407*(1+BV2407)</f>
        <v>4.7491999999999993E-4</v>
      </c>
      <c r="BR2407" s="299">
        <v>2005</v>
      </c>
      <c r="BS2407" s="35"/>
      <c r="BT2407" s="35">
        <f>+K2407/1000</f>
        <v>2.3746000000000001E-3</v>
      </c>
      <c r="BU2407" s="79">
        <v>-0.8</v>
      </c>
      <c r="BV2407" s="212">
        <v>-0.8</v>
      </c>
      <c r="BW2407" s="304"/>
      <c r="BX2407" s="313"/>
      <c r="BY2407" s="300"/>
    </row>
    <row r="2408" spans="1:77" ht="15" customHeight="1" x14ac:dyDescent="0.2">
      <c r="A2408" s="583" t="s">
        <v>459</v>
      </c>
      <c r="B2408" s="583"/>
      <c r="C2408" s="583" t="s">
        <v>957</v>
      </c>
      <c r="D2408" s="546">
        <v>367</v>
      </c>
      <c r="E2408" s="162" t="s">
        <v>387</v>
      </c>
      <c r="F2408" s="358"/>
      <c r="G2408" s="65"/>
      <c r="H2408" s="73"/>
      <c r="I2408" s="90"/>
      <c r="J2408" s="73"/>
      <c r="K2408" s="66">
        <v>2.6819999999999999</v>
      </c>
      <c r="L2408" s="717"/>
      <c r="M2408" s="73"/>
      <c r="N2408" s="359"/>
      <c r="O2408" s="1041"/>
      <c r="P2408" s="73"/>
      <c r="Q2408" s="359"/>
      <c r="R2408" s="1041"/>
      <c r="S2408" s="73"/>
      <c r="T2408" s="359"/>
      <c r="U2408" s="73"/>
      <c r="V2408" s="66"/>
      <c r="W2408" s="804">
        <f t="shared" ref="W2408" si="2115">AA2408*(1+AB2408)</f>
        <v>1.98468E-3</v>
      </c>
      <c r="X2408" s="805">
        <f t="shared" ref="X2408" si="2116">AA2408*(1+AC2408)</f>
        <v>1.98468E-3</v>
      </c>
      <c r="Y2408" s="52">
        <v>2005</v>
      </c>
      <c r="Z2408" s="52"/>
      <c r="AA2408" s="35">
        <f t="shared" si="2102"/>
        <v>2.6819999999999999E-3</v>
      </c>
      <c r="AB2408" s="256">
        <v>-0.26</v>
      </c>
      <c r="AC2408" s="688">
        <f t="shared" ref="AC2408" si="2117">AB2408</f>
        <v>-0.26</v>
      </c>
      <c r="AD2408" s="164"/>
      <c r="AE2408" s="164"/>
      <c r="AF2408" s="25"/>
      <c r="AG2408" s="26"/>
      <c r="AH2408" s="275"/>
      <c r="AI2408" s="52"/>
      <c r="AJ2408" s="35"/>
      <c r="AK2408" s="289"/>
      <c r="AL2408" s="290"/>
      <c r="AM2408" s="211"/>
      <c r="AN2408" s="164"/>
      <c r="AO2408" s="76"/>
      <c r="AP2408" s="44"/>
      <c r="AQ2408" s="275"/>
      <c r="AR2408" s="52"/>
      <c r="AS2408" s="35"/>
      <c r="AT2408" s="79"/>
      <c r="AU2408" s="212"/>
      <c r="AV2408" s="164"/>
      <c r="AW2408" s="164"/>
      <c r="AX2408" s="76"/>
      <c r="AY2408" s="44"/>
      <c r="AZ2408" s="275"/>
      <c r="BA2408" s="52"/>
      <c r="BB2408" s="35"/>
      <c r="BC2408" s="79"/>
      <c r="BD2408" s="230"/>
      <c r="BE2408" s="211"/>
      <c r="BF2408" s="164"/>
      <c r="BG2408" s="76"/>
      <c r="BH2408" s="44"/>
      <c r="BI2408" s="275"/>
      <c r="BJ2408" s="52"/>
      <c r="BK2408" s="35"/>
      <c r="BL2408" s="79"/>
      <c r="BM2408" s="230"/>
      <c r="BN2408" s="211"/>
      <c r="BO2408" s="164"/>
      <c r="BP2408" s="584"/>
      <c r="BQ2408" s="585"/>
      <c r="BR2408" s="299"/>
      <c r="BS2408" s="35"/>
      <c r="BT2408" s="35"/>
      <c r="BU2408" s="79"/>
      <c r="BV2408" s="212"/>
      <c r="BW2408" s="304"/>
      <c r="BX2408" s="313"/>
      <c r="BY2408" s="300"/>
    </row>
    <row r="2409" spans="1:77" ht="15" customHeight="1" x14ac:dyDescent="0.2">
      <c r="A2409" s="583" t="s">
        <v>459</v>
      </c>
      <c r="B2409" s="583"/>
      <c r="C2409" s="583" t="s">
        <v>968</v>
      </c>
      <c r="D2409" s="546">
        <v>535.5</v>
      </c>
      <c r="E2409" s="162" t="s">
        <v>631</v>
      </c>
      <c r="F2409" s="358"/>
      <c r="G2409" s="65"/>
      <c r="H2409" s="73"/>
      <c r="I2409" s="90"/>
      <c r="J2409" s="73"/>
      <c r="K2409" s="66"/>
      <c r="L2409" s="717">
        <v>2009</v>
      </c>
      <c r="M2409" s="73"/>
      <c r="N2409" s="359">
        <v>3.0739999999999998</v>
      </c>
      <c r="O2409" s="1041"/>
      <c r="P2409" s="73"/>
      <c r="Q2409" s="359"/>
      <c r="R2409" s="1041"/>
      <c r="S2409" s="73"/>
      <c r="T2409" s="359"/>
      <c r="U2409" s="73"/>
      <c r="V2409" s="66"/>
      <c r="W2409" s="804">
        <f t="shared" si="2103"/>
        <v>2.0288399999999996E-3</v>
      </c>
      <c r="X2409" s="805">
        <f t="shared" si="2104"/>
        <v>2.0288399999999996E-3</v>
      </c>
      <c r="Y2409" s="52">
        <v>2009</v>
      </c>
      <c r="Z2409" s="52"/>
      <c r="AA2409" s="35">
        <f>+N2409/1000</f>
        <v>3.0739999999999999E-3</v>
      </c>
      <c r="AB2409" s="256">
        <v>-0.34</v>
      </c>
      <c r="AC2409" s="688">
        <f t="shared" si="2105"/>
        <v>-0.34</v>
      </c>
      <c r="AD2409" s="164"/>
      <c r="AE2409" s="164"/>
      <c r="AF2409" s="25"/>
      <c r="AG2409" s="26"/>
      <c r="AH2409" s="275"/>
      <c r="AI2409" s="52"/>
      <c r="AJ2409" s="35"/>
      <c r="AK2409" s="289"/>
      <c r="AL2409" s="290"/>
      <c r="AM2409" s="211"/>
      <c r="AN2409" s="164"/>
      <c r="AO2409" s="76"/>
      <c r="AP2409" s="44"/>
      <c r="AQ2409" s="275"/>
      <c r="AR2409" s="52"/>
      <c r="AS2409" s="35"/>
      <c r="AT2409" s="79"/>
      <c r="AU2409" s="212"/>
      <c r="AV2409" s="164"/>
      <c r="AW2409" s="164"/>
      <c r="AX2409" s="76"/>
      <c r="AY2409" s="44"/>
      <c r="AZ2409" s="275"/>
      <c r="BA2409" s="52"/>
      <c r="BB2409" s="35"/>
      <c r="BC2409" s="79"/>
      <c r="BD2409" s="230"/>
      <c r="BE2409" s="211"/>
      <c r="BF2409" s="164"/>
      <c r="BG2409" s="76"/>
      <c r="BH2409" s="44"/>
      <c r="BI2409" s="275"/>
      <c r="BJ2409" s="52"/>
      <c r="BK2409" s="35"/>
      <c r="BL2409" s="79"/>
      <c r="BM2409" s="230"/>
      <c r="BN2409" s="211"/>
      <c r="BO2409" s="164"/>
      <c r="BP2409" s="76"/>
      <c r="BQ2409" s="44"/>
      <c r="BR2409" s="299"/>
      <c r="BS2409" s="52"/>
      <c r="BT2409" s="35"/>
      <c r="BU2409" s="79"/>
      <c r="BV2409" s="212"/>
      <c r="BW2409" s="304"/>
      <c r="BX2409" s="313"/>
      <c r="BY2409" s="300"/>
    </row>
    <row r="2410" spans="1:77" ht="15" customHeight="1" x14ac:dyDescent="0.2">
      <c r="A2410" s="583" t="s">
        <v>459</v>
      </c>
      <c r="B2410" s="583"/>
      <c r="C2410" s="583" t="s">
        <v>3178</v>
      </c>
      <c r="D2410" s="546">
        <v>366.78500000000003</v>
      </c>
      <c r="E2410" s="162" t="s">
        <v>387</v>
      </c>
      <c r="F2410" s="358"/>
      <c r="G2410" s="65"/>
      <c r="H2410" s="73"/>
      <c r="I2410" s="90"/>
      <c r="J2410" s="73"/>
      <c r="K2410" s="66">
        <v>2.1179999999999999</v>
      </c>
      <c r="L2410" s="717"/>
      <c r="M2410" s="73"/>
      <c r="N2410" s="359"/>
      <c r="O2410" s="1041"/>
      <c r="P2410" s="73"/>
      <c r="Q2410" s="359"/>
      <c r="R2410" s="1041"/>
      <c r="S2410" s="73"/>
      <c r="T2410" s="359"/>
      <c r="U2410" s="73"/>
      <c r="V2410" s="66"/>
      <c r="W2410" s="804">
        <f t="shared" ref="W2410" si="2118">AA2410*(1+AB2410)</f>
        <v>2.7004500000000001E-3</v>
      </c>
      <c r="X2410" s="805">
        <f t="shared" ref="X2410" si="2119">AA2410*(1+AC2410)</f>
        <v>2.7004500000000001E-3</v>
      </c>
      <c r="Y2410" s="52">
        <v>2005</v>
      </c>
      <c r="Z2410" s="52"/>
      <c r="AA2410" s="35">
        <f>+K2410/1000</f>
        <v>2.1180000000000001E-3</v>
      </c>
      <c r="AB2410" s="732">
        <v>0.27500000000000002</v>
      </c>
      <c r="AC2410" s="733">
        <f t="shared" ref="AC2410" si="2120">AB2410</f>
        <v>0.27500000000000002</v>
      </c>
      <c r="AD2410" s="164"/>
      <c r="AE2410" s="164"/>
      <c r="AF2410" s="25"/>
      <c r="AG2410" s="26"/>
      <c r="AH2410" s="275"/>
      <c r="AI2410" s="52"/>
      <c r="AJ2410" s="35"/>
      <c r="AK2410" s="289"/>
      <c r="AL2410" s="290"/>
      <c r="AM2410" s="211"/>
      <c r="AN2410" s="164"/>
      <c r="AO2410" s="76"/>
      <c r="AP2410" s="44"/>
      <c r="AQ2410" s="275"/>
      <c r="AR2410" s="52"/>
      <c r="AS2410" s="35"/>
      <c r="AT2410" s="79"/>
      <c r="AU2410" s="212"/>
      <c r="AV2410" s="164"/>
      <c r="AW2410" s="164"/>
      <c r="AX2410" s="76"/>
      <c r="AY2410" s="44"/>
      <c r="AZ2410" s="275"/>
      <c r="BA2410" s="52"/>
      <c r="BB2410" s="35"/>
      <c r="BC2410" s="79"/>
      <c r="BD2410" s="230"/>
      <c r="BE2410" s="211"/>
      <c r="BF2410" s="164"/>
      <c r="BG2410" s="76"/>
      <c r="BH2410" s="44"/>
      <c r="BI2410" s="275"/>
      <c r="BJ2410" s="52"/>
      <c r="BK2410" s="35"/>
      <c r="BL2410" s="79"/>
      <c r="BM2410" s="230"/>
      <c r="BN2410" s="211"/>
      <c r="BO2410" s="164"/>
      <c r="BP2410" s="76"/>
      <c r="BQ2410" s="44"/>
      <c r="BR2410" s="299"/>
      <c r="BS2410" s="52"/>
      <c r="BT2410" s="35"/>
      <c r="BU2410" s="79"/>
      <c r="BV2410" s="212"/>
      <c r="BW2410" s="304"/>
      <c r="BX2410" s="313"/>
      <c r="BY2410" s="300"/>
    </row>
    <row r="2411" spans="1:77" ht="15" customHeight="1" x14ac:dyDescent="0.2">
      <c r="A2411" s="583" t="s">
        <v>484</v>
      </c>
      <c r="B2411" s="583"/>
      <c r="C2411" s="583" t="s">
        <v>485</v>
      </c>
      <c r="D2411" s="546">
        <v>8174</v>
      </c>
      <c r="E2411" s="162" t="s">
        <v>2588</v>
      </c>
      <c r="F2411" s="358"/>
      <c r="G2411" s="65"/>
      <c r="H2411" s="73">
        <v>45.05</v>
      </c>
      <c r="I2411" s="90">
        <v>2008</v>
      </c>
      <c r="J2411" s="73"/>
      <c r="K2411" s="66">
        <v>44.71</v>
      </c>
      <c r="L2411" s="717"/>
      <c r="M2411" s="73"/>
      <c r="N2411" s="359">
        <f>Q2411/0.9</f>
        <v>44.551111111111105</v>
      </c>
      <c r="O2411" s="1041">
        <v>2014</v>
      </c>
      <c r="P2411" s="73"/>
      <c r="Q2411" s="359">
        <v>40.095999999999997</v>
      </c>
      <c r="R2411" s="1041"/>
      <c r="S2411" s="73"/>
      <c r="T2411" s="359"/>
      <c r="U2411" s="73"/>
      <c r="V2411" s="66"/>
      <c r="W2411" s="804">
        <f t="shared" si="2103"/>
        <v>2.7621688888888885E-2</v>
      </c>
      <c r="X2411" s="805">
        <f t="shared" si="2104"/>
        <v>2.7621688888888885E-2</v>
      </c>
      <c r="Y2411" s="52">
        <v>2008</v>
      </c>
      <c r="Z2411" s="52"/>
      <c r="AA2411" s="35">
        <f>+N2411/1000</f>
        <v>4.4551111111111104E-2</v>
      </c>
      <c r="AB2411" s="256">
        <v>-0.38</v>
      </c>
      <c r="AC2411" s="688">
        <f t="shared" si="2105"/>
        <v>-0.38</v>
      </c>
      <c r="AD2411" s="164"/>
      <c r="AE2411" s="164"/>
      <c r="AF2411" s="600">
        <f>AJ2411*(1+AK2411)</f>
        <v>1.8020000000000001E-2</v>
      </c>
      <c r="AG2411" s="601">
        <f>AJ2411*(1+AL2411)</f>
        <v>1.8020000000000001E-2</v>
      </c>
      <c r="AH2411" s="587">
        <v>1990</v>
      </c>
      <c r="AI2411" s="588"/>
      <c r="AJ2411" s="589">
        <f>+H2411/1000</f>
        <v>4.505E-2</v>
      </c>
      <c r="AK2411" s="590">
        <v>-0.6</v>
      </c>
      <c r="AL2411" s="591">
        <v>-0.6</v>
      </c>
      <c r="AM2411" s="211"/>
      <c r="AN2411" s="164"/>
      <c r="AO2411" s="76"/>
      <c r="AP2411" s="44"/>
      <c r="AQ2411" s="275"/>
      <c r="AR2411" s="52"/>
      <c r="AS2411" s="35"/>
      <c r="AT2411" s="79"/>
      <c r="AU2411" s="212"/>
      <c r="AV2411" s="164"/>
      <c r="AW2411" s="164"/>
      <c r="AX2411" s="76"/>
      <c r="AY2411" s="44"/>
      <c r="AZ2411" s="275"/>
      <c r="BA2411" s="52"/>
      <c r="BB2411" s="35"/>
      <c r="BC2411" s="79"/>
      <c r="BD2411" s="230"/>
      <c r="BE2411" s="211"/>
      <c r="BF2411" s="164"/>
      <c r="BG2411" s="76"/>
      <c r="BH2411" s="44"/>
      <c r="BI2411" s="275"/>
      <c r="BJ2411" s="52"/>
      <c r="BK2411" s="35"/>
      <c r="BL2411" s="79"/>
      <c r="BM2411" s="230"/>
      <c r="BN2411" s="211"/>
      <c r="BO2411" s="164"/>
      <c r="BP2411" s="584">
        <f>+BT2411*(1+BU2411)</f>
        <v>0</v>
      </c>
      <c r="BQ2411" s="585">
        <f>BT2411*(1+BV2411)</f>
        <v>0</v>
      </c>
      <c r="BR2411" s="299">
        <v>1990</v>
      </c>
      <c r="BS2411" s="35"/>
      <c r="BT2411" s="35">
        <f>+H2411/1000</f>
        <v>4.505E-2</v>
      </c>
      <c r="BU2411" s="79">
        <v>-1</v>
      </c>
      <c r="BV2411" s="212">
        <f>BU2411</f>
        <v>-1</v>
      </c>
      <c r="BW2411" s="304"/>
      <c r="BX2411" s="313"/>
      <c r="BY2411" s="300"/>
    </row>
    <row r="2412" spans="1:77" ht="15" customHeight="1" x14ac:dyDescent="0.2">
      <c r="A2412" s="583" t="s">
        <v>459</v>
      </c>
      <c r="B2412" s="583"/>
      <c r="C2412" s="583" t="s">
        <v>460</v>
      </c>
      <c r="D2412" s="546">
        <v>2700</v>
      </c>
      <c r="E2412" s="162" t="s">
        <v>2289</v>
      </c>
      <c r="F2412" s="358"/>
      <c r="G2412" s="65"/>
      <c r="H2412" s="73">
        <v>21.2</v>
      </c>
      <c r="I2412" s="90"/>
      <c r="J2412" s="73"/>
      <c r="K2412" s="66"/>
      <c r="L2412" s="717">
        <v>2013</v>
      </c>
      <c r="M2412" s="73"/>
      <c r="N2412" s="359">
        <v>18.100000000000001</v>
      </c>
      <c r="O2412" s="1041">
        <v>2014</v>
      </c>
      <c r="P2412" s="73"/>
      <c r="Q2412" s="359">
        <v>17.899999999999999</v>
      </c>
      <c r="R2412" s="1041"/>
      <c r="S2412" s="73"/>
      <c r="T2412" s="359"/>
      <c r="U2412" s="73"/>
      <c r="V2412" s="66"/>
      <c r="W2412" s="594">
        <f t="shared" si="2103"/>
        <v>1.1024000000000001E-2</v>
      </c>
      <c r="X2412" s="595">
        <f t="shared" si="2104"/>
        <v>1.1024000000000001E-2</v>
      </c>
      <c r="Y2412" s="52">
        <v>1990</v>
      </c>
      <c r="Z2412" s="52"/>
      <c r="AA2412" s="596">
        <f>+H2412/1000</f>
        <v>2.12E-2</v>
      </c>
      <c r="AB2412" s="256">
        <v>-0.48</v>
      </c>
      <c r="AC2412" s="688">
        <f t="shared" si="2105"/>
        <v>-0.48</v>
      </c>
      <c r="AD2412" s="164"/>
      <c r="AE2412" s="164"/>
      <c r="AF2412" s="25"/>
      <c r="AG2412" s="26"/>
      <c r="AH2412" s="275"/>
      <c r="AI2412" s="52"/>
      <c r="AJ2412" s="35"/>
      <c r="AK2412" s="289"/>
      <c r="AL2412" s="290"/>
      <c r="AM2412" s="211"/>
      <c r="AN2412" s="164"/>
      <c r="AO2412" s="76"/>
      <c r="AP2412" s="44"/>
      <c r="AQ2412" s="275"/>
      <c r="AR2412" s="52"/>
      <c r="AS2412" s="35"/>
      <c r="AT2412" s="79"/>
      <c r="AU2412" s="212"/>
      <c r="AV2412" s="164"/>
      <c r="AW2412" s="164"/>
      <c r="AX2412" s="76"/>
      <c r="AY2412" s="44"/>
      <c r="AZ2412" s="275"/>
      <c r="BA2412" s="52"/>
      <c r="BB2412" s="35"/>
      <c r="BC2412" s="79"/>
      <c r="BD2412" s="230"/>
      <c r="BE2412" s="211"/>
      <c r="BF2412" s="164"/>
      <c r="BG2412" s="76"/>
      <c r="BH2412" s="44"/>
      <c r="BI2412" s="275"/>
      <c r="BJ2412" s="52"/>
      <c r="BK2412" s="35"/>
      <c r="BL2412" s="79"/>
      <c r="BM2412" s="230"/>
      <c r="BN2412" s="211"/>
      <c r="BO2412" s="164"/>
      <c r="BP2412" s="76"/>
      <c r="BQ2412" s="44"/>
      <c r="BR2412" s="299"/>
      <c r="BS2412" s="52"/>
      <c r="BT2412" s="35"/>
      <c r="BU2412" s="79"/>
      <c r="BV2412" s="212"/>
      <c r="BW2412" s="304"/>
      <c r="BX2412" s="313"/>
      <c r="BY2412" s="300"/>
    </row>
    <row r="2413" spans="1:77" ht="15" customHeight="1" x14ac:dyDescent="0.2">
      <c r="A2413" s="583" t="s">
        <v>459</v>
      </c>
      <c r="B2413" s="583"/>
      <c r="C2413" s="583" t="s">
        <v>3179</v>
      </c>
      <c r="D2413" s="546">
        <v>437.4</v>
      </c>
      <c r="E2413" s="162" t="s">
        <v>3176</v>
      </c>
      <c r="F2413" s="358"/>
      <c r="G2413" s="65"/>
      <c r="H2413" s="73"/>
      <c r="I2413" s="90"/>
      <c r="J2413" s="73"/>
      <c r="K2413" s="66">
        <v>2.8483000000000001</v>
      </c>
      <c r="L2413" s="717"/>
      <c r="M2413" s="73"/>
      <c r="N2413" s="359"/>
      <c r="O2413" s="1041"/>
      <c r="P2413" s="73"/>
      <c r="Q2413" s="359"/>
      <c r="R2413" s="1041"/>
      <c r="S2413" s="73"/>
      <c r="T2413" s="359"/>
      <c r="U2413" s="73"/>
      <c r="V2413" s="66"/>
      <c r="W2413" s="594">
        <f t="shared" ref="W2413" si="2121">AA2413*(1+AB2413)</f>
        <v>1.4811160000000002E-3</v>
      </c>
      <c r="X2413" s="595">
        <f t="shared" ref="X2413" si="2122">AA2413*(1+AC2413)</f>
        <v>1.4811160000000002E-3</v>
      </c>
      <c r="Y2413" s="52">
        <v>1990</v>
      </c>
      <c r="Z2413" s="52"/>
      <c r="AA2413" s="596">
        <f>+K2413/1000</f>
        <v>2.8483000000000002E-3</v>
      </c>
      <c r="AB2413" s="256">
        <v>-0.48</v>
      </c>
      <c r="AC2413" s="688">
        <f t="shared" ref="AC2413" si="2123">AB2413</f>
        <v>-0.48</v>
      </c>
      <c r="AD2413" s="164"/>
      <c r="AE2413" s="164"/>
      <c r="AF2413" s="25"/>
      <c r="AG2413" s="26"/>
      <c r="AH2413" s="275"/>
      <c r="AI2413" s="52"/>
      <c r="AJ2413" s="35"/>
      <c r="AK2413" s="289"/>
      <c r="AL2413" s="290"/>
      <c r="AM2413" s="211"/>
      <c r="AN2413" s="164"/>
      <c r="AO2413" s="76"/>
      <c r="AP2413" s="44"/>
      <c r="AQ2413" s="275"/>
      <c r="AR2413" s="52"/>
      <c r="AS2413" s="35"/>
      <c r="AT2413" s="79"/>
      <c r="AU2413" s="212"/>
      <c r="AV2413" s="164"/>
      <c r="AW2413" s="164"/>
      <c r="AX2413" s="76"/>
      <c r="AY2413" s="44"/>
      <c r="AZ2413" s="275"/>
      <c r="BA2413" s="52"/>
      <c r="BB2413" s="35"/>
      <c r="BC2413" s="79"/>
      <c r="BD2413" s="230"/>
      <c r="BE2413" s="211"/>
      <c r="BF2413" s="164"/>
      <c r="BG2413" s="76"/>
      <c r="BH2413" s="44"/>
      <c r="BI2413" s="275"/>
      <c r="BJ2413" s="52"/>
      <c r="BK2413" s="35"/>
      <c r="BL2413" s="79"/>
      <c r="BM2413" s="230"/>
      <c r="BN2413" s="211"/>
      <c r="BO2413" s="164"/>
      <c r="BP2413" s="76"/>
      <c r="BQ2413" s="44"/>
      <c r="BR2413" s="299"/>
      <c r="BS2413" s="52"/>
      <c r="BT2413" s="35"/>
      <c r="BU2413" s="79"/>
      <c r="BV2413" s="212"/>
      <c r="BW2413" s="304"/>
      <c r="BX2413" s="313"/>
      <c r="BY2413" s="300"/>
    </row>
    <row r="2414" spans="1:77" ht="15" customHeight="1" x14ac:dyDescent="0.2">
      <c r="A2414" s="583" t="s">
        <v>459</v>
      </c>
      <c r="B2414" s="583"/>
      <c r="C2414" s="583" t="s">
        <v>958</v>
      </c>
      <c r="D2414" s="546">
        <v>151</v>
      </c>
      <c r="E2414" s="162" t="s">
        <v>631</v>
      </c>
      <c r="F2414" s="358"/>
      <c r="G2414" s="65"/>
      <c r="H2414" s="73"/>
      <c r="I2414" s="90"/>
      <c r="J2414" s="73"/>
      <c r="K2414" s="66">
        <v>0.88744800000000001</v>
      </c>
      <c r="L2414" s="717"/>
      <c r="M2414" s="73"/>
      <c r="N2414" s="359"/>
      <c r="O2414" s="1041"/>
      <c r="P2414" s="73"/>
      <c r="Q2414" s="359"/>
      <c r="R2414" s="1041"/>
      <c r="S2414" s="73"/>
      <c r="T2414" s="359"/>
      <c r="U2414" s="73"/>
      <c r="V2414" s="66"/>
      <c r="W2414" s="594">
        <f t="shared" si="2103"/>
        <v>6.1233911999999989E-4</v>
      </c>
      <c r="X2414" s="595">
        <f t="shared" si="2104"/>
        <v>6.1233911999999989E-4</v>
      </c>
      <c r="Y2414" s="52">
        <v>2005</v>
      </c>
      <c r="Z2414" s="52"/>
      <c r="AA2414" s="596">
        <f>+K2414/1000</f>
        <v>8.8744799999999999E-4</v>
      </c>
      <c r="AB2414" s="256">
        <v>-0.31</v>
      </c>
      <c r="AC2414" s="688">
        <f t="shared" si="2105"/>
        <v>-0.31</v>
      </c>
      <c r="AD2414" s="164"/>
      <c r="AE2414" s="164"/>
      <c r="AF2414" s="25"/>
      <c r="AG2414" s="26"/>
      <c r="AH2414" s="275"/>
      <c r="AI2414" s="52"/>
      <c r="AJ2414" s="35"/>
      <c r="AK2414" s="289"/>
      <c r="AL2414" s="290"/>
      <c r="AM2414" s="211"/>
      <c r="AN2414" s="164"/>
      <c r="AO2414" s="76"/>
      <c r="AP2414" s="44"/>
      <c r="AQ2414" s="275"/>
      <c r="AR2414" s="52"/>
      <c r="AS2414" s="35"/>
      <c r="AT2414" s="79"/>
      <c r="AU2414" s="212"/>
      <c r="AV2414" s="164"/>
      <c r="AW2414" s="164"/>
      <c r="AX2414" s="76"/>
      <c r="AY2414" s="44"/>
      <c r="AZ2414" s="275"/>
      <c r="BA2414" s="52"/>
      <c r="BB2414" s="35"/>
      <c r="BC2414" s="79"/>
      <c r="BD2414" s="230"/>
      <c r="BE2414" s="211"/>
      <c r="BF2414" s="164"/>
      <c r="BG2414" s="76"/>
      <c r="BH2414" s="44"/>
      <c r="BI2414" s="275"/>
      <c r="BJ2414" s="52"/>
      <c r="BK2414" s="35"/>
      <c r="BL2414" s="79"/>
      <c r="BM2414" s="230"/>
      <c r="BN2414" s="211"/>
      <c r="BO2414" s="164"/>
      <c r="BP2414" s="76"/>
      <c r="BQ2414" s="44"/>
      <c r="BR2414" s="299"/>
      <c r="BS2414" s="52"/>
      <c r="BT2414" s="35"/>
      <c r="BU2414" s="79"/>
      <c r="BV2414" s="212"/>
      <c r="BW2414" s="304"/>
      <c r="BX2414" s="313"/>
      <c r="BY2414" s="300"/>
    </row>
    <row r="2415" spans="1:77" ht="15" customHeight="1" x14ac:dyDescent="0.2">
      <c r="A2415" s="583" t="s">
        <v>459</v>
      </c>
      <c r="B2415" s="583"/>
      <c r="C2415" s="583" t="s">
        <v>967</v>
      </c>
      <c r="D2415" s="546">
        <v>349.5</v>
      </c>
      <c r="E2415" s="162" t="s">
        <v>2198</v>
      </c>
      <c r="F2415" s="358"/>
      <c r="G2415" s="65"/>
      <c r="H2415" s="73">
        <v>2.3883000000000001</v>
      </c>
      <c r="I2415" s="90"/>
      <c r="J2415" s="73"/>
      <c r="K2415" s="66"/>
      <c r="L2415" s="717"/>
      <c r="M2415" s="73"/>
      <c r="N2415" s="359"/>
      <c r="O2415" s="1041">
        <v>2013</v>
      </c>
      <c r="P2415" s="73"/>
      <c r="Q2415" s="359">
        <v>1.7196</v>
      </c>
      <c r="R2415" s="1041"/>
      <c r="S2415" s="73"/>
      <c r="T2415" s="359"/>
      <c r="U2415" s="73"/>
      <c r="V2415" s="66"/>
      <c r="W2415" s="594">
        <f t="shared" si="2103"/>
        <v>1.6718099999999999E-3</v>
      </c>
      <c r="X2415" s="595">
        <f t="shared" si="2104"/>
        <v>1.6718099999999999E-3</v>
      </c>
      <c r="Y2415" s="52">
        <v>1990</v>
      </c>
      <c r="Z2415" s="52"/>
      <c r="AA2415" s="596">
        <f>+H2415/1000</f>
        <v>2.3882999999999999E-3</v>
      </c>
      <c r="AB2415" s="256">
        <v>-0.3</v>
      </c>
      <c r="AC2415" s="688">
        <f t="shared" si="2105"/>
        <v>-0.3</v>
      </c>
      <c r="AD2415" s="164"/>
      <c r="AE2415" s="164"/>
      <c r="AF2415" s="600">
        <f>AJ2415*(1+AK2415)</f>
        <v>1.1941499999999999E-3</v>
      </c>
      <c r="AG2415" s="601">
        <f>AJ2415*(1+AL2415)</f>
        <v>1.1941499999999999E-3</v>
      </c>
      <c r="AH2415" s="587">
        <v>1990</v>
      </c>
      <c r="AI2415" s="588"/>
      <c r="AJ2415" s="589">
        <f>+H2415/1000</f>
        <v>2.3882999999999999E-3</v>
      </c>
      <c r="AK2415" s="590">
        <v>-0.5</v>
      </c>
      <c r="AL2415" s="591">
        <f>AK2415</f>
        <v>-0.5</v>
      </c>
      <c r="AM2415" s="211"/>
      <c r="AN2415" s="164"/>
      <c r="AO2415" s="76"/>
      <c r="AP2415" s="44"/>
      <c r="AQ2415" s="275"/>
      <c r="AR2415" s="52"/>
      <c r="AS2415" s="35"/>
      <c r="AT2415" s="79"/>
      <c r="AU2415" s="212"/>
      <c r="AV2415" s="164"/>
      <c r="AW2415" s="164"/>
      <c r="AX2415" s="76"/>
      <c r="AY2415" s="44"/>
      <c r="AZ2415" s="275"/>
      <c r="BA2415" s="52"/>
      <c r="BB2415" s="35"/>
      <c r="BC2415" s="79"/>
      <c r="BD2415" s="230"/>
      <c r="BE2415" s="211"/>
      <c r="BF2415" s="164"/>
      <c r="BG2415" s="1149"/>
      <c r="BH2415" s="44"/>
      <c r="BI2415" s="275"/>
      <c r="BJ2415" s="52"/>
      <c r="BK2415" s="35"/>
      <c r="BL2415" s="79"/>
      <c r="BM2415" s="230"/>
      <c r="BN2415" s="211"/>
      <c r="BO2415" s="164"/>
      <c r="BP2415" s="76"/>
      <c r="BQ2415" s="44"/>
      <c r="BR2415" s="299"/>
      <c r="BS2415" s="52"/>
      <c r="BT2415" s="35"/>
      <c r="BU2415" s="79"/>
      <c r="BV2415" s="212"/>
      <c r="BW2415" s="304"/>
      <c r="BX2415" s="313"/>
      <c r="BY2415" s="300"/>
    </row>
    <row r="2416" spans="1:77" ht="15" customHeight="1" x14ac:dyDescent="0.2">
      <c r="A2416" s="583" t="s">
        <v>459</v>
      </c>
      <c r="B2416" s="583"/>
      <c r="C2416" s="583" t="s">
        <v>2199</v>
      </c>
      <c r="D2416" s="546">
        <v>8908.0810000000001</v>
      </c>
      <c r="E2416" s="162" t="s">
        <v>387</v>
      </c>
      <c r="F2416" s="358"/>
      <c r="G2416" s="65"/>
      <c r="H2416" s="73">
        <v>45.05</v>
      </c>
      <c r="I2416" s="90"/>
      <c r="J2416" s="73"/>
      <c r="K2416" s="66"/>
      <c r="L2416" s="717"/>
      <c r="M2416" s="73"/>
      <c r="N2416" s="359"/>
      <c r="O2416" s="1041"/>
      <c r="P2416" s="73"/>
      <c r="Q2416" s="359"/>
      <c r="R2416" s="1041"/>
      <c r="S2416" s="73"/>
      <c r="T2416" s="359"/>
      <c r="U2416" s="73"/>
      <c r="V2416" s="66"/>
      <c r="W2416" s="594">
        <f t="shared" ref="W2416" si="2124">AA2416*(1+AB2416)</f>
        <v>2.7029999999999998E-2</v>
      </c>
      <c r="X2416" s="595">
        <f t="shared" ref="X2416" si="2125">AA2416*(1+AC2416)</f>
        <v>2.7029999999999998E-2</v>
      </c>
      <c r="Y2416" s="52">
        <v>1990</v>
      </c>
      <c r="Z2416" s="52"/>
      <c r="AA2416" s="596">
        <f>+H2416/1000</f>
        <v>4.505E-2</v>
      </c>
      <c r="AB2416" s="256">
        <v>-0.4</v>
      </c>
      <c r="AC2416" s="688">
        <f t="shared" ref="AC2416" si="2126">AB2416</f>
        <v>-0.4</v>
      </c>
      <c r="AD2416" s="164"/>
      <c r="AE2416" s="164"/>
      <c r="AF2416" s="600">
        <f>AJ2416*(1+AK2416)</f>
        <v>2.2525E-2</v>
      </c>
      <c r="AG2416" s="601">
        <f>AJ2416*(1+AL2416)</f>
        <v>2.2525E-2</v>
      </c>
      <c r="AH2416" s="587">
        <v>1990</v>
      </c>
      <c r="AI2416" s="588"/>
      <c r="AJ2416" s="589">
        <f>+H2416/1000</f>
        <v>4.505E-2</v>
      </c>
      <c r="AK2416" s="590">
        <v>-0.5</v>
      </c>
      <c r="AL2416" s="591">
        <f>AK2416</f>
        <v>-0.5</v>
      </c>
      <c r="AM2416" s="211"/>
      <c r="AN2416" s="164"/>
      <c r="AO2416" s="594">
        <f t="shared" ref="AO2416" si="2127">AS2416*(1+AT2416)</f>
        <v>1.8020000000000001E-2</v>
      </c>
      <c r="AP2416" s="595">
        <f t="shared" ref="AP2416" si="2128">AS2416*(1+AU2416)</f>
        <v>1.8020000000000001E-2</v>
      </c>
      <c r="AQ2416" s="52">
        <v>1990</v>
      </c>
      <c r="AR2416" s="52"/>
      <c r="AS2416" s="596">
        <f>+H2416/1000</f>
        <v>4.505E-2</v>
      </c>
      <c r="AT2416" s="256">
        <v>-0.6</v>
      </c>
      <c r="AU2416" s="688">
        <f t="shared" ref="AU2416" si="2129">AT2416</f>
        <v>-0.6</v>
      </c>
      <c r="AV2416" s="164"/>
      <c r="AW2416" s="164"/>
      <c r="AX2416" s="76"/>
      <c r="AY2416" s="44"/>
      <c r="AZ2416" s="275"/>
      <c r="BA2416" s="52"/>
      <c r="BB2416" s="35"/>
      <c r="BC2416" s="79"/>
      <c r="BD2416" s="230"/>
      <c r="BE2416" s="211"/>
      <c r="BF2416" s="164"/>
      <c r="BG2416" s="76"/>
      <c r="BH2416" s="44"/>
      <c r="BI2416" s="275"/>
      <c r="BJ2416" s="52"/>
      <c r="BK2416" s="35"/>
      <c r="BL2416" s="79"/>
      <c r="BM2416" s="230"/>
      <c r="BN2416" s="211"/>
      <c r="BO2416" s="164"/>
      <c r="BP2416" s="584">
        <f>+BT2416*(1+BU2416)</f>
        <v>0</v>
      </c>
      <c r="BQ2416" s="585">
        <f>BT2416*(1+BV2416)</f>
        <v>0</v>
      </c>
      <c r="BR2416" s="299">
        <v>1990</v>
      </c>
      <c r="BS2416" s="35"/>
      <c r="BT2416" s="35">
        <f>+H2416/1000</f>
        <v>4.505E-2</v>
      </c>
      <c r="BU2416" s="79">
        <v>-1</v>
      </c>
      <c r="BV2416" s="212">
        <f>BU2416</f>
        <v>-1</v>
      </c>
      <c r="BW2416" s="304"/>
      <c r="BX2416" s="313"/>
      <c r="BY2416" s="300"/>
    </row>
    <row r="2417" spans="1:77" ht="15" customHeight="1" x14ac:dyDescent="0.2">
      <c r="A2417" s="583" t="s">
        <v>459</v>
      </c>
      <c r="B2417" s="583"/>
      <c r="C2417" s="583" t="s">
        <v>2504</v>
      </c>
      <c r="D2417" s="546">
        <v>2835.6860000000001</v>
      </c>
      <c r="E2417" s="162" t="s">
        <v>387</v>
      </c>
      <c r="F2417" s="358"/>
      <c r="G2417" s="65"/>
      <c r="H2417" s="73">
        <v>21.2</v>
      </c>
      <c r="I2417" s="90"/>
      <c r="J2417" s="73"/>
      <c r="K2417" s="66"/>
      <c r="L2417" s="717">
        <v>2012</v>
      </c>
      <c r="M2417" s="73"/>
      <c r="N2417" s="359">
        <v>18.399999999999999</v>
      </c>
      <c r="O2417" s="1041">
        <v>2013</v>
      </c>
      <c r="P2417" s="73"/>
      <c r="Q2417" s="359">
        <v>18</v>
      </c>
      <c r="R2417" s="1041"/>
      <c r="S2417" s="73"/>
      <c r="T2417" s="359"/>
      <c r="U2417" s="73"/>
      <c r="V2417" s="66"/>
      <c r="W2417" s="804">
        <f t="shared" ref="W2417" si="2130">AA2417*(1+AB2417)</f>
        <v>1.1024000000000001E-2</v>
      </c>
      <c r="X2417" s="805">
        <f t="shared" ref="X2417" si="2131">AA2417*(1+AC2417)</f>
        <v>1.1024000000000001E-2</v>
      </c>
      <c r="Y2417" s="52">
        <v>1990</v>
      </c>
      <c r="Z2417" s="52"/>
      <c r="AA2417" s="35">
        <f>+H2417/1000</f>
        <v>2.12E-2</v>
      </c>
      <c r="AB2417" s="256">
        <v>-0.48</v>
      </c>
      <c r="AC2417" s="688">
        <f t="shared" ref="AC2417" si="2132">AB2417</f>
        <v>-0.48</v>
      </c>
      <c r="AD2417" s="164"/>
      <c r="AE2417" s="164"/>
      <c r="AF2417" s="600"/>
      <c r="AG2417" s="601"/>
      <c r="AH2417" s="587"/>
      <c r="AI2417" s="588"/>
      <c r="AJ2417" s="589"/>
      <c r="AK2417" s="590"/>
      <c r="AL2417" s="591"/>
      <c r="AM2417" s="211"/>
      <c r="AN2417" s="164"/>
      <c r="AO2417" s="76"/>
      <c r="AP2417" s="44"/>
      <c r="AQ2417" s="275"/>
      <c r="AR2417" s="52"/>
      <c r="AS2417" s="35"/>
      <c r="AT2417" s="79"/>
      <c r="AU2417" s="212"/>
      <c r="AV2417" s="164"/>
      <c r="AW2417" s="164"/>
      <c r="AX2417" s="76"/>
      <c r="AY2417" s="44"/>
      <c r="AZ2417" s="275"/>
      <c r="BA2417" s="52"/>
      <c r="BB2417" s="35"/>
      <c r="BC2417" s="79"/>
      <c r="BD2417" s="230"/>
      <c r="BE2417" s="211"/>
      <c r="BF2417" s="164"/>
      <c r="BG2417" s="1383">
        <f>BK2417*(1+BL2417)</f>
        <v>5.7240000000000047E-4</v>
      </c>
      <c r="BH2417" s="1384">
        <f>BK2417*(1+BM2417)</f>
        <v>5.7240000000000047E-4</v>
      </c>
      <c r="BI2417" s="1003">
        <v>1990</v>
      </c>
      <c r="BJ2417" s="1004"/>
      <c r="BK2417" s="1004">
        <f>+H2417/1000</f>
        <v>2.12E-2</v>
      </c>
      <c r="BL2417" s="1390">
        <v>-0.97299999999999998</v>
      </c>
      <c r="BM2417" s="1391">
        <f>+BL2417</f>
        <v>-0.97299999999999998</v>
      </c>
      <c r="BN2417" s="211"/>
      <c r="BO2417" s="164"/>
      <c r="BP2417" s="76"/>
      <c r="BQ2417" s="44"/>
      <c r="BR2417" s="299"/>
      <c r="BS2417" s="52"/>
      <c r="BT2417" s="35"/>
      <c r="BU2417" s="79"/>
      <c r="BV2417" s="212"/>
      <c r="BW2417" s="304"/>
      <c r="BX2417" s="313"/>
      <c r="BY2417" s="300"/>
    </row>
    <row r="2418" spans="1:77" ht="15" customHeight="1" x14ac:dyDescent="0.2">
      <c r="A2418" s="583" t="s">
        <v>459</v>
      </c>
      <c r="B2418" s="583"/>
      <c r="C2418" s="583" t="s">
        <v>962</v>
      </c>
      <c r="D2418" s="546">
        <v>241.5</v>
      </c>
      <c r="E2418" s="162" t="s">
        <v>631</v>
      </c>
      <c r="F2418" s="358"/>
      <c r="G2418" s="65"/>
      <c r="H2418" s="73"/>
      <c r="I2418" s="90"/>
      <c r="J2418" s="73"/>
      <c r="K2418" s="66">
        <v>1.7230000000000001</v>
      </c>
      <c r="L2418" s="717"/>
      <c r="M2418" s="73"/>
      <c r="N2418" s="359"/>
      <c r="O2418" s="1041"/>
      <c r="P2418" s="73"/>
      <c r="Q2418" s="359"/>
      <c r="R2418" s="1041"/>
      <c r="S2418" s="73"/>
      <c r="T2418" s="359"/>
      <c r="U2418" s="73"/>
      <c r="V2418" s="66"/>
      <c r="W2418" s="804">
        <f t="shared" si="2103"/>
        <v>1.0338000000000001E-3</v>
      </c>
      <c r="X2418" s="805">
        <f t="shared" si="2104"/>
        <v>1.0338000000000001E-3</v>
      </c>
      <c r="Y2418" s="52">
        <v>2005</v>
      </c>
      <c r="Z2418" s="52"/>
      <c r="AA2418" s="35">
        <f>+K2418/1000</f>
        <v>1.7230000000000001E-3</v>
      </c>
      <c r="AB2418" s="256">
        <v>-0.4</v>
      </c>
      <c r="AC2418" s="688">
        <f t="shared" si="2105"/>
        <v>-0.4</v>
      </c>
      <c r="AD2418" s="164"/>
      <c r="AE2418" s="164"/>
      <c r="AF2418" s="25"/>
      <c r="AG2418" s="26"/>
      <c r="AH2418" s="275"/>
      <c r="AI2418" s="52"/>
      <c r="AJ2418" s="35"/>
      <c r="AK2418" s="289"/>
      <c r="AL2418" s="290"/>
      <c r="AM2418" s="211"/>
      <c r="AN2418" s="164"/>
      <c r="AO2418" s="76"/>
      <c r="AP2418" s="44"/>
      <c r="AQ2418" s="275"/>
      <c r="AR2418" s="52"/>
      <c r="AS2418" s="35"/>
      <c r="AT2418" s="79"/>
      <c r="AU2418" s="212"/>
      <c r="AV2418" s="164"/>
      <c r="AW2418" s="164"/>
      <c r="AX2418" s="76"/>
      <c r="AY2418" s="44"/>
      <c r="AZ2418" s="275"/>
      <c r="BA2418" s="52"/>
      <c r="BB2418" s="35"/>
      <c r="BC2418" s="79"/>
      <c r="BD2418" s="230"/>
      <c r="BE2418" s="211"/>
      <c r="BF2418" s="164"/>
      <c r="BG2418" s="76"/>
      <c r="BH2418" s="44"/>
      <c r="BI2418" s="275"/>
      <c r="BJ2418" s="52"/>
      <c r="BK2418" s="35"/>
      <c r="BL2418" s="79"/>
      <c r="BM2418" s="230"/>
      <c r="BN2418" s="211"/>
      <c r="BO2418" s="164"/>
      <c r="BP2418" s="76"/>
      <c r="BQ2418" s="44"/>
      <c r="BR2418" s="299"/>
      <c r="BS2418" s="52"/>
      <c r="BT2418" s="35"/>
      <c r="BU2418" s="79"/>
      <c r="BV2418" s="212"/>
      <c r="BW2418" s="304"/>
      <c r="BX2418" s="313"/>
      <c r="BY2418" s="300"/>
    </row>
    <row r="2419" spans="1:77" ht="15" customHeight="1" x14ac:dyDescent="0.2">
      <c r="A2419" s="583" t="s">
        <v>459</v>
      </c>
      <c r="B2419" s="583"/>
      <c r="C2419" s="583" t="s">
        <v>964</v>
      </c>
      <c r="D2419" s="546">
        <v>278.7</v>
      </c>
      <c r="E2419" s="162" t="s">
        <v>631</v>
      </c>
      <c r="F2419" s="358"/>
      <c r="G2419" s="65"/>
      <c r="H2419" s="73"/>
      <c r="I2419" s="90"/>
      <c r="J2419" s="73"/>
      <c r="K2419" s="66">
        <v>1.849</v>
      </c>
      <c r="L2419" s="717"/>
      <c r="M2419" s="73"/>
      <c r="N2419" s="359"/>
      <c r="O2419" s="1041"/>
      <c r="P2419" s="73"/>
      <c r="Q2419" s="359"/>
      <c r="R2419" s="1041"/>
      <c r="S2419" s="73"/>
      <c r="T2419" s="359"/>
      <c r="U2419" s="73"/>
      <c r="V2419" s="66"/>
      <c r="W2419" s="804">
        <f t="shared" si="2103"/>
        <v>1.36826E-3</v>
      </c>
      <c r="X2419" s="805">
        <f t="shared" si="2104"/>
        <v>1.36826E-3</v>
      </c>
      <c r="Y2419" s="52">
        <v>2005</v>
      </c>
      <c r="Z2419" s="52"/>
      <c r="AA2419" s="35">
        <f>+K2419/1000</f>
        <v>1.8489999999999999E-3</v>
      </c>
      <c r="AB2419" s="256">
        <v>-0.26</v>
      </c>
      <c r="AC2419" s="688">
        <f t="shared" si="2105"/>
        <v>-0.26</v>
      </c>
      <c r="AD2419" s="164"/>
      <c r="AE2419" s="164"/>
      <c r="AF2419" s="25"/>
      <c r="AG2419" s="26"/>
      <c r="AH2419" s="275"/>
      <c r="AI2419" s="52"/>
      <c r="AJ2419" s="35"/>
      <c r="AK2419" s="289"/>
      <c r="AL2419" s="290"/>
      <c r="AM2419" s="211"/>
      <c r="AN2419" s="164"/>
      <c r="AO2419" s="76"/>
      <c r="AP2419" s="44"/>
      <c r="AQ2419" s="275"/>
      <c r="AR2419" s="52"/>
      <c r="AS2419" s="35"/>
      <c r="AT2419" s="79"/>
      <c r="AU2419" s="212"/>
      <c r="AV2419" s="164"/>
      <c r="AW2419" s="164"/>
      <c r="AX2419" s="76"/>
      <c r="AY2419" s="44"/>
      <c r="AZ2419" s="275"/>
      <c r="BA2419" s="52"/>
      <c r="BB2419" s="35"/>
      <c r="BC2419" s="79"/>
      <c r="BD2419" s="230"/>
      <c r="BE2419" s="211"/>
      <c r="BF2419" s="164"/>
      <c r="BG2419" s="76"/>
      <c r="BH2419" s="44"/>
      <c r="BI2419" s="275"/>
      <c r="BJ2419" s="52"/>
      <c r="BK2419" s="35"/>
      <c r="BL2419" s="79"/>
      <c r="BM2419" s="230"/>
      <c r="BN2419" s="211"/>
      <c r="BO2419" s="164"/>
      <c r="BP2419" s="76"/>
      <c r="BQ2419" s="44"/>
      <c r="BR2419" s="299"/>
      <c r="BS2419" s="52"/>
      <c r="BT2419" s="35"/>
      <c r="BU2419" s="79"/>
      <c r="BV2419" s="212"/>
      <c r="BW2419" s="304"/>
      <c r="BX2419" s="313"/>
      <c r="BY2419" s="300"/>
    </row>
    <row r="2420" spans="1:77" ht="15" customHeight="1" x14ac:dyDescent="0.2">
      <c r="A2420" s="583" t="s">
        <v>459</v>
      </c>
      <c r="B2420" s="583"/>
      <c r="C2420" s="583" t="s">
        <v>2371</v>
      </c>
      <c r="D2420" s="546">
        <v>150.19999999999999</v>
      </c>
      <c r="E2420" s="162" t="s">
        <v>631</v>
      </c>
      <c r="F2420" s="358"/>
      <c r="G2420" s="65"/>
      <c r="H2420" s="73"/>
      <c r="I2420" s="90"/>
      <c r="J2420" s="73"/>
      <c r="K2420" s="66">
        <v>1.0188870000000001</v>
      </c>
      <c r="L2420" s="717"/>
      <c r="M2420" s="73"/>
      <c r="N2420" s="359"/>
      <c r="O2420" s="1041"/>
      <c r="P2420" s="73"/>
      <c r="Q2420" s="359"/>
      <c r="R2420" s="1041"/>
      <c r="S2420" s="73"/>
      <c r="T2420" s="359"/>
      <c r="U2420" s="73"/>
      <c r="V2420" s="66"/>
      <c r="W2420" s="594">
        <f t="shared" ref="W2420" si="2133">AA2420*(1+AB2420)</f>
        <v>7.6416525E-4</v>
      </c>
      <c r="X2420" s="595">
        <f t="shared" ref="X2420" si="2134">AA2420*(1+AC2420)</f>
        <v>7.6416525E-4</v>
      </c>
      <c r="Y2420" s="52">
        <v>2005</v>
      </c>
      <c r="Z2420" s="52"/>
      <c r="AA2420" s="596">
        <f>+K2420/1000</f>
        <v>1.018887E-3</v>
      </c>
      <c r="AB2420" s="256">
        <v>-0.25</v>
      </c>
      <c r="AC2420" s="688">
        <f t="shared" ref="AC2420" si="2135">AB2420</f>
        <v>-0.25</v>
      </c>
      <c r="AD2420" s="164"/>
      <c r="AE2420" s="164"/>
      <c r="AF2420" s="25"/>
      <c r="AG2420" s="26"/>
      <c r="AH2420" s="275"/>
      <c r="AI2420" s="52"/>
      <c r="AJ2420" s="35"/>
      <c r="AK2420" s="289"/>
      <c r="AL2420" s="290"/>
      <c r="AM2420" s="211"/>
      <c r="AN2420" s="164"/>
      <c r="AO2420" s="76"/>
      <c r="AP2420" s="44"/>
      <c r="AQ2420" s="275"/>
      <c r="AR2420" s="52"/>
      <c r="AS2420" s="35"/>
      <c r="AT2420" s="79"/>
      <c r="AU2420" s="212"/>
      <c r="AV2420" s="164"/>
      <c r="AW2420" s="164"/>
      <c r="AX2420" s="76"/>
      <c r="AY2420" s="44"/>
      <c r="AZ2420" s="275"/>
      <c r="BA2420" s="52"/>
      <c r="BB2420" s="35"/>
      <c r="BC2420" s="79"/>
      <c r="BD2420" s="230"/>
      <c r="BE2420" s="211"/>
      <c r="BF2420" s="164"/>
      <c r="BG2420" s="76"/>
      <c r="BH2420" s="44"/>
      <c r="BI2420" s="275"/>
      <c r="BJ2420" s="52"/>
      <c r="BK2420" s="35"/>
      <c r="BL2420" s="79"/>
      <c r="BM2420" s="230"/>
      <c r="BN2420" s="211"/>
      <c r="BO2420" s="164"/>
      <c r="BP2420" s="76"/>
      <c r="BQ2420" s="44"/>
      <c r="BR2420" s="299"/>
      <c r="BS2420" s="52"/>
      <c r="BT2420" s="35"/>
      <c r="BU2420" s="79"/>
      <c r="BV2420" s="212"/>
      <c r="BW2420" s="304"/>
      <c r="BX2420" s="313"/>
      <c r="BY2420" s="300"/>
    </row>
    <row r="2421" spans="1:77" ht="15" customHeight="1" x14ac:dyDescent="0.2">
      <c r="A2421" s="583" t="s">
        <v>459</v>
      </c>
      <c r="B2421" s="583"/>
      <c r="C2421" s="583" t="s">
        <v>961</v>
      </c>
      <c r="D2421" s="546">
        <v>147.6</v>
      </c>
      <c r="E2421" s="162" t="s">
        <v>631</v>
      </c>
      <c r="F2421" s="358"/>
      <c r="G2421" s="65"/>
      <c r="H2421" s="73"/>
      <c r="I2421" s="90"/>
      <c r="J2421" s="73"/>
      <c r="K2421" s="66">
        <v>0.94794999999999996</v>
      </c>
      <c r="L2421" s="717"/>
      <c r="M2421" s="73"/>
      <c r="N2421" s="359"/>
      <c r="O2421" s="1041"/>
      <c r="P2421" s="73"/>
      <c r="Q2421" s="359"/>
      <c r="R2421" s="1041"/>
      <c r="S2421" s="73"/>
      <c r="T2421" s="359"/>
      <c r="U2421" s="73"/>
      <c r="V2421" s="66"/>
      <c r="W2421" s="594">
        <f t="shared" si="2103"/>
        <v>6.6356499999999986E-4</v>
      </c>
      <c r="X2421" s="595">
        <f t="shared" si="2104"/>
        <v>6.6356499999999986E-4</v>
      </c>
      <c r="Y2421" s="52">
        <v>2005</v>
      </c>
      <c r="Z2421" s="52"/>
      <c r="AA2421" s="596">
        <f>+K2421/1000</f>
        <v>9.4794999999999992E-4</v>
      </c>
      <c r="AB2421" s="256">
        <v>-0.3</v>
      </c>
      <c r="AC2421" s="688">
        <f t="shared" si="2105"/>
        <v>-0.3</v>
      </c>
      <c r="AD2421" s="164"/>
      <c r="AE2421" s="164"/>
      <c r="AF2421" s="25"/>
      <c r="AG2421" s="26"/>
      <c r="AH2421" s="275"/>
      <c r="AI2421" s="52"/>
      <c r="AJ2421" s="35"/>
      <c r="AK2421" s="289"/>
      <c r="AL2421" s="290"/>
      <c r="AM2421" s="211"/>
      <c r="AN2421" s="164"/>
      <c r="AO2421" s="76"/>
      <c r="AP2421" s="44"/>
      <c r="AQ2421" s="275"/>
      <c r="AR2421" s="52"/>
      <c r="AS2421" s="35"/>
      <c r="AT2421" s="79"/>
      <c r="AU2421" s="212"/>
      <c r="AV2421" s="164"/>
      <c r="AW2421" s="164"/>
      <c r="AX2421" s="76"/>
      <c r="AY2421" s="44"/>
      <c r="AZ2421" s="275"/>
      <c r="BA2421" s="52"/>
      <c r="BB2421" s="35"/>
      <c r="BC2421" s="79"/>
      <c r="BD2421" s="230"/>
      <c r="BE2421" s="211"/>
      <c r="BF2421" s="164"/>
      <c r="BG2421" s="76"/>
      <c r="BH2421" s="44"/>
      <c r="BI2421" s="275"/>
      <c r="BJ2421" s="52"/>
      <c r="BK2421" s="35"/>
      <c r="BL2421" s="79"/>
      <c r="BM2421" s="230"/>
      <c r="BN2421" s="211"/>
      <c r="BO2421" s="164"/>
      <c r="BP2421" s="76"/>
      <c r="BQ2421" s="44"/>
      <c r="BR2421" s="299"/>
      <c r="BS2421" s="52"/>
      <c r="BT2421" s="35"/>
      <c r="BU2421" s="79"/>
      <c r="BV2421" s="212"/>
      <c r="BW2421" s="304"/>
      <c r="BX2421" s="313"/>
      <c r="BY2421" s="300"/>
    </row>
    <row r="2422" spans="1:77" ht="15" customHeight="1" x14ac:dyDescent="0.2">
      <c r="A2422" s="583" t="s">
        <v>459</v>
      </c>
      <c r="B2422" s="583"/>
      <c r="C2422" s="583" t="s">
        <v>960</v>
      </c>
      <c r="D2422" s="546">
        <v>236.9</v>
      </c>
      <c r="E2422" s="162" t="s">
        <v>631</v>
      </c>
      <c r="F2422" s="358"/>
      <c r="G2422" s="65"/>
      <c r="H2422" s="73"/>
      <c r="I2422" s="90"/>
      <c r="J2422" s="73"/>
      <c r="K2422" s="66"/>
      <c r="L2422" s="717">
        <v>2008</v>
      </c>
      <c r="M2422" s="73"/>
      <c r="N2422" s="359">
        <v>0.633517</v>
      </c>
      <c r="O2422" s="1041"/>
      <c r="P2422" s="73"/>
      <c r="Q2422" s="359"/>
      <c r="R2422" s="1041"/>
      <c r="S2422" s="73"/>
      <c r="T2422" s="359"/>
      <c r="U2422" s="73"/>
      <c r="V2422" s="66"/>
      <c r="W2422" s="594">
        <f t="shared" si="2103"/>
        <v>4.1812121999999996E-4</v>
      </c>
      <c r="X2422" s="595">
        <f t="shared" si="2104"/>
        <v>4.1812121999999996E-4</v>
      </c>
      <c r="Y2422" s="52">
        <v>2008</v>
      </c>
      <c r="Z2422" s="52"/>
      <c r="AA2422" s="596">
        <f>+N2422/1000</f>
        <v>6.33517E-4</v>
      </c>
      <c r="AB2422" s="256">
        <v>-0.34</v>
      </c>
      <c r="AC2422" s="688">
        <f t="shared" si="2105"/>
        <v>-0.34</v>
      </c>
      <c r="AD2422" s="164"/>
      <c r="AE2422" s="164"/>
      <c r="AF2422" s="25"/>
      <c r="AG2422" s="26"/>
      <c r="AH2422" s="275"/>
      <c r="AI2422" s="52"/>
      <c r="AJ2422" s="35"/>
      <c r="AK2422" s="289"/>
      <c r="AL2422" s="290"/>
      <c r="AM2422" s="211"/>
      <c r="AN2422" s="164"/>
      <c r="AO2422" s="76"/>
      <c r="AP2422" s="44"/>
      <c r="AQ2422" s="275"/>
      <c r="AR2422" s="52"/>
      <c r="AS2422" s="35"/>
      <c r="AT2422" s="79"/>
      <c r="AU2422" s="212"/>
      <c r="AV2422" s="164"/>
      <c r="AW2422" s="164"/>
      <c r="AX2422" s="76"/>
      <c r="AY2422" s="44"/>
      <c r="AZ2422" s="275"/>
      <c r="BA2422" s="52"/>
      <c r="BB2422" s="35"/>
      <c r="BC2422" s="79"/>
      <c r="BD2422" s="230"/>
      <c r="BE2422" s="211"/>
      <c r="BF2422" s="164"/>
      <c r="BG2422" s="76"/>
      <c r="BH2422" s="44"/>
      <c r="BI2422" s="275"/>
      <c r="BJ2422" s="52"/>
      <c r="BK2422" s="35"/>
      <c r="BL2422" s="79"/>
      <c r="BM2422" s="230"/>
      <c r="BN2422" s="211"/>
      <c r="BO2422" s="164"/>
      <c r="BP2422" s="76"/>
      <c r="BQ2422" s="44"/>
      <c r="BR2422" s="299"/>
      <c r="BS2422" s="52"/>
      <c r="BT2422" s="35"/>
      <c r="BU2422" s="79"/>
      <c r="BV2422" s="212"/>
      <c r="BW2422" s="304"/>
      <c r="BX2422" s="313"/>
      <c r="BY2422" s="300"/>
    </row>
    <row r="2423" spans="1:77" ht="15" customHeight="1" x14ac:dyDescent="0.2">
      <c r="A2423" s="583" t="s">
        <v>459</v>
      </c>
      <c r="B2423" s="583"/>
      <c r="C2423" s="583" t="s">
        <v>965</v>
      </c>
      <c r="D2423" s="546">
        <v>280.60000000000002</v>
      </c>
      <c r="E2423" s="162" t="s">
        <v>631</v>
      </c>
      <c r="F2423" s="358"/>
      <c r="G2423" s="65"/>
      <c r="H2423" s="73"/>
      <c r="I2423" s="90"/>
      <c r="J2423" s="73"/>
      <c r="K2423" s="66">
        <v>1.974</v>
      </c>
      <c r="L2423" s="717"/>
      <c r="M2423" s="73"/>
      <c r="N2423" s="359"/>
      <c r="O2423" s="1041"/>
      <c r="P2423" s="73"/>
      <c r="Q2423" s="359"/>
      <c r="R2423" s="1041"/>
      <c r="S2423" s="73"/>
      <c r="T2423" s="359"/>
      <c r="U2423" s="73"/>
      <c r="V2423" s="66"/>
      <c r="W2423" s="804">
        <f t="shared" ref="W2423" si="2136">AA2423*(1+AB2423)</f>
        <v>1.4015399999999999E-3</v>
      </c>
      <c r="X2423" s="805">
        <f t="shared" ref="X2423" si="2137">AA2423*(1+AC2423)</f>
        <v>1.4015399999999999E-3</v>
      </c>
      <c r="Y2423" s="52">
        <v>2005</v>
      </c>
      <c r="Z2423" s="52"/>
      <c r="AA2423" s="35">
        <f>+K2423/1000</f>
        <v>1.9740000000000001E-3</v>
      </c>
      <c r="AB2423" s="256">
        <v>-0.28999999999999998</v>
      </c>
      <c r="AC2423" s="688">
        <f t="shared" ref="AC2423" si="2138">AB2423</f>
        <v>-0.28999999999999998</v>
      </c>
      <c r="AD2423" s="164"/>
      <c r="AE2423" s="164"/>
      <c r="AF2423" s="25"/>
      <c r="AG2423" s="26"/>
      <c r="AH2423" s="275"/>
      <c r="AI2423" s="52"/>
      <c r="AJ2423" s="35"/>
      <c r="AK2423" s="289"/>
      <c r="AL2423" s="290"/>
      <c r="AM2423" s="211"/>
      <c r="AN2423" s="164"/>
      <c r="AO2423" s="76"/>
      <c r="AP2423" s="44"/>
      <c r="AQ2423" s="275"/>
      <c r="AR2423" s="52"/>
      <c r="AS2423" s="35"/>
      <c r="AT2423" s="79"/>
      <c r="AU2423" s="212"/>
      <c r="AV2423" s="164"/>
      <c r="AW2423" s="164"/>
      <c r="AX2423" s="76"/>
      <c r="AY2423" s="44"/>
      <c r="AZ2423" s="275"/>
      <c r="BA2423" s="52"/>
      <c r="BB2423" s="35"/>
      <c r="BC2423" s="79"/>
      <c r="BD2423" s="230"/>
      <c r="BE2423" s="211"/>
      <c r="BF2423" s="164"/>
      <c r="BG2423" s="76"/>
      <c r="BH2423" s="44"/>
      <c r="BI2423" s="275"/>
      <c r="BJ2423" s="52"/>
      <c r="BK2423" s="35"/>
      <c r="BL2423" s="79"/>
      <c r="BM2423" s="230"/>
      <c r="BN2423" s="211"/>
      <c r="BO2423" s="164"/>
      <c r="BP2423" s="76"/>
      <c r="BQ2423" s="44"/>
      <c r="BR2423" s="299"/>
      <c r="BS2423" s="52"/>
      <c r="BT2423" s="35"/>
      <c r="BU2423" s="79"/>
      <c r="BV2423" s="212"/>
      <c r="BW2423" s="304"/>
      <c r="BX2423" s="313"/>
      <c r="BY2423" s="300"/>
    </row>
    <row r="2424" spans="1:77" ht="15" customHeight="1" x14ac:dyDescent="0.2">
      <c r="A2424" s="583" t="s">
        <v>459</v>
      </c>
      <c r="B2424" s="583"/>
      <c r="C2424" s="583" t="s">
        <v>3180</v>
      </c>
      <c r="D2424" s="546">
        <v>124.1</v>
      </c>
      <c r="E2424" s="162" t="s">
        <v>3176</v>
      </c>
      <c r="F2424" s="358"/>
      <c r="G2424" s="65"/>
      <c r="H2424" s="73"/>
      <c r="I2424" s="90"/>
      <c r="J2424" s="73"/>
      <c r="K2424" s="66"/>
      <c r="L2424" s="717"/>
      <c r="M2424" s="73"/>
      <c r="N2424" s="359"/>
      <c r="O2424" s="1041"/>
      <c r="P2424" s="73"/>
      <c r="Q2424" s="359"/>
      <c r="R2424" s="1041">
        <v>2017</v>
      </c>
      <c r="S2424" s="73"/>
      <c r="T2424" s="359">
        <v>0.66036700000000004</v>
      </c>
      <c r="U2424" s="73"/>
      <c r="V2424" s="66"/>
      <c r="W2424" s="804"/>
      <c r="X2424" s="805"/>
      <c r="Y2424" s="52"/>
      <c r="Z2424" s="52"/>
      <c r="AA2424" s="35"/>
      <c r="AB2424" s="256"/>
      <c r="AC2424" s="688"/>
      <c r="AD2424" s="164"/>
      <c r="AE2424" s="164"/>
      <c r="AF2424" s="25"/>
      <c r="AG2424" s="26"/>
      <c r="AH2424" s="275"/>
      <c r="AI2424" s="52"/>
      <c r="AJ2424" s="35"/>
      <c r="AK2424" s="289"/>
      <c r="AL2424" s="290"/>
      <c r="AM2424" s="211"/>
      <c r="AN2424" s="164"/>
      <c r="AO2424" s="594">
        <f t="shared" ref="AO2424" si="2139">AS2424*(1+AT2424)</f>
        <v>0</v>
      </c>
      <c r="AP2424" s="595">
        <f t="shared" ref="AP2424" si="2140">AS2424*(1+AU2424)</f>
        <v>0</v>
      </c>
      <c r="AQ2424" s="52">
        <v>2017</v>
      </c>
      <c r="AR2424" s="52"/>
      <c r="AS2424" s="596">
        <f>+T2424/1000</f>
        <v>6.6036700000000003E-4</v>
      </c>
      <c r="AT2424" s="256">
        <v>-1</v>
      </c>
      <c r="AU2424" s="688">
        <f t="shared" ref="AU2424" si="2141">AT2424</f>
        <v>-1</v>
      </c>
      <c r="AV2424" s="164"/>
      <c r="AW2424" s="164"/>
      <c r="AX2424" s="76"/>
      <c r="AY2424" s="44"/>
      <c r="AZ2424" s="275"/>
      <c r="BA2424" s="52"/>
      <c r="BB2424" s="35"/>
      <c r="BC2424" s="79"/>
      <c r="BD2424" s="230"/>
      <c r="BE2424" s="211"/>
      <c r="BF2424" s="164"/>
      <c r="BG2424" s="76"/>
      <c r="BH2424" s="44"/>
      <c r="BI2424" s="275"/>
      <c r="BJ2424" s="52"/>
      <c r="BK2424" s="35"/>
      <c r="BL2424" s="79"/>
      <c r="BM2424" s="230"/>
      <c r="BN2424" s="211"/>
      <c r="BO2424" s="164"/>
      <c r="BP2424" s="76"/>
      <c r="BQ2424" s="44"/>
      <c r="BR2424" s="299"/>
      <c r="BS2424" s="52"/>
      <c r="BT2424" s="35"/>
      <c r="BU2424" s="79"/>
      <c r="BV2424" s="212"/>
      <c r="BW2424" s="304"/>
      <c r="BX2424" s="313"/>
      <c r="BY2424" s="300"/>
    </row>
    <row r="2425" spans="1:77" ht="15" customHeight="1" x14ac:dyDescent="0.2">
      <c r="A2425" s="116" t="s">
        <v>340</v>
      </c>
      <c r="B2425" s="116"/>
      <c r="C2425" s="116"/>
      <c r="D2425" s="116"/>
      <c r="E2425" s="183"/>
      <c r="F2425" s="371"/>
      <c r="G2425" s="115">
        <f>SUM(G2426:G2649)</f>
        <v>5297.4715299999998</v>
      </c>
      <c r="H2425" s="115">
        <f>SUM(H2426:H2649)</f>
        <v>6087.8319210000009</v>
      </c>
      <c r="I2425" s="112"/>
      <c r="J2425" s="115">
        <f>SUM(J2426:J2649)</f>
        <v>2946.7740766168954</v>
      </c>
      <c r="K2425" s="772">
        <f>SUM(K2426:K2649)</f>
        <v>3709.5811777000881</v>
      </c>
      <c r="L2425" s="112"/>
      <c r="M2425" s="115">
        <f>SUM(M2426:M2649)</f>
        <v>2927.4143295613767</v>
      </c>
      <c r="N2425" s="372">
        <f>SUM(N2426:N2649)</f>
        <v>3855.0767430071073</v>
      </c>
      <c r="O2425" s="1036"/>
      <c r="P2425" s="115">
        <f t="shared" ref="P2425:X2425" si="2142">SUM(P2426:P2649)</f>
        <v>3077.6380530354331</v>
      </c>
      <c r="Q2425" s="372">
        <f t="shared" si="2142"/>
        <v>4008.3486484911782</v>
      </c>
      <c r="R2425" s="1036"/>
      <c r="S2425" s="115"/>
      <c r="T2425" s="372"/>
      <c r="U2425" s="113">
        <f t="shared" si="2142"/>
        <v>4106.9985999999999</v>
      </c>
      <c r="V2425" s="113">
        <f t="shared" si="2142"/>
        <v>3264.0449819999999</v>
      </c>
      <c r="W2425" s="46">
        <f t="shared" si="2142"/>
        <v>5.3565695346985018</v>
      </c>
      <c r="X2425" s="47">
        <f t="shared" si="2142"/>
        <v>5.013871284698503</v>
      </c>
      <c r="Y2425" s="145"/>
      <c r="Z2425" s="38"/>
      <c r="AA2425" s="145"/>
      <c r="AB2425" s="80"/>
      <c r="AC2425" s="209"/>
      <c r="AD2425" s="78">
        <f>SUM(AD2426:AD2649)</f>
        <v>0.95929550000000008</v>
      </c>
      <c r="AE2425" s="78">
        <f>SUM(AE2426:AE2649)</f>
        <v>0.2374</v>
      </c>
      <c r="AF2425" s="414">
        <f>SUM(AF2426:AF2649)</f>
        <v>1.0729708073999999</v>
      </c>
      <c r="AG2425" s="480">
        <f>SUM(AG2426:AG2649)</f>
        <v>1.0633062237999999</v>
      </c>
      <c r="AH2425" s="77"/>
      <c r="AI2425" s="38"/>
      <c r="AJ2425" s="145"/>
      <c r="AK2425" s="80"/>
      <c r="AL2425" s="215"/>
      <c r="AM2425" s="207">
        <f>SUM(AM2426:AM2649)</f>
        <v>1.4716610020000001</v>
      </c>
      <c r="AN2425" s="78">
        <f>SUM(AN2426:AN2649)</f>
        <v>0.26960000000000001</v>
      </c>
      <c r="AO2425" s="46">
        <f>SUM(AO2426:AO2649)</f>
        <v>4.9491900359533982</v>
      </c>
      <c r="AP2425" s="47">
        <f>SUM(AP2426:AP2649)</f>
        <v>4.6257590933533983</v>
      </c>
      <c r="AQ2425" s="77"/>
      <c r="AR2425" s="38"/>
      <c r="AS2425" s="145"/>
      <c r="AT2425" s="80"/>
      <c r="AU2425" s="215"/>
      <c r="AV2425" s="78">
        <f>SUM(AV2426:AV2649)</f>
        <v>0</v>
      </c>
      <c r="AW2425" s="47">
        <f>SUM(AW2426:AW2649)</f>
        <v>0</v>
      </c>
      <c r="AX2425" s="78">
        <f>SUM(AX2426:AX2649)</f>
        <v>1.2763079999999999E-3</v>
      </c>
      <c r="AY2425" s="47">
        <f>SUM(AY2426:AY2649)</f>
        <v>1.2763079999999999E-3</v>
      </c>
      <c r="AZ2425" s="77"/>
      <c r="BA2425" s="38"/>
      <c r="BB2425" s="145"/>
      <c r="BC2425" s="80"/>
      <c r="BD2425" s="75"/>
      <c r="BE2425" s="207">
        <f>SUM(BE2426:BE2649)</f>
        <v>0</v>
      </c>
      <c r="BF2425" s="78">
        <f>SUM(BF2426:BF2649)</f>
        <v>0</v>
      </c>
      <c r="BG2425" s="46">
        <f>SUM(BG2426:BG2649)</f>
        <v>1.4417E-4</v>
      </c>
      <c r="BH2425" s="47">
        <f>SUM(BH2426:BH2649)</f>
        <v>1.4417E-4</v>
      </c>
      <c r="BI2425" s="77"/>
      <c r="BJ2425" s="38"/>
      <c r="BK2425" s="145"/>
      <c r="BL2425" s="80"/>
      <c r="BM2425" s="75"/>
      <c r="BN2425" s="207">
        <f>SUM(BN2426:BN2649)</f>
        <v>0.64368999999999998</v>
      </c>
      <c r="BO2425" s="78">
        <f>SUM(BO2426:BO2649)</f>
        <v>0</v>
      </c>
      <c r="BP2425" s="46">
        <f>SUM(BP2426:BP2649)</f>
        <v>0.39490597869999999</v>
      </c>
      <c r="BQ2425" s="47">
        <f>SUM(BQ2426:BQ2649)</f>
        <v>0.21402908869999995</v>
      </c>
      <c r="BR2425" s="32"/>
      <c r="BS2425" s="38"/>
      <c r="BT2425" s="145"/>
      <c r="BU2425" s="80"/>
      <c r="BV2425" s="215"/>
      <c r="BX2425" s="321"/>
      <c r="BY2425" s="38"/>
    </row>
    <row r="2426" spans="1:77" ht="15" customHeight="1" x14ac:dyDescent="0.2">
      <c r="A2426" s="56" t="s">
        <v>39</v>
      </c>
      <c r="B2426" s="56" t="s">
        <v>1606</v>
      </c>
      <c r="C2426" s="56"/>
      <c r="D2426" s="544">
        <v>3150.143</v>
      </c>
      <c r="E2426" s="95" t="s">
        <v>3349</v>
      </c>
      <c r="F2426" s="373"/>
      <c r="G2426" s="121">
        <v>7.8340699999999996</v>
      </c>
      <c r="H2426" s="93">
        <f>G2426-3.47725</f>
        <v>4.356819999999999</v>
      </c>
      <c r="I2426" s="114"/>
      <c r="J2426" s="93">
        <v>8.8645999999999994</v>
      </c>
      <c r="K2426" s="346">
        <f>J2426-1.715</f>
        <v>7.1495999999999995</v>
      </c>
      <c r="L2426" s="114"/>
      <c r="M2426" s="93">
        <v>10.007899999999999</v>
      </c>
      <c r="N2426" s="378">
        <v>8.2798999999999996</v>
      </c>
      <c r="O2426" s="1037"/>
      <c r="P2426" s="437">
        <v>10.486499999999999</v>
      </c>
      <c r="Q2426" s="378">
        <v>9.0998000000000001</v>
      </c>
      <c r="R2426" s="1038">
        <v>2016</v>
      </c>
      <c r="S2426" s="93">
        <v>10.5449</v>
      </c>
      <c r="T2426" s="378">
        <v>9.1129999999999995</v>
      </c>
      <c r="U2426" s="68"/>
      <c r="V2426" s="68"/>
      <c r="W2426" s="27"/>
      <c r="X2426" s="28"/>
      <c r="Y2426" s="145"/>
      <c r="Z2426" s="38"/>
      <c r="AA2426" s="145"/>
      <c r="AB2426" s="80"/>
      <c r="AC2426" s="209"/>
      <c r="AE2426" s="16"/>
      <c r="AF2426" s="136"/>
      <c r="AG2426" s="59"/>
      <c r="AH2426" s="77"/>
      <c r="AI2426" s="38"/>
      <c r="AJ2426" s="145"/>
      <c r="AK2426" s="80"/>
      <c r="AL2426" s="215"/>
      <c r="AM2426" s="207">
        <v>1.5148E-2</v>
      </c>
      <c r="AN2426" s="47"/>
      <c r="AO2426" s="1323">
        <f>AR2426*(1+AT2426)</f>
        <v>1.1982068E-2</v>
      </c>
      <c r="AP2426" s="1322">
        <f>AR2426*(1+AU2426)</f>
        <v>1.1982068E-2</v>
      </c>
      <c r="AQ2426" s="262">
        <v>2030</v>
      </c>
      <c r="AR2426" s="48">
        <f>+AM2426</f>
        <v>1.5148E-2</v>
      </c>
      <c r="AS2426" s="1339"/>
      <c r="AT2426" s="1345">
        <v>-0.20899999999999999</v>
      </c>
      <c r="AU2426" s="1346">
        <f t="shared" ref="AU2426" si="2143">AT2426</f>
        <v>-0.20899999999999999</v>
      </c>
      <c r="AV2426" s="16"/>
      <c r="AW2426" s="20"/>
      <c r="AX2426" s="16"/>
      <c r="AY2426" s="20"/>
      <c r="AZ2426" s="77"/>
      <c r="BA2426" s="38"/>
      <c r="BB2426" s="145"/>
      <c r="BC2426" s="80"/>
      <c r="BD2426" s="75"/>
      <c r="BE2426" s="208"/>
      <c r="BF2426" s="16"/>
      <c r="BG2426" s="19"/>
      <c r="BH2426" s="20"/>
      <c r="BI2426" s="77"/>
      <c r="BJ2426" s="38"/>
      <c r="BK2426" s="145"/>
      <c r="BL2426" s="80"/>
      <c r="BM2426" s="75"/>
      <c r="BN2426" s="208"/>
      <c r="BO2426" s="16"/>
      <c r="BP2426" s="19"/>
      <c r="BQ2426" s="20"/>
      <c r="BR2426" s="32"/>
      <c r="BS2426" s="38"/>
      <c r="BT2426" s="145"/>
      <c r="BU2426" s="80"/>
      <c r="BV2426" s="215"/>
      <c r="BX2426" s="321"/>
      <c r="BY2426" s="38"/>
    </row>
    <row r="2427" spans="1:77" ht="15" customHeight="1" x14ac:dyDescent="0.2">
      <c r="A2427" s="56" t="s">
        <v>39</v>
      </c>
      <c r="B2427" s="56"/>
      <c r="C2427" s="107" t="s">
        <v>740</v>
      </c>
      <c r="D2427" s="544">
        <v>421.286</v>
      </c>
      <c r="E2427" s="107" t="s">
        <v>631</v>
      </c>
      <c r="F2427" s="362"/>
      <c r="G2427" s="62"/>
      <c r="H2427" s="68"/>
      <c r="I2427" s="74"/>
      <c r="J2427" s="68"/>
      <c r="K2427" s="69"/>
      <c r="L2427" s="436">
        <v>2011</v>
      </c>
      <c r="M2427" s="437"/>
      <c r="N2427" s="356">
        <v>0.68144700000000002</v>
      </c>
      <c r="O2427" s="1037"/>
      <c r="P2427" s="437"/>
      <c r="Q2427" s="356"/>
      <c r="R2427" s="1037"/>
      <c r="S2427" s="437"/>
      <c r="T2427" s="356"/>
      <c r="U2427" s="68"/>
      <c r="V2427" s="68"/>
      <c r="W2427" s="769">
        <f t="shared" ref="W2427" si="2144">AA2427*(1+AB2427)</f>
        <v>5.3152866000000004E-4</v>
      </c>
      <c r="X2427" s="87">
        <f t="shared" ref="X2427" si="2145">AA2427*(1+AC2427)</f>
        <v>5.3152866000000004E-4</v>
      </c>
      <c r="Y2427" s="53">
        <v>2011</v>
      </c>
      <c r="Z2427" s="53"/>
      <c r="AA2427" s="88">
        <f t="shared" ref="AA2427" si="2146">N2427/1000</f>
        <v>6.8144700000000006E-4</v>
      </c>
      <c r="AB2427" s="395">
        <v>-0.22</v>
      </c>
      <c r="AC2427" s="443">
        <f t="shared" ref="AC2427" si="2147">AB2427</f>
        <v>-0.22</v>
      </c>
      <c r="AE2427" s="16"/>
      <c r="AF2427" s="136"/>
      <c r="AG2427" s="59"/>
      <c r="AH2427" s="77"/>
      <c r="AI2427" s="38"/>
      <c r="AJ2427" s="145"/>
      <c r="AK2427" s="80"/>
      <c r="AL2427" s="215"/>
      <c r="AM2427" s="208"/>
      <c r="AN2427" s="16"/>
      <c r="AO2427" s="481"/>
      <c r="AP2427" s="485"/>
      <c r="AQ2427" s="440"/>
      <c r="AR2427" s="38"/>
      <c r="AS2427" s="452"/>
      <c r="AT2427" s="461"/>
      <c r="AU2427" s="462"/>
      <c r="AV2427" s="16"/>
      <c r="AW2427" s="20"/>
      <c r="AX2427" s="16"/>
      <c r="AY2427" s="20"/>
      <c r="AZ2427" s="77"/>
      <c r="BA2427" s="38"/>
      <c r="BB2427" s="145"/>
      <c r="BC2427" s="80"/>
      <c r="BD2427" s="75"/>
      <c r="BE2427" s="208"/>
      <c r="BF2427" s="16"/>
      <c r="BG2427" s="19"/>
      <c r="BH2427" s="20"/>
      <c r="BI2427" s="77"/>
      <c r="BJ2427" s="38"/>
      <c r="BK2427" s="145"/>
      <c r="BL2427" s="80"/>
      <c r="BM2427" s="75"/>
      <c r="BN2427" s="208"/>
      <c r="BO2427" s="16"/>
      <c r="BP2427" s="19"/>
      <c r="BQ2427" s="20"/>
      <c r="BR2427" s="32"/>
      <c r="BS2427" s="38"/>
      <c r="BT2427" s="145"/>
      <c r="BU2427" s="80"/>
      <c r="BV2427" s="215"/>
      <c r="BX2427" s="321"/>
      <c r="BY2427" s="38"/>
    </row>
    <row r="2428" spans="1:77" ht="15" customHeight="1" x14ac:dyDescent="0.2">
      <c r="A2428" s="107" t="s">
        <v>181</v>
      </c>
      <c r="B2428" s="56" t="s">
        <v>1606</v>
      </c>
      <c r="C2428" s="107"/>
      <c r="D2428" s="544">
        <v>77.906999999999996</v>
      </c>
      <c r="E2428" s="95" t="s">
        <v>2961</v>
      </c>
      <c r="F2428" s="373"/>
      <c r="G2428" s="121">
        <v>0.28089999999999998</v>
      </c>
      <c r="H2428" s="93">
        <v>0.41091</v>
      </c>
      <c r="I2428" s="114"/>
      <c r="J2428" s="93">
        <v>0.50529999999999997</v>
      </c>
      <c r="K2428" s="346">
        <v>0.62151999999999996</v>
      </c>
      <c r="L2428" s="565"/>
      <c r="M2428" s="93">
        <v>0.42458000000000001</v>
      </c>
      <c r="N2428" s="93">
        <v>0.56318000000000001</v>
      </c>
      <c r="O2428" s="1038"/>
      <c r="P2428" s="93">
        <f>0.37969</f>
        <v>0.37969000000000003</v>
      </c>
      <c r="Q2428" s="378">
        <v>0.51507999999999998</v>
      </c>
      <c r="R2428" s="1038">
        <v>2017</v>
      </c>
      <c r="S2428" s="93">
        <f>0.38957</f>
        <v>0.38957000000000003</v>
      </c>
      <c r="T2428" s="378">
        <v>0.52517000000000003</v>
      </c>
      <c r="U2428" s="68"/>
      <c r="V2428" s="68"/>
      <c r="W2428" s="27"/>
      <c r="X2428" s="28"/>
      <c r="Y2428" s="145"/>
      <c r="Z2428" s="38"/>
      <c r="AA2428" s="145"/>
      <c r="AB2428" s="80"/>
      <c r="AC2428" s="209"/>
      <c r="AE2428" s="16"/>
      <c r="AF2428" s="136"/>
      <c r="AG2428" s="59"/>
      <c r="AH2428" s="77"/>
      <c r="AI2428" s="38"/>
      <c r="AJ2428" s="145"/>
      <c r="AK2428" s="80"/>
      <c r="AL2428" s="215"/>
      <c r="AM2428" s="449">
        <v>5.3054999999999997E-4</v>
      </c>
      <c r="AN2428" s="387"/>
      <c r="AO2428" s="1336">
        <f>AP2428</f>
        <v>3.3681999999999994E-4</v>
      </c>
      <c r="AP2428" s="1370">
        <f>AR2428-0.00019373</f>
        <v>3.3681999999999994E-4</v>
      </c>
      <c r="AQ2428" s="262">
        <v>2030</v>
      </c>
      <c r="AR2428" s="1339">
        <v>5.3054999999999997E-4</v>
      </c>
      <c r="AS2428" s="1340"/>
      <c r="AT2428" s="1325">
        <v>-0.55000000000000004</v>
      </c>
      <c r="AU2428" s="1326">
        <v>-0.55000000000000004</v>
      </c>
      <c r="AV2428" s="16"/>
      <c r="AW2428" s="20"/>
      <c r="AX2428" s="16"/>
      <c r="AY2428" s="20"/>
      <c r="AZ2428" s="77"/>
      <c r="BA2428" s="38"/>
      <c r="BB2428" s="145"/>
      <c r="BC2428" s="80"/>
      <c r="BD2428" s="75"/>
      <c r="BE2428" s="208"/>
      <c r="BF2428" s="16"/>
      <c r="BG2428" s="19"/>
      <c r="BH2428" s="20"/>
      <c r="BI2428" s="77"/>
      <c r="BJ2428" s="38"/>
      <c r="BK2428" s="145"/>
      <c r="BL2428" s="80"/>
      <c r="BM2428" s="75"/>
      <c r="BN2428" s="208">
        <v>0.64368999999999998</v>
      </c>
      <c r="BO2428" s="16"/>
      <c r="BP2428" s="19">
        <f>BS2428*(1+BU2428)</f>
        <v>0.38685768999999998</v>
      </c>
      <c r="BQ2428" s="20">
        <f>BS2428*(1+BV2428)</f>
        <v>0.20598079999999996</v>
      </c>
      <c r="BR2428" s="188">
        <v>2050</v>
      </c>
      <c r="BS2428" s="38">
        <f>+BN2428</f>
        <v>0.64368999999999998</v>
      </c>
      <c r="BT2428" s="145"/>
      <c r="BU2428" s="406">
        <v>-0.39900000000000002</v>
      </c>
      <c r="BV2428" s="407">
        <v>-0.68</v>
      </c>
      <c r="BX2428" s="321"/>
      <c r="BY2428" s="158" t="s">
        <v>275</v>
      </c>
    </row>
    <row r="2429" spans="1:77" ht="15" customHeight="1" x14ac:dyDescent="0.25">
      <c r="A2429" s="56" t="s">
        <v>43</v>
      </c>
      <c r="B2429" s="56" t="s">
        <v>1606</v>
      </c>
      <c r="C2429" s="56"/>
      <c r="D2429" s="544">
        <v>2986</v>
      </c>
      <c r="E2429" s="1273" t="s">
        <v>3220</v>
      </c>
      <c r="F2429" s="1274"/>
      <c r="G2429" s="1317">
        <v>25.118099999999998</v>
      </c>
      <c r="H2429" s="1276">
        <v>25.855</v>
      </c>
      <c r="I2429" s="1275"/>
      <c r="J2429" s="1276">
        <v>7.3029000000000002</v>
      </c>
      <c r="K2429" s="1318">
        <v>7.8266</v>
      </c>
      <c r="L2429" s="1280"/>
      <c r="M2429" s="1276">
        <v>7.9465000000000003</v>
      </c>
      <c r="N2429" s="1452">
        <v>8.4966000000000008</v>
      </c>
      <c r="O2429" s="1319"/>
      <c r="P2429" s="1276">
        <v>9.7867999999999995</v>
      </c>
      <c r="Q2429" s="1453">
        <v>10.289300000000001</v>
      </c>
      <c r="R2429" s="1319">
        <v>2017</v>
      </c>
      <c r="S2429" s="1276">
        <v>10.153499999999999</v>
      </c>
      <c r="T2429" s="1453">
        <v>10.624000000000001</v>
      </c>
      <c r="U2429" s="68">
        <v>14.2376</v>
      </c>
      <c r="V2429" s="68"/>
      <c r="W2429" s="19">
        <f t="shared" ref="W2429" si="2148">13.4669/1000</f>
        <v>1.34669E-2</v>
      </c>
      <c r="X2429" s="20">
        <f t="shared" ref="X2429" si="2149">13.0689/1000</f>
        <v>1.30689E-2</v>
      </c>
      <c r="Y2429" s="188">
        <v>2020</v>
      </c>
      <c r="Z2429" s="38"/>
      <c r="AA2429" s="145"/>
      <c r="AB2429" s="406">
        <f>W2429/(U2429/1000)-1</f>
        <v>-5.413131426644946E-2</v>
      </c>
      <c r="AC2429" s="917">
        <f>X2429/(U2429/1000)-1</f>
        <v>-8.2085463842220707E-2</v>
      </c>
      <c r="AD2429" s="918">
        <f>16.2135/1000</f>
        <v>1.6213499999999999E-2</v>
      </c>
      <c r="AE2429" s="20"/>
      <c r="AF2429" s="676">
        <f>14.4348/1000</f>
        <v>1.4434799999999999E-2</v>
      </c>
      <c r="AG2429" s="22">
        <f>13.7848/1000</f>
        <v>1.37848E-2</v>
      </c>
      <c r="AH2429" s="77">
        <v>2025</v>
      </c>
      <c r="AI2429" s="38"/>
      <c r="AJ2429" s="145"/>
      <c r="AK2429" s="406">
        <f>AF2429/AD2429-1</f>
        <v>-0.10970487556665742</v>
      </c>
      <c r="AL2429" s="407">
        <f>AG2429/AD2429-1</f>
        <v>-0.14979492398310046</v>
      </c>
      <c r="AM2429" s="919">
        <f>18.6985/1000</f>
        <v>1.86985E-2</v>
      </c>
      <c r="AN2429" s="713"/>
      <c r="AO2429" s="78">
        <f>12.797/1000*32/40</f>
        <v>1.0237600000000001E-2</v>
      </c>
      <c r="AP2429" s="47">
        <f>12.051/1000*36/40</f>
        <v>1.0845900000000002E-2</v>
      </c>
      <c r="AQ2429" s="262">
        <v>2030</v>
      </c>
      <c r="AR2429" s="38"/>
      <c r="AS2429" s="145"/>
      <c r="AT2429" s="1445">
        <v>-0.4</v>
      </c>
      <c r="AU2429" s="1446">
        <v>-0.4</v>
      </c>
      <c r="AV2429" s="16"/>
      <c r="AW2429" s="20"/>
      <c r="AX2429" s="16"/>
      <c r="AY2429" s="20"/>
      <c r="AZ2429" s="77"/>
      <c r="BA2429" s="38"/>
      <c r="BB2429" s="145"/>
      <c r="BC2429" s="80"/>
      <c r="BD2429" s="75"/>
      <c r="BE2429" s="208"/>
      <c r="BF2429" s="16"/>
      <c r="BG2429" s="19"/>
      <c r="BH2429" s="20"/>
      <c r="BI2429" s="77"/>
      <c r="BJ2429" s="38"/>
      <c r="BK2429" s="145"/>
      <c r="BL2429" s="80"/>
      <c r="BM2429" s="75"/>
      <c r="BN2429" s="208"/>
      <c r="BO2429" s="16"/>
      <c r="BP2429" s="19">
        <f>2.07*3.5/1000</f>
        <v>7.2449999999999988E-3</v>
      </c>
      <c r="BQ2429" s="20">
        <f>BP2429</f>
        <v>7.2449999999999988E-3</v>
      </c>
      <c r="BR2429" s="188">
        <v>2010</v>
      </c>
      <c r="BS2429" s="38"/>
      <c r="BT2429" s="32">
        <f>+N2429/1000</f>
        <v>8.4966E-3</v>
      </c>
      <c r="BU2429" s="80">
        <f>(BT2429-BP2429)/BP2429</f>
        <v>0.17275362318840598</v>
      </c>
      <c r="BV2429" s="215">
        <f>(BT2429-BQ2429)/BQ2429</f>
        <v>0.17275362318840598</v>
      </c>
      <c r="BX2429" s="321"/>
      <c r="BY2429" s="38"/>
    </row>
    <row r="2430" spans="1:77" ht="15" customHeight="1" x14ac:dyDescent="0.2">
      <c r="A2430" s="56" t="s">
        <v>43</v>
      </c>
      <c r="B2430" s="56"/>
      <c r="C2430" s="107" t="s">
        <v>2121</v>
      </c>
      <c r="D2430" s="544">
        <v>6.5</v>
      </c>
      <c r="E2430" s="107" t="s">
        <v>631</v>
      </c>
      <c r="F2430" s="362"/>
      <c r="G2430" s="62"/>
      <c r="H2430" s="68"/>
      <c r="I2430" s="74"/>
      <c r="J2430" s="68"/>
      <c r="K2430" s="69"/>
      <c r="L2430" s="74"/>
      <c r="M2430" s="68"/>
      <c r="N2430" s="376"/>
      <c r="O2430" s="923">
        <v>2012</v>
      </c>
      <c r="P2430" s="68"/>
      <c r="Q2430" s="928">
        <v>3.0820000000000001E-3</v>
      </c>
      <c r="R2430" s="923"/>
      <c r="S2430" s="68"/>
      <c r="T2430" s="928"/>
      <c r="U2430" s="68"/>
      <c r="V2430" s="68"/>
      <c r="W2430" s="769">
        <f t="shared" ref="W2430:W2437" si="2150">AA2430*(1+AB2430)</f>
        <v>2.4656000000000006E-6</v>
      </c>
      <c r="X2430" s="770">
        <f t="shared" ref="X2430:X2437" si="2151">AA2430*(1+AC2430)</f>
        <v>2.4656000000000006E-6</v>
      </c>
      <c r="Y2430" s="188">
        <v>2012</v>
      </c>
      <c r="Z2430" s="38"/>
      <c r="AA2430" s="765">
        <f t="shared" ref="AA2430:AA2436" si="2152">Q2430/1000</f>
        <v>3.0820000000000003E-6</v>
      </c>
      <c r="AB2430" s="80">
        <v>-0.2</v>
      </c>
      <c r="AC2430" s="209">
        <f t="shared" ref="AC2430:AC2436" si="2153">AB2430</f>
        <v>-0.2</v>
      </c>
      <c r="AD2430" s="676"/>
      <c r="AE2430" s="16"/>
      <c r="AF2430" s="21"/>
      <c r="AG2430" s="22"/>
      <c r="AH2430" s="77"/>
      <c r="AI2430" s="38"/>
      <c r="AJ2430" s="145"/>
      <c r="AK2430" s="406"/>
      <c r="AL2430" s="407"/>
      <c r="AM2430" s="919"/>
      <c r="AN2430" s="920"/>
      <c r="AO2430" s="409"/>
      <c r="AP2430" s="713"/>
      <c r="AQ2430" s="77"/>
      <c r="AR2430" s="38"/>
      <c r="AS2430" s="145"/>
      <c r="AT2430" s="406"/>
      <c r="AU2430" s="407"/>
      <c r="AV2430" s="16"/>
      <c r="AW2430" s="16"/>
      <c r="AX2430" s="19"/>
      <c r="AY2430" s="20"/>
      <c r="AZ2430" s="77"/>
      <c r="BA2430" s="38"/>
      <c r="BB2430" s="145"/>
      <c r="BC2430" s="80"/>
      <c r="BD2430" s="75"/>
      <c r="BE2430" s="208"/>
      <c r="BF2430" s="16"/>
      <c r="BG2430" s="19"/>
      <c r="BH2430" s="20"/>
      <c r="BI2430" s="77"/>
      <c r="BJ2430" s="38"/>
      <c r="BK2430" s="145"/>
      <c r="BL2430" s="80"/>
      <c r="BM2430" s="75"/>
      <c r="BN2430" s="208"/>
      <c r="BO2430" s="16"/>
      <c r="BP2430" s="19"/>
      <c r="BQ2430" s="20"/>
      <c r="BR2430" s="188"/>
      <c r="BS2430" s="38"/>
      <c r="BT2430" s="32"/>
      <c r="BU2430" s="80"/>
      <c r="BV2430" s="215"/>
      <c r="BX2430" s="321"/>
      <c r="BY2430" s="38"/>
    </row>
    <row r="2431" spans="1:77" ht="15" customHeight="1" x14ac:dyDescent="0.2">
      <c r="A2431" s="56" t="s">
        <v>43</v>
      </c>
      <c r="B2431" s="56"/>
      <c r="C2431" s="107" t="s">
        <v>2116</v>
      </c>
      <c r="D2431" s="544">
        <v>19.5</v>
      </c>
      <c r="E2431" s="107" t="s">
        <v>631</v>
      </c>
      <c r="F2431" s="362"/>
      <c r="G2431" s="62"/>
      <c r="H2431" s="68"/>
      <c r="I2431" s="74"/>
      <c r="J2431" s="68"/>
      <c r="K2431" s="69"/>
      <c r="L2431" s="74"/>
      <c r="M2431" s="68"/>
      <c r="N2431" s="376"/>
      <c r="O2431" s="923">
        <v>2012</v>
      </c>
      <c r="P2431" s="68"/>
      <c r="Q2431" s="927">
        <v>1.1299999999999999E-2</v>
      </c>
      <c r="R2431" s="923"/>
      <c r="S2431" s="68"/>
      <c r="T2431" s="927"/>
      <c r="U2431" s="68"/>
      <c r="V2431" s="68"/>
      <c r="W2431" s="769">
        <f t="shared" si="2150"/>
        <v>9.0399999999999998E-6</v>
      </c>
      <c r="X2431" s="770">
        <f t="shared" si="2151"/>
        <v>9.0399999999999998E-6</v>
      </c>
      <c r="Y2431" s="188">
        <v>2012</v>
      </c>
      <c r="Z2431" s="38"/>
      <c r="AA2431" s="765">
        <f t="shared" si="2152"/>
        <v>1.1299999999999999E-5</v>
      </c>
      <c r="AB2431" s="80">
        <v>-0.2</v>
      </c>
      <c r="AC2431" s="209">
        <f t="shared" si="2153"/>
        <v>-0.2</v>
      </c>
      <c r="AD2431" s="676"/>
      <c r="AE2431" s="16"/>
      <c r="AF2431" s="21"/>
      <c r="AG2431" s="22"/>
      <c r="AH2431" s="77"/>
      <c r="AI2431" s="38"/>
      <c r="AJ2431" s="145"/>
      <c r="AK2431" s="406"/>
      <c r="AL2431" s="407"/>
      <c r="AM2431" s="919"/>
      <c r="AN2431" s="920"/>
      <c r="AO2431" s="409"/>
      <c r="AP2431" s="713"/>
      <c r="AQ2431" s="77"/>
      <c r="AR2431" s="38"/>
      <c r="AS2431" s="145"/>
      <c r="AT2431" s="406"/>
      <c r="AU2431" s="407"/>
      <c r="AV2431" s="16"/>
      <c r="AW2431" s="16"/>
      <c r="AX2431" s="19"/>
      <c r="AY2431" s="20"/>
      <c r="AZ2431" s="77"/>
      <c r="BA2431" s="38"/>
      <c r="BB2431" s="145"/>
      <c r="BC2431" s="80"/>
      <c r="BD2431" s="75"/>
      <c r="BE2431" s="208"/>
      <c r="BF2431" s="16"/>
      <c r="BG2431" s="19"/>
      <c r="BH2431" s="20"/>
      <c r="BI2431" s="77"/>
      <c r="BJ2431" s="38"/>
      <c r="BK2431" s="145"/>
      <c r="BL2431" s="80"/>
      <c r="BM2431" s="75"/>
      <c r="BN2431" s="208"/>
      <c r="BO2431" s="16"/>
      <c r="BP2431" s="19"/>
      <c r="BQ2431" s="20"/>
      <c r="BR2431" s="188"/>
      <c r="BS2431" s="38"/>
      <c r="BT2431" s="32"/>
      <c r="BU2431" s="80"/>
      <c r="BV2431" s="215"/>
      <c r="BX2431" s="321"/>
      <c r="BY2431" s="38"/>
    </row>
    <row r="2432" spans="1:77" ht="15" customHeight="1" x14ac:dyDescent="0.2">
      <c r="A2432" s="56" t="s">
        <v>43</v>
      </c>
      <c r="B2432" s="56"/>
      <c r="C2432" s="107" t="s">
        <v>2117</v>
      </c>
      <c r="D2432" s="544">
        <v>42</v>
      </c>
      <c r="E2432" s="107" t="s">
        <v>631</v>
      </c>
      <c r="F2432" s="362"/>
      <c r="G2432" s="62"/>
      <c r="H2432" s="68"/>
      <c r="I2432" s="74"/>
      <c r="J2432" s="68"/>
      <c r="K2432" s="69"/>
      <c r="L2432" s="74"/>
      <c r="M2432" s="68"/>
      <c r="N2432" s="376"/>
      <c r="O2432" s="923">
        <v>2012</v>
      </c>
      <c r="P2432" s="68"/>
      <c r="Q2432" s="927">
        <v>2.6398999999999999E-2</v>
      </c>
      <c r="R2432" s="923"/>
      <c r="S2432" s="68"/>
      <c r="T2432" s="927"/>
      <c r="U2432" s="68"/>
      <c r="V2432" s="68"/>
      <c r="W2432" s="769">
        <f t="shared" si="2150"/>
        <v>2.1119199999999999E-5</v>
      </c>
      <c r="X2432" s="770">
        <f t="shared" si="2151"/>
        <v>2.1119199999999999E-5</v>
      </c>
      <c r="Y2432" s="188">
        <v>2012</v>
      </c>
      <c r="Z2432" s="38"/>
      <c r="AA2432" s="765">
        <f t="shared" si="2152"/>
        <v>2.6398999999999999E-5</v>
      </c>
      <c r="AB2432" s="80">
        <v>-0.2</v>
      </c>
      <c r="AC2432" s="209">
        <f t="shared" si="2153"/>
        <v>-0.2</v>
      </c>
      <c r="AD2432" s="676"/>
      <c r="AE2432" s="16"/>
      <c r="AF2432" s="21"/>
      <c r="AG2432" s="22"/>
      <c r="AH2432" s="77"/>
      <c r="AI2432" s="38"/>
      <c r="AJ2432" s="145"/>
      <c r="AK2432" s="406"/>
      <c r="AL2432" s="407"/>
      <c r="AM2432" s="919"/>
      <c r="AN2432" s="920"/>
      <c r="AO2432" s="409"/>
      <c r="AP2432" s="713"/>
      <c r="AQ2432" s="77"/>
      <c r="AR2432" s="38"/>
      <c r="AS2432" s="145"/>
      <c r="AT2432" s="406"/>
      <c r="AU2432" s="407"/>
      <c r="AV2432" s="16"/>
      <c r="AW2432" s="16"/>
      <c r="AX2432" s="19"/>
      <c r="AY2432" s="20"/>
      <c r="AZ2432" s="77"/>
      <c r="BA2432" s="38"/>
      <c r="BB2432" s="145"/>
      <c r="BC2432" s="80"/>
      <c r="BD2432" s="75"/>
      <c r="BE2432" s="208"/>
      <c r="BF2432" s="16"/>
      <c r="BG2432" s="19"/>
      <c r="BH2432" s="20"/>
      <c r="BI2432" s="77"/>
      <c r="BJ2432" s="38"/>
      <c r="BK2432" s="145"/>
      <c r="BL2432" s="80"/>
      <c r="BM2432" s="75"/>
      <c r="BN2432" s="208"/>
      <c r="BO2432" s="16"/>
      <c r="BP2432" s="19"/>
      <c r="BQ2432" s="20"/>
      <c r="BR2432" s="188"/>
      <c r="BS2432" s="38"/>
      <c r="BT2432" s="32"/>
      <c r="BU2432" s="80"/>
      <c r="BV2432" s="215"/>
      <c r="BX2432" s="321"/>
      <c r="BY2432" s="38"/>
    </row>
    <row r="2433" spans="1:77" ht="15" customHeight="1" x14ac:dyDescent="0.2">
      <c r="A2433" s="56" t="s">
        <v>43</v>
      </c>
      <c r="B2433" s="56"/>
      <c r="C2433" s="107" t="s">
        <v>2118</v>
      </c>
      <c r="D2433" s="544">
        <v>18.236999999999998</v>
      </c>
      <c r="E2433" s="107" t="s">
        <v>631</v>
      </c>
      <c r="F2433" s="362"/>
      <c r="G2433" s="62"/>
      <c r="H2433" s="68"/>
      <c r="I2433" s="74"/>
      <c r="J2433" s="68"/>
      <c r="K2433" s="69"/>
      <c r="L2433" s="74"/>
      <c r="M2433" s="68"/>
      <c r="N2433" s="376"/>
      <c r="O2433" s="923">
        <v>2011</v>
      </c>
      <c r="P2433" s="68"/>
      <c r="Q2433" s="927">
        <v>8.94E-3</v>
      </c>
      <c r="R2433" s="923"/>
      <c r="S2433" s="68"/>
      <c r="T2433" s="927"/>
      <c r="U2433" s="68"/>
      <c r="V2433" s="68"/>
      <c r="W2433" s="769">
        <f t="shared" si="2150"/>
        <v>7.1520000000000012E-6</v>
      </c>
      <c r="X2433" s="770">
        <f t="shared" si="2151"/>
        <v>7.1520000000000012E-6</v>
      </c>
      <c r="Y2433" s="188">
        <v>2011</v>
      </c>
      <c r="Z2433" s="38"/>
      <c r="AA2433" s="765">
        <f t="shared" si="2152"/>
        <v>8.9400000000000008E-6</v>
      </c>
      <c r="AB2433" s="80">
        <v>-0.2</v>
      </c>
      <c r="AC2433" s="209">
        <f t="shared" si="2153"/>
        <v>-0.2</v>
      </c>
      <c r="AD2433" s="676"/>
      <c r="AE2433" s="16"/>
      <c r="AF2433" s="21"/>
      <c r="AG2433" s="22"/>
      <c r="AH2433" s="77"/>
      <c r="AI2433" s="38"/>
      <c r="AJ2433" s="145"/>
      <c r="AK2433" s="406"/>
      <c r="AL2433" s="407"/>
      <c r="AM2433" s="919"/>
      <c r="AN2433" s="920"/>
      <c r="AO2433" s="409"/>
      <c r="AP2433" s="713"/>
      <c r="AQ2433" s="77"/>
      <c r="AR2433" s="38"/>
      <c r="AS2433" s="145"/>
      <c r="AT2433" s="406"/>
      <c r="AU2433" s="407"/>
      <c r="AV2433" s="16"/>
      <c r="AW2433" s="16"/>
      <c r="AX2433" s="19"/>
      <c r="AY2433" s="20"/>
      <c r="AZ2433" s="77"/>
      <c r="BA2433" s="38"/>
      <c r="BB2433" s="145"/>
      <c r="BC2433" s="80"/>
      <c r="BD2433" s="75"/>
      <c r="BE2433" s="208"/>
      <c r="BF2433" s="16"/>
      <c r="BG2433" s="19"/>
      <c r="BH2433" s="20"/>
      <c r="BI2433" s="77"/>
      <c r="BJ2433" s="38"/>
      <c r="BK2433" s="145"/>
      <c r="BL2433" s="80"/>
      <c r="BM2433" s="75"/>
      <c r="BN2433" s="208"/>
      <c r="BO2433" s="16"/>
      <c r="BP2433" s="19"/>
      <c r="BQ2433" s="20"/>
      <c r="BR2433" s="188"/>
      <c r="BS2433" s="38"/>
      <c r="BT2433" s="32"/>
      <c r="BU2433" s="80"/>
      <c r="BV2433" s="215"/>
      <c r="BX2433" s="321"/>
      <c r="BY2433" s="38"/>
    </row>
    <row r="2434" spans="1:77" ht="15" customHeight="1" x14ac:dyDescent="0.2">
      <c r="A2434" s="56" t="s">
        <v>43</v>
      </c>
      <c r="B2434" s="56"/>
      <c r="C2434" s="107" t="s">
        <v>2119</v>
      </c>
      <c r="D2434" s="544">
        <v>1.7</v>
      </c>
      <c r="E2434" s="107" t="s">
        <v>631</v>
      </c>
      <c r="F2434" s="362"/>
      <c r="G2434" s="62"/>
      <c r="H2434" s="68"/>
      <c r="I2434" s="74"/>
      <c r="J2434" s="68"/>
      <c r="K2434" s="69"/>
      <c r="L2434" s="74"/>
      <c r="M2434" s="68"/>
      <c r="N2434" s="376"/>
      <c r="O2434" s="923">
        <v>2011</v>
      </c>
      <c r="P2434" s="68"/>
      <c r="Q2434" s="928">
        <v>2.2360000000000001E-3</v>
      </c>
      <c r="R2434" s="923"/>
      <c r="S2434" s="68"/>
      <c r="T2434" s="928"/>
      <c r="U2434" s="68"/>
      <c r="V2434" s="68"/>
      <c r="W2434" s="769">
        <f t="shared" si="2150"/>
        <v>1.7888000000000003E-6</v>
      </c>
      <c r="X2434" s="770">
        <f t="shared" si="2151"/>
        <v>1.7888000000000003E-6</v>
      </c>
      <c r="Y2434" s="188">
        <v>2011</v>
      </c>
      <c r="Z2434" s="38"/>
      <c r="AA2434" s="765">
        <f t="shared" si="2152"/>
        <v>2.2360000000000003E-6</v>
      </c>
      <c r="AB2434" s="80">
        <v>-0.2</v>
      </c>
      <c r="AC2434" s="209">
        <f t="shared" si="2153"/>
        <v>-0.2</v>
      </c>
      <c r="AD2434" s="676"/>
      <c r="AE2434" s="16"/>
      <c r="AF2434" s="21"/>
      <c r="AG2434" s="22"/>
      <c r="AH2434" s="77"/>
      <c r="AI2434" s="38"/>
      <c r="AJ2434" s="145"/>
      <c r="AK2434" s="406"/>
      <c r="AL2434" s="407"/>
      <c r="AM2434" s="919"/>
      <c r="AN2434" s="920"/>
      <c r="AO2434" s="409"/>
      <c r="AP2434" s="713"/>
      <c r="AQ2434" s="77"/>
      <c r="AR2434" s="38"/>
      <c r="AS2434" s="145"/>
      <c r="AT2434" s="406"/>
      <c r="AU2434" s="407"/>
      <c r="AV2434" s="16"/>
      <c r="AW2434" s="16"/>
      <c r="AX2434" s="19"/>
      <c r="AY2434" s="20"/>
      <c r="AZ2434" s="77"/>
      <c r="BA2434" s="38"/>
      <c r="BB2434" s="145"/>
      <c r="BC2434" s="80"/>
      <c r="BD2434" s="75"/>
      <c r="BE2434" s="208"/>
      <c r="BF2434" s="16"/>
      <c r="BG2434" s="19"/>
      <c r="BH2434" s="20"/>
      <c r="BI2434" s="77"/>
      <c r="BJ2434" s="38"/>
      <c r="BK2434" s="145"/>
      <c r="BL2434" s="80"/>
      <c r="BM2434" s="75"/>
      <c r="BN2434" s="208"/>
      <c r="BO2434" s="16"/>
      <c r="BP2434" s="19"/>
      <c r="BQ2434" s="20"/>
      <c r="BR2434" s="188"/>
      <c r="BS2434" s="38"/>
      <c r="BT2434" s="32"/>
      <c r="BU2434" s="80"/>
      <c r="BV2434" s="215"/>
      <c r="BX2434" s="321"/>
      <c r="BY2434" s="38"/>
    </row>
    <row r="2435" spans="1:77" ht="15" customHeight="1" x14ac:dyDescent="0.2">
      <c r="A2435" s="56" t="s">
        <v>43</v>
      </c>
      <c r="B2435" s="56"/>
      <c r="C2435" s="107" t="s">
        <v>2609</v>
      </c>
      <c r="D2435" s="544">
        <v>86</v>
      </c>
      <c r="E2435" s="107" t="s">
        <v>631</v>
      </c>
      <c r="F2435" s="362"/>
      <c r="G2435" s="62"/>
      <c r="H2435" s="68"/>
      <c r="I2435" s="74"/>
      <c r="J2435" s="68"/>
      <c r="K2435" s="69"/>
      <c r="L2435" s="74"/>
      <c r="M2435" s="68"/>
      <c r="N2435" s="376"/>
      <c r="O2435" s="923">
        <v>2014</v>
      </c>
      <c r="P2435" s="68"/>
      <c r="Q2435" s="928">
        <v>4.9860000000000002E-2</v>
      </c>
      <c r="R2435" s="923"/>
      <c r="S2435" s="68"/>
      <c r="T2435" s="928"/>
      <c r="U2435" s="68"/>
      <c r="V2435" s="68"/>
      <c r="W2435" s="769">
        <f t="shared" ref="W2435" si="2154">AA2435*(1+AB2435)</f>
        <v>3.9888000000000002E-5</v>
      </c>
      <c r="X2435" s="770">
        <f t="shared" ref="X2435" si="2155">AA2435*(1+AC2435)</f>
        <v>3.9888000000000002E-5</v>
      </c>
      <c r="Y2435" s="188">
        <v>2014</v>
      </c>
      <c r="Z2435" s="38"/>
      <c r="AA2435" s="765">
        <f t="shared" ref="AA2435" si="2156">Q2435/1000</f>
        <v>4.986E-5</v>
      </c>
      <c r="AB2435" s="80">
        <v>-0.2</v>
      </c>
      <c r="AC2435" s="209">
        <f t="shared" ref="AC2435" si="2157">AB2435</f>
        <v>-0.2</v>
      </c>
      <c r="AD2435" s="676"/>
      <c r="AE2435" s="16"/>
      <c r="AF2435" s="21"/>
      <c r="AG2435" s="22"/>
      <c r="AH2435" s="77"/>
      <c r="AI2435" s="38"/>
      <c r="AJ2435" s="145"/>
      <c r="AK2435" s="406"/>
      <c r="AL2435" s="407"/>
      <c r="AM2435" s="919"/>
      <c r="AN2435" s="920"/>
      <c r="AO2435" s="409"/>
      <c r="AP2435" s="713"/>
      <c r="AQ2435" s="77"/>
      <c r="AR2435" s="38"/>
      <c r="AS2435" s="145"/>
      <c r="AT2435" s="406"/>
      <c r="AU2435" s="407"/>
      <c r="AV2435" s="16"/>
      <c r="AW2435" s="16"/>
      <c r="AX2435" s="19"/>
      <c r="AY2435" s="20"/>
      <c r="AZ2435" s="77"/>
      <c r="BA2435" s="38"/>
      <c r="BB2435" s="145"/>
      <c r="BC2435" s="80"/>
      <c r="BD2435" s="75"/>
      <c r="BE2435" s="208"/>
      <c r="BF2435" s="16"/>
      <c r="BG2435" s="19"/>
      <c r="BH2435" s="20"/>
      <c r="BI2435" s="77"/>
      <c r="BJ2435" s="38"/>
      <c r="BK2435" s="145"/>
      <c r="BL2435" s="80"/>
      <c r="BM2435" s="75"/>
      <c r="BN2435" s="208"/>
      <c r="BO2435" s="16"/>
      <c r="BP2435" s="19"/>
      <c r="BQ2435" s="20"/>
      <c r="BR2435" s="188"/>
      <c r="BS2435" s="38"/>
      <c r="BT2435" s="32"/>
      <c r="BU2435" s="80"/>
      <c r="BV2435" s="215"/>
      <c r="BX2435" s="321"/>
      <c r="BY2435" s="38"/>
    </row>
    <row r="2436" spans="1:77" ht="15" customHeight="1" x14ac:dyDescent="0.2">
      <c r="A2436" s="56" t="s">
        <v>43</v>
      </c>
      <c r="B2436" s="56"/>
      <c r="C2436" s="107" t="s">
        <v>2120</v>
      </c>
      <c r="D2436" s="544">
        <v>5</v>
      </c>
      <c r="E2436" s="107" t="s">
        <v>631</v>
      </c>
      <c r="F2436" s="362"/>
      <c r="G2436" s="62"/>
      <c r="H2436" s="68"/>
      <c r="I2436" s="74"/>
      <c r="J2436" s="68"/>
      <c r="K2436" s="69"/>
      <c r="L2436" s="74"/>
      <c r="M2436" s="68"/>
      <c r="N2436" s="376"/>
      <c r="O2436" s="923">
        <v>2011</v>
      </c>
      <c r="P2436" s="68"/>
      <c r="Q2436" s="928">
        <v>7.463E-3</v>
      </c>
      <c r="R2436" s="923"/>
      <c r="S2436" s="68"/>
      <c r="T2436" s="928"/>
      <c r="U2436" s="68"/>
      <c r="V2436" s="68"/>
      <c r="W2436" s="769">
        <f t="shared" si="2150"/>
        <v>5.9704000000000005E-6</v>
      </c>
      <c r="X2436" s="770">
        <f t="shared" si="2151"/>
        <v>5.9704000000000005E-6</v>
      </c>
      <c r="Y2436" s="188">
        <v>2011</v>
      </c>
      <c r="Z2436" s="38"/>
      <c r="AA2436" s="765">
        <f t="shared" si="2152"/>
        <v>7.4630000000000004E-6</v>
      </c>
      <c r="AB2436" s="80">
        <v>-0.2</v>
      </c>
      <c r="AC2436" s="209">
        <f t="shared" si="2153"/>
        <v>-0.2</v>
      </c>
      <c r="AD2436" s="676"/>
      <c r="AE2436" s="16"/>
      <c r="AF2436" s="21"/>
      <c r="AG2436" s="22"/>
      <c r="AH2436" s="77"/>
      <c r="AI2436" s="38"/>
      <c r="AJ2436" s="145"/>
      <c r="AK2436" s="406"/>
      <c r="AL2436" s="407"/>
      <c r="AM2436" s="919"/>
      <c r="AN2436" s="920"/>
      <c r="AO2436" s="409"/>
      <c r="AP2436" s="713"/>
      <c r="AQ2436" s="77"/>
      <c r="AR2436" s="38"/>
      <c r="AS2436" s="145"/>
      <c r="AT2436" s="406"/>
      <c r="AU2436" s="407"/>
      <c r="AV2436" s="16"/>
      <c r="AW2436" s="16"/>
      <c r="AX2436" s="19"/>
      <c r="AY2436" s="20"/>
      <c r="AZ2436" s="77"/>
      <c r="BA2436" s="38"/>
      <c r="BB2436" s="145"/>
      <c r="BC2436" s="80"/>
      <c r="BD2436" s="75"/>
      <c r="BE2436" s="208"/>
      <c r="BF2436" s="16"/>
      <c r="BG2436" s="19"/>
      <c r="BH2436" s="20"/>
      <c r="BI2436" s="77"/>
      <c r="BJ2436" s="38"/>
      <c r="BK2436" s="145"/>
      <c r="BL2436" s="80"/>
      <c r="BM2436" s="75"/>
      <c r="BN2436" s="208"/>
      <c r="BO2436" s="16"/>
      <c r="BP2436" s="19"/>
      <c r="BQ2436" s="20"/>
      <c r="BR2436" s="188"/>
      <c r="BS2436" s="38"/>
      <c r="BT2436" s="32"/>
      <c r="BU2436" s="80"/>
      <c r="BV2436" s="215"/>
      <c r="BX2436" s="321"/>
      <c r="BY2436" s="38"/>
    </row>
    <row r="2437" spans="1:77" ht="15" customHeight="1" x14ac:dyDescent="0.2">
      <c r="A2437" s="56" t="s">
        <v>43</v>
      </c>
      <c r="B2437" s="56"/>
      <c r="C2437" s="107" t="s">
        <v>2346</v>
      </c>
      <c r="D2437" s="544">
        <v>1077.4000000000001</v>
      </c>
      <c r="E2437" s="107" t="s">
        <v>631</v>
      </c>
      <c r="F2437" s="362"/>
      <c r="G2437" s="62"/>
      <c r="H2437" s="68"/>
      <c r="I2437" s="74"/>
      <c r="J2437" s="68"/>
      <c r="K2437" s="69"/>
      <c r="L2437" s="74"/>
      <c r="M2437" s="68"/>
      <c r="N2437" s="376"/>
      <c r="O2437" s="923">
        <v>2012</v>
      </c>
      <c r="P2437" s="68"/>
      <c r="Q2437" s="928">
        <v>0.91985700000000004</v>
      </c>
      <c r="R2437" s="923"/>
      <c r="S2437" s="68"/>
      <c r="T2437" s="928"/>
      <c r="U2437" s="68"/>
      <c r="V2437" s="68"/>
      <c r="W2437" s="89">
        <f t="shared" si="2150"/>
        <v>7.2668703000000005E-4</v>
      </c>
      <c r="X2437" s="87">
        <f t="shared" si="2151"/>
        <v>7.2668703000000005E-4</v>
      </c>
      <c r="Y2437" s="188">
        <v>2011</v>
      </c>
      <c r="Z2437" s="38"/>
      <c r="AA2437" s="564">
        <f t="shared" ref="AA2437" si="2158">Q2437/1000</f>
        <v>9.1985700000000005E-4</v>
      </c>
      <c r="AB2437" s="80">
        <v>-0.21</v>
      </c>
      <c r="AC2437" s="209">
        <f t="shared" ref="AC2437" si="2159">AB2437</f>
        <v>-0.21</v>
      </c>
      <c r="AD2437" s="676"/>
      <c r="AE2437" s="16"/>
      <c r="AF2437" s="21"/>
      <c r="AG2437" s="22"/>
      <c r="AH2437" s="77"/>
      <c r="AI2437" s="38"/>
      <c r="AJ2437" s="145"/>
      <c r="AK2437" s="406"/>
      <c r="AL2437" s="407"/>
      <c r="AM2437" s="919"/>
      <c r="AN2437" s="920"/>
      <c r="AO2437" s="409"/>
      <c r="AP2437" s="713"/>
      <c r="AQ2437" s="77"/>
      <c r="AR2437" s="38"/>
      <c r="AS2437" s="145"/>
      <c r="AT2437" s="406"/>
      <c r="AU2437" s="407"/>
      <c r="AV2437" s="16"/>
      <c r="AW2437" s="16"/>
      <c r="AX2437" s="19"/>
      <c r="AY2437" s="20"/>
      <c r="AZ2437" s="77"/>
      <c r="BA2437" s="38"/>
      <c r="BB2437" s="145"/>
      <c r="BC2437" s="80"/>
      <c r="BD2437" s="75"/>
      <c r="BE2437" s="208"/>
      <c r="BF2437" s="16"/>
      <c r="BG2437" s="19"/>
      <c r="BH2437" s="20"/>
      <c r="BI2437" s="77"/>
      <c r="BJ2437" s="38"/>
      <c r="BK2437" s="145"/>
      <c r="BL2437" s="80"/>
      <c r="BM2437" s="75"/>
      <c r="BN2437" s="208"/>
      <c r="BO2437" s="16"/>
      <c r="BP2437" s="19"/>
      <c r="BQ2437" s="20"/>
      <c r="BR2437" s="188"/>
      <c r="BS2437" s="38"/>
      <c r="BT2437" s="32"/>
      <c r="BU2437" s="80"/>
      <c r="BV2437" s="215"/>
      <c r="BX2437" s="321"/>
      <c r="BY2437" s="38"/>
    </row>
    <row r="2438" spans="1:77" ht="15" customHeight="1" x14ac:dyDescent="0.2">
      <c r="A2438" s="56" t="s">
        <v>44</v>
      </c>
      <c r="B2438" s="56" t="s">
        <v>1606</v>
      </c>
      <c r="C2438" s="56"/>
      <c r="D2438" s="544">
        <v>9094.7180000000008</v>
      </c>
      <c r="E2438" s="95" t="s">
        <v>3269</v>
      </c>
      <c r="F2438" s="373"/>
      <c r="G2438" s="121">
        <v>78.984999999999999</v>
      </c>
      <c r="H2438" s="93">
        <v>82.674999999999997</v>
      </c>
      <c r="I2438" s="114"/>
      <c r="J2438" s="93">
        <v>44.906999999999996</v>
      </c>
      <c r="K2438" s="346">
        <v>50.256</v>
      </c>
      <c r="L2438" s="565"/>
      <c r="M2438" s="93">
        <v>45.965000000000003</v>
      </c>
      <c r="N2438" s="93">
        <v>51.375</v>
      </c>
      <c r="O2438" s="1038"/>
      <c r="P2438" s="93">
        <v>54.186999999999998</v>
      </c>
      <c r="Q2438" s="378">
        <v>61.305999999999997</v>
      </c>
      <c r="R2438" s="1038">
        <v>2016</v>
      </c>
      <c r="S2438" s="93">
        <v>54.033000000000001</v>
      </c>
      <c r="T2438" s="378">
        <v>61.256999999999998</v>
      </c>
      <c r="U2438" s="68"/>
      <c r="V2438" s="68"/>
      <c r="W2438" s="27"/>
      <c r="X2438" s="28"/>
      <c r="Y2438" s="145"/>
      <c r="Z2438" s="38"/>
      <c r="AA2438" s="145"/>
      <c r="AB2438" s="80"/>
      <c r="AC2438" s="209"/>
      <c r="AE2438" s="16"/>
      <c r="AF2438" s="136"/>
      <c r="AG2438" s="59"/>
      <c r="AH2438" s="77"/>
      <c r="AI2438" s="38"/>
      <c r="AJ2438" s="145"/>
      <c r="AK2438" s="80"/>
      <c r="AL2438" s="215"/>
      <c r="AM2438" s="456"/>
      <c r="AN2438" s="387"/>
      <c r="AO2438" s="454">
        <f>+AR2438*(1+AT2438)</f>
        <v>5.1340250000000004E-2</v>
      </c>
      <c r="AP2438" s="439">
        <f>+AR2438*(1+AU2438)</f>
        <v>5.1340250000000004E-2</v>
      </c>
      <c r="AQ2438" s="440">
        <v>1990</v>
      </c>
      <c r="AR2438" s="424">
        <f>+G2438/1000</f>
        <v>7.8985E-2</v>
      </c>
      <c r="AS2438" s="453"/>
      <c r="AT2438" s="292">
        <v>-0.35</v>
      </c>
      <c r="AU2438" s="293">
        <v>-0.35</v>
      </c>
      <c r="AV2438" s="16"/>
      <c r="AW2438" s="16"/>
      <c r="AX2438" s="19"/>
      <c r="AY2438" s="20"/>
      <c r="AZ2438" s="77"/>
      <c r="BA2438" s="38"/>
      <c r="BB2438" s="145"/>
      <c r="BC2438" s="80"/>
      <c r="BD2438" s="75"/>
      <c r="BE2438" s="208"/>
      <c r="BF2438" s="16"/>
      <c r="BG2438" s="19"/>
      <c r="BH2438" s="20"/>
      <c r="BI2438" s="77"/>
      <c r="BJ2438" s="38"/>
      <c r="BK2438" s="145"/>
      <c r="BL2438" s="80"/>
      <c r="BM2438" s="75"/>
      <c r="BN2438" s="208"/>
      <c r="BO2438" s="16"/>
      <c r="BP2438" s="19"/>
      <c r="BQ2438" s="20"/>
      <c r="BR2438" s="32"/>
      <c r="BS2438" s="38"/>
      <c r="BT2438" s="145"/>
      <c r="BU2438" s="80"/>
      <c r="BV2438" s="215"/>
      <c r="BX2438" s="321"/>
      <c r="BY2438" s="38"/>
    </row>
    <row r="2439" spans="1:77" ht="15" customHeight="1" x14ac:dyDescent="0.2">
      <c r="A2439" s="56" t="s">
        <v>44</v>
      </c>
      <c r="B2439" s="56"/>
      <c r="C2439" s="107" t="s">
        <v>634</v>
      </c>
      <c r="D2439" s="544">
        <v>4</v>
      </c>
      <c r="E2439" s="107" t="s">
        <v>631</v>
      </c>
      <c r="F2439" s="362"/>
      <c r="G2439" s="62"/>
      <c r="H2439" s="68"/>
      <c r="I2439" s="74"/>
      <c r="J2439" s="68"/>
      <c r="K2439" s="68"/>
      <c r="L2439" s="74">
        <v>2011</v>
      </c>
      <c r="M2439" s="68"/>
      <c r="N2439" s="764">
        <v>2.7940999999999999E-3</v>
      </c>
      <c r="O2439" s="923"/>
      <c r="P2439" s="68"/>
      <c r="Q2439" s="764"/>
      <c r="R2439" s="923"/>
      <c r="S2439" s="68"/>
      <c r="T2439" s="764"/>
      <c r="U2439" s="68"/>
      <c r="V2439" s="68"/>
      <c r="W2439" s="766">
        <f t="shared" ref="W2439:W2452" si="2160">AA2439*(1+AB2439)</f>
        <v>2.2352800000000003E-6</v>
      </c>
      <c r="X2439" s="548">
        <f t="shared" ref="X2439:X2452" si="2161">AA2439*(1+AC2439)</f>
        <v>2.2352800000000003E-6</v>
      </c>
      <c r="Y2439" s="188">
        <v>2011</v>
      </c>
      <c r="Z2439" s="38"/>
      <c r="AA2439" s="765">
        <f>N2439/1000</f>
        <v>2.7941000000000001E-6</v>
      </c>
      <c r="AB2439" s="80">
        <v>-0.2</v>
      </c>
      <c r="AC2439" s="209">
        <f>AB2439</f>
        <v>-0.2</v>
      </c>
      <c r="AE2439" s="16"/>
      <c r="AF2439" s="136"/>
      <c r="AG2439" s="59"/>
      <c r="AH2439" s="77"/>
      <c r="AI2439" s="38"/>
      <c r="AJ2439" s="145"/>
      <c r="AK2439" s="80"/>
      <c r="AL2439" s="215"/>
      <c r="AM2439" s="456"/>
      <c r="AN2439" s="387"/>
      <c r="AO2439" s="454"/>
      <c r="AP2439" s="439"/>
      <c r="AQ2439" s="440"/>
      <c r="AR2439" s="424"/>
      <c r="AS2439" s="453"/>
      <c r="AT2439" s="292"/>
      <c r="AU2439" s="293"/>
      <c r="AV2439" s="16"/>
      <c r="AW2439" s="16"/>
      <c r="AX2439" s="19"/>
      <c r="AY2439" s="20"/>
      <c r="AZ2439" s="77"/>
      <c r="BA2439" s="38"/>
      <c r="BB2439" s="145"/>
      <c r="BC2439" s="80"/>
      <c r="BD2439" s="75"/>
      <c r="BE2439" s="208"/>
      <c r="BF2439" s="16"/>
      <c r="BG2439" s="19"/>
      <c r="BH2439" s="20"/>
      <c r="BI2439" s="77"/>
      <c r="BJ2439" s="38"/>
      <c r="BK2439" s="145"/>
      <c r="BL2439" s="80"/>
      <c r="BM2439" s="75"/>
      <c r="BN2439" s="208"/>
      <c r="BO2439" s="16"/>
      <c r="BP2439" s="19"/>
      <c r="BQ2439" s="20"/>
      <c r="BR2439" s="32"/>
      <c r="BS2439" s="38"/>
      <c r="BT2439" s="145"/>
      <c r="BU2439" s="80"/>
      <c r="BV2439" s="215"/>
      <c r="BX2439" s="321"/>
      <c r="BY2439" s="38"/>
    </row>
    <row r="2440" spans="1:77" ht="15" customHeight="1" x14ac:dyDescent="0.2">
      <c r="A2440" s="56" t="s">
        <v>5</v>
      </c>
      <c r="B2440" s="56" t="s">
        <v>1606</v>
      </c>
      <c r="C2440" s="56"/>
      <c r="D2440" s="544">
        <v>9491.07</v>
      </c>
      <c r="E2440" s="624" t="s">
        <v>3200</v>
      </c>
      <c r="F2440" s="602"/>
      <c r="G2440" s="62">
        <v>118.169</v>
      </c>
      <c r="H2440" s="61">
        <v>139.274</v>
      </c>
      <c r="I2440" s="608"/>
      <c r="J2440" s="62">
        <v>59.139000000000003</v>
      </c>
      <c r="K2440" s="62">
        <v>88.283000000000001</v>
      </c>
      <c r="L2440" s="608"/>
      <c r="M2440" s="62">
        <v>53.64</v>
      </c>
      <c r="N2440" s="62">
        <v>93.766000000000005</v>
      </c>
      <c r="O2440" s="603">
        <v>2017</v>
      </c>
      <c r="P2440" s="62">
        <v>80.659000000000006</v>
      </c>
      <c r="Q2440" s="355">
        <v>93.96</v>
      </c>
      <c r="R2440" s="603">
        <v>2017</v>
      </c>
      <c r="S2440" s="62">
        <v>80.659000000000006</v>
      </c>
      <c r="T2440" s="355">
        <v>93.96</v>
      </c>
      <c r="U2440" s="62">
        <v>106</v>
      </c>
      <c r="V2440" s="61">
        <v>106</v>
      </c>
      <c r="W2440" s="19">
        <f t="shared" si="2160"/>
        <v>0.13231029999999999</v>
      </c>
      <c r="X2440" s="20">
        <f t="shared" si="2161"/>
        <v>0.1253466</v>
      </c>
      <c r="Y2440" s="50">
        <v>1990</v>
      </c>
      <c r="Z2440" s="50"/>
      <c r="AA2440" s="40">
        <f>+H2440/1000</f>
        <v>0.13927400000000001</v>
      </c>
      <c r="AB2440" s="395">
        <v>-0.05</v>
      </c>
      <c r="AC2440" s="443">
        <v>-0.1</v>
      </c>
      <c r="AD2440" s="16"/>
      <c r="AE2440" s="16"/>
      <c r="AF2440" s="170"/>
      <c r="AG2440" s="86"/>
      <c r="AH2440" s="272"/>
      <c r="AI2440" s="50"/>
      <c r="AJ2440" s="40"/>
      <c r="AK2440" s="156"/>
      <c r="AL2440" s="284"/>
      <c r="AM2440" s="919"/>
      <c r="AN2440" s="920"/>
      <c r="AO2440" s="1371">
        <f>+AS2440*(1+AT2440)</f>
        <v>7.6809849999999999E-2</v>
      </c>
      <c r="AP2440" s="1372">
        <f>+AS2440*(1+AU2440)</f>
        <v>7.0901399999999989E-2</v>
      </c>
      <c r="AQ2440" s="1373">
        <v>1990</v>
      </c>
      <c r="AR2440" s="1374"/>
      <c r="AS2440" s="1375">
        <f>+G2440/1000</f>
        <v>0.118169</v>
      </c>
      <c r="AT2440" s="1341">
        <v>-0.35</v>
      </c>
      <c r="AU2440" s="694">
        <v>-0.4</v>
      </c>
      <c r="AV2440" s="16"/>
      <c r="AW2440" s="16"/>
      <c r="AX2440" s="170"/>
      <c r="AY2440" s="86"/>
      <c r="AZ2440" s="272"/>
      <c r="BA2440" s="50"/>
      <c r="BB2440" s="31"/>
      <c r="BC2440" s="156"/>
      <c r="BD2440" s="341"/>
      <c r="BE2440" s="208"/>
      <c r="BF2440" s="16"/>
      <c r="BG2440" s="170"/>
      <c r="BH2440" s="86"/>
      <c r="BI2440" s="272"/>
      <c r="BJ2440" s="50"/>
      <c r="BK2440" s="31"/>
      <c r="BL2440" s="156"/>
      <c r="BM2440" s="341"/>
      <c r="BN2440" s="208"/>
      <c r="BO2440" s="16"/>
      <c r="BP2440" s="170"/>
      <c r="BQ2440" s="86"/>
      <c r="BR2440" s="50"/>
      <c r="BS2440" s="50"/>
      <c r="BT2440" s="31"/>
      <c r="BU2440" s="43"/>
      <c r="BV2440" s="209"/>
      <c r="BW2440" s="141" t="s">
        <v>258</v>
      </c>
      <c r="BX2440" s="311"/>
      <c r="BY2440" s="137" t="s">
        <v>225</v>
      </c>
    </row>
    <row r="2441" spans="1:77" ht="15" customHeight="1" x14ac:dyDescent="0.2">
      <c r="A2441" s="56" t="s">
        <v>5</v>
      </c>
      <c r="B2441" s="56"/>
      <c r="C2441" s="107" t="s">
        <v>641</v>
      </c>
      <c r="D2441" s="544">
        <v>31.872</v>
      </c>
      <c r="E2441" s="107" t="s">
        <v>631</v>
      </c>
      <c r="F2441" s="602"/>
      <c r="G2441" s="62"/>
      <c r="H2441" s="62"/>
      <c r="I2441" s="608"/>
      <c r="J2441" s="62"/>
      <c r="K2441" s="62"/>
      <c r="L2441" s="608">
        <v>2011</v>
      </c>
      <c r="M2441" s="62"/>
      <c r="N2441" s="355">
        <v>7.0324999999999999E-2</v>
      </c>
      <c r="O2441" s="603"/>
      <c r="P2441" s="62"/>
      <c r="Q2441" s="355"/>
      <c r="R2441" s="603"/>
      <c r="S2441" s="62"/>
      <c r="T2441" s="355"/>
      <c r="U2441" s="62"/>
      <c r="V2441" s="62"/>
      <c r="W2441" s="23">
        <f t="shared" si="2160"/>
        <v>3.6857332500000003E-5</v>
      </c>
      <c r="X2441" s="24">
        <f t="shared" si="2161"/>
        <v>3.6857332500000003E-5</v>
      </c>
      <c r="Y2441" s="53">
        <v>2011</v>
      </c>
      <c r="Z2441" s="53"/>
      <c r="AA2441" s="36">
        <f t="shared" ref="AA2441:AA2452" si="2162">N2441/1000</f>
        <v>7.0325000000000002E-5</v>
      </c>
      <c r="AB2441" s="396">
        <v>-0.47589999999999999</v>
      </c>
      <c r="AC2441" s="693">
        <f t="shared" ref="AC2441:AC2452" si="2163">AB2441</f>
        <v>-0.47589999999999999</v>
      </c>
      <c r="AD2441" s="16"/>
      <c r="AE2441" s="16"/>
      <c r="AF2441" s="170"/>
      <c r="AG2441" s="86"/>
      <c r="AH2441" s="272"/>
      <c r="AI2441" s="50"/>
      <c r="AJ2441" s="40"/>
      <c r="AK2441" s="156"/>
      <c r="AL2441" s="284"/>
      <c r="AM2441" s="208"/>
      <c r="AN2441" s="16"/>
      <c r="AO2441" s="388"/>
      <c r="AP2441" s="389"/>
      <c r="AQ2441" s="390"/>
      <c r="AR2441" s="50"/>
      <c r="AS2441" s="392"/>
      <c r="AT2441" s="156"/>
      <c r="AU2441" s="284"/>
      <c r="AV2441" s="16"/>
      <c r="AW2441" s="16"/>
      <c r="AX2441" s="170"/>
      <c r="AY2441" s="86"/>
      <c r="AZ2441" s="272"/>
      <c r="BA2441" s="50"/>
      <c r="BB2441" s="31"/>
      <c r="BC2441" s="156"/>
      <c r="BD2441" s="341"/>
      <c r="BE2441" s="208"/>
      <c r="BF2441" s="16"/>
      <c r="BG2441" s="170"/>
      <c r="BH2441" s="86"/>
      <c r="BI2441" s="272"/>
      <c r="BJ2441" s="50"/>
      <c r="BK2441" s="31"/>
      <c r="BL2441" s="156"/>
      <c r="BM2441" s="341"/>
      <c r="BN2441" s="208"/>
      <c r="BO2441" s="16"/>
      <c r="BP2441" s="170"/>
      <c r="BQ2441" s="86"/>
      <c r="BR2441" s="50"/>
      <c r="BS2441" s="50"/>
      <c r="BT2441" s="31"/>
      <c r="BU2441" s="43"/>
      <c r="BV2441" s="209"/>
      <c r="BW2441" s="141" t="s">
        <v>637</v>
      </c>
      <c r="BX2441" s="311"/>
      <c r="BY2441" s="137"/>
    </row>
    <row r="2442" spans="1:77" ht="15" customHeight="1" x14ac:dyDescent="0.2">
      <c r="A2442" s="56" t="s">
        <v>5</v>
      </c>
      <c r="B2442" s="56"/>
      <c r="C2442" s="107" t="s">
        <v>2349</v>
      </c>
      <c r="D2442" s="544">
        <v>64.271000000000001</v>
      </c>
      <c r="E2442" s="107" t="s">
        <v>631</v>
      </c>
      <c r="F2442" s="602"/>
      <c r="G2442" s="62"/>
      <c r="H2442" s="62"/>
      <c r="I2442" s="608"/>
      <c r="J2442" s="62"/>
      <c r="K2442" s="62"/>
      <c r="L2442" s="608"/>
      <c r="M2442" s="62"/>
      <c r="N2442" s="355">
        <v>0.16031400000000001</v>
      </c>
      <c r="O2442" s="603"/>
      <c r="P2442" s="62"/>
      <c r="Q2442" s="355"/>
      <c r="R2442" s="603"/>
      <c r="S2442" s="62"/>
      <c r="T2442" s="355"/>
      <c r="U2442" s="62"/>
      <c r="V2442" s="62"/>
      <c r="W2442" s="89">
        <f t="shared" ref="W2442" si="2164">AA2442*(1+AB2442)</f>
        <v>1.2825120000000003E-4</v>
      </c>
      <c r="X2442" s="87">
        <f t="shared" ref="X2442" si="2165">AA2442*(1+AC2442)</f>
        <v>1.2825120000000003E-4</v>
      </c>
      <c r="Y2442" s="53">
        <v>2013</v>
      </c>
      <c r="Z2442" s="53"/>
      <c r="AA2442" s="88">
        <f t="shared" ref="AA2442" si="2166">N2442/1000</f>
        <v>1.6031400000000002E-4</v>
      </c>
      <c r="AB2442" s="395">
        <v>-0.2</v>
      </c>
      <c r="AC2442" s="443">
        <f t="shared" ref="AC2442" si="2167">AB2442</f>
        <v>-0.2</v>
      </c>
      <c r="AD2442" s="16"/>
      <c r="AE2442" s="16"/>
      <c r="AF2442" s="170"/>
      <c r="AG2442" s="86"/>
      <c r="AH2442" s="272"/>
      <c r="AI2442" s="50"/>
      <c r="AJ2442" s="40"/>
      <c r="AK2442" s="156"/>
      <c r="AL2442" s="284"/>
      <c r="AM2442" s="208"/>
      <c r="AN2442" s="16"/>
      <c r="AO2442" s="388"/>
      <c r="AP2442" s="389"/>
      <c r="AQ2442" s="390"/>
      <c r="AR2442" s="50"/>
      <c r="AS2442" s="392"/>
      <c r="AT2442" s="156"/>
      <c r="AU2442" s="284"/>
      <c r="AV2442" s="16"/>
      <c r="AW2442" s="16"/>
      <c r="AX2442" s="170"/>
      <c r="AY2442" s="86"/>
      <c r="AZ2442" s="272"/>
      <c r="BA2442" s="50"/>
      <c r="BB2442" s="31"/>
      <c r="BC2442" s="156"/>
      <c r="BD2442" s="341"/>
      <c r="BE2442" s="208"/>
      <c r="BF2442" s="16"/>
      <c r="BG2442" s="170"/>
      <c r="BH2442" s="86"/>
      <c r="BI2442" s="272"/>
      <c r="BJ2442" s="50"/>
      <c r="BK2442" s="31"/>
      <c r="BL2442" s="156"/>
      <c r="BM2442" s="341"/>
      <c r="BN2442" s="208"/>
      <c r="BO2442" s="16"/>
      <c r="BP2442" s="170"/>
      <c r="BQ2442" s="86"/>
      <c r="BR2442" s="50"/>
      <c r="BS2442" s="50"/>
      <c r="BT2442" s="31"/>
      <c r="BU2442" s="43"/>
      <c r="BV2442" s="209"/>
      <c r="BW2442" s="141"/>
      <c r="BX2442" s="311"/>
      <c r="BY2442" s="137"/>
    </row>
    <row r="2443" spans="1:77" ht="15" customHeight="1" x14ac:dyDescent="0.2">
      <c r="A2443" s="56" t="s">
        <v>5</v>
      </c>
      <c r="B2443" s="56"/>
      <c r="C2443" s="107" t="s">
        <v>636</v>
      </c>
      <c r="D2443" s="544">
        <v>29</v>
      </c>
      <c r="E2443" s="107" t="s">
        <v>631</v>
      </c>
      <c r="F2443" s="602"/>
      <c r="G2443" s="62"/>
      <c r="H2443" s="62"/>
      <c r="I2443" s="608"/>
      <c r="J2443" s="62"/>
      <c r="K2443" s="62"/>
      <c r="L2443" s="608"/>
      <c r="M2443" s="62"/>
      <c r="N2443" s="355"/>
      <c r="O2443" s="603">
        <v>2013</v>
      </c>
      <c r="P2443" s="62"/>
      <c r="Q2443" s="355">
        <v>8.9547000000000002E-2</v>
      </c>
      <c r="R2443" s="603"/>
      <c r="S2443" s="62"/>
      <c r="T2443" s="355"/>
      <c r="U2443" s="62"/>
      <c r="V2443" s="62"/>
      <c r="W2443" s="674">
        <f t="shared" si="2160"/>
        <v>6.7160250000000005E-5</v>
      </c>
      <c r="X2443" s="675">
        <f t="shared" si="2161"/>
        <v>6.7160250000000005E-5</v>
      </c>
      <c r="Y2443" s="53">
        <v>2013</v>
      </c>
      <c r="Z2443" s="53"/>
      <c r="AA2443" s="767">
        <f>Q2443/1000</f>
        <v>8.9547000000000002E-5</v>
      </c>
      <c r="AB2443" s="395">
        <v>-0.25</v>
      </c>
      <c r="AC2443" s="443">
        <f t="shared" si="2163"/>
        <v>-0.25</v>
      </c>
      <c r="AD2443" s="16"/>
      <c r="AE2443" s="16"/>
      <c r="AF2443" s="170"/>
      <c r="AG2443" s="86"/>
      <c r="AH2443" s="272"/>
      <c r="AI2443" s="50"/>
      <c r="AJ2443" s="40"/>
      <c r="AK2443" s="156"/>
      <c r="AL2443" s="284"/>
      <c r="AM2443" s="208"/>
      <c r="AN2443" s="16"/>
      <c r="AO2443" s="388"/>
      <c r="AP2443" s="389"/>
      <c r="AQ2443" s="390"/>
      <c r="AR2443" s="50"/>
      <c r="AS2443" s="392"/>
      <c r="AT2443" s="156"/>
      <c r="AU2443" s="284"/>
      <c r="AV2443" s="16"/>
      <c r="AW2443" s="16"/>
      <c r="AX2443" s="170"/>
      <c r="AY2443" s="86"/>
      <c r="AZ2443" s="272"/>
      <c r="BA2443" s="50"/>
      <c r="BB2443" s="31"/>
      <c r="BC2443" s="156"/>
      <c r="BD2443" s="341"/>
      <c r="BE2443" s="208"/>
      <c r="BF2443" s="16"/>
      <c r="BG2443" s="170"/>
      <c r="BH2443" s="86"/>
      <c r="BI2443" s="272"/>
      <c r="BJ2443" s="50"/>
      <c r="BK2443" s="31"/>
      <c r="BL2443" s="156"/>
      <c r="BM2443" s="341"/>
      <c r="BN2443" s="208"/>
      <c r="BO2443" s="16"/>
      <c r="BP2443" s="170"/>
      <c r="BQ2443" s="86"/>
      <c r="BR2443" s="50"/>
      <c r="BS2443" s="50"/>
      <c r="BT2443" s="31"/>
      <c r="BU2443" s="43"/>
      <c r="BV2443" s="209"/>
      <c r="BW2443" s="141"/>
      <c r="BX2443" s="311"/>
      <c r="BY2443" s="137"/>
    </row>
    <row r="2444" spans="1:77" ht="15" customHeight="1" x14ac:dyDescent="0.2">
      <c r="A2444" s="56" t="s">
        <v>5</v>
      </c>
      <c r="B2444" s="56"/>
      <c r="C2444" s="107" t="s">
        <v>2610</v>
      </c>
      <c r="D2444" s="544">
        <v>340</v>
      </c>
      <c r="E2444" s="107" t="s">
        <v>631</v>
      </c>
      <c r="F2444" s="602"/>
      <c r="G2444" s="62"/>
      <c r="H2444" s="62"/>
      <c r="I2444" s="608"/>
      <c r="J2444" s="62"/>
      <c r="K2444" s="62"/>
      <c r="L2444" s="608"/>
      <c r="M2444" s="62"/>
      <c r="N2444" s="357">
        <v>0.26597700000000002</v>
      </c>
      <c r="O2444" s="603"/>
      <c r="P2444" s="62"/>
      <c r="Q2444" s="355"/>
      <c r="R2444" s="603"/>
      <c r="S2444" s="62"/>
      <c r="T2444" s="355"/>
      <c r="U2444" s="62"/>
      <c r="V2444" s="62"/>
      <c r="W2444" s="674">
        <f t="shared" ref="W2444" si="2168">AA2444*(1+AB2444)</f>
        <v>1.8352413000000001E-4</v>
      </c>
      <c r="X2444" s="675">
        <f t="shared" ref="X2444" si="2169">AA2444*(1+AC2444)</f>
        <v>1.8352413000000001E-4</v>
      </c>
      <c r="Y2444" s="53">
        <v>2010</v>
      </c>
      <c r="Z2444" s="53"/>
      <c r="AA2444" s="767">
        <f t="shared" ref="AA2444" si="2170">N2444/1000</f>
        <v>2.6597700000000003E-4</v>
      </c>
      <c r="AB2444" s="395">
        <v>-0.31</v>
      </c>
      <c r="AC2444" s="443">
        <f t="shared" ref="AC2444" si="2171">AB2444</f>
        <v>-0.31</v>
      </c>
      <c r="AD2444" s="16"/>
      <c r="AE2444" s="16"/>
      <c r="AF2444" s="170"/>
      <c r="AG2444" s="86"/>
      <c r="AH2444" s="272"/>
      <c r="AI2444" s="50"/>
      <c r="AJ2444" s="40"/>
      <c r="AK2444" s="156"/>
      <c r="AL2444" s="284"/>
      <c r="AM2444" s="208"/>
      <c r="AN2444" s="16"/>
      <c r="AO2444" s="388"/>
      <c r="AP2444" s="389"/>
      <c r="AQ2444" s="390"/>
      <c r="AR2444" s="50"/>
      <c r="AS2444" s="392"/>
      <c r="AT2444" s="156"/>
      <c r="AU2444" s="284"/>
      <c r="AV2444" s="16"/>
      <c r="AW2444" s="16"/>
      <c r="AX2444" s="170"/>
      <c r="AY2444" s="86"/>
      <c r="AZ2444" s="272"/>
      <c r="BA2444" s="50"/>
      <c r="BB2444" s="31"/>
      <c r="BC2444" s="156"/>
      <c r="BD2444" s="341"/>
      <c r="BE2444" s="208"/>
      <c r="BF2444" s="16"/>
      <c r="BG2444" s="170"/>
      <c r="BH2444" s="86"/>
      <c r="BI2444" s="272"/>
      <c r="BJ2444" s="50"/>
      <c r="BK2444" s="31"/>
      <c r="BL2444" s="156"/>
      <c r="BM2444" s="341"/>
      <c r="BN2444" s="208"/>
      <c r="BO2444" s="16"/>
      <c r="BP2444" s="170"/>
      <c r="BQ2444" s="86"/>
      <c r="BR2444" s="50"/>
      <c r="BS2444" s="50"/>
      <c r="BT2444" s="31"/>
      <c r="BU2444" s="43"/>
      <c r="BV2444" s="209"/>
      <c r="BW2444" s="141"/>
      <c r="BX2444" s="311"/>
      <c r="BY2444" s="137"/>
    </row>
    <row r="2445" spans="1:77" ht="15" customHeight="1" x14ac:dyDescent="0.2">
      <c r="A2445" s="56" t="s">
        <v>5</v>
      </c>
      <c r="B2445" s="56"/>
      <c r="C2445" s="107" t="s">
        <v>640</v>
      </c>
      <c r="D2445" s="544">
        <v>10.7</v>
      </c>
      <c r="E2445" s="107" t="s">
        <v>631</v>
      </c>
      <c r="F2445" s="602"/>
      <c r="G2445" s="62"/>
      <c r="H2445" s="62"/>
      <c r="I2445" s="608"/>
      <c r="J2445" s="62"/>
      <c r="K2445" s="62"/>
      <c r="L2445" s="608"/>
      <c r="M2445" s="62"/>
      <c r="N2445" s="357">
        <v>2.4792999999999999E-2</v>
      </c>
      <c r="O2445" s="603"/>
      <c r="P2445" s="62"/>
      <c r="Q2445" s="355"/>
      <c r="R2445" s="603"/>
      <c r="S2445" s="62"/>
      <c r="T2445" s="355"/>
      <c r="U2445" s="62"/>
      <c r="V2445" s="62"/>
      <c r="W2445" s="674">
        <f t="shared" si="2160"/>
        <v>1.9834400000000001E-5</v>
      </c>
      <c r="X2445" s="675">
        <f t="shared" si="2161"/>
        <v>1.9834400000000001E-5</v>
      </c>
      <c r="Y2445" s="53">
        <v>2010</v>
      </c>
      <c r="Z2445" s="53"/>
      <c r="AA2445" s="767">
        <f t="shared" si="2162"/>
        <v>2.4792999999999998E-5</v>
      </c>
      <c r="AB2445" s="395">
        <v>-0.2</v>
      </c>
      <c r="AC2445" s="443">
        <f t="shared" si="2163"/>
        <v>-0.2</v>
      </c>
      <c r="AD2445" s="16"/>
      <c r="AE2445" s="16"/>
      <c r="AF2445" s="170"/>
      <c r="AG2445" s="86"/>
      <c r="AH2445" s="272"/>
      <c r="AI2445" s="50"/>
      <c r="AJ2445" s="40"/>
      <c r="AK2445" s="156"/>
      <c r="AL2445" s="284"/>
      <c r="AM2445" s="208"/>
      <c r="AN2445" s="16"/>
      <c r="AO2445" s="388"/>
      <c r="AP2445" s="389"/>
      <c r="AQ2445" s="390"/>
      <c r="AR2445" s="50"/>
      <c r="AS2445" s="392"/>
      <c r="AT2445" s="156"/>
      <c r="AU2445" s="284"/>
      <c r="AV2445" s="16"/>
      <c r="AW2445" s="16"/>
      <c r="AX2445" s="170"/>
      <c r="AY2445" s="86"/>
      <c r="AZ2445" s="272"/>
      <c r="BA2445" s="50"/>
      <c r="BB2445" s="31"/>
      <c r="BC2445" s="156"/>
      <c r="BD2445" s="341"/>
      <c r="BE2445" s="208"/>
      <c r="BF2445" s="16"/>
      <c r="BG2445" s="170"/>
      <c r="BH2445" s="86"/>
      <c r="BI2445" s="272"/>
      <c r="BJ2445" s="50"/>
      <c r="BK2445" s="31"/>
      <c r="BL2445" s="156"/>
      <c r="BM2445" s="341"/>
      <c r="BN2445" s="208"/>
      <c r="BO2445" s="16"/>
      <c r="BP2445" s="170"/>
      <c r="BQ2445" s="86"/>
      <c r="BR2445" s="50"/>
      <c r="BS2445" s="50"/>
      <c r="BT2445" s="31"/>
      <c r="BU2445" s="43"/>
      <c r="BV2445" s="209"/>
      <c r="BW2445" s="141"/>
      <c r="BX2445" s="311"/>
      <c r="BY2445" s="137"/>
    </row>
    <row r="2446" spans="1:77" ht="15" customHeight="1" x14ac:dyDescent="0.2">
      <c r="A2446" s="56" t="s">
        <v>5</v>
      </c>
      <c r="B2446" s="56"/>
      <c r="C2446" s="107" t="s">
        <v>2347</v>
      </c>
      <c r="D2446" s="544">
        <v>37.712000000000003</v>
      </c>
      <c r="E2446" s="107" t="s">
        <v>631</v>
      </c>
      <c r="F2446" s="602"/>
      <c r="G2446" s="62"/>
      <c r="H2446" s="62"/>
      <c r="I2446" s="608"/>
      <c r="J2446" s="62"/>
      <c r="K2446" s="62"/>
      <c r="L2446" s="608"/>
      <c r="M2446" s="62"/>
      <c r="N2446" s="355"/>
      <c r="O2446" s="603">
        <v>2012</v>
      </c>
      <c r="P2446" s="62"/>
      <c r="Q2446" s="781">
        <v>9.8216999999999999E-2</v>
      </c>
      <c r="R2446" s="603"/>
      <c r="S2446" s="62"/>
      <c r="T2446" s="781"/>
      <c r="U2446" s="62"/>
      <c r="V2446" s="62"/>
      <c r="W2446" s="674">
        <f t="shared" ref="W2446" si="2172">AA2446*(1+AB2446)</f>
        <v>7.8573600000000009E-5</v>
      </c>
      <c r="X2446" s="675">
        <f t="shared" ref="X2446" si="2173">AA2446*(1+AC2446)</f>
        <v>7.8573600000000009E-5</v>
      </c>
      <c r="Y2446" s="53">
        <v>2012</v>
      </c>
      <c r="Z2446" s="53"/>
      <c r="AA2446" s="767">
        <f>Q2446/1000</f>
        <v>9.8216999999999998E-5</v>
      </c>
      <c r="AB2446" s="395">
        <v>-0.2</v>
      </c>
      <c r="AC2446" s="443">
        <f t="shared" ref="AC2446" si="2174">AB2446</f>
        <v>-0.2</v>
      </c>
      <c r="AD2446" s="16"/>
      <c r="AE2446" s="16"/>
      <c r="AF2446" s="170"/>
      <c r="AG2446" s="86"/>
      <c r="AH2446" s="272"/>
      <c r="AI2446" s="50"/>
      <c r="AJ2446" s="40"/>
      <c r="AK2446" s="156"/>
      <c r="AL2446" s="284"/>
      <c r="AM2446" s="208"/>
      <c r="AN2446" s="16"/>
      <c r="AO2446" s="388"/>
      <c r="AP2446" s="389"/>
      <c r="AQ2446" s="390"/>
      <c r="AR2446" s="50"/>
      <c r="AS2446" s="392"/>
      <c r="AT2446" s="156"/>
      <c r="AU2446" s="284"/>
      <c r="AV2446" s="16"/>
      <c r="AW2446" s="16"/>
      <c r="AX2446" s="170"/>
      <c r="AY2446" s="86"/>
      <c r="AZ2446" s="272"/>
      <c r="BA2446" s="50"/>
      <c r="BB2446" s="31"/>
      <c r="BC2446" s="156"/>
      <c r="BD2446" s="341"/>
      <c r="BE2446" s="208"/>
      <c r="BF2446" s="16"/>
      <c r="BG2446" s="170"/>
      <c r="BH2446" s="86"/>
      <c r="BI2446" s="272"/>
      <c r="BJ2446" s="50"/>
      <c r="BK2446" s="31"/>
      <c r="BL2446" s="156"/>
      <c r="BM2446" s="341"/>
      <c r="BN2446" s="208"/>
      <c r="BO2446" s="16"/>
      <c r="BP2446" s="170"/>
      <c r="BQ2446" s="86"/>
      <c r="BR2446" s="50"/>
      <c r="BS2446" s="50"/>
      <c r="BT2446" s="31"/>
      <c r="BU2446" s="43"/>
      <c r="BV2446" s="209"/>
      <c r="BW2446" s="141"/>
      <c r="BX2446" s="311"/>
      <c r="BY2446" s="137"/>
    </row>
    <row r="2447" spans="1:77" ht="15" customHeight="1" x14ac:dyDescent="0.2">
      <c r="A2447" s="56" t="s">
        <v>5</v>
      </c>
      <c r="B2447" s="56"/>
      <c r="C2447" s="107" t="s">
        <v>2860</v>
      </c>
      <c r="D2447" s="544">
        <v>54.847999999999999</v>
      </c>
      <c r="E2447" s="107" t="s">
        <v>631</v>
      </c>
      <c r="F2447" s="602"/>
      <c r="G2447" s="62"/>
      <c r="H2447" s="62"/>
      <c r="I2447" s="608"/>
      <c r="J2447" s="62"/>
      <c r="K2447" s="62"/>
      <c r="L2447" s="608"/>
      <c r="M2447" s="62"/>
      <c r="N2447" s="355"/>
      <c r="O2447" s="603">
        <v>2014</v>
      </c>
      <c r="P2447" s="62"/>
      <c r="Q2447" s="781">
        <v>0.103326</v>
      </c>
      <c r="R2447" s="603"/>
      <c r="S2447" s="62"/>
      <c r="T2447" s="781"/>
      <c r="U2447" s="62"/>
      <c r="V2447" s="62"/>
      <c r="W2447" s="674"/>
      <c r="X2447" s="675"/>
      <c r="Y2447" s="53"/>
      <c r="Z2447" s="53"/>
      <c r="AA2447" s="767"/>
      <c r="AB2447" s="395"/>
      <c r="AC2447" s="443"/>
      <c r="AD2447" s="16"/>
      <c r="AE2447" s="16"/>
      <c r="AF2447" s="170"/>
      <c r="AG2447" s="86"/>
      <c r="AH2447" s="272"/>
      <c r="AI2447" s="50"/>
      <c r="AJ2447" s="40"/>
      <c r="AK2447" s="156"/>
      <c r="AL2447" s="284"/>
      <c r="AM2447" s="208"/>
      <c r="AN2447" s="16"/>
      <c r="AO2447" s="704">
        <f>+AS2447*(1+AT2447)</f>
        <v>6.5095379999999999E-5</v>
      </c>
      <c r="AP2447" s="705">
        <f>+AS2447*(1+AU2447)</f>
        <v>6.5095379999999999E-5</v>
      </c>
      <c r="AQ2447" s="617">
        <v>2014</v>
      </c>
      <c r="AR2447" s="432"/>
      <c r="AS2447" s="703">
        <f>+Q2447/1000</f>
        <v>1.0332600000000001E-4</v>
      </c>
      <c r="AT2447" s="399">
        <v>-0.37</v>
      </c>
      <c r="AU2447" s="618">
        <f>AT2447</f>
        <v>-0.37</v>
      </c>
      <c r="AV2447" s="16"/>
      <c r="AW2447" s="16"/>
      <c r="AX2447" s="170"/>
      <c r="AY2447" s="86"/>
      <c r="AZ2447" s="272"/>
      <c r="BA2447" s="50"/>
      <c r="BB2447" s="31"/>
      <c r="BC2447" s="156"/>
      <c r="BD2447" s="341"/>
      <c r="BE2447" s="208"/>
      <c r="BF2447" s="16"/>
      <c r="BG2447" s="170"/>
      <c r="BH2447" s="86"/>
      <c r="BI2447" s="272"/>
      <c r="BJ2447" s="50"/>
      <c r="BK2447" s="31"/>
      <c r="BL2447" s="156"/>
      <c r="BM2447" s="341"/>
      <c r="BN2447" s="208"/>
      <c r="BO2447" s="16"/>
      <c r="BP2447" s="170"/>
      <c r="BQ2447" s="86"/>
      <c r="BR2447" s="50"/>
      <c r="BS2447" s="50"/>
      <c r="BT2447" s="31"/>
      <c r="BU2447" s="43"/>
      <c r="BV2447" s="209"/>
      <c r="BW2447" s="141"/>
      <c r="BX2447" s="311"/>
      <c r="BY2447" s="137"/>
    </row>
    <row r="2448" spans="1:77" ht="15" customHeight="1" x14ac:dyDescent="0.2">
      <c r="A2448" s="56" t="s">
        <v>5</v>
      </c>
      <c r="B2448" s="56"/>
      <c r="C2448" s="107" t="s">
        <v>2348</v>
      </c>
      <c r="D2448" s="544">
        <v>85.927999999999997</v>
      </c>
      <c r="E2448" s="107" t="s">
        <v>631</v>
      </c>
      <c r="F2448" s="602"/>
      <c r="G2448" s="62"/>
      <c r="H2448" s="62"/>
      <c r="I2448" s="608"/>
      <c r="J2448" s="62"/>
      <c r="K2448" s="62"/>
      <c r="L2448" s="608"/>
      <c r="M2448" s="62"/>
      <c r="N2448" s="355">
        <v>0.282304</v>
      </c>
      <c r="O2448" s="603"/>
      <c r="P2448" s="62"/>
      <c r="Q2448" s="355"/>
      <c r="R2448" s="603"/>
      <c r="S2448" s="62"/>
      <c r="T2448" s="355"/>
      <c r="U2448" s="62"/>
      <c r="V2448" s="62"/>
      <c r="W2448" s="674">
        <f t="shared" ref="W2448" si="2175">AA2448*(1+AB2448)</f>
        <v>2.258432E-4</v>
      </c>
      <c r="X2448" s="675">
        <f t="shared" ref="X2448" si="2176">AA2448*(1+AC2448)</f>
        <v>2.258432E-4</v>
      </c>
      <c r="Y2448" s="53">
        <v>2010</v>
      </c>
      <c r="Z2448" s="53"/>
      <c r="AA2448" s="767">
        <f>N2448/1000</f>
        <v>2.8230399999999999E-4</v>
      </c>
      <c r="AB2448" s="395">
        <v>-0.2</v>
      </c>
      <c r="AC2448" s="443">
        <f t="shared" ref="AC2448" si="2177">AB2448</f>
        <v>-0.2</v>
      </c>
      <c r="AD2448" s="16"/>
      <c r="AE2448" s="16"/>
      <c r="AF2448" s="170"/>
      <c r="AG2448" s="86"/>
      <c r="AH2448" s="272"/>
      <c r="AI2448" s="50"/>
      <c r="AJ2448" s="40"/>
      <c r="AK2448" s="156"/>
      <c r="AL2448" s="284"/>
      <c r="AM2448" s="208"/>
      <c r="AN2448" s="16"/>
      <c r="AO2448" s="388"/>
      <c r="AP2448" s="389"/>
      <c r="AQ2448" s="390"/>
      <c r="AR2448" s="50"/>
      <c r="AS2448" s="392"/>
      <c r="AT2448" s="156"/>
      <c r="AU2448" s="284"/>
      <c r="AV2448" s="16"/>
      <c r="AW2448" s="16"/>
      <c r="AX2448" s="170"/>
      <c r="AY2448" s="86"/>
      <c r="AZ2448" s="272"/>
      <c r="BA2448" s="50"/>
      <c r="BB2448" s="31"/>
      <c r="BC2448" s="156"/>
      <c r="BD2448" s="341"/>
      <c r="BE2448" s="208"/>
      <c r="BF2448" s="16"/>
      <c r="BG2448" s="170"/>
      <c r="BH2448" s="86"/>
      <c r="BI2448" s="272"/>
      <c r="BJ2448" s="50"/>
      <c r="BK2448" s="31"/>
      <c r="BL2448" s="156"/>
      <c r="BM2448" s="341"/>
      <c r="BN2448" s="208"/>
      <c r="BO2448" s="16"/>
      <c r="BP2448" s="170"/>
      <c r="BQ2448" s="86"/>
      <c r="BR2448" s="50"/>
      <c r="BS2448" s="50"/>
      <c r="BT2448" s="31"/>
      <c r="BU2448" s="43"/>
      <c r="BV2448" s="209"/>
      <c r="BW2448" s="141"/>
      <c r="BX2448" s="311"/>
      <c r="BY2448" s="137"/>
    </row>
    <row r="2449" spans="1:77" ht="15" customHeight="1" x14ac:dyDescent="0.2">
      <c r="A2449" s="56" t="s">
        <v>5</v>
      </c>
      <c r="B2449" s="56"/>
      <c r="C2449" s="107" t="s">
        <v>2611</v>
      </c>
      <c r="D2449" s="544">
        <v>24.757999999999999</v>
      </c>
      <c r="E2449" s="107" t="s">
        <v>631</v>
      </c>
      <c r="F2449" s="602"/>
      <c r="G2449" s="62"/>
      <c r="H2449" s="62"/>
      <c r="I2449" s="608"/>
      <c r="J2449" s="62"/>
      <c r="K2449" s="62"/>
      <c r="L2449" s="608"/>
      <c r="M2449" s="62"/>
      <c r="N2449" s="357">
        <v>6.4118062000000003E-2</v>
      </c>
      <c r="O2449" s="603"/>
      <c r="P2449" s="62"/>
      <c r="Q2449" s="355"/>
      <c r="R2449" s="603"/>
      <c r="S2449" s="62"/>
      <c r="T2449" s="355"/>
      <c r="U2449" s="62"/>
      <c r="V2449" s="62"/>
      <c r="W2449" s="674"/>
      <c r="X2449" s="675"/>
      <c r="Y2449" s="53"/>
      <c r="Z2449" s="53"/>
      <c r="AA2449" s="767"/>
      <c r="AB2449" s="395"/>
      <c r="AC2449" s="443"/>
      <c r="AD2449" s="16"/>
      <c r="AE2449" s="16"/>
      <c r="AF2449" s="170"/>
      <c r="AG2449" s="86"/>
      <c r="AH2449" s="272"/>
      <c r="AI2449" s="50"/>
      <c r="AJ2449" s="40"/>
      <c r="AK2449" s="156"/>
      <c r="AL2449" s="284"/>
      <c r="AM2449" s="208"/>
      <c r="AN2449" s="16"/>
      <c r="AO2449" s="697">
        <f>+AS2449*(1+AT2449)</f>
        <v>4.48826434E-5</v>
      </c>
      <c r="AP2449" s="698">
        <f>+AS2449*(1+AU2449)</f>
        <v>4.48826434E-5</v>
      </c>
      <c r="AQ2449" s="617">
        <v>2010</v>
      </c>
      <c r="AR2449" s="432"/>
      <c r="AS2449" s="696">
        <f>+N2449/1000</f>
        <v>6.4118062000000008E-5</v>
      </c>
      <c r="AT2449" s="399">
        <v>-0.3</v>
      </c>
      <c r="AU2449" s="618">
        <f>AT2449</f>
        <v>-0.3</v>
      </c>
      <c r="AV2449" s="16"/>
      <c r="AW2449" s="16"/>
      <c r="AX2449" s="170"/>
      <c r="AY2449" s="86"/>
      <c r="AZ2449" s="272"/>
      <c r="BA2449" s="50"/>
      <c r="BB2449" s="31"/>
      <c r="BC2449" s="156"/>
      <c r="BD2449" s="341"/>
      <c r="BE2449" s="208"/>
      <c r="BF2449" s="16"/>
      <c r="BG2449" s="170"/>
      <c r="BH2449" s="86"/>
      <c r="BI2449" s="272"/>
      <c r="BJ2449" s="50"/>
      <c r="BK2449" s="31"/>
      <c r="BL2449" s="156"/>
      <c r="BM2449" s="341"/>
      <c r="BN2449" s="208"/>
      <c r="BO2449" s="16"/>
      <c r="BP2449" s="170"/>
      <c r="BQ2449" s="86"/>
      <c r="BR2449" s="50"/>
      <c r="BS2449" s="50"/>
      <c r="BT2449" s="31"/>
      <c r="BU2449" s="43"/>
      <c r="BV2449" s="209"/>
      <c r="BW2449" s="141"/>
      <c r="BX2449" s="311"/>
      <c r="BY2449" s="137"/>
    </row>
    <row r="2450" spans="1:77" ht="15" customHeight="1" x14ac:dyDescent="0.2">
      <c r="A2450" s="56" t="s">
        <v>5</v>
      </c>
      <c r="B2450" s="56"/>
      <c r="C2450" s="107" t="s">
        <v>635</v>
      </c>
      <c r="D2450" s="544">
        <v>122</v>
      </c>
      <c r="E2450" s="107" t="s">
        <v>631</v>
      </c>
      <c r="F2450" s="602"/>
      <c r="G2450" s="62"/>
      <c r="H2450" s="62"/>
      <c r="I2450" s="608"/>
      <c r="J2450" s="62"/>
      <c r="K2450" s="62"/>
      <c r="L2450" s="608"/>
      <c r="M2450" s="62"/>
      <c r="N2450" s="355">
        <v>0.121875</v>
      </c>
      <c r="O2450" s="603"/>
      <c r="P2450" s="62"/>
      <c r="Q2450" s="355"/>
      <c r="R2450" s="603"/>
      <c r="S2450" s="62"/>
      <c r="T2450" s="355"/>
      <c r="U2450" s="62"/>
      <c r="V2450" s="62"/>
      <c r="W2450" s="674">
        <f t="shared" si="2160"/>
        <v>9.7499999999999998E-5</v>
      </c>
      <c r="X2450" s="675">
        <f t="shared" si="2161"/>
        <v>9.7499999999999998E-5</v>
      </c>
      <c r="Y2450" s="53">
        <v>2010</v>
      </c>
      <c r="Z2450" s="53"/>
      <c r="AA2450" s="767">
        <f t="shared" si="2162"/>
        <v>1.2187499999999999E-4</v>
      </c>
      <c r="AB2450" s="395">
        <v>-0.2</v>
      </c>
      <c r="AC2450" s="443">
        <f t="shared" si="2163"/>
        <v>-0.2</v>
      </c>
      <c r="AD2450" s="16"/>
      <c r="AE2450" s="16"/>
      <c r="AF2450" s="170"/>
      <c r="AG2450" s="86"/>
      <c r="AH2450" s="272"/>
      <c r="AI2450" s="50"/>
      <c r="AJ2450" s="40"/>
      <c r="AK2450" s="156"/>
      <c r="AL2450" s="284"/>
      <c r="AM2450" s="208"/>
      <c r="AN2450" s="16"/>
      <c r="AO2450" s="388"/>
      <c r="AP2450" s="389"/>
      <c r="AQ2450" s="390"/>
      <c r="AR2450" s="50"/>
      <c r="AS2450" s="392"/>
      <c r="AT2450" s="156"/>
      <c r="AU2450" s="284"/>
      <c r="AV2450" s="16"/>
      <c r="AW2450" s="16"/>
      <c r="AX2450" s="170"/>
      <c r="AY2450" s="86"/>
      <c r="AZ2450" s="272"/>
      <c r="BA2450" s="50"/>
      <c r="BB2450" s="31"/>
      <c r="BC2450" s="156"/>
      <c r="BD2450" s="341"/>
      <c r="BE2450" s="208"/>
      <c r="BF2450" s="16"/>
      <c r="BG2450" s="170"/>
      <c r="BH2450" s="86"/>
      <c r="BI2450" s="272"/>
      <c r="BJ2450" s="50"/>
      <c r="BK2450" s="31"/>
      <c r="BL2450" s="156"/>
      <c r="BM2450" s="341"/>
      <c r="BN2450" s="208"/>
      <c r="BO2450" s="16"/>
      <c r="BP2450" s="170"/>
      <c r="BQ2450" s="86"/>
      <c r="BR2450" s="50"/>
      <c r="BS2450" s="50"/>
      <c r="BT2450" s="31"/>
      <c r="BU2450" s="43"/>
      <c r="BV2450" s="209"/>
      <c r="BW2450" s="141"/>
      <c r="BX2450" s="311"/>
      <c r="BY2450" s="137"/>
    </row>
    <row r="2451" spans="1:77" ht="15" customHeight="1" x14ac:dyDescent="0.2">
      <c r="A2451" s="56" t="s">
        <v>5</v>
      </c>
      <c r="B2451" s="56"/>
      <c r="C2451" s="107" t="s">
        <v>638</v>
      </c>
      <c r="D2451" s="544">
        <v>34.700000000000003</v>
      </c>
      <c r="E2451" s="107" t="s">
        <v>631</v>
      </c>
      <c r="F2451" s="602"/>
      <c r="G2451" s="62"/>
      <c r="H2451" s="62"/>
      <c r="I2451" s="608"/>
      <c r="J2451" s="62"/>
      <c r="K2451" s="62"/>
      <c r="L2451" s="608">
        <v>2011</v>
      </c>
      <c r="M2451" s="62"/>
      <c r="N2451" s="355">
        <v>0.26881699999999997</v>
      </c>
      <c r="O2451" s="603"/>
      <c r="P2451" s="62"/>
      <c r="Q2451" s="355"/>
      <c r="R2451" s="603"/>
      <c r="S2451" s="62"/>
      <c r="T2451" s="355"/>
      <c r="U2451" s="62"/>
      <c r="V2451" s="62"/>
      <c r="W2451" s="674">
        <f t="shared" si="2160"/>
        <v>2.1236542999999999E-4</v>
      </c>
      <c r="X2451" s="675">
        <f t="shared" si="2161"/>
        <v>2.1236542999999999E-4</v>
      </c>
      <c r="Y2451" s="53">
        <v>2010</v>
      </c>
      <c r="Z2451" s="53"/>
      <c r="AA2451" s="767">
        <f t="shared" si="2162"/>
        <v>2.6881699999999997E-4</v>
      </c>
      <c r="AB2451" s="395">
        <v>-0.21</v>
      </c>
      <c r="AC2451" s="443">
        <f t="shared" si="2163"/>
        <v>-0.21</v>
      </c>
      <c r="AD2451" s="16"/>
      <c r="AE2451" s="16"/>
      <c r="AF2451" s="170"/>
      <c r="AG2451" s="86"/>
      <c r="AH2451" s="272"/>
      <c r="AI2451" s="50"/>
      <c r="AJ2451" s="40"/>
      <c r="AK2451" s="156"/>
      <c r="AL2451" s="284"/>
      <c r="AM2451" s="208"/>
      <c r="AN2451" s="16"/>
      <c r="AO2451" s="388"/>
      <c r="AP2451" s="389"/>
      <c r="AQ2451" s="390"/>
      <c r="AR2451" s="50"/>
      <c r="AS2451" s="392"/>
      <c r="AT2451" s="156"/>
      <c r="AU2451" s="284"/>
      <c r="AV2451" s="16"/>
      <c r="AW2451" s="16"/>
      <c r="AX2451" s="170"/>
      <c r="AY2451" s="86"/>
      <c r="AZ2451" s="272"/>
      <c r="BA2451" s="50"/>
      <c r="BB2451" s="31"/>
      <c r="BC2451" s="156"/>
      <c r="BD2451" s="341"/>
      <c r="BE2451" s="208"/>
      <c r="BF2451" s="16"/>
      <c r="BG2451" s="170"/>
      <c r="BH2451" s="86"/>
      <c r="BI2451" s="272"/>
      <c r="BJ2451" s="50"/>
      <c r="BK2451" s="31"/>
      <c r="BL2451" s="156"/>
      <c r="BM2451" s="341"/>
      <c r="BN2451" s="208"/>
      <c r="BO2451" s="16"/>
      <c r="BP2451" s="170"/>
      <c r="BQ2451" s="86"/>
      <c r="BR2451" s="50"/>
      <c r="BS2451" s="50"/>
      <c r="BT2451" s="31"/>
      <c r="BU2451" s="43"/>
      <c r="BV2451" s="209"/>
      <c r="BW2451" s="141" t="s">
        <v>637</v>
      </c>
      <c r="BX2451" s="311"/>
      <c r="BY2451" s="137"/>
    </row>
    <row r="2452" spans="1:77" ht="15" customHeight="1" x14ac:dyDescent="0.2">
      <c r="A2452" s="56" t="s">
        <v>5</v>
      </c>
      <c r="B2452" s="56"/>
      <c r="C2452" s="107" t="s">
        <v>639</v>
      </c>
      <c r="D2452" s="544">
        <v>82.8</v>
      </c>
      <c r="E2452" s="107" t="s">
        <v>631</v>
      </c>
      <c r="F2452" s="602"/>
      <c r="G2452" s="62"/>
      <c r="H2452" s="62"/>
      <c r="I2452" s="608"/>
      <c r="J2452" s="62"/>
      <c r="K2452" s="62"/>
      <c r="L2452" s="608"/>
      <c r="M2452" s="62"/>
      <c r="N2452" s="355">
        <v>9.6048999999999995E-2</v>
      </c>
      <c r="O2452" s="603"/>
      <c r="P2452" s="62"/>
      <c r="Q2452" s="355"/>
      <c r="R2452" s="603"/>
      <c r="S2452" s="62"/>
      <c r="T2452" s="355"/>
      <c r="U2452" s="62"/>
      <c r="V2452" s="62"/>
      <c r="W2452" s="674">
        <f t="shared" si="2160"/>
        <v>7.6839200000000001E-5</v>
      </c>
      <c r="X2452" s="675">
        <f t="shared" si="2161"/>
        <v>7.6839200000000001E-5</v>
      </c>
      <c r="Y2452" s="53">
        <v>2010</v>
      </c>
      <c r="Z2452" s="53"/>
      <c r="AA2452" s="767">
        <f t="shared" si="2162"/>
        <v>9.6049000000000001E-5</v>
      </c>
      <c r="AB2452" s="395">
        <v>-0.2</v>
      </c>
      <c r="AC2452" s="443">
        <f t="shared" si="2163"/>
        <v>-0.2</v>
      </c>
      <c r="AD2452" s="16"/>
      <c r="AE2452" s="16"/>
      <c r="AF2452" s="170"/>
      <c r="AG2452" s="86"/>
      <c r="AH2452" s="272"/>
      <c r="AI2452" s="50"/>
      <c r="AJ2452" s="40"/>
      <c r="AK2452" s="156"/>
      <c r="AL2452" s="284"/>
      <c r="AM2452" s="208"/>
      <c r="AN2452" s="16"/>
      <c r="AO2452" s="388"/>
      <c r="AP2452" s="389"/>
      <c r="AQ2452" s="390"/>
      <c r="AR2452" s="50"/>
      <c r="AS2452" s="392"/>
      <c r="AT2452" s="156"/>
      <c r="AU2452" s="284"/>
      <c r="AV2452" s="16"/>
      <c r="AW2452" s="16"/>
      <c r="AX2452" s="170"/>
      <c r="AY2452" s="86"/>
      <c r="AZ2452" s="272"/>
      <c r="BA2452" s="50"/>
      <c r="BB2452" s="31"/>
      <c r="BC2452" s="156"/>
      <c r="BD2452" s="341"/>
      <c r="BE2452" s="208"/>
      <c r="BF2452" s="16"/>
      <c r="BG2452" s="170"/>
      <c r="BH2452" s="86"/>
      <c r="BI2452" s="272"/>
      <c r="BJ2452" s="50"/>
      <c r="BK2452" s="31"/>
      <c r="BL2452" s="156"/>
      <c r="BM2452" s="341"/>
      <c r="BN2452" s="208"/>
      <c r="BO2452" s="16"/>
      <c r="BP2452" s="170"/>
      <c r="BQ2452" s="86"/>
      <c r="BR2452" s="50"/>
      <c r="BS2452" s="50"/>
      <c r="BT2452" s="31"/>
      <c r="BU2452" s="43"/>
      <c r="BV2452" s="209"/>
      <c r="BW2452" s="141"/>
      <c r="BX2452" s="311"/>
      <c r="BY2452" s="137"/>
    </row>
    <row r="2453" spans="1:77" ht="15" customHeight="1" x14ac:dyDescent="0.2">
      <c r="A2453" s="56" t="s">
        <v>49</v>
      </c>
      <c r="B2453" s="56" t="s">
        <v>1606</v>
      </c>
      <c r="C2453" s="56"/>
      <c r="D2453" s="544">
        <v>3845.9290000000001</v>
      </c>
      <c r="E2453" s="1273" t="s">
        <v>3214</v>
      </c>
      <c r="F2453" s="362"/>
      <c r="G2453" s="419">
        <v>26.619959999999999</v>
      </c>
      <c r="H2453" s="68">
        <v>34.043489999999998</v>
      </c>
      <c r="I2453" s="74"/>
      <c r="J2453" s="68">
        <v>9.2308199999999996</v>
      </c>
      <c r="K2453" s="69">
        <v>16.64507</v>
      </c>
      <c r="L2453" s="13"/>
      <c r="M2453" s="68">
        <v>20.036999999999999</v>
      </c>
      <c r="N2453" s="356">
        <v>25.722999999999999</v>
      </c>
      <c r="O2453" s="923">
        <v>2014</v>
      </c>
      <c r="P2453" s="68">
        <v>19.140599999999999</v>
      </c>
      <c r="Q2453" s="356">
        <v>25.538599999999999</v>
      </c>
      <c r="R2453" s="923"/>
      <c r="S2453" s="68"/>
      <c r="T2453" s="356"/>
      <c r="U2453" s="68"/>
      <c r="V2453" s="68"/>
      <c r="W2453" s="23"/>
      <c r="X2453" s="24"/>
      <c r="Y2453" s="53"/>
      <c r="Z2453" s="53"/>
      <c r="AA2453" s="768"/>
      <c r="AB2453" s="395"/>
      <c r="AC2453" s="443"/>
      <c r="AE2453" s="16"/>
      <c r="AF2453" s="136"/>
      <c r="AG2453" s="59"/>
      <c r="AH2453" s="77"/>
      <c r="AI2453" s="38"/>
      <c r="AJ2453" s="145"/>
      <c r="AK2453" s="80"/>
      <c r="AL2453" s="215"/>
      <c r="AM2453" s="456">
        <f>G2453*1.2/1000</f>
        <v>3.1943951999999998E-2</v>
      </c>
      <c r="AN2453" s="439"/>
      <c r="AO2453" s="454">
        <f>+AR2453*(1+AT2453)</f>
        <v>3.1411552799999999E-2</v>
      </c>
      <c r="AP2453" s="439">
        <f>+AR2453*(1+AU2453)</f>
        <v>2.5821361199999997E-2</v>
      </c>
      <c r="AQ2453" s="440">
        <v>1900</v>
      </c>
      <c r="AR2453" s="424">
        <f>+G2453/1000</f>
        <v>2.6619959999999998E-2</v>
      </c>
      <c r="AS2453" s="453"/>
      <c r="AT2453" s="292">
        <v>0.18</v>
      </c>
      <c r="AU2453" s="293">
        <v>-0.03</v>
      </c>
      <c r="AV2453" s="16"/>
      <c r="AW2453" s="16"/>
      <c r="AX2453" s="19"/>
      <c r="AY2453" s="20"/>
      <c r="AZ2453" s="77"/>
      <c r="BA2453" s="38"/>
      <c r="BB2453" s="145"/>
      <c r="BC2453" s="80"/>
      <c r="BD2453" s="75"/>
      <c r="BE2453" s="208"/>
      <c r="BF2453" s="16"/>
      <c r="BG2453" s="19"/>
      <c r="BH2453" s="20"/>
      <c r="BI2453" s="77"/>
      <c r="BJ2453" s="38"/>
      <c r="BK2453" s="145"/>
      <c r="BL2453" s="80"/>
      <c r="BM2453" s="75"/>
      <c r="BN2453" s="208"/>
      <c r="BO2453" s="16"/>
      <c r="BP2453" s="19"/>
      <c r="BQ2453" s="20"/>
      <c r="BR2453" s="32"/>
      <c r="BS2453" s="38"/>
      <c r="BT2453" s="145"/>
      <c r="BU2453" s="80"/>
      <c r="BV2453" s="215"/>
      <c r="BX2453" s="321"/>
      <c r="BY2453" s="38"/>
    </row>
    <row r="2454" spans="1:77" ht="15" customHeight="1" x14ac:dyDescent="0.2">
      <c r="A2454" s="56" t="s">
        <v>49</v>
      </c>
      <c r="B2454" s="56"/>
      <c r="C2454" s="107" t="s">
        <v>654</v>
      </c>
      <c r="D2454" s="544">
        <v>250</v>
      </c>
      <c r="E2454" s="107" t="s">
        <v>631</v>
      </c>
      <c r="F2454" s="603"/>
      <c r="G2454" s="419"/>
      <c r="H2454" s="68"/>
      <c r="I2454" s="74">
        <v>1990</v>
      </c>
      <c r="J2454" s="68"/>
      <c r="K2454" s="68">
        <v>0.664323</v>
      </c>
      <c r="L2454" s="74"/>
      <c r="M2454" s="68"/>
      <c r="N2454" s="356"/>
      <c r="O2454" s="923"/>
      <c r="P2454" s="68"/>
      <c r="Q2454" s="356"/>
      <c r="R2454" s="923"/>
      <c r="S2454" s="68"/>
      <c r="T2454" s="356"/>
      <c r="U2454" s="68"/>
      <c r="V2454" s="68"/>
      <c r="W2454" s="674">
        <f t="shared" ref="W2454:W2472" si="2178">AA2454*(1+AB2454)</f>
        <v>5.3145839999999998E-4</v>
      </c>
      <c r="X2454" s="675">
        <f t="shared" ref="X2454:X2472" si="2179">AA2454*(1+AC2454)</f>
        <v>5.3145839999999998E-4</v>
      </c>
      <c r="Y2454" s="53">
        <v>1990</v>
      </c>
      <c r="Z2454" s="53"/>
      <c r="AA2454" s="767">
        <f>K2454/1000</f>
        <v>6.6432299999999998E-4</v>
      </c>
      <c r="AB2454" s="395">
        <v>-0.2</v>
      </c>
      <c r="AC2454" s="443">
        <f t="shared" ref="AC2454:AC2472" si="2180">AB2454</f>
        <v>-0.2</v>
      </c>
      <c r="AE2454" s="16"/>
      <c r="AF2454" s="136"/>
      <c r="AG2454" s="59"/>
      <c r="AH2454" s="77"/>
      <c r="AI2454" s="38"/>
      <c r="AJ2454" s="145"/>
      <c r="AK2454" s="80"/>
      <c r="AL2454" s="215"/>
      <c r="AM2454" s="456"/>
      <c r="AN2454" s="387"/>
      <c r="AO2454" s="454"/>
      <c r="AP2454" s="439"/>
      <c r="AQ2454" s="440"/>
      <c r="AR2454" s="424"/>
      <c r="AS2454" s="453"/>
      <c r="AT2454" s="292"/>
      <c r="AU2454" s="293"/>
      <c r="AV2454" s="16"/>
      <c r="AW2454" s="16"/>
      <c r="AX2454" s="19"/>
      <c r="AY2454" s="20"/>
      <c r="AZ2454" s="77"/>
      <c r="BA2454" s="38"/>
      <c r="BB2454" s="145"/>
      <c r="BC2454" s="80"/>
      <c r="BD2454" s="75"/>
      <c r="BE2454" s="208"/>
      <c r="BF2454" s="16"/>
      <c r="BG2454" s="19"/>
      <c r="BH2454" s="20"/>
      <c r="BI2454" s="77"/>
      <c r="BJ2454" s="38"/>
      <c r="BK2454" s="145"/>
      <c r="BL2454" s="80"/>
      <c r="BM2454" s="75"/>
      <c r="BN2454" s="208"/>
      <c r="BO2454" s="16"/>
      <c r="BP2454" s="19"/>
      <c r="BQ2454" s="20"/>
      <c r="BR2454" s="32"/>
      <c r="BS2454" s="38"/>
      <c r="BT2454" s="145"/>
      <c r="BU2454" s="80"/>
      <c r="BV2454" s="215"/>
      <c r="BX2454" s="321"/>
      <c r="BY2454" s="38"/>
    </row>
    <row r="2455" spans="1:77" ht="15" customHeight="1" x14ac:dyDescent="0.2">
      <c r="A2455" s="56" t="s">
        <v>49</v>
      </c>
      <c r="B2455" s="56"/>
      <c r="C2455" s="107" t="s">
        <v>656</v>
      </c>
      <c r="D2455" s="544">
        <v>61.286999999999999</v>
      </c>
      <c r="E2455" s="107" t="s">
        <v>631</v>
      </c>
      <c r="F2455" s="603"/>
      <c r="G2455" s="419"/>
      <c r="H2455" s="68"/>
      <c r="I2455" s="74"/>
      <c r="J2455" s="68"/>
      <c r="K2455" s="68"/>
      <c r="L2455" s="74">
        <v>2010</v>
      </c>
      <c r="M2455" s="68"/>
      <c r="N2455" s="356">
        <v>0.20222699999999999</v>
      </c>
      <c r="O2455" s="923"/>
      <c r="P2455" s="68"/>
      <c r="Q2455" s="356"/>
      <c r="R2455" s="923"/>
      <c r="S2455" s="68"/>
      <c r="T2455" s="356"/>
      <c r="U2455" s="68"/>
      <c r="V2455" s="68"/>
      <c r="W2455" s="674">
        <f t="shared" si="2178"/>
        <v>1.6178160000000002E-4</v>
      </c>
      <c r="X2455" s="675">
        <f t="shared" si="2179"/>
        <v>1.6178160000000002E-4</v>
      </c>
      <c r="Y2455" s="53">
        <v>2010</v>
      </c>
      <c r="Z2455" s="53"/>
      <c r="AA2455" s="767">
        <f>N2455/1000</f>
        <v>2.02227E-4</v>
      </c>
      <c r="AB2455" s="395">
        <v>-0.2</v>
      </c>
      <c r="AC2455" s="443">
        <f t="shared" si="2180"/>
        <v>-0.2</v>
      </c>
      <c r="AE2455" s="16"/>
      <c r="AF2455" s="136"/>
      <c r="AG2455" s="59"/>
      <c r="AH2455" s="77"/>
      <c r="AI2455" s="38"/>
      <c r="AJ2455" s="145"/>
      <c r="AK2455" s="80"/>
      <c r="AL2455" s="215"/>
      <c r="AM2455" s="456"/>
      <c r="AN2455" s="387"/>
      <c r="AO2455" s="454"/>
      <c r="AP2455" s="439"/>
      <c r="AQ2455" s="440"/>
      <c r="AR2455" s="424"/>
      <c r="AS2455" s="453"/>
      <c r="AT2455" s="292"/>
      <c r="AU2455" s="293"/>
      <c r="AV2455" s="16"/>
      <c r="AW2455" s="16"/>
      <c r="AX2455" s="19"/>
      <c r="AY2455" s="20"/>
      <c r="AZ2455" s="77"/>
      <c r="BA2455" s="38"/>
      <c r="BB2455" s="145"/>
      <c r="BC2455" s="80"/>
      <c r="BD2455" s="75"/>
      <c r="BE2455" s="208"/>
      <c r="BF2455" s="16"/>
      <c r="BG2455" s="19"/>
      <c r="BH2455" s="20"/>
      <c r="BI2455" s="77"/>
      <c r="BJ2455" s="38"/>
      <c r="BK2455" s="145"/>
      <c r="BL2455" s="80"/>
      <c r="BM2455" s="75"/>
      <c r="BN2455" s="208"/>
      <c r="BO2455" s="16"/>
      <c r="BP2455" s="19"/>
      <c r="BQ2455" s="20"/>
      <c r="BR2455" s="32"/>
      <c r="BS2455" s="38"/>
      <c r="BT2455" s="145"/>
      <c r="BU2455" s="80"/>
      <c r="BV2455" s="215"/>
      <c r="BX2455" s="321"/>
      <c r="BY2455" s="38"/>
    </row>
    <row r="2456" spans="1:77" ht="15" customHeight="1" x14ac:dyDescent="0.2">
      <c r="A2456" s="56" t="s">
        <v>49</v>
      </c>
      <c r="B2456" s="56"/>
      <c r="C2456" s="107" t="s">
        <v>650</v>
      </c>
      <c r="D2456" s="544">
        <v>153</v>
      </c>
      <c r="E2456" s="107" t="s">
        <v>631</v>
      </c>
      <c r="F2456" s="603"/>
      <c r="G2456" s="419"/>
      <c r="H2456" s="68"/>
      <c r="I2456" s="74">
        <v>2004</v>
      </c>
      <c r="J2456" s="68"/>
      <c r="K2456" s="68">
        <v>0.45086999999999999</v>
      </c>
      <c r="L2456" s="74"/>
      <c r="M2456" s="68"/>
      <c r="N2456" s="356"/>
      <c r="O2456" s="923"/>
      <c r="P2456" s="68"/>
      <c r="Q2456" s="356"/>
      <c r="R2456" s="923"/>
      <c r="S2456" s="68"/>
      <c r="T2456" s="356"/>
      <c r="U2456" s="68"/>
      <c r="V2456" s="68"/>
      <c r="W2456" s="674">
        <f t="shared" si="2178"/>
        <v>3.1110029999999997E-4</v>
      </c>
      <c r="X2456" s="675">
        <f t="shared" si="2179"/>
        <v>3.1110029999999997E-4</v>
      </c>
      <c r="Y2456" s="53">
        <v>2004</v>
      </c>
      <c r="Z2456" s="53"/>
      <c r="AA2456" s="767">
        <f t="shared" ref="AA2456:AA2472" si="2181">K2456/1000</f>
        <v>4.5086999999999997E-4</v>
      </c>
      <c r="AB2456" s="395">
        <v>-0.31</v>
      </c>
      <c r="AC2456" s="443">
        <f t="shared" si="2180"/>
        <v>-0.31</v>
      </c>
      <c r="AE2456" s="16"/>
      <c r="AF2456" s="136"/>
      <c r="AG2456" s="59"/>
      <c r="AH2456" s="77"/>
      <c r="AI2456" s="38"/>
      <c r="AJ2456" s="145"/>
      <c r="AK2456" s="80"/>
      <c r="AL2456" s="215"/>
      <c r="AM2456" s="456"/>
      <c r="AN2456" s="387"/>
      <c r="AO2456" s="454"/>
      <c r="AP2456" s="439"/>
      <c r="AQ2456" s="440"/>
      <c r="AR2456" s="424"/>
      <c r="AS2456" s="453"/>
      <c r="AT2456" s="292"/>
      <c r="AU2456" s="293"/>
      <c r="AV2456" s="16"/>
      <c r="AW2456" s="16"/>
      <c r="AX2456" s="19"/>
      <c r="AY2456" s="20"/>
      <c r="AZ2456" s="77"/>
      <c r="BA2456" s="38"/>
      <c r="BB2456" s="145"/>
      <c r="BC2456" s="80"/>
      <c r="BD2456" s="75"/>
      <c r="BE2456" s="208"/>
      <c r="BF2456" s="16"/>
      <c r="BG2456" s="19"/>
      <c r="BH2456" s="20"/>
      <c r="BI2456" s="77"/>
      <c r="BJ2456" s="38"/>
      <c r="BK2456" s="145"/>
      <c r="BL2456" s="80"/>
      <c r="BM2456" s="75"/>
      <c r="BN2456" s="208"/>
      <c r="BO2456" s="16"/>
      <c r="BP2456" s="19"/>
      <c r="BQ2456" s="20"/>
      <c r="BR2456" s="32"/>
      <c r="BS2456" s="38"/>
      <c r="BT2456" s="145"/>
      <c r="BU2456" s="80"/>
      <c r="BV2456" s="215"/>
      <c r="BX2456" s="321"/>
      <c r="BY2456" s="38"/>
    </row>
    <row r="2457" spans="1:77" ht="15" customHeight="1" x14ac:dyDescent="0.2">
      <c r="A2457" s="56" t="s">
        <v>49</v>
      </c>
      <c r="B2457" s="56"/>
      <c r="C2457" s="107" t="s">
        <v>2783</v>
      </c>
      <c r="D2457" s="544">
        <v>7.9459999999999997</v>
      </c>
      <c r="E2457" s="107" t="s">
        <v>631</v>
      </c>
      <c r="F2457" s="603"/>
      <c r="G2457" s="419"/>
      <c r="H2457" s="68"/>
      <c r="I2457" s="74"/>
      <c r="J2457" s="68"/>
      <c r="K2457" s="68"/>
      <c r="L2457" s="74"/>
      <c r="M2457" s="68"/>
      <c r="N2457" s="356"/>
      <c r="O2457" s="923">
        <v>2014</v>
      </c>
      <c r="P2457" s="68"/>
      <c r="Q2457" s="356">
        <v>0.296705</v>
      </c>
      <c r="R2457" s="923"/>
      <c r="S2457" s="68"/>
      <c r="T2457" s="356"/>
      <c r="U2457" s="68"/>
      <c r="V2457" s="68"/>
      <c r="W2457" s="674">
        <f t="shared" ref="W2457" si="2182">AA2457*(1+AB2457)</f>
        <v>2.3439695E-4</v>
      </c>
      <c r="X2457" s="675">
        <f t="shared" ref="X2457" si="2183">AA2457*(1+AC2457)</f>
        <v>2.3439695E-4</v>
      </c>
      <c r="Y2457" s="53">
        <v>2013</v>
      </c>
      <c r="Z2457" s="53"/>
      <c r="AA2457" s="767">
        <f>Q2457/1000</f>
        <v>2.9670499999999997E-4</v>
      </c>
      <c r="AB2457" s="395">
        <v>-0.21</v>
      </c>
      <c r="AC2457" s="443">
        <f t="shared" ref="AC2457" si="2184">AB2457</f>
        <v>-0.21</v>
      </c>
      <c r="AE2457" s="16"/>
      <c r="AF2457" s="136"/>
      <c r="AG2457" s="59"/>
      <c r="AH2457" s="77"/>
      <c r="AI2457" s="38"/>
      <c r="AJ2457" s="145"/>
      <c r="AK2457" s="80"/>
      <c r="AL2457" s="215"/>
      <c r="AM2457" s="456"/>
      <c r="AN2457" s="387"/>
      <c r="AO2457" s="454"/>
      <c r="AP2457" s="439"/>
      <c r="AQ2457" s="440"/>
      <c r="AR2457" s="424"/>
      <c r="AS2457" s="453"/>
      <c r="AT2457" s="292"/>
      <c r="AU2457" s="293"/>
      <c r="AV2457" s="16"/>
      <c r="AW2457" s="16"/>
      <c r="AX2457" s="19"/>
      <c r="AY2457" s="20"/>
      <c r="AZ2457" s="77"/>
      <c r="BA2457" s="38"/>
      <c r="BB2457" s="145"/>
      <c r="BC2457" s="80"/>
      <c r="BD2457" s="75"/>
      <c r="BE2457" s="208"/>
      <c r="BF2457" s="16"/>
      <c r="BG2457" s="19"/>
      <c r="BH2457" s="20"/>
      <c r="BI2457" s="77"/>
      <c r="BJ2457" s="38"/>
      <c r="BK2457" s="145"/>
      <c r="BL2457" s="80"/>
      <c r="BM2457" s="75"/>
      <c r="BN2457" s="208"/>
      <c r="BO2457" s="16"/>
      <c r="BP2457" s="19"/>
      <c r="BQ2457" s="20"/>
      <c r="BR2457" s="32"/>
      <c r="BS2457" s="38"/>
      <c r="BT2457" s="145"/>
      <c r="BU2457" s="80"/>
      <c r="BV2457" s="215"/>
      <c r="BX2457" s="321"/>
      <c r="BY2457" s="38"/>
    </row>
    <row r="2458" spans="1:77" ht="15" customHeight="1" x14ac:dyDescent="0.2">
      <c r="A2458" s="56" t="s">
        <v>49</v>
      </c>
      <c r="B2458" s="56"/>
      <c r="C2458" s="107" t="s">
        <v>2784</v>
      </c>
      <c r="D2458" s="544">
        <v>4.5</v>
      </c>
      <c r="E2458" s="107" t="s">
        <v>631</v>
      </c>
      <c r="F2458" s="603"/>
      <c r="G2458" s="419"/>
      <c r="H2458" s="68"/>
      <c r="I2458" s="74"/>
      <c r="J2458" s="68"/>
      <c r="K2458" s="68"/>
      <c r="L2458" s="74"/>
      <c r="M2458" s="68"/>
      <c r="N2458" s="356"/>
      <c r="O2458" s="923">
        <v>2013</v>
      </c>
      <c r="P2458" s="68"/>
      <c r="Q2458" s="375">
        <v>8.5538000000000003E-3</v>
      </c>
      <c r="R2458" s="923"/>
      <c r="S2458" s="68"/>
      <c r="T2458" s="375"/>
      <c r="U2458" s="68"/>
      <c r="V2458" s="68"/>
      <c r="W2458" s="769">
        <f t="shared" ref="W2458" si="2185">AA2458*(1+AB2458)</f>
        <v>6.5864260000000013E-6</v>
      </c>
      <c r="X2458" s="770">
        <f t="shared" ref="X2458" si="2186">AA2458*(1+AC2458)</f>
        <v>6.5864260000000013E-6</v>
      </c>
      <c r="Y2458" s="53">
        <v>2013</v>
      </c>
      <c r="Z2458" s="53"/>
      <c r="AA2458" s="768">
        <f>Q2458/1000</f>
        <v>8.553800000000001E-6</v>
      </c>
      <c r="AB2458" s="395">
        <v>-0.23</v>
      </c>
      <c r="AC2458" s="443">
        <f t="shared" ref="AC2458" si="2187">AB2458</f>
        <v>-0.23</v>
      </c>
      <c r="AE2458" s="16"/>
      <c r="AF2458" s="136"/>
      <c r="AG2458" s="59"/>
      <c r="AH2458" s="77"/>
      <c r="AI2458" s="38"/>
      <c r="AJ2458" s="145"/>
      <c r="AK2458" s="80"/>
      <c r="AL2458" s="215"/>
      <c r="AM2458" s="456"/>
      <c r="AN2458" s="387"/>
      <c r="AO2458" s="454"/>
      <c r="AP2458" s="439"/>
      <c r="AQ2458" s="440"/>
      <c r="AR2458" s="424"/>
      <c r="AS2458" s="453"/>
      <c r="AT2458" s="292"/>
      <c r="AU2458" s="293"/>
      <c r="AV2458" s="16"/>
      <c r="AW2458" s="16"/>
      <c r="AX2458" s="19"/>
      <c r="AY2458" s="20"/>
      <c r="AZ2458" s="77"/>
      <c r="BA2458" s="38"/>
      <c r="BB2458" s="145"/>
      <c r="BC2458" s="80"/>
      <c r="BD2458" s="75"/>
      <c r="BE2458" s="208"/>
      <c r="BF2458" s="16"/>
      <c r="BG2458" s="19"/>
      <c r="BH2458" s="20"/>
      <c r="BI2458" s="77"/>
      <c r="BJ2458" s="38"/>
      <c r="BK2458" s="145"/>
      <c r="BL2458" s="80"/>
      <c r="BM2458" s="75"/>
      <c r="BN2458" s="208"/>
      <c r="BO2458" s="16"/>
      <c r="BP2458" s="19"/>
      <c r="BQ2458" s="20"/>
      <c r="BR2458" s="32"/>
      <c r="BS2458" s="38"/>
      <c r="BT2458" s="145"/>
      <c r="BU2458" s="80"/>
      <c r="BV2458" s="215"/>
      <c r="BX2458" s="321"/>
      <c r="BY2458" s="38"/>
    </row>
    <row r="2459" spans="1:77" ht="15" customHeight="1" x14ac:dyDescent="0.2">
      <c r="A2459" s="56" t="s">
        <v>49</v>
      </c>
      <c r="B2459" s="56"/>
      <c r="C2459" s="107" t="s">
        <v>2122</v>
      </c>
      <c r="D2459" s="544">
        <v>69.343000000000004</v>
      </c>
      <c r="E2459" s="107" t="s">
        <v>631</v>
      </c>
      <c r="F2459" s="603"/>
      <c r="G2459" s="419"/>
      <c r="H2459" s="68"/>
      <c r="I2459" s="74"/>
      <c r="J2459" s="68"/>
      <c r="K2459" s="68"/>
      <c r="L2459" s="74"/>
      <c r="M2459" s="68"/>
      <c r="N2459" s="356"/>
      <c r="O2459" s="923">
        <v>2013</v>
      </c>
      <c r="P2459" s="68"/>
      <c r="Q2459" s="356">
        <v>0.24632299999999999</v>
      </c>
      <c r="R2459" s="923"/>
      <c r="S2459" s="68"/>
      <c r="T2459" s="356"/>
      <c r="U2459" s="68"/>
      <c r="V2459" s="68"/>
      <c r="W2459" s="674">
        <f t="shared" si="2178"/>
        <v>1.9705840000000001E-4</v>
      </c>
      <c r="X2459" s="675">
        <f t="shared" si="2179"/>
        <v>1.9705840000000001E-4</v>
      </c>
      <c r="Y2459" s="53">
        <v>2013</v>
      </c>
      <c r="Z2459" s="53"/>
      <c r="AA2459" s="767">
        <f>Q2459/1000</f>
        <v>2.4632300000000001E-4</v>
      </c>
      <c r="AB2459" s="395">
        <v>-0.2</v>
      </c>
      <c r="AC2459" s="443">
        <f t="shared" si="2180"/>
        <v>-0.2</v>
      </c>
      <c r="AE2459" s="16"/>
      <c r="AF2459" s="136"/>
      <c r="AG2459" s="59"/>
      <c r="AH2459" s="77"/>
      <c r="AI2459" s="38"/>
      <c r="AJ2459" s="145"/>
      <c r="AK2459" s="80"/>
      <c r="AL2459" s="215"/>
      <c r="AM2459" s="456"/>
      <c r="AN2459" s="387"/>
      <c r="AO2459" s="454"/>
      <c r="AP2459" s="439"/>
      <c r="AQ2459" s="440"/>
      <c r="AR2459" s="424"/>
      <c r="AS2459" s="453"/>
      <c r="AT2459" s="292"/>
      <c r="AU2459" s="293"/>
      <c r="AV2459" s="16"/>
      <c r="AW2459" s="16"/>
      <c r="AX2459" s="19"/>
      <c r="AY2459" s="20"/>
      <c r="AZ2459" s="77"/>
      <c r="BA2459" s="38"/>
      <c r="BB2459" s="145"/>
      <c r="BC2459" s="80"/>
      <c r="BD2459" s="75"/>
      <c r="BE2459" s="208"/>
      <c r="BF2459" s="16"/>
      <c r="BG2459" s="19"/>
      <c r="BH2459" s="20"/>
      <c r="BI2459" s="77"/>
      <c r="BJ2459" s="38"/>
      <c r="BK2459" s="145"/>
      <c r="BL2459" s="80"/>
      <c r="BM2459" s="75"/>
      <c r="BN2459" s="208"/>
      <c r="BO2459" s="16"/>
      <c r="BP2459" s="19"/>
      <c r="BQ2459" s="20"/>
      <c r="BR2459" s="32"/>
      <c r="BS2459" s="38"/>
      <c r="BT2459" s="145"/>
      <c r="BU2459" s="80"/>
      <c r="BV2459" s="215"/>
      <c r="BX2459" s="321"/>
      <c r="BY2459" s="38"/>
    </row>
    <row r="2460" spans="1:77" ht="15" customHeight="1" x14ac:dyDescent="0.2">
      <c r="A2460" s="56" t="s">
        <v>49</v>
      </c>
      <c r="B2460" s="56"/>
      <c r="C2460" s="107" t="s">
        <v>642</v>
      </c>
      <c r="D2460" s="544">
        <v>49</v>
      </c>
      <c r="E2460" s="107" t="s">
        <v>631</v>
      </c>
      <c r="F2460" s="603"/>
      <c r="G2460" s="419"/>
      <c r="H2460" s="68"/>
      <c r="I2460" s="74"/>
      <c r="J2460" s="68"/>
      <c r="K2460" s="71">
        <v>0.16</v>
      </c>
      <c r="L2460" s="74"/>
      <c r="M2460" s="68"/>
      <c r="N2460" s="356"/>
      <c r="O2460" s="923"/>
      <c r="P2460" s="68"/>
      <c r="Q2460" s="356"/>
      <c r="R2460" s="923"/>
      <c r="S2460" s="68"/>
      <c r="T2460" s="356"/>
      <c r="U2460" s="68"/>
      <c r="V2460" s="68"/>
      <c r="W2460" s="674">
        <f t="shared" si="2178"/>
        <v>1.1680000000000001E-4</v>
      </c>
      <c r="X2460" s="675">
        <f t="shared" si="2179"/>
        <v>1.1680000000000001E-4</v>
      </c>
      <c r="Y2460" s="53">
        <v>2005</v>
      </c>
      <c r="Z2460" s="53"/>
      <c r="AA2460" s="767">
        <f t="shared" si="2181"/>
        <v>1.6000000000000001E-4</v>
      </c>
      <c r="AB2460" s="395">
        <v>-0.27</v>
      </c>
      <c r="AC2460" s="443">
        <f t="shared" si="2180"/>
        <v>-0.27</v>
      </c>
      <c r="AE2460" s="16"/>
      <c r="AF2460" s="136"/>
      <c r="AG2460" s="59"/>
      <c r="AH2460" s="77"/>
      <c r="AI2460" s="38"/>
      <c r="AJ2460" s="145"/>
      <c r="AK2460" s="80"/>
      <c r="AL2460" s="215"/>
      <c r="AM2460" s="456"/>
      <c r="AN2460" s="387"/>
      <c r="AO2460" s="454"/>
      <c r="AP2460" s="439"/>
      <c r="AQ2460" s="440"/>
      <c r="AR2460" s="424"/>
      <c r="AS2460" s="453"/>
      <c r="AT2460" s="292"/>
      <c r="AU2460" s="293"/>
      <c r="AV2460" s="16"/>
      <c r="AW2460" s="16"/>
      <c r="AX2460" s="19"/>
      <c r="AY2460" s="20"/>
      <c r="AZ2460" s="77"/>
      <c r="BA2460" s="38"/>
      <c r="BB2460" s="145"/>
      <c r="BC2460" s="80"/>
      <c r="BD2460" s="75"/>
      <c r="BE2460" s="208"/>
      <c r="BF2460" s="16"/>
      <c r="BG2460" s="19"/>
      <c r="BH2460" s="20"/>
      <c r="BI2460" s="77"/>
      <c r="BJ2460" s="38"/>
      <c r="BK2460" s="145"/>
      <c r="BL2460" s="80"/>
      <c r="BM2460" s="75"/>
      <c r="BN2460" s="208"/>
      <c r="BO2460" s="16"/>
      <c r="BP2460" s="19"/>
      <c r="BQ2460" s="20"/>
      <c r="BR2460" s="32"/>
      <c r="BS2460" s="38"/>
      <c r="BT2460" s="145"/>
      <c r="BU2460" s="80"/>
      <c r="BV2460" s="215"/>
      <c r="BX2460" s="321"/>
      <c r="BY2460" s="38"/>
    </row>
    <row r="2461" spans="1:77" ht="15" customHeight="1" x14ac:dyDescent="0.2">
      <c r="A2461" s="56" t="s">
        <v>49</v>
      </c>
      <c r="B2461" s="56"/>
      <c r="C2461" s="107" t="s">
        <v>646</v>
      </c>
      <c r="D2461" s="544">
        <v>62</v>
      </c>
      <c r="E2461" s="107" t="s">
        <v>631</v>
      </c>
      <c r="F2461" s="603"/>
      <c r="G2461" s="419"/>
      <c r="H2461" s="68"/>
      <c r="I2461" s="74">
        <v>2005</v>
      </c>
      <c r="J2461" s="68"/>
      <c r="K2461" s="68">
        <v>0.184137</v>
      </c>
      <c r="L2461" s="74"/>
      <c r="M2461" s="68"/>
      <c r="N2461" s="356"/>
      <c r="O2461" s="923"/>
      <c r="P2461" s="68"/>
      <c r="Q2461" s="356"/>
      <c r="R2461" s="923"/>
      <c r="S2461" s="68"/>
      <c r="T2461" s="356"/>
      <c r="U2461" s="68"/>
      <c r="V2461" s="68"/>
      <c r="W2461" s="674">
        <f t="shared" si="2178"/>
        <v>1.473096E-4</v>
      </c>
      <c r="X2461" s="675">
        <f t="shared" si="2179"/>
        <v>1.473096E-4</v>
      </c>
      <c r="Y2461" s="53">
        <v>2005</v>
      </c>
      <c r="Z2461" s="53"/>
      <c r="AA2461" s="767">
        <f t="shared" si="2181"/>
        <v>1.8413699999999999E-4</v>
      </c>
      <c r="AB2461" s="395">
        <v>-0.2</v>
      </c>
      <c r="AC2461" s="443">
        <f t="shared" si="2180"/>
        <v>-0.2</v>
      </c>
      <c r="AE2461" s="16"/>
      <c r="AF2461" s="136"/>
      <c r="AG2461" s="59"/>
      <c r="AH2461" s="77"/>
      <c r="AI2461" s="38"/>
      <c r="AJ2461" s="145"/>
      <c r="AK2461" s="80"/>
      <c r="AL2461" s="215"/>
      <c r="AM2461" s="456"/>
      <c r="AN2461" s="387"/>
      <c r="AO2461" s="454"/>
      <c r="AP2461" s="439"/>
      <c r="AQ2461" s="440"/>
      <c r="AR2461" s="424"/>
      <c r="AS2461" s="453"/>
      <c r="AT2461" s="292"/>
      <c r="AU2461" s="293"/>
      <c r="AV2461" s="16"/>
      <c r="AW2461" s="16"/>
      <c r="AX2461" s="19"/>
      <c r="AY2461" s="20"/>
      <c r="AZ2461" s="77"/>
      <c r="BA2461" s="38"/>
      <c r="BB2461" s="145"/>
      <c r="BC2461" s="80"/>
      <c r="BD2461" s="75"/>
      <c r="BE2461" s="208"/>
      <c r="BF2461" s="16"/>
      <c r="BG2461" s="19"/>
      <c r="BH2461" s="20"/>
      <c r="BI2461" s="77"/>
      <c r="BJ2461" s="38"/>
      <c r="BK2461" s="145"/>
      <c r="BL2461" s="80"/>
      <c r="BM2461" s="75"/>
      <c r="BN2461" s="208"/>
      <c r="BO2461" s="16"/>
      <c r="BP2461" s="19"/>
      <c r="BQ2461" s="20"/>
      <c r="BR2461" s="32"/>
      <c r="BS2461" s="38"/>
      <c r="BT2461" s="145"/>
      <c r="BU2461" s="80"/>
      <c r="BV2461" s="215"/>
      <c r="BX2461" s="321"/>
      <c r="BY2461" s="38"/>
    </row>
    <row r="2462" spans="1:77" ht="15" customHeight="1" x14ac:dyDescent="0.2">
      <c r="A2462" s="56" t="s">
        <v>49</v>
      </c>
      <c r="B2462" s="56"/>
      <c r="C2462" s="107" t="s">
        <v>655</v>
      </c>
      <c r="D2462" s="544">
        <v>46.5</v>
      </c>
      <c r="E2462" s="107" t="s">
        <v>631</v>
      </c>
      <c r="F2462" s="603"/>
      <c r="G2462" s="419"/>
      <c r="H2462" s="68"/>
      <c r="I2462" s="74">
        <v>2007</v>
      </c>
      <c r="J2462" s="68"/>
      <c r="K2462" s="68">
        <v>8.0472000000000002E-2</v>
      </c>
      <c r="L2462" s="74"/>
      <c r="M2462" s="68"/>
      <c r="N2462" s="356"/>
      <c r="O2462" s="923"/>
      <c r="P2462" s="68"/>
      <c r="Q2462" s="356"/>
      <c r="R2462" s="923"/>
      <c r="S2462" s="68"/>
      <c r="T2462" s="356"/>
      <c r="U2462" s="68"/>
      <c r="V2462" s="68"/>
      <c r="W2462" s="674">
        <f t="shared" si="2178"/>
        <v>6.4377599999999998E-5</v>
      </c>
      <c r="X2462" s="675">
        <f t="shared" si="2179"/>
        <v>6.4377599999999998E-5</v>
      </c>
      <c r="Y2462" s="53">
        <v>2008</v>
      </c>
      <c r="Z2462" s="53"/>
      <c r="AA2462" s="767">
        <f t="shared" si="2181"/>
        <v>8.0471999999999998E-5</v>
      </c>
      <c r="AB2462" s="395">
        <v>-0.2</v>
      </c>
      <c r="AC2462" s="443">
        <f t="shared" si="2180"/>
        <v>-0.2</v>
      </c>
      <c r="AE2462" s="16"/>
      <c r="AF2462" s="136"/>
      <c r="AG2462" s="59"/>
      <c r="AH2462" s="77"/>
      <c r="AI2462" s="38"/>
      <c r="AJ2462" s="145"/>
      <c r="AK2462" s="80"/>
      <c r="AL2462" s="215"/>
      <c r="AM2462" s="456"/>
      <c r="AN2462" s="387"/>
      <c r="AO2462" s="454"/>
      <c r="AP2462" s="439"/>
      <c r="AQ2462" s="440"/>
      <c r="AR2462" s="424"/>
      <c r="AS2462" s="453"/>
      <c r="AT2462" s="292"/>
      <c r="AU2462" s="293"/>
      <c r="AV2462" s="16"/>
      <c r="AW2462" s="16"/>
      <c r="AX2462" s="19"/>
      <c r="AY2462" s="20"/>
      <c r="AZ2462" s="77"/>
      <c r="BA2462" s="38"/>
      <c r="BB2462" s="145"/>
      <c r="BC2462" s="80"/>
      <c r="BD2462" s="75"/>
      <c r="BE2462" s="208"/>
      <c r="BF2462" s="16"/>
      <c r="BG2462" s="19"/>
      <c r="BH2462" s="20"/>
      <c r="BI2462" s="77"/>
      <c r="BJ2462" s="38"/>
      <c r="BK2462" s="145"/>
      <c r="BL2462" s="80"/>
      <c r="BM2462" s="75"/>
      <c r="BN2462" s="208"/>
      <c r="BO2462" s="16"/>
      <c r="BP2462" s="19"/>
      <c r="BQ2462" s="20"/>
      <c r="BR2462" s="32"/>
      <c r="BS2462" s="38"/>
      <c r="BT2462" s="145"/>
      <c r="BU2462" s="80"/>
      <c r="BV2462" s="215"/>
      <c r="BX2462" s="321"/>
      <c r="BY2462" s="38"/>
    </row>
    <row r="2463" spans="1:77" ht="15" customHeight="1" x14ac:dyDescent="0.2">
      <c r="A2463" s="56" t="s">
        <v>49</v>
      </c>
      <c r="B2463" s="56"/>
      <c r="C2463" s="107" t="s">
        <v>653</v>
      </c>
      <c r="D2463" s="544">
        <v>40</v>
      </c>
      <c r="E2463" s="107" t="s">
        <v>631</v>
      </c>
      <c r="F2463" s="603"/>
      <c r="G2463" s="419"/>
      <c r="H2463" s="68"/>
      <c r="I2463" s="74">
        <v>2008</v>
      </c>
      <c r="J2463" s="68"/>
      <c r="K2463" s="68">
        <v>9.3793000000000001E-2</v>
      </c>
      <c r="L2463" s="74"/>
      <c r="M2463" s="68"/>
      <c r="N2463" s="356"/>
      <c r="O2463" s="923"/>
      <c r="P2463" s="68"/>
      <c r="Q2463" s="356"/>
      <c r="R2463" s="923"/>
      <c r="S2463" s="68"/>
      <c r="T2463" s="356"/>
      <c r="U2463" s="68"/>
      <c r="V2463" s="68"/>
      <c r="W2463" s="674">
        <f t="shared" si="2178"/>
        <v>7.4096470000000009E-5</v>
      </c>
      <c r="X2463" s="675">
        <f t="shared" si="2179"/>
        <v>7.4096470000000009E-5</v>
      </c>
      <c r="Y2463" s="53">
        <v>2008</v>
      </c>
      <c r="Z2463" s="53"/>
      <c r="AA2463" s="767">
        <f t="shared" si="2181"/>
        <v>9.3793000000000001E-5</v>
      </c>
      <c r="AB2463" s="395">
        <v>-0.21</v>
      </c>
      <c r="AC2463" s="443">
        <f t="shared" si="2180"/>
        <v>-0.21</v>
      </c>
      <c r="AE2463" s="16"/>
      <c r="AF2463" s="136"/>
      <c r="AG2463" s="59"/>
      <c r="AH2463" s="77"/>
      <c r="AI2463" s="38"/>
      <c r="AJ2463" s="145"/>
      <c r="AK2463" s="80"/>
      <c r="AL2463" s="215"/>
      <c r="AM2463" s="456"/>
      <c r="AN2463" s="387"/>
      <c r="AO2463" s="454"/>
      <c r="AP2463" s="439"/>
      <c r="AQ2463" s="440"/>
      <c r="AR2463" s="424"/>
      <c r="AS2463" s="453"/>
      <c r="AT2463" s="292"/>
      <c r="AU2463" s="293"/>
      <c r="AV2463" s="16"/>
      <c r="AW2463" s="16"/>
      <c r="AX2463" s="19"/>
      <c r="AY2463" s="20"/>
      <c r="AZ2463" s="77"/>
      <c r="BA2463" s="38"/>
      <c r="BB2463" s="145"/>
      <c r="BC2463" s="80"/>
      <c r="BD2463" s="75"/>
      <c r="BE2463" s="208"/>
      <c r="BF2463" s="16"/>
      <c r="BG2463" s="19"/>
      <c r="BH2463" s="20"/>
      <c r="BI2463" s="77"/>
      <c r="BJ2463" s="38"/>
      <c r="BK2463" s="145"/>
      <c r="BL2463" s="80"/>
      <c r="BM2463" s="75"/>
      <c r="BN2463" s="208"/>
      <c r="BO2463" s="16"/>
      <c r="BP2463" s="19"/>
      <c r="BQ2463" s="20"/>
      <c r="BR2463" s="32"/>
      <c r="BS2463" s="38"/>
      <c r="BT2463" s="145"/>
      <c r="BU2463" s="80"/>
      <c r="BV2463" s="215"/>
      <c r="BX2463" s="321"/>
      <c r="BY2463" s="38"/>
    </row>
    <row r="2464" spans="1:77" ht="15" customHeight="1" x14ac:dyDescent="0.2">
      <c r="A2464" s="56" t="s">
        <v>49</v>
      </c>
      <c r="B2464" s="56"/>
      <c r="C2464" s="107" t="s">
        <v>644</v>
      </c>
      <c r="D2464" s="544">
        <v>40.6</v>
      </c>
      <c r="E2464" s="107" t="s">
        <v>631</v>
      </c>
      <c r="F2464" s="603"/>
      <c r="G2464" s="419"/>
      <c r="H2464" s="68"/>
      <c r="I2464" s="74">
        <v>2009</v>
      </c>
      <c r="J2464" s="68"/>
      <c r="K2464" s="68">
        <v>9.4173000000000007E-2</v>
      </c>
      <c r="L2464" s="74"/>
      <c r="M2464" s="68"/>
      <c r="N2464" s="356"/>
      <c r="O2464" s="923"/>
      <c r="P2464" s="68"/>
      <c r="Q2464" s="356"/>
      <c r="R2464" s="923"/>
      <c r="S2464" s="68"/>
      <c r="T2464" s="356"/>
      <c r="U2464" s="68"/>
      <c r="V2464" s="68"/>
      <c r="W2464" s="674">
        <f t="shared" si="2178"/>
        <v>7.5338400000000017E-5</v>
      </c>
      <c r="X2464" s="675">
        <f t="shared" si="2179"/>
        <v>7.5338400000000017E-5</v>
      </c>
      <c r="Y2464" s="53">
        <v>2009</v>
      </c>
      <c r="Z2464" s="53"/>
      <c r="AA2464" s="767">
        <f t="shared" si="2181"/>
        <v>9.4173000000000008E-5</v>
      </c>
      <c r="AB2464" s="395">
        <v>-0.2</v>
      </c>
      <c r="AC2464" s="443">
        <f t="shared" si="2180"/>
        <v>-0.2</v>
      </c>
      <c r="AE2464" s="16"/>
      <c r="AF2464" s="136"/>
      <c r="AG2464" s="59"/>
      <c r="AH2464" s="77"/>
      <c r="AI2464" s="38"/>
      <c r="AJ2464" s="145"/>
      <c r="AK2464" s="80"/>
      <c r="AL2464" s="215"/>
      <c r="AM2464" s="456"/>
      <c r="AN2464" s="387"/>
      <c r="AO2464" s="454"/>
      <c r="AP2464" s="439"/>
      <c r="AQ2464" s="440"/>
      <c r="AR2464" s="424"/>
      <c r="AS2464" s="453"/>
      <c r="AT2464" s="292"/>
      <c r="AU2464" s="293"/>
      <c r="AV2464" s="16"/>
      <c r="AW2464" s="16"/>
      <c r="AX2464" s="19"/>
      <c r="AY2464" s="20"/>
      <c r="AZ2464" s="77"/>
      <c r="BA2464" s="38"/>
      <c r="BB2464" s="145"/>
      <c r="BC2464" s="80"/>
      <c r="BD2464" s="75"/>
      <c r="BE2464" s="208"/>
      <c r="BF2464" s="16"/>
      <c r="BG2464" s="19"/>
      <c r="BH2464" s="20"/>
      <c r="BI2464" s="77"/>
      <c r="BJ2464" s="38"/>
      <c r="BK2464" s="145"/>
      <c r="BL2464" s="80"/>
      <c r="BM2464" s="75"/>
      <c r="BN2464" s="208"/>
      <c r="BO2464" s="16"/>
      <c r="BP2464" s="19"/>
      <c r="BQ2464" s="20"/>
      <c r="BR2464" s="32"/>
      <c r="BS2464" s="38"/>
      <c r="BT2464" s="145"/>
      <c r="BU2464" s="80"/>
      <c r="BV2464" s="215"/>
      <c r="BX2464" s="321"/>
      <c r="BY2464" s="38"/>
    </row>
    <row r="2465" spans="1:77" ht="15" customHeight="1" x14ac:dyDescent="0.2">
      <c r="A2465" s="56" t="s">
        <v>49</v>
      </c>
      <c r="B2465" s="56"/>
      <c r="C2465" s="107" t="s">
        <v>2612</v>
      </c>
      <c r="D2465" s="544">
        <v>113.169</v>
      </c>
      <c r="E2465" s="107" t="s">
        <v>631</v>
      </c>
      <c r="F2465" s="603"/>
      <c r="G2465" s="419"/>
      <c r="H2465" s="68"/>
      <c r="I2465" s="74"/>
      <c r="J2465" s="68"/>
      <c r="K2465" s="68"/>
      <c r="L2465" s="74"/>
      <c r="M2465" s="68"/>
      <c r="N2465" s="356"/>
      <c r="O2465" s="923">
        <v>2014</v>
      </c>
      <c r="P2465" s="68"/>
      <c r="Q2465" s="354">
        <f>0.321574</f>
        <v>0.32157400000000003</v>
      </c>
      <c r="R2465" s="923"/>
      <c r="S2465" s="68"/>
      <c r="T2465" s="354"/>
      <c r="U2465" s="68"/>
      <c r="V2465" s="68"/>
      <c r="W2465" s="674">
        <f t="shared" ref="W2465" si="2188">AA2465*(1+AB2465)</f>
        <v>2.5082772000000001E-4</v>
      </c>
      <c r="X2465" s="675">
        <f t="shared" ref="X2465" si="2189">AA2465*(1+AC2465)</f>
        <v>2.5082772000000001E-4</v>
      </c>
      <c r="Y2465" s="53">
        <v>2009</v>
      </c>
      <c r="Z2465" s="53"/>
      <c r="AA2465" s="767">
        <f>Q2465/1000</f>
        <v>3.2157400000000004E-4</v>
      </c>
      <c r="AB2465" s="395">
        <v>-0.22</v>
      </c>
      <c r="AC2465" s="443">
        <f t="shared" ref="AC2465" si="2190">AB2465</f>
        <v>-0.22</v>
      </c>
      <c r="AE2465" s="16"/>
      <c r="AF2465" s="136"/>
      <c r="AG2465" s="59"/>
      <c r="AH2465" s="77"/>
      <c r="AI2465" s="38"/>
      <c r="AJ2465" s="145"/>
      <c r="AK2465" s="80"/>
      <c r="AL2465" s="215"/>
      <c r="AM2465" s="456"/>
      <c r="AN2465" s="387"/>
      <c r="AO2465" s="454"/>
      <c r="AP2465" s="439"/>
      <c r="AQ2465" s="440"/>
      <c r="AR2465" s="424"/>
      <c r="AS2465" s="453"/>
      <c r="AT2465" s="292"/>
      <c r="AU2465" s="293"/>
      <c r="AV2465" s="16"/>
      <c r="AW2465" s="16"/>
      <c r="AX2465" s="19"/>
      <c r="AY2465" s="20"/>
      <c r="AZ2465" s="77"/>
      <c r="BA2465" s="38"/>
      <c r="BB2465" s="145"/>
      <c r="BC2465" s="80"/>
      <c r="BD2465" s="75"/>
      <c r="BE2465" s="208"/>
      <c r="BF2465" s="16"/>
      <c r="BG2465" s="19"/>
      <c r="BH2465" s="20"/>
      <c r="BI2465" s="77"/>
      <c r="BJ2465" s="38"/>
      <c r="BK2465" s="145"/>
      <c r="BL2465" s="80"/>
      <c r="BM2465" s="75"/>
      <c r="BN2465" s="208"/>
      <c r="BO2465" s="16"/>
      <c r="BP2465" s="19"/>
      <c r="BQ2465" s="20"/>
      <c r="BR2465" s="32"/>
      <c r="BS2465" s="38"/>
      <c r="BT2465" s="145"/>
      <c r="BU2465" s="80"/>
      <c r="BV2465" s="215"/>
      <c r="BX2465" s="321"/>
      <c r="BY2465" s="38"/>
    </row>
    <row r="2466" spans="1:77" ht="15" customHeight="1" x14ac:dyDescent="0.2">
      <c r="A2466" s="56" t="s">
        <v>49</v>
      </c>
      <c r="B2466" s="56"/>
      <c r="C2466" s="107" t="s">
        <v>649</v>
      </c>
      <c r="D2466" s="544">
        <v>97.5</v>
      </c>
      <c r="E2466" s="107" t="s">
        <v>631</v>
      </c>
      <c r="F2466" s="603"/>
      <c r="G2466" s="419"/>
      <c r="H2466" s="68"/>
      <c r="I2466" s="74">
        <v>2008</v>
      </c>
      <c r="J2466" s="68"/>
      <c r="K2466" s="68">
        <v>0.260407</v>
      </c>
      <c r="L2466" s="74"/>
      <c r="M2466" s="68"/>
      <c r="N2466" s="356"/>
      <c r="O2466" s="923"/>
      <c r="P2466" s="68"/>
      <c r="Q2466" s="356"/>
      <c r="R2466" s="923"/>
      <c r="S2466" s="68"/>
      <c r="T2466" s="356"/>
      <c r="U2466" s="68"/>
      <c r="V2466" s="68"/>
      <c r="W2466" s="674">
        <f t="shared" si="2178"/>
        <v>2.083256E-4</v>
      </c>
      <c r="X2466" s="675">
        <f t="shared" si="2179"/>
        <v>2.083256E-4</v>
      </c>
      <c r="Y2466" s="53">
        <v>2008</v>
      </c>
      <c r="Z2466" s="53"/>
      <c r="AA2466" s="767">
        <f t="shared" si="2181"/>
        <v>2.6040699999999999E-4</v>
      </c>
      <c r="AB2466" s="395">
        <v>-0.2</v>
      </c>
      <c r="AC2466" s="443">
        <f t="shared" si="2180"/>
        <v>-0.2</v>
      </c>
      <c r="AE2466" s="16"/>
      <c r="AF2466" s="136"/>
      <c r="AG2466" s="59"/>
      <c r="AH2466" s="77"/>
      <c r="AI2466" s="38"/>
      <c r="AJ2466" s="145"/>
      <c r="AK2466" s="80"/>
      <c r="AL2466" s="215"/>
      <c r="AM2466" s="456"/>
      <c r="AN2466" s="387"/>
      <c r="AO2466" s="454"/>
      <c r="AP2466" s="439"/>
      <c r="AQ2466" s="440"/>
      <c r="AR2466" s="424"/>
      <c r="AS2466" s="453"/>
      <c r="AT2466" s="292"/>
      <c r="AU2466" s="293"/>
      <c r="AV2466" s="16"/>
      <c r="AW2466" s="16"/>
      <c r="AX2466" s="19"/>
      <c r="AY2466" s="20"/>
      <c r="AZ2466" s="77"/>
      <c r="BA2466" s="38"/>
      <c r="BB2466" s="145"/>
      <c r="BC2466" s="80"/>
      <c r="BD2466" s="75"/>
      <c r="BE2466" s="208"/>
      <c r="BF2466" s="16"/>
      <c r="BG2466" s="19"/>
      <c r="BH2466" s="20"/>
      <c r="BI2466" s="77"/>
      <c r="BJ2466" s="38"/>
      <c r="BK2466" s="145"/>
      <c r="BL2466" s="80"/>
      <c r="BM2466" s="75"/>
      <c r="BN2466" s="208"/>
      <c r="BO2466" s="16"/>
      <c r="BP2466" s="19"/>
      <c r="BQ2466" s="20"/>
      <c r="BR2466" s="32"/>
      <c r="BS2466" s="38"/>
      <c r="BT2466" s="145"/>
      <c r="BU2466" s="80"/>
      <c r="BV2466" s="215"/>
      <c r="BX2466" s="321"/>
      <c r="BY2466" s="38"/>
    </row>
    <row r="2467" spans="1:77" ht="15" customHeight="1" x14ac:dyDescent="0.2">
      <c r="A2467" s="56" t="s">
        <v>49</v>
      </c>
      <c r="B2467" s="56"/>
      <c r="C2467" s="107" t="s">
        <v>643</v>
      </c>
      <c r="D2467" s="544">
        <v>300</v>
      </c>
      <c r="E2467" s="107" t="s">
        <v>631</v>
      </c>
      <c r="F2467" s="603"/>
      <c r="G2467" s="419"/>
      <c r="H2467" s="68"/>
      <c r="I2467" s="74">
        <v>2008</v>
      </c>
      <c r="J2467" s="68"/>
      <c r="K2467" s="68">
        <v>1</v>
      </c>
      <c r="L2467" s="74"/>
      <c r="M2467" s="68"/>
      <c r="N2467" s="356"/>
      <c r="O2467" s="923"/>
      <c r="P2467" s="68"/>
      <c r="Q2467" s="356"/>
      <c r="R2467" s="923"/>
      <c r="S2467" s="68"/>
      <c r="T2467" s="356"/>
      <c r="U2467" s="68"/>
      <c r="V2467" s="68"/>
      <c r="W2467" s="89">
        <f t="shared" si="2178"/>
        <v>8.0000000000000004E-4</v>
      </c>
      <c r="X2467" s="87">
        <f t="shared" si="2179"/>
        <v>8.0000000000000004E-4</v>
      </c>
      <c r="Y2467" s="53">
        <v>2008</v>
      </c>
      <c r="Z2467" s="53"/>
      <c r="AA2467" s="36">
        <f t="shared" si="2181"/>
        <v>1E-3</v>
      </c>
      <c r="AB2467" s="395">
        <v>-0.2</v>
      </c>
      <c r="AC2467" s="443">
        <f t="shared" si="2180"/>
        <v>-0.2</v>
      </c>
      <c r="AE2467" s="16"/>
      <c r="AF2467" s="136"/>
      <c r="AG2467" s="59"/>
      <c r="AH2467" s="77"/>
      <c r="AI2467" s="38"/>
      <c r="AJ2467" s="145"/>
      <c r="AK2467" s="80"/>
      <c r="AL2467" s="215"/>
      <c r="AM2467" s="456"/>
      <c r="AN2467" s="387"/>
      <c r="AO2467" s="454"/>
      <c r="AP2467" s="439"/>
      <c r="AQ2467" s="440"/>
      <c r="AR2467" s="424"/>
      <c r="AS2467" s="453"/>
      <c r="AT2467" s="292"/>
      <c r="AU2467" s="293"/>
      <c r="AV2467" s="16"/>
      <c r="AW2467" s="16"/>
      <c r="AX2467" s="19"/>
      <c r="AY2467" s="20"/>
      <c r="AZ2467" s="77"/>
      <c r="BA2467" s="38"/>
      <c r="BB2467" s="145"/>
      <c r="BC2467" s="80"/>
      <c r="BD2467" s="75"/>
      <c r="BE2467" s="208"/>
      <c r="BF2467" s="16"/>
      <c r="BG2467" s="19"/>
      <c r="BH2467" s="20"/>
      <c r="BI2467" s="77"/>
      <c r="BJ2467" s="38"/>
      <c r="BK2467" s="145"/>
      <c r="BL2467" s="80"/>
      <c r="BM2467" s="75"/>
      <c r="BN2467" s="208"/>
      <c r="BO2467" s="16"/>
      <c r="BP2467" s="19"/>
      <c r="BQ2467" s="20"/>
      <c r="BR2467" s="32"/>
      <c r="BS2467" s="38"/>
      <c r="BT2467" s="145"/>
      <c r="BU2467" s="80"/>
      <c r="BV2467" s="215"/>
      <c r="BX2467" s="321"/>
      <c r="BY2467" s="38"/>
    </row>
    <row r="2468" spans="1:77" ht="15" customHeight="1" x14ac:dyDescent="0.2">
      <c r="A2468" s="56" t="s">
        <v>49</v>
      </c>
      <c r="B2468" s="56"/>
      <c r="C2468" s="107" t="s">
        <v>645</v>
      </c>
      <c r="D2468" s="544">
        <v>55</v>
      </c>
      <c r="E2468" s="107" t="s">
        <v>631</v>
      </c>
      <c r="F2468" s="603"/>
      <c r="G2468" s="419"/>
      <c r="H2468" s="68"/>
      <c r="I2468" s="74">
        <v>2005</v>
      </c>
      <c r="J2468" s="68"/>
      <c r="K2468" s="68">
        <v>0.12</v>
      </c>
      <c r="L2468" s="74"/>
      <c r="M2468" s="68"/>
      <c r="N2468" s="356"/>
      <c r="O2468" s="923"/>
      <c r="P2468" s="68"/>
      <c r="Q2468" s="356"/>
      <c r="R2468" s="923"/>
      <c r="S2468" s="68"/>
      <c r="T2468" s="356"/>
      <c r="U2468" s="68"/>
      <c r="V2468" s="68"/>
      <c r="W2468" s="674">
        <f t="shared" si="2178"/>
        <v>9.6000000000000002E-5</v>
      </c>
      <c r="X2468" s="675">
        <f t="shared" si="2179"/>
        <v>9.6000000000000002E-5</v>
      </c>
      <c r="Y2468" s="53">
        <v>2005</v>
      </c>
      <c r="Z2468" s="53"/>
      <c r="AA2468" s="767">
        <f t="shared" si="2181"/>
        <v>1.1999999999999999E-4</v>
      </c>
      <c r="AB2468" s="395">
        <v>-0.2</v>
      </c>
      <c r="AC2468" s="443">
        <f t="shared" si="2180"/>
        <v>-0.2</v>
      </c>
      <c r="AE2468" s="16"/>
      <c r="AF2468" s="136"/>
      <c r="AG2468" s="59"/>
      <c r="AH2468" s="77"/>
      <c r="AI2468" s="38"/>
      <c r="AJ2468" s="145"/>
      <c r="AK2468" s="80"/>
      <c r="AL2468" s="215"/>
      <c r="AM2468" s="456"/>
      <c r="AN2468" s="387"/>
      <c r="AO2468" s="454"/>
      <c r="AP2468" s="439"/>
      <c r="AQ2468" s="440"/>
      <c r="AR2468" s="424"/>
      <c r="AS2468" s="453"/>
      <c r="AT2468" s="292"/>
      <c r="AU2468" s="293"/>
      <c r="AV2468" s="16"/>
      <c r="AW2468" s="16"/>
      <c r="AX2468" s="19"/>
      <c r="AY2468" s="20"/>
      <c r="AZ2468" s="77"/>
      <c r="BA2468" s="38"/>
      <c r="BB2468" s="145"/>
      <c r="BC2468" s="80"/>
      <c r="BD2468" s="75"/>
      <c r="BE2468" s="208"/>
      <c r="BF2468" s="16"/>
      <c r="BG2468" s="19"/>
      <c r="BH2468" s="20"/>
      <c r="BI2468" s="77"/>
      <c r="BJ2468" s="38"/>
      <c r="BK2468" s="145"/>
      <c r="BL2468" s="80"/>
      <c r="BM2468" s="75"/>
      <c r="BN2468" s="208"/>
      <c r="BO2468" s="16"/>
      <c r="BP2468" s="19"/>
      <c r="BQ2468" s="20"/>
      <c r="BR2468" s="32"/>
      <c r="BS2468" s="38"/>
      <c r="BT2468" s="145"/>
      <c r="BU2468" s="80"/>
      <c r="BV2468" s="215"/>
      <c r="BX2468" s="321"/>
      <c r="BY2468" s="38"/>
    </row>
    <row r="2469" spans="1:77" ht="15" customHeight="1" x14ac:dyDescent="0.2">
      <c r="A2469" s="56" t="s">
        <v>49</v>
      </c>
      <c r="B2469" s="56"/>
      <c r="C2469" s="107" t="s">
        <v>648</v>
      </c>
      <c r="D2469" s="544">
        <v>36</v>
      </c>
      <c r="E2469" s="107" t="s">
        <v>631</v>
      </c>
      <c r="F2469" s="603"/>
      <c r="G2469" s="419"/>
      <c r="H2469" s="68"/>
      <c r="I2469" s="74">
        <v>2001</v>
      </c>
      <c r="J2469" s="68"/>
      <c r="K2469" s="68">
        <v>0.118826</v>
      </c>
      <c r="L2469" s="74"/>
      <c r="M2469" s="68"/>
      <c r="N2469" s="356"/>
      <c r="O2469" s="923"/>
      <c r="P2469" s="68"/>
      <c r="Q2469" s="356"/>
      <c r="R2469" s="923"/>
      <c r="S2469" s="68"/>
      <c r="T2469" s="356"/>
      <c r="U2469" s="68"/>
      <c r="V2469" s="68"/>
      <c r="W2469" s="674">
        <f t="shared" si="2178"/>
        <v>9.2684280000000002E-5</v>
      </c>
      <c r="X2469" s="675">
        <f t="shared" si="2179"/>
        <v>9.2684280000000002E-5</v>
      </c>
      <c r="Y2469" s="53">
        <v>2001</v>
      </c>
      <c r="Z2469" s="53"/>
      <c r="AA2469" s="767">
        <f t="shared" si="2181"/>
        <v>1.18826E-4</v>
      </c>
      <c r="AB2469" s="395">
        <v>-0.22</v>
      </c>
      <c r="AC2469" s="443">
        <f t="shared" si="2180"/>
        <v>-0.22</v>
      </c>
      <c r="AE2469" s="16"/>
      <c r="AF2469" s="136"/>
      <c r="AG2469" s="59"/>
      <c r="AH2469" s="77"/>
      <c r="AI2469" s="38"/>
      <c r="AJ2469" s="145"/>
      <c r="AK2469" s="80"/>
      <c r="AL2469" s="215"/>
      <c r="AM2469" s="456"/>
      <c r="AN2469" s="387"/>
      <c r="AO2469" s="454"/>
      <c r="AP2469" s="439"/>
      <c r="AQ2469" s="440"/>
      <c r="AR2469" s="424"/>
      <c r="AS2469" s="453"/>
      <c r="AT2469" s="292"/>
      <c r="AU2469" s="293"/>
      <c r="AV2469" s="16"/>
      <c r="AW2469" s="16"/>
      <c r="AX2469" s="19"/>
      <c r="AY2469" s="20"/>
      <c r="AZ2469" s="77"/>
      <c r="BA2469" s="38"/>
      <c r="BB2469" s="145"/>
      <c r="BC2469" s="80"/>
      <c r="BD2469" s="75"/>
      <c r="BE2469" s="208"/>
      <c r="BF2469" s="16"/>
      <c r="BG2469" s="19"/>
      <c r="BH2469" s="20"/>
      <c r="BI2469" s="77"/>
      <c r="BJ2469" s="38"/>
      <c r="BK2469" s="145"/>
      <c r="BL2469" s="80"/>
      <c r="BM2469" s="75"/>
      <c r="BN2469" s="208"/>
      <c r="BO2469" s="16"/>
      <c r="BP2469" s="19"/>
      <c r="BQ2469" s="20"/>
      <c r="BR2469" s="32"/>
      <c r="BS2469" s="38"/>
      <c r="BT2469" s="145"/>
      <c r="BU2469" s="80"/>
      <c r="BV2469" s="215"/>
      <c r="BX2469" s="321"/>
      <c r="BY2469" s="38"/>
    </row>
    <row r="2470" spans="1:77" ht="15" customHeight="1" x14ac:dyDescent="0.2">
      <c r="A2470" s="56" t="s">
        <v>49</v>
      </c>
      <c r="B2470" s="56"/>
      <c r="C2470" s="107" t="s">
        <v>651</v>
      </c>
      <c r="D2470" s="544">
        <v>174</v>
      </c>
      <c r="E2470" s="107" t="s">
        <v>631</v>
      </c>
      <c r="F2470" s="603"/>
      <c r="G2470" s="419"/>
      <c r="H2470" s="68"/>
      <c r="I2470" s="74">
        <v>2002</v>
      </c>
      <c r="J2470" s="68"/>
      <c r="K2470" s="68">
        <v>0.59334900000000002</v>
      </c>
      <c r="L2470" s="74"/>
      <c r="M2470" s="68"/>
      <c r="N2470" s="356"/>
      <c r="O2470" s="923"/>
      <c r="P2470" s="68"/>
      <c r="Q2470" s="356"/>
      <c r="R2470" s="923"/>
      <c r="S2470" s="68"/>
      <c r="T2470" s="356"/>
      <c r="U2470" s="68"/>
      <c r="V2470" s="68"/>
      <c r="W2470" s="674">
        <f t="shared" si="2178"/>
        <v>4.6874571000000005E-4</v>
      </c>
      <c r="X2470" s="675">
        <f t="shared" si="2179"/>
        <v>4.6874571000000005E-4</v>
      </c>
      <c r="Y2470" s="53">
        <v>2002</v>
      </c>
      <c r="Z2470" s="53"/>
      <c r="AA2470" s="767">
        <f t="shared" si="2181"/>
        <v>5.9334900000000007E-4</v>
      </c>
      <c r="AB2470" s="395">
        <v>-0.21</v>
      </c>
      <c r="AC2470" s="443">
        <f t="shared" si="2180"/>
        <v>-0.21</v>
      </c>
      <c r="AE2470" s="16"/>
      <c r="AF2470" s="136"/>
      <c r="AG2470" s="59"/>
      <c r="AH2470" s="77"/>
      <c r="AI2470" s="38"/>
      <c r="AJ2470" s="145"/>
      <c r="AK2470" s="80"/>
      <c r="AL2470" s="215"/>
      <c r="AM2470" s="456"/>
      <c r="AN2470" s="387"/>
      <c r="AO2470" s="454"/>
      <c r="AP2470" s="439"/>
      <c r="AQ2470" s="440"/>
      <c r="AR2470" s="424"/>
      <c r="AS2470" s="453"/>
      <c r="AT2470" s="292"/>
      <c r="AU2470" s="293"/>
      <c r="AV2470" s="16"/>
      <c r="AW2470" s="16"/>
      <c r="AX2470" s="19"/>
      <c r="AY2470" s="20"/>
      <c r="AZ2470" s="77"/>
      <c r="BA2470" s="38"/>
      <c r="BB2470" s="145"/>
      <c r="BC2470" s="80"/>
      <c r="BD2470" s="75"/>
      <c r="BE2470" s="208"/>
      <c r="BF2470" s="16"/>
      <c r="BG2470" s="19"/>
      <c r="BH2470" s="20"/>
      <c r="BI2470" s="77"/>
      <c r="BJ2470" s="38"/>
      <c r="BK2470" s="145"/>
      <c r="BL2470" s="80"/>
      <c r="BM2470" s="75"/>
      <c r="BN2470" s="208"/>
      <c r="BO2470" s="16"/>
      <c r="BP2470" s="19"/>
      <c r="BQ2470" s="20"/>
      <c r="BR2470" s="32"/>
      <c r="BS2470" s="38"/>
      <c r="BT2470" s="145"/>
      <c r="BU2470" s="80"/>
      <c r="BV2470" s="215"/>
      <c r="BX2470" s="321"/>
      <c r="BY2470" s="38"/>
    </row>
    <row r="2471" spans="1:77" ht="15" customHeight="1" x14ac:dyDescent="0.2">
      <c r="A2471" s="56" t="s">
        <v>49</v>
      </c>
      <c r="B2471" s="56"/>
      <c r="C2471" s="107" t="s">
        <v>647</v>
      </c>
      <c r="D2471" s="544">
        <v>127</v>
      </c>
      <c r="E2471" s="107" t="s">
        <v>631</v>
      </c>
      <c r="F2471" s="603"/>
      <c r="G2471" s="419"/>
      <c r="H2471" s="68"/>
      <c r="I2471" s="74">
        <v>2006</v>
      </c>
      <c r="J2471" s="68"/>
      <c r="K2471" s="68">
        <v>0.241149</v>
      </c>
      <c r="L2471" s="74"/>
      <c r="M2471" s="68"/>
      <c r="N2471" s="356"/>
      <c r="O2471" s="923"/>
      <c r="P2471" s="68"/>
      <c r="Q2471" s="356"/>
      <c r="R2471" s="923"/>
      <c r="S2471" s="68"/>
      <c r="T2471" s="356"/>
      <c r="U2471" s="68"/>
      <c r="V2471" s="68"/>
      <c r="W2471" s="674">
        <f t="shared" si="2178"/>
        <v>1.9291920000000001E-4</v>
      </c>
      <c r="X2471" s="675">
        <f t="shared" si="2179"/>
        <v>1.9291920000000001E-4</v>
      </c>
      <c r="Y2471" s="53">
        <v>2006</v>
      </c>
      <c r="Z2471" s="53"/>
      <c r="AA2471" s="767">
        <f t="shared" si="2181"/>
        <v>2.4114899999999999E-4</v>
      </c>
      <c r="AB2471" s="395">
        <v>-0.2</v>
      </c>
      <c r="AC2471" s="443">
        <f t="shared" si="2180"/>
        <v>-0.2</v>
      </c>
      <c r="AE2471" s="16"/>
      <c r="AF2471" s="136"/>
      <c r="AG2471" s="59"/>
      <c r="AH2471" s="77"/>
      <c r="AI2471" s="38"/>
      <c r="AJ2471" s="145"/>
      <c r="AK2471" s="80"/>
      <c r="AL2471" s="215"/>
      <c r="AM2471" s="456"/>
      <c r="AN2471" s="387"/>
      <c r="AO2471" s="454"/>
      <c r="AP2471" s="439"/>
      <c r="AQ2471" s="440"/>
      <c r="AR2471" s="424"/>
      <c r="AS2471" s="453"/>
      <c r="AT2471" s="292"/>
      <c r="AU2471" s="293"/>
      <c r="AV2471" s="16"/>
      <c r="AW2471" s="16"/>
      <c r="AX2471" s="19"/>
      <c r="AY2471" s="20"/>
      <c r="AZ2471" s="77"/>
      <c r="BA2471" s="38"/>
      <c r="BB2471" s="145"/>
      <c r="BC2471" s="80"/>
      <c r="BD2471" s="75"/>
      <c r="BE2471" s="208"/>
      <c r="BF2471" s="16"/>
      <c r="BG2471" s="19"/>
      <c r="BH2471" s="20"/>
      <c r="BI2471" s="77"/>
      <c r="BJ2471" s="38"/>
      <c r="BK2471" s="145"/>
      <c r="BL2471" s="80"/>
      <c r="BM2471" s="75"/>
      <c r="BN2471" s="208"/>
      <c r="BO2471" s="16"/>
      <c r="BP2471" s="19"/>
      <c r="BQ2471" s="20"/>
      <c r="BR2471" s="32"/>
      <c r="BS2471" s="38"/>
      <c r="BT2471" s="145"/>
      <c r="BU2471" s="80"/>
      <c r="BV2471" s="215"/>
      <c r="BX2471" s="321"/>
      <c r="BY2471" s="38"/>
    </row>
    <row r="2472" spans="1:77" ht="15" customHeight="1" x14ac:dyDescent="0.2">
      <c r="A2472" s="56" t="s">
        <v>49</v>
      </c>
      <c r="B2472" s="56"/>
      <c r="C2472" s="107" t="s">
        <v>652</v>
      </c>
      <c r="D2472" s="544">
        <v>65</v>
      </c>
      <c r="E2472" s="107" t="s">
        <v>631</v>
      </c>
      <c r="F2472" s="603"/>
      <c r="G2472" s="419"/>
      <c r="H2472" s="68"/>
      <c r="I2472" s="74">
        <v>2009</v>
      </c>
      <c r="J2472" s="68"/>
      <c r="K2472" s="68">
        <v>0.121325</v>
      </c>
      <c r="L2472" s="74"/>
      <c r="M2472" s="68"/>
      <c r="N2472" s="356"/>
      <c r="O2472" s="923"/>
      <c r="P2472" s="68"/>
      <c r="Q2472" s="356"/>
      <c r="R2472" s="923"/>
      <c r="S2472" s="68"/>
      <c r="T2472" s="356"/>
      <c r="U2472" s="68"/>
      <c r="V2472" s="68"/>
      <c r="W2472" s="674">
        <f t="shared" si="2178"/>
        <v>9.7060000000000009E-5</v>
      </c>
      <c r="X2472" s="675">
        <f t="shared" si="2179"/>
        <v>9.7060000000000009E-5</v>
      </c>
      <c r="Y2472" s="53">
        <v>2009</v>
      </c>
      <c r="Z2472" s="53"/>
      <c r="AA2472" s="767">
        <f t="shared" si="2181"/>
        <v>1.2132500000000001E-4</v>
      </c>
      <c r="AB2472" s="395">
        <v>-0.2</v>
      </c>
      <c r="AC2472" s="443">
        <f t="shared" si="2180"/>
        <v>-0.2</v>
      </c>
      <c r="AE2472" s="16"/>
      <c r="AF2472" s="136"/>
      <c r="AG2472" s="59"/>
      <c r="AH2472" s="77"/>
      <c r="AI2472" s="38"/>
      <c r="AJ2472" s="145"/>
      <c r="AK2472" s="80"/>
      <c r="AL2472" s="215"/>
      <c r="AM2472" s="456"/>
      <c r="AN2472" s="387"/>
      <c r="AO2472" s="454"/>
      <c r="AP2472" s="439"/>
      <c r="AQ2472" s="440"/>
      <c r="AR2472" s="424"/>
      <c r="AS2472" s="453"/>
      <c r="AT2472" s="292"/>
      <c r="AU2472" s="293"/>
      <c r="AV2472" s="16"/>
      <c r="AW2472" s="16"/>
      <c r="AX2472" s="19"/>
      <c r="AY2472" s="20"/>
      <c r="AZ2472" s="77"/>
      <c r="BA2472" s="38"/>
      <c r="BB2472" s="145"/>
      <c r="BC2472" s="80"/>
      <c r="BD2472" s="75"/>
      <c r="BE2472" s="208"/>
      <c r="BF2472" s="16"/>
      <c r="BG2472" s="19"/>
      <c r="BH2472" s="20"/>
      <c r="BI2472" s="77"/>
      <c r="BJ2472" s="38"/>
      <c r="BK2472" s="145"/>
      <c r="BL2472" s="80"/>
      <c r="BM2472" s="75"/>
      <c r="BN2472" s="208"/>
      <c r="BO2472" s="16"/>
      <c r="BP2472" s="19"/>
      <c r="BQ2472" s="20"/>
      <c r="BR2472" s="32"/>
      <c r="BS2472" s="38"/>
      <c r="BT2472" s="145"/>
      <c r="BU2472" s="80"/>
      <c r="BV2472" s="215"/>
      <c r="BX2472" s="321"/>
      <c r="BY2472" s="38"/>
    </row>
    <row r="2473" spans="1:77" ht="15" customHeight="1" x14ac:dyDescent="0.25">
      <c r="A2473" s="56" t="s">
        <v>69</v>
      </c>
      <c r="B2473" s="56" t="s">
        <v>1606</v>
      </c>
      <c r="C2473" s="56"/>
      <c r="D2473" s="544">
        <v>4388.674</v>
      </c>
      <c r="E2473" s="95" t="s">
        <v>3219</v>
      </c>
      <c r="F2473" s="373"/>
      <c r="G2473" s="121">
        <f>38.768</f>
        <v>38.768000000000001</v>
      </c>
      <c r="H2473" s="93">
        <v>45.606999999999999</v>
      </c>
      <c r="I2473" s="114"/>
      <c r="J2473" s="93">
        <v>5.9260000000000002</v>
      </c>
      <c r="K2473" s="346">
        <v>10.683999999999999</v>
      </c>
      <c r="L2473" s="913"/>
      <c r="M2473" s="93">
        <v>9.5980000000000008</v>
      </c>
      <c r="N2473" s="93">
        <v>13.208</v>
      </c>
      <c r="O2473" s="966"/>
      <c r="P2473" s="569">
        <v>13.707000000000001</v>
      </c>
      <c r="Q2473" s="378">
        <v>17.591000000000001</v>
      </c>
      <c r="R2473" s="966"/>
      <c r="S2473" s="569"/>
      <c r="T2473" s="356"/>
      <c r="U2473" s="68"/>
      <c r="V2473" s="68"/>
      <c r="W2473" s="27"/>
      <c r="X2473" s="28"/>
      <c r="Y2473" s="145"/>
      <c r="Z2473" s="38"/>
      <c r="AA2473" s="145"/>
      <c r="AB2473" s="80"/>
      <c r="AC2473" s="209"/>
      <c r="AE2473" s="16"/>
      <c r="AF2473" s="136"/>
      <c r="AG2473" s="59"/>
      <c r="AH2473" s="77"/>
      <c r="AI2473" s="38"/>
      <c r="AJ2473" s="145"/>
      <c r="AK2473" s="80"/>
      <c r="AL2473" s="215"/>
      <c r="AM2473" s="456">
        <f>38.42/1000</f>
        <v>3.8420000000000003E-2</v>
      </c>
      <c r="AN2473" s="387"/>
      <c r="AO2473" s="1447">
        <f>+AS2473*(1+AT2473)</f>
        <v>3.5573460000000001E-2</v>
      </c>
      <c r="AP2473" s="1402">
        <f>+AS2473*(1+AU2473)</f>
        <v>2.6452059999999999E-2</v>
      </c>
      <c r="AQ2473" s="1403">
        <v>1990</v>
      </c>
      <c r="AR2473" s="1443"/>
      <c r="AS2473" s="1443">
        <f>+H2473/1000</f>
        <v>4.5607000000000002E-2</v>
      </c>
      <c r="AT2473" s="1445">
        <f>-7%-15%</f>
        <v>-0.22</v>
      </c>
      <c r="AU2473" s="1446">
        <f>-25%-17%</f>
        <v>-0.42000000000000004</v>
      </c>
      <c r="AV2473" s="16"/>
      <c r="AW2473" s="16"/>
      <c r="AX2473" s="19"/>
      <c r="AY2473" s="20"/>
      <c r="AZ2473" s="77"/>
      <c r="BA2473" s="38"/>
      <c r="BB2473" s="145"/>
      <c r="BC2473" s="80"/>
      <c r="BD2473" s="75"/>
      <c r="BE2473" s="208"/>
      <c r="BF2473" s="16"/>
      <c r="BG2473" s="19"/>
      <c r="BH2473" s="20"/>
      <c r="BI2473" s="77"/>
      <c r="BJ2473" s="38"/>
      <c r="BK2473" s="145"/>
      <c r="BL2473" s="80"/>
      <c r="BM2473" s="75"/>
      <c r="BN2473" s="208"/>
      <c r="BO2473" s="16"/>
      <c r="BP2473" s="19"/>
      <c r="BQ2473" s="20"/>
      <c r="BR2473" s="32"/>
      <c r="BS2473" s="38"/>
      <c r="BT2473" s="145"/>
      <c r="BU2473" s="80"/>
      <c r="BV2473" s="215"/>
      <c r="BX2473" s="321"/>
      <c r="BY2473" s="38"/>
    </row>
    <row r="2474" spans="1:77" ht="15" customHeight="1" x14ac:dyDescent="0.2">
      <c r="A2474" s="56" t="s">
        <v>69</v>
      </c>
      <c r="B2474" s="56"/>
      <c r="C2474" s="107" t="s">
        <v>741</v>
      </c>
      <c r="D2474" s="544">
        <v>19.2</v>
      </c>
      <c r="E2474" s="107" t="s">
        <v>631</v>
      </c>
      <c r="F2474" s="603"/>
      <c r="G2474" s="121"/>
      <c r="H2474" s="68"/>
      <c r="I2474" s="418"/>
      <c r="J2474" s="68"/>
      <c r="K2474" s="68"/>
      <c r="L2474" s="114">
        <v>2014</v>
      </c>
      <c r="M2474" s="93"/>
      <c r="N2474" s="784">
        <v>2.0805000000000001E-2</v>
      </c>
      <c r="O2474" s="1038">
        <v>2014</v>
      </c>
      <c r="P2474" s="93"/>
      <c r="Q2474" s="784">
        <v>2.0805000000000001E-2</v>
      </c>
      <c r="R2474" s="1038"/>
      <c r="S2474" s="93"/>
      <c r="T2474" s="784"/>
      <c r="U2474" s="68"/>
      <c r="V2474" s="68"/>
      <c r="W2474" s="674">
        <f t="shared" ref="W2474:W2487" si="2191">AA2474*(1+AB2474)</f>
        <v>1.6435950000000003E-5</v>
      </c>
      <c r="X2474" s="675">
        <f t="shared" ref="X2474:X2487" si="2192">AA2474*(1+AC2474)</f>
        <v>1.6435950000000003E-5</v>
      </c>
      <c r="Y2474" s="53">
        <v>2014</v>
      </c>
      <c r="Z2474" s="53"/>
      <c r="AA2474" s="767">
        <f t="shared" ref="AA2474:AA2483" si="2193">N2474/1000</f>
        <v>2.0805000000000002E-5</v>
      </c>
      <c r="AB2474" s="395">
        <v>-0.21</v>
      </c>
      <c r="AC2474" s="443">
        <f t="shared" ref="AC2474:AC2483" si="2194">AB2474</f>
        <v>-0.21</v>
      </c>
      <c r="AE2474" s="16"/>
      <c r="AF2474" s="136"/>
      <c r="AG2474" s="59"/>
      <c r="AH2474" s="77"/>
      <c r="AI2474" s="38"/>
      <c r="AJ2474" s="145"/>
      <c r="AK2474" s="80"/>
      <c r="AL2474" s="215"/>
      <c r="AM2474" s="456"/>
      <c r="AN2474" s="387"/>
      <c r="AO2474" s="454"/>
      <c r="AP2474" s="439"/>
      <c r="AQ2474" s="440"/>
      <c r="AR2474" s="424"/>
      <c r="AS2474" s="453"/>
      <c r="AT2474" s="292"/>
      <c r="AU2474" s="293"/>
      <c r="AV2474" s="16"/>
      <c r="AW2474" s="16"/>
      <c r="AX2474" s="19"/>
      <c r="AY2474" s="20"/>
      <c r="AZ2474" s="77"/>
      <c r="BA2474" s="38"/>
      <c r="BB2474" s="145"/>
      <c r="BC2474" s="80"/>
      <c r="BD2474" s="75"/>
      <c r="BE2474" s="208"/>
      <c r="BF2474" s="16"/>
      <c r="BG2474" s="19"/>
      <c r="BH2474" s="20"/>
      <c r="BI2474" s="77"/>
      <c r="BJ2474" s="38"/>
      <c r="BK2474" s="145"/>
      <c r="BL2474" s="80"/>
      <c r="BM2474" s="75"/>
      <c r="BN2474" s="208"/>
      <c r="BO2474" s="16"/>
      <c r="BP2474" s="19"/>
      <c r="BQ2474" s="20"/>
      <c r="BR2474" s="32"/>
      <c r="BS2474" s="38"/>
      <c r="BT2474" s="145"/>
      <c r="BU2474" s="80"/>
      <c r="BV2474" s="215"/>
      <c r="BX2474" s="321"/>
      <c r="BY2474" s="38"/>
    </row>
    <row r="2475" spans="1:77" ht="15" customHeight="1" x14ac:dyDescent="0.2">
      <c r="A2475" s="56" t="s">
        <v>69</v>
      </c>
      <c r="B2475" s="56"/>
      <c r="C2475" s="107" t="s">
        <v>744</v>
      </c>
      <c r="D2475" s="544">
        <v>170</v>
      </c>
      <c r="E2475" s="107" t="s">
        <v>631</v>
      </c>
      <c r="F2475" s="603"/>
      <c r="G2475" s="121"/>
      <c r="H2475" s="68"/>
      <c r="I2475" s="418"/>
      <c r="J2475" s="68"/>
      <c r="K2475" s="68"/>
      <c r="L2475" s="114">
        <v>2012</v>
      </c>
      <c r="M2475" s="93"/>
      <c r="N2475" s="378">
        <v>0.23704700000000001</v>
      </c>
      <c r="O2475" s="1038"/>
      <c r="P2475" s="93"/>
      <c r="Q2475" s="378"/>
      <c r="R2475" s="1038"/>
      <c r="S2475" s="93"/>
      <c r="T2475" s="378"/>
      <c r="U2475" s="68"/>
      <c r="V2475" s="68"/>
      <c r="W2475" s="674">
        <f t="shared" si="2191"/>
        <v>1.8489666000000001E-4</v>
      </c>
      <c r="X2475" s="675">
        <f t="shared" si="2192"/>
        <v>1.8489666000000001E-4</v>
      </c>
      <c r="Y2475" s="53">
        <v>2012</v>
      </c>
      <c r="Z2475" s="53"/>
      <c r="AA2475" s="767">
        <f t="shared" si="2193"/>
        <v>2.37047E-4</v>
      </c>
      <c r="AB2475" s="395">
        <v>-0.22</v>
      </c>
      <c r="AC2475" s="443">
        <f t="shared" si="2194"/>
        <v>-0.22</v>
      </c>
      <c r="AE2475" s="16"/>
      <c r="AF2475" s="136"/>
      <c r="AG2475" s="59"/>
      <c r="AH2475" s="77"/>
      <c r="AI2475" s="38"/>
      <c r="AJ2475" s="145"/>
      <c r="AK2475" s="80"/>
      <c r="AL2475" s="215"/>
      <c r="AM2475" s="456"/>
      <c r="AN2475" s="387"/>
      <c r="AO2475" s="454"/>
      <c r="AP2475" s="439"/>
      <c r="AQ2475" s="440"/>
      <c r="AR2475" s="424"/>
      <c r="AS2475" s="453"/>
      <c r="AT2475" s="292"/>
      <c r="AU2475" s="293"/>
      <c r="AV2475" s="16"/>
      <c r="AW2475" s="16"/>
      <c r="AX2475" s="19"/>
      <c r="AY2475" s="20"/>
      <c r="AZ2475" s="77"/>
      <c r="BA2475" s="38"/>
      <c r="BB2475" s="145"/>
      <c r="BC2475" s="80"/>
      <c r="BD2475" s="75"/>
      <c r="BE2475" s="208"/>
      <c r="BF2475" s="16"/>
      <c r="BG2475" s="19"/>
      <c r="BH2475" s="20"/>
      <c r="BI2475" s="77"/>
      <c r="BJ2475" s="38"/>
      <c r="BK2475" s="145"/>
      <c r="BL2475" s="80"/>
      <c r="BM2475" s="75"/>
      <c r="BN2475" s="208"/>
      <c r="BO2475" s="16"/>
      <c r="BP2475" s="19"/>
      <c r="BQ2475" s="20"/>
      <c r="BR2475" s="32"/>
      <c r="BS2475" s="38"/>
      <c r="BT2475" s="145"/>
      <c r="BU2475" s="80"/>
      <c r="BV2475" s="215"/>
      <c r="BX2475" s="321"/>
      <c r="BY2475" s="38"/>
    </row>
    <row r="2476" spans="1:77" ht="15" customHeight="1" x14ac:dyDescent="0.2">
      <c r="A2476" s="56" t="s">
        <v>69</v>
      </c>
      <c r="B2476" s="56"/>
      <c r="C2476" s="107" t="s">
        <v>2351</v>
      </c>
      <c r="D2476" s="544">
        <v>76.599999999999994</v>
      </c>
      <c r="E2476" s="107" t="s">
        <v>631</v>
      </c>
      <c r="F2476" s="603"/>
      <c r="G2476" s="121"/>
      <c r="H2476" s="68"/>
      <c r="I2476" s="418"/>
      <c r="J2476" s="68"/>
      <c r="K2476" s="68"/>
      <c r="L2476" s="114">
        <v>2014</v>
      </c>
      <c r="M2476" s="93"/>
      <c r="N2476" s="378">
        <f>0.102953</f>
        <v>0.102953</v>
      </c>
      <c r="O2476" s="1038"/>
      <c r="P2476" s="93"/>
      <c r="Q2476" s="378"/>
      <c r="R2476" s="1038"/>
      <c r="S2476" s="93"/>
      <c r="T2476" s="378"/>
      <c r="U2476" s="68"/>
      <c r="V2476" s="68"/>
      <c r="W2476" s="674">
        <f t="shared" si="2191"/>
        <v>8.236240000000001E-5</v>
      </c>
      <c r="X2476" s="675">
        <f t="shared" si="2192"/>
        <v>8.236240000000001E-5</v>
      </c>
      <c r="Y2476" s="53">
        <v>2014</v>
      </c>
      <c r="Z2476" s="53"/>
      <c r="AA2476" s="767">
        <f t="shared" si="2193"/>
        <v>1.02953E-4</v>
      </c>
      <c r="AB2476" s="395">
        <v>-0.2</v>
      </c>
      <c r="AC2476" s="443">
        <f t="shared" si="2194"/>
        <v>-0.2</v>
      </c>
      <c r="AE2476" s="16"/>
      <c r="AF2476" s="136"/>
      <c r="AG2476" s="59"/>
      <c r="AH2476" s="77"/>
      <c r="AI2476" s="38"/>
      <c r="AJ2476" s="145"/>
      <c r="AK2476" s="80"/>
      <c r="AL2476" s="215"/>
      <c r="AM2476" s="456"/>
      <c r="AN2476" s="387"/>
      <c r="AO2476" s="454"/>
      <c r="AP2476" s="439"/>
      <c r="AQ2476" s="440"/>
      <c r="AR2476" s="424"/>
      <c r="AS2476" s="453"/>
      <c r="AT2476" s="292"/>
      <c r="AU2476" s="293"/>
      <c r="AV2476" s="16"/>
      <c r="AW2476" s="16"/>
      <c r="AX2476" s="19"/>
      <c r="AY2476" s="20"/>
      <c r="AZ2476" s="77"/>
      <c r="BA2476" s="38"/>
      <c r="BB2476" s="145"/>
      <c r="BC2476" s="80"/>
      <c r="BD2476" s="75"/>
      <c r="BE2476" s="208"/>
      <c r="BF2476" s="16"/>
      <c r="BG2476" s="19"/>
      <c r="BH2476" s="20"/>
      <c r="BI2476" s="77"/>
      <c r="BJ2476" s="38"/>
      <c r="BK2476" s="145"/>
      <c r="BL2476" s="80"/>
      <c r="BM2476" s="75"/>
      <c r="BN2476" s="208"/>
      <c r="BO2476" s="16"/>
      <c r="BP2476" s="19"/>
      <c r="BQ2476" s="20"/>
      <c r="BR2476" s="32"/>
      <c r="BS2476" s="38"/>
      <c r="BT2476" s="145"/>
      <c r="BU2476" s="80"/>
      <c r="BV2476" s="215"/>
      <c r="BX2476" s="321"/>
      <c r="BY2476" s="38"/>
    </row>
    <row r="2477" spans="1:77" ht="15" customHeight="1" x14ac:dyDescent="0.2">
      <c r="A2477" s="56" t="s">
        <v>69</v>
      </c>
      <c r="B2477" s="56"/>
      <c r="C2477" s="107" t="s">
        <v>742</v>
      </c>
      <c r="D2477" s="544">
        <v>50.4</v>
      </c>
      <c r="E2477" s="107" t="s">
        <v>631</v>
      </c>
      <c r="F2477" s="603"/>
      <c r="G2477" s="121"/>
      <c r="H2477" s="68"/>
      <c r="I2477" s="418"/>
      <c r="J2477" s="68"/>
      <c r="K2477" s="68"/>
      <c r="L2477" s="114">
        <v>2012</v>
      </c>
      <c r="M2477" s="437"/>
      <c r="N2477" s="354">
        <v>5.6954999999999999E-2</v>
      </c>
      <c r="O2477" s="1038"/>
      <c r="P2477" s="437"/>
      <c r="Q2477" s="354"/>
      <c r="R2477" s="1038"/>
      <c r="S2477" s="437"/>
      <c r="T2477" s="354"/>
      <c r="U2477" s="68"/>
      <c r="V2477" s="68"/>
      <c r="W2477" s="674">
        <f t="shared" si="2191"/>
        <v>4.1577149999999995E-5</v>
      </c>
      <c r="X2477" s="675">
        <f t="shared" si="2192"/>
        <v>4.1577149999999995E-5</v>
      </c>
      <c r="Y2477" s="53">
        <v>2012</v>
      </c>
      <c r="Z2477" s="53"/>
      <c r="AA2477" s="767">
        <f t="shared" si="2193"/>
        <v>5.6954999999999999E-5</v>
      </c>
      <c r="AB2477" s="395">
        <v>-0.27</v>
      </c>
      <c r="AC2477" s="443">
        <f t="shared" si="2194"/>
        <v>-0.27</v>
      </c>
      <c r="AE2477" s="16"/>
      <c r="AF2477" s="136"/>
      <c r="AG2477" s="59"/>
      <c r="AH2477" s="77"/>
      <c r="AI2477" s="38"/>
      <c r="AJ2477" s="145"/>
      <c r="AK2477" s="80"/>
      <c r="AL2477" s="215"/>
      <c r="AM2477" s="456"/>
      <c r="AN2477" s="387"/>
      <c r="AO2477" s="454"/>
      <c r="AP2477" s="439"/>
      <c r="AQ2477" s="440"/>
      <c r="AR2477" s="424"/>
      <c r="AS2477" s="453"/>
      <c r="AT2477" s="292"/>
      <c r="AU2477" s="293"/>
      <c r="AV2477" s="16"/>
      <c r="AW2477" s="16"/>
      <c r="AX2477" s="19"/>
      <c r="AY2477" s="20"/>
      <c r="AZ2477" s="77"/>
      <c r="BA2477" s="38"/>
      <c r="BB2477" s="145"/>
      <c r="BC2477" s="80"/>
      <c r="BD2477" s="75"/>
      <c r="BE2477" s="208"/>
      <c r="BF2477" s="16"/>
      <c r="BG2477" s="19"/>
      <c r="BH2477" s="20"/>
      <c r="BI2477" s="77"/>
      <c r="BJ2477" s="38"/>
      <c r="BK2477" s="145"/>
      <c r="BL2477" s="80"/>
      <c r="BM2477" s="75"/>
      <c r="BN2477" s="208"/>
      <c r="BO2477" s="16"/>
      <c r="BP2477" s="19"/>
      <c r="BQ2477" s="20"/>
      <c r="BR2477" s="32"/>
      <c r="BS2477" s="38"/>
      <c r="BT2477" s="145"/>
      <c r="BU2477" s="80"/>
      <c r="BV2477" s="215"/>
      <c r="BX2477" s="321"/>
      <c r="BY2477" s="38"/>
    </row>
    <row r="2478" spans="1:77" ht="15" customHeight="1" x14ac:dyDescent="0.2">
      <c r="A2478" s="56" t="s">
        <v>69</v>
      </c>
      <c r="B2478" s="56"/>
      <c r="C2478" s="107" t="s">
        <v>743</v>
      </c>
      <c r="D2478" s="544">
        <v>196.6</v>
      </c>
      <c r="E2478" s="107" t="s">
        <v>631</v>
      </c>
      <c r="F2478" s="603"/>
      <c r="G2478" s="121"/>
      <c r="H2478" s="68"/>
      <c r="I2478" s="418"/>
      <c r="J2478" s="68"/>
      <c r="K2478" s="68"/>
      <c r="L2478" s="114">
        <v>2012</v>
      </c>
      <c r="M2478" s="437"/>
      <c r="N2478" s="356">
        <v>0.26091399999999998</v>
      </c>
      <c r="O2478" s="1038"/>
      <c r="P2478" s="437"/>
      <c r="Q2478" s="356"/>
      <c r="R2478" s="1038"/>
      <c r="S2478" s="437"/>
      <c r="T2478" s="356"/>
      <c r="U2478" s="68"/>
      <c r="V2478" s="68"/>
      <c r="W2478" s="674">
        <f t="shared" si="2191"/>
        <v>2.0090378E-4</v>
      </c>
      <c r="X2478" s="675">
        <f t="shared" si="2192"/>
        <v>2.0090378E-4</v>
      </c>
      <c r="Y2478" s="53">
        <v>2012</v>
      </c>
      <c r="Z2478" s="53"/>
      <c r="AA2478" s="767">
        <f t="shared" si="2193"/>
        <v>2.60914E-4</v>
      </c>
      <c r="AB2478" s="395">
        <v>-0.23</v>
      </c>
      <c r="AC2478" s="443">
        <f t="shared" si="2194"/>
        <v>-0.23</v>
      </c>
      <c r="AE2478" s="16"/>
      <c r="AF2478" s="136"/>
      <c r="AG2478" s="59"/>
      <c r="AH2478" s="77"/>
      <c r="AI2478" s="38"/>
      <c r="AJ2478" s="145"/>
      <c r="AK2478" s="80"/>
      <c r="AL2478" s="215"/>
      <c r="AM2478" s="456"/>
      <c r="AN2478" s="387"/>
      <c r="AO2478" s="454"/>
      <c r="AP2478" s="439"/>
      <c r="AQ2478" s="440"/>
      <c r="AR2478" s="424"/>
      <c r="AS2478" s="453"/>
      <c r="AT2478" s="292"/>
      <c r="AU2478" s="293"/>
      <c r="AV2478" s="16"/>
      <c r="AW2478" s="16"/>
      <c r="AX2478" s="19"/>
      <c r="AY2478" s="20"/>
      <c r="AZ2478" s="77"/>
      <c r="BA2478" s="38"/>
      <c r="BB2478" s="145"/>
      <c r="BC2478" s="80"/>
      <c r="BD2478" s="75"/>
      <c r="BE2478" s="208"/>
      <c r="BF2478" s="16"/>
      <c r="BG2478" s="19"/>
      <c r="BH2478" s="20"/>
      <c r="BI2478" s="77"/>
      <c r="BJ2478" s="38"/>
      <c r="BK2478" s="145"/>
      <c r="BL2478" s="80"/>
      <c r="BM2478" s="75"/>
      <c r="BN2478" s="208"/>
      <c r="BO2478" s="16"/>
      <c r="BP2478" s="19"/>
      <c r="BQ2478" s="20"/>
      <c r="BR2478" s="32"/>
      <c r="BS2478" s="38"/>
      <c r="BT2478" s="145"/>
      <c r="BU2478" s="80"/>
      <c r="BV2478" s="215"/>
      <c r="BX2478" s="321"/>
      <c r="BY2478" s="38"/>
    </row>
    <row r="2479" spans="1:77" ht="15" customHeight="1" x14ac:dyDescent="0.2">
      <c r="A2479" s="56" t="s">
        <v>69</v>
      </c>
      <c r="B2479" s="56"/>
      <c r="C2479" s="107" t="s">
        <v>2350</v>
      </c>
      <c r="D2479" s="544">
        <v>7.8</v>
      </c>
      <c r="E2479" s="107" t="s">
        <v>631</v>
      </c>
      <c r="F2479" s="603"/>
      <c r="G2479" s="121"/>
      <c r="H2479" s="68"/>
      <c r="I2479" s="418"/>
      <c r="J2479" s="68"/>
      <c r="K2479" s="68"/>
      <c r="L2479" s="114"/>
      <c r="M2479" s="437"/>
      <c r="N2479" s="356"/>
      <c r="O2479" s="1038">
        <v>2014</v>
      </c>
      <c r="P2479" s="437"/>
      <c r="Q2479" s="354">
        <v>1.5859999999999999E-2</v>
      </c>
      <c r="R2479" s="1038"/>
      <c r="S2479" s="437"/>
      <c r="T2479" s="354"/>
      <c r="U2479" s="68"/>
      <c r="V2479" s="68"/>
      <c r="W2479" s="674">
        <f>AA2479*(1+AB2479)</f>
        <v>9.9917999999999998E-6</v>
      </c>
      <c r="X2479" s="675">
        <f t="shared" ref="X2479" si="2195">AA2479*(1+AC2479)</f>
        <v>9.9917999999999998E-6</v>
      </c>
      <c r="Y2479" s="53">
        <v>2012</v>
      </c>
      <c r="Z2479" s="53"/>
      <c r="AA2479" s="767">
        <f>Q2479/1000</f>
        <v>1.5860000000000001E-5</v>
      </c>
      <c r="AB2479" s="395">
        <v>-0.37</v>
      </c>
      <c r="AC2479" s="443">
        <f t="shared" ref="AC2479" si="2196">AB2479</f>
        <v>-0.37</v>
      </c>
      <c r="AE2479" s="16"/>
      <c r="AF2479" s="136"/>
      <c r="AG2479" s="59"/>
      <c r="AH2479" s="77"/>
      <c r="AI2479" s="38"/>
      <c r="AJ2479" s="145"/>
      <c r="AK2479" s="80"/>
      <c r="AL2479" s="215"/>
      <c r="AM2479" s="456"/>
      <c r="AN2479" s="387"/>
      <c r="AO2479" s="454"/>
      <c r="AP2479" s="439"/>
      <c r="AQ2479" s="440"/>
      <c r="AR2479" s="424"/>
      <c r="AS2479" s="453"/>
      <c r="AT2479" s="292"/>
      <c r="AU2479" s="293"/>
      <c r="AV2479" s="16"/>
      <c r="AW2479" s="16"/>
      <c r="AX2479" s="19"/>
      <c r="AY2479" s="20"/>
      <c r="AZ2479" s="77"/>
      <c r="BA2479" s="38"/>
      <c r="BB2479" s="145"/>
      <c r="BC2479" s="80"/>
      <c r="BD2479" s="75"/>
      <c r="BE2479" s="208"/>
      <c r="BF2479" s="16"/>
      <c r="BG2479" s="19"/>
      <c r="BH2479" s="20"/>
      <c r="BI2479" s="77"/>
      <c r="BJ2479" s="38"/>
      <c r="BK2479" s="145"/>
      <c r="BL2479" s="80"/>
      <c r="BM2479" s="75"/>
      <c r="BN2479" s="208"/>
      <c r="BO2479" s="16"/>
      <c r="BP2479" s="19"/>
      <c r="BQ2479" s="20"/>
      <c r="BR2479" s="32"/>
      <c r="BS2479" s="38"/>
      <c r="BT2479" s="145"/>
      <c r="BU2479" s="80"/>
      <c r="BV2479" s="215"/>
      <c r="BX2479" s="321"/>
      <c r="BY2479" s="38"/>
    </row>
    <row r="2480" spans="1:77" ht="15" customHeight="1" x14ac:dyDescent="0.2">
      <c r="A2480" s="56" t="s">
        <v>69</v>
      </c>
      <c r="B2480" s="56"/>
      <c r="C2480" s="107" t="s">
        <v>746</v>
      </c>
      <c r="D2480" s="544">
        <v>120.8</v>
      </c>
      <c r="E2480" s="107" t="s">
        <v>631</v>
      </c>
      <c r="F2480" s="603"/>
      <c r="G2480" s="121"/>
      <c r="H2480" s="68"/>
      <c r="I2480" s="418"/>
      <c r="J2480" s="68"/>
      <c r="K2480" s="68"/>
      <c r="L2480" s="114">
        <v>2011</v>
      </c>
      <c r="M2480" s="93"/>
      <c r="N2480" s="784">
        <v>0.13431499999999999</v>
      </c>
      <c r="O2480" s="1038"/>
      <c r="P2480" s="93"/>
      <c r="Q2480" s="784"/>
      <c r="R2480" s="1038"/>
      <c r="S2480" s="93"/>
      <c r="T2480" s="784"/>
      <c r="U2480" s="68"/>
      <c r="V2480" s="68"/>
      <c r="W2480" s="674">
        <f t="shared" si="2191"/>
        <v>1.0207939999999998E-4</v>
      </c>
      <c r="X2480" s="675">
        <f t="shared" si="2192"/>
        <v>1.0207939999999998E-4</v>
      </c>
      <c r="Y2480" s="53">
        <v>2011</v>
      </c>
      <c r="Z2480" s="53"/>
      <c r="AA2480" s="767">
        <f t="shared" si="2193"/>
        <v>1.3431499999999998E-4</v>
      </c>
      <c r="AB2480" s="395">
        <v>-0.24</v>
      </c>
      <c r="AC2480" s="443">
        <f t="shared" si="2194"/>
        <v>-0.24</v>
      </c>
      <c r="AE2480" s="16"/>
      <c r="AF2480" s="136"/>
      <c r="AG2480" s="59"/>
      <c r="AH2480" s="77"/>
      <c r="AI2480" s="38"/>
      <c r="AJ2480" s="145"/>
      <c r="AK2480" s="80"/>
      <c r="AL2480" s="215"/>
      <c r="AM2480" s="456"/>
      <c r="AN2480" s="387"/>
      <c r="AO2480" s="454"/>
      <c r="AP2480" s="439"/>
      <c r="AQ2480" s="440"/>
      <c r="AR2480" s="424"/>
      <c r="AS2480" s="453"/>
      <c r="AT2480" s="292"/>
      <c r="AU2480" s="293"/>
      <c r="AV2480" s="16"/>
      <c r="AW2480" s="16"/>
      <c r="AX2480" s="19"/>
      <c r="AY2480" s="20"/>
      <c r="AZ2480" s="77"/>
      <c r="BA2480" s="38"/>
      <c r="BB2480" s="145"/>
      <c r="BC2480" s="80"/>
      <c r="BD2480" s="75"/>
      <c r="BE2480" s="208"/>
      <c r="BF2480" s="16"/>
      <c r="BG2480" s="19"/>
      <c r="BH2480" s="20"/>
      <c r="BI2480" s="77"/>
      <c r="BJ2480" s="38"/>
      <c r="BK2480" s="145"/>
      <c r="BL2480" s="80"/>
      <c r="BM2480" s="75"/>
      <c r="BN2480" s="208"/>
      <c r="BO2480" s="16"/>
      <c r="BP2480" s="19"/>
      <c r="BQ2480" s="20"/>
      <c r="BR2480" s="32"/>
      <c r="BS2480" s="38"/>
      <c r="BT2480" s="145"/>
      <c r="BU2480" s="80"/>
      <c r="BV2480" s="215"/>
      <c r="BX2480" s="321"/>
      <c r="BY2480" s="38"/>
    </row>
    <row r="2481" spans="1:77" ht="15" customHeight="1" x14ac:dyDescent="0.2">
      <c r="A2481" s="56" t="s">
        <v>69</v>
      </c>
      <c r="B2481" s="56"/>
      <c r="C2481" s="107" t="s">
        <v>747</v>
      </c>
      <c r="D2481" s="544">
        <v>1100</v>
      </c>
      <c r="E2481" s="107" t="s">
        <v>631</v>
      </c>
      <c r="F2481" s="603"/>
      <c r="G2481" s="121"/>
      <c r="H2481" s="68"/>
      <c r="I2481" s="418"/>
      <c r="J2481" s="68"/>
      <c r="K2481" s="68"/>
      <c r="L2481" s="114">
        <v>2009</v>
      </c>
      <c r="M2481" s="93"/>
      <c r="N2481" s="378">
        <v>3.0249999999999999</v>
      </c>
      <c r="O2481" s="1038"/>
      <c r="P2481" s="93"/>
      <c r="Q2481" s="378"/>
      <c r="R2481" s="1038"/>
      <c r="S2481" s="93"/>
      <c r="T2481" s="378"/>
      <c r="U2481" s="68"/>
      <c r="V2481" s="68"/>
      <c r="W2481" s="89">
        <f t="shared" si="2191"/>
        <v>2.2687499999999999E-3</v>
      </c>
      <c r="X2481" s="87">
        <f t="shared" si="2192"/>
        <v>2.2687499999999999E-3</v>
      </c>
      <c r="Y2481" s="53">
        <v>2011</v>
      </c>
      <c r="Z2481" s="53"/>
      <c r="AA2481" s="88">
        <f t="shared" si="2193"/>
        <v>3.0249999999999999E-3</v>
      </c>
      <c r="AB2481" s="395">
        <v>-0.25</v>
      </c>
      <c r="AC2481" s="443">
        <f t="shared" si="2194"/>
        <v>-0.25</v>
      </c>
      <c r="AE2481" s="16"/>
      <c r="AF2481" s="136"/>
      <c r="AG2481" s="59"/>
      <c r="AH2481" s="77"/>
      <c r="AI2481" s="38"/>
      <c r="AJ2481" s="145"/>
      <c r="AK2481" s="80"/>
      <c r="AL2481" s="215"/>
      <c r="AM2481" s="456"/>
      <c r="AN2481" s="387"/>
      <c r="AO2481" s="454"/>
      <c r="AP2481" s="439"/>
      <c r="AQ2481" s="440"/>
      <c r="AR2481" s="424"/>
      <c r="AS2481" s="453"/>
      <c r="AT2481" s="292"/>
      <c r="AU2481" s="293"/>
      <c r="AV2481" s="16"/>
      <c r="AW2481" s="16"/>
      <c r="AX2481" s="19"/>
      <c r="AY2481" s="20"/>
      <c r="AZ2481" s="77"/>
      <c r="BA2481" s="38"/>
      <c r="BB2481" s="145"/>
      <c r="BC2481" s="80"/>
      <c r="BD2481" s="75"/>
      <c r="BE2481" s="208"/>
      <c r="BF2481" s="16"/>
      <c r="BG2481" s="19"/>
      <c r="BH2481" s="20"/>
      <c r="BI2481" s="77"/>
      <c r="BJ2481" s="38"/>
      <c r="BK2481" s="145"/>
      <c r="BL2481" s="80"/>
      <c r="BM2481" s="75"/>
      <c r="BN2481" s="208"/>
      <c r="BO2481" s="16"/>
      <c r="BP2481" s="19"/>
      <c r="BQ2481" s="20"/>
      <c r="BR2481" s="32"/>
      <c r="BS2481" s="38"/>
      <c r="BT2481" s="145"/>
      <c r="BU2481" s="80"/>
      <c r="BV2481" s="215"/>
      <c r="BX2481" s="321"/>
      <c r="BY2481" s="38"/>
    </row>
    <row r="2482" spans="1:77" ht="15" customHeight="1" x14ac:dyDescent="0.2">
      <c r="A2482" s="56" t="s">
        <v>69</v>
      </c>
      <c r="B2482" s="56"/>
      <c r="C2482" s="107" t="s">
        <v>748</v>
      </c>
      <c r="D2482" s="544">
        <v>70.900000000000006</v>
      </c>
      <c r="E2482" s="107" t="s">
        <v>631</v>
      </c>
      <c r="F2482" s="603"/>
      <c r="G2482" s="121"/>
      <c r="H2482" s="68"/>
      <c r="I2482" s="418"/>
      <c r="J2482" s="68"/>
      <c r="K2482" s="68"/>
      <c r="L2482" s="114"/>
      <c r="M2482" s="93"/>
      <c r="N2482" s="784"/>
      <c r="O2482" s="1038">
        <v>2014</v>
      </c>
      <c r="P2482" s="93"/>
      <c r="Q2482" s="784">
        <v>0.154948</v>
      </c>
      <c r="R2482" s="1038"/>
      <c r="S2482" s="93"/>
      <c r="T2482" s="784"/>
      <c r="U2482" s="68"/>
      <c r="V2482" s="68"/>
      <c r="W2482" s="674">
        <f t="shared" si="2191"/>
        <v>1.2240891999999999E-4</v>
      </c>
      <c r="X2482" s="675">
        <f t="shared" si="2192"/>
        <v>1.2240891999999999E-4</v>
      </c>
      <c r="Y2482" s="53">
        <v>2014</v>
      </c>
      <c r="Z2482" s="53"/>
      <c r="AA2482" s="767">
        <f>Q2482/1000</f>
        <v>1.5494799999999999E-4</v>
      </c>
      <c r="AB2482" s="395">
        <v>-0.21</v>
      </c>
      <c r="AC2482" s="443">
        <f t="shared" si="2194"/>
        <v>-0.21</v>
      </c>
      <c r="AE2482" s="16"/>
      <c r="AF2482" s="136"/>
      <c r="AG2482" s="59"/>
      <c r="AH2482" s="77"/>
      <c r="AI2482" s="38"/>
      <c r="AJ2482" s="145"/>
      <c r="AK2482" s="80"/>
      <c r="AL2482" s="215"/>
      <c r="AM2482" s="456"/>
      <c r="AN2482" s="387"/>
      <c r="AO2482" s="454"/>
      <c r="AP2482" s="439"/>
      <c r="AQ2482" s="440"/>
      <c r="AR2482" s="424"/>
      <c r="AS2482" s="453"/>
      <c r="AT2482" s="292"/>
      <c r="AU2482" s="293"/>
      <c r="AV2482" s="16"/>
      <c r="AW2482" s="16"/>
      <c r="AX2482" s="19"/>
      <c r="AY2482" s="20"/>
      <c r="AZ2482" s="77"/>
      <c r="BA2482" s="38"/>
      <c r="BB2482" s="145"/>
      <c r="BC2482" s="80"/>
      <c r="BD2482" s="75"/>
      <c r="BE2482" s="208"/>
      <c r="BF2482" s="16"/>
      <c r="BG2482" s="19"/>
      <c r="BH2482" s="20"/>
      <c r="BI2482" s="77"/>
      <c r="BJ2482" s="38"/>
      <c r="BK2482" s="145"/>
      <c r="BL2482" s="80"/>
      <c r="BM2482" s="75"/>
      <c r="BN2482" s="208"/>
      <c r="BO2482" s="16"/>
      <c r="BP2482" s="19"/>
      <c r="BQ2482" s="20"/>
      <c r="BR2482" s="32"/>
      <c r="BS2482" s="38"/>
      <c r="BT2482" s="145"/>
      <c r="BU2482" s="80"/>
      <c r="BV2482" s="215"/>
      <c r="BX2482" s="321"/>
      <c r="BY2482" s="38"/>
    </row>
    <row r="2483" spans="1:77" ht="15" customHeight="1" x14ac:dyDescent="0.2">
      <c r="A2483" s="56" t="s">
        <v>69</v>
      </c>
      <c r="B2483" s="56"/>
      <c r="C2483" s="107" t="s">
        <v>745</v>
      </c>
      <c r="D2483" s="544">
        <v>76.599999999999994</v>
      </c>
      <c r="E2483" s="107" t="s">
        <v>631</v>
      </c>
      <c r="F2483" s="603"/>
      <c r="G2483" s="121"/>
      <c r="H2483" s="68"/>
      <c r="I2483" s="418"/>
      <c r="J2483" s="68"/>
      <c r="K2483" s="68"/>
      <c r="L2483" s="114">
        <v>2012</v>
      </c>
      <c r="M2483" s="93"/>
      <c r="N2483" s="784">
        <v>4.6669000000000002E-2</v>
      </c>
      <c r="O2483" s="1038"/>
      <c r="P2483" s="93"/>
      <c r="Q2483" s="784"/>
      <c r="R2483" s="1038"/>
      <c r="S2483" s="93"/>
      <c r="T2483" s="784"/>
      <c r="U2483" s="68"/>
      <c r="V2483" s="68"/>
      <c r="W2483" s="674">
        <f t="shared" si="2191"/>
        <v>3.5468440000000004E-5</v>
      </c>
      <c r="X2483" s="675">
        <f t="shared" si="2192"/>
        <v>3.5468440000000004E-5</v>
      </c>
      <c r="Y2483" s="53">
        <v>2012</v>
      </c>
      <c r="Z2483" s="53"/>
      <c r="AA2483" s="767">
        <f t="shared" si="2193"/>
        <v>4.6669000000000003E-5</v>
      </c>
      <c r="AB2483" s="395">
        <v>-0.24</v>
      </c>
      <c r="AC2483" s="443">
        <f t="shared" si="2194"/>
        <v>-0.24</v>
      </c>
      <c r="AE2483" s="16"/>
      <c r="AF2483" s="136"/>
      <c r="AG2483" s="59"/>
      <c r="AH2483" s="77"/>
      <c r="AI2483" s="38"/>
      <c r="AJ2483" s="145"/>
      <c r="AK2483" s="80"/>
      <c r="AL2483" s="215"/>
      <c r="AM2483" s="456"/>
      <c r="AN2483" s="387"/>
      <c r="AO2483" s="454"/>
      <c r="AP2483" s="439"/>
      <c r="AQ2483" s="440"/>
      <c r="AR2483" s="424"/>
      <c r="AS2483" s="453"/>
      <c r="AT2483" s="292"/>
      <c r="AU2483" s="293"/>
      <c r="AV2483" s="16"/>
      <c r="AW2483" s="16"/>
      <c r="AX2483" s="19"/>
      <c r="AY2483" s="20"/>
      <c r="AZ2483" s="77"/>
      <c r="BA2483" s="38"/>
      <c r="BB2483" s="145"/>
      <c r="BC2483" s="80"/>
      <c r="BD2483" s="75"/>
      <c r="BE2483" s="208"/>
      <c r="BF2483" s="16"/>
      <c r="BG2483" s="19"/>
      <c r="BH2483" s="20"/>
      <c r="BI2483" s="77"/>
      <c r="BJ2483" s="38"/>
      <c r="BK2483" s="145"/>
      <c r="BL2483" s="80"/>
      <c r="BM2483" s="75"/>
      <c r="BN2483" s="208"/>
      <c r="BO2483" s="16"/>
      <c r="BP2483" s="19"/>
      <c r="BQ2483" s="20"/>
      <c r="BR2483" s="32"/>
      <c r="BS2483" s="38"/>
      <c r="BT2483" s="145"/>
      <c r="BU2483" s="80"/>
      <c r="BV2483" s="215"/>
      <c r="BX2483" s="321"/>
      <c r="BY2483" s="38"/>
    </row>
    <row r="2484" spans="1:77" ht="15" customHeight="1" x14ac:dyDescent="0.2">
      <c r="A2484" s="56" t="s">
        <v>22</v>
      </c>
      <c r="B2484" s="56" t="s">
        <v>1606</v>
      </c>
      <c r="C2484" s="107"/>
      <c r="D2484" s="544">
        <v>318.04199999999997</v>
      </c>
      <c r="E2484" s="624" t="s">
        <v>3203</v>
      </c>
      <c r="F2484" s="1098"/>
      <c r="G2484" s="121">
        <v>13.02013</v>
      </c>
      <c r="H2484" s="656">
        <v>3.6130200000000001</v>
      </c>
      <c r="I2484" s="778"/>
      <c r="J2484" s="121">
        <v>13.383789999999999</v>
      </c>
      <c r="K2484" s="121">
        <v>3.9565399999999999</v>
      </c>
      <c r="L2484" s="778"/>
      <c r="M2484" s="121">
        <v>14.326449999999999</v>
      </c>
      <c r="N2484" s="121">
        <v>4.8545100000000003</v>
      </c>
      <c r="O2484" s="1048"/>
      <c r="P2484" s="1106">
        <v>14.08957</v>
      </c>
      <c r="Q2484" s="1432">
        <v>4.7262500000000003</v>
      </c>
      <c r="R2484" s="1048">
        <v>2017</v>
      </c>
      <c r="S2484" s="1106">
        <v>14.08661</v>
      </c>
      <c r="T2484" s="1432">
        <v>4.7658300000000002</v>
      </c>
      <c r="U2484" s="62">
        <v>4</v>
      </c>
      <c r="V2484" s="61">
        <f>U2484+N2484-M2484</f>
        <v>-5.4719399999999982</v>
      </c>
      <c r="W2484" s="19">
        <f t="shared" si="2191"/>
        <v>3.3999999999999998E-3</v>
      </c>
      <c r="X2484" s="20">
        <f t="shared" si="2192"/>
        <v>3.3999999999999998E-3</v>
      </c>
      <c r="Y2484" s="50">
        <v>1990</v>
      </c>
      <c r="Z2484" s="50"/>
      <c r="AA2484" s="31">
        <v>4.0000000000000001E-3</v>
      </c>
      <c r="AB2484" s="395">
        <v>-0.15</v>
      </c>
      <c r="AC2484" s="443">
        <v>-0.15</v>
      </c>
      <c r="AD2484" s="16"/>
      <c r="AE2484" s="16"/>
      <c r="AF2484" s="170"/>
      <c r="AG2484" s="86"/>
      <c r="AH2484" s="272"/>
      <c r="AI2484" s="50"/>
      <c r="AJ2484" s="31"/>
      <c r="AK2484" s="156"/>
      <c r="AL2484" s="284"/>
      <c r="AM2484" s="208"/>
      <c r="AN2484" s="387"/>
      <c r="AO2484" s="388">
        <f>+AR2484*(1+AT2484)</f>
        <v>7.8120779999999992E-3</v>
      </c>
      <c r="AP2484" s="389">
        <f>+AR2484*(1+AU2484)</f>
        <v>7.8120779999999992E-3</v>
      </c>
      <c r="AQ2484" s="390">
        <v>1990</v>
      </c>
      <c r="AR2484" s="392">
        <f>+G2484/1000</f>
        <v>1.302013E-2</v>
      </c>
      <c r="AS2484" s="392"/>
      <c r="AT2484" s="156">
        <v>-0.4</v>
      </c>
      <c r="AU2484" s="284">
        <v>-0.4</v>
      </c>
      <c r="AV2484" s="16"/>
      <c r="AW2484" s="16"/>
      <c r="AX2484" s="170"/>
      <c r="AY2484" s="86"/>
      <c r="AZ2484" s="272"/>
      <c r="BA2484" s="50"/>
      <c r="BB2484" s="31"/>
      <c r="BC2484" s="156"/>
      <c r="BD2484" s="341"/>
      <c r="BE2484" s="208"/>
      <c r="BF2484" s="16"/>
      <c r="BG2484" s="170"/>
      <c r="BH2484" s="86"/>
      <c r="BI2484" s="272"/>
      <c r="BJ2484" s="50"/>
      <c r="BK2484" s="31"/>
      <c r="BL2484" s="156"/>
      <c r="BM2484" s="341"/>
      <c r="BN2484" s="208"/>
      <c r="BO2484" s="16"/>
      <c r="BP2484" s="170"/>
      <c r="BQ2484" s="86"/>
      <c r="BR2484" s="50"/>
      <c r="BS2484" s="50"/>
      <c r="BT2484" s="31"/>
      <c r="BU2484" s="43"/>
      <c r="BV2484" s="209"/>
      <c r="BW2484" s="141" t="s">
        <v>258</v>
      </c>
      <c r="BX2484" s="311"/>
      <c r="BY2484" s="137" t="s">
        <v>225</v>
      </c>
    </row>
    <row r="2485" spans="1:77" ht="15" customHeight="1" x14ac:dyDescent="0.2">
      <c r="A2485" s="56" t="s">
        <v>22</v>
      </c>
      <c r="B2485" s="56"/>
      <c r="C2485" s="107" t="s">
        <v>2207</v>
      </c>
      <c r="D2485" s="544">
        <v>132.08000000000001</v>
      </c>
      <c r="E2485" s="161" t="s">
        <v>3166</v>
      </c>
      <c r="F2485" s="602"/>
      <c r="G2485" s="62"/>
      <c r="H2485" s="61"/>
      <c r="I2485" s="608">
        <v>2007</v>
      </c>
      <c r="J2485" s="62"/>
      <c r="K2485" s="62">
        <v>0.34</v>
      </c>
      <c r="L2485" s="608"/>
      <c r="M2485" s="62"/>
      <c r="N2485" s="355"/>
      <c r="O2485" s="603"/>
      <c r="P2485" s="529"/>
      <c r="Q2485" s="922">
        <v>0.34899999999999998</v>
      </c>
      <c r="R2485" s="603">
        <v>2019</v>
      </c>
      <c r="S2485" s="529"/>
      <c r="T2485" s="922">
        <v>0.52885300000000002</v>
      </c>
      <c r="U2485" s="62"/>
      <c r="V2485" s="61"/>
      <c r="W2485" s="89">
        <f t="shared" si="2191"/>
        <v>2.2100000000000003E-4</v>
      </c>
      <c r="X2485" s="87">
        <f t="shared" si="2192"/>
        <v>2.2100000000000003E-4</v>
      </c>
      <c r="Y2485" s="50">
        <v>2007</v>
      </c>
      <c r="Z2485" s="50"/>
      <c r="AA2485" s="33">
        <f>+K2485/1000</f>
        <v>3.4000000000000002E-4</v>
      </c>
      <c r="AB2485" s="395">
        <v>-0.35</v>
      </c>
      <c r="AC2485" s="443">
        <f>AB2485</f>
        <v>-0.35</v>
      </c>
      <c r="AD2485" s="16"/>
      <c r="AE2485" s="16"/>
      <c r="AF2485" s="170"/>
      <c r="AG2485" s="86"/>
      <c r="AH2485" s="272"/>
      <c r="AI2485" s="50"/>
      <c r="AJ2485" s="31"/>
      <c r="AK2485" s="156"/>
      <c r="AL2485" s="284"/>
      <c r="AM2485" s="208"/>
      <c r="AN2485" s="387"/>
      <c r="AO2485" s="619">
        <f>+AR2485*(1+AT2485)</f>
        <v>2.3798384999999998E-4</v>
      </c>
      <c r="AP2485" s="620">
        <f>+AR2485*(1+AU2485)</f>
        <v>2.3798384999999998E-4</v>
      </c>
      <c r="AQ2485" s="617">
        <v>1990</v>
      </c>
      <c r="AR2485" s="621">
        <f>+T2485/1000</f>
        <v>5.2885300000000003E-4</v>
      </c>
      <c r="AS2485" s="679"/>
      <c r="AT2485" s="399">
        <v>-0.55000000000000004</v>
      </c>
      <c r="AU2485" s="618">
        <v>-0.55000000000000004</v>
      </c>
      <c r="AV2485" s="16"/>
      <c r="AW2485" s="16"/>
      <c r="AX2485" s="170"/>
      <c r="AY2485" s="86"/>
      <c r="AZ2485" s="272"/>
      <c r="BA2485" s="50"/>
      <c r="BB2485" s="31"/>
      <c r="BC2485" s="156"/>
      <c r="BD2485" s="341"/>
      <c r="BE2485" s="208"/>
      <c r="BF2485" s="16"/>
      <c r="BG2485" s="757">
        <f>BK2485*(1+BL2485)</f>
        <v>9.4229999999999997E-5</v>
      </c>
      <c r="BH2485" s="758">
        <f>BK2485*(1+BM2485)</f>
        <v>9.4229999999999997E-5</v>
      </c>
      <c r="BI2485" s="272">
        <v>2015</v>
      </c>
      <c r="BJ2485" s="34"/>
      <c r="BK2485" s="756">
        <f>Q2485/1000</f>
        <v>3.4899999999999997E-4</v>
      </c>
      <c r="BL2485" s="395">
        <v>-0.73</v>
      </c>
      <c r="BM2485" s="443">
        <f>BL2485</f>
        <v>-0.73</v>
      </c>
      <c r="BN2485" s="208"/>
      <c r="BO2485" s="16"/>
      <c r="BP2485" s="682">
        <f>BS2485*(1+BU2485)</f>
        <v>0</v>
      </c>
      <c r="BQ2485" s="683">
        <f>BS2485*(1+BV2485)</f>
        <v>0</v>
      </c>
      <c r="BR2485" s="427">
        <v>2007</v>
      </c>
      <c r="BS2485" s="681">
        <f>+K2485/1000</f>
        <v>3.4000000000000002E-4</v>
      </c>
      <c r="BT2485" s="48"/>
      <c r="BU2485" s="399">
        <v>-1</v>
      </c>
      <c r="BV2485" s="618">
        <f>BU2485</f>
        <v>-1</v>
      </c>
      <c r="BW2485" s="141"/>
      <c r="BX2485" s="311" t="s">
        <v>2206</v>
      </c>
      <c r="BY2485" s="137"/>
    </row>
    <row r="2486" spans="1:77" ht="15" customHeight="1" x14ac:dyDescent="0.2">
      <c r="A2486" s="56" t="s">
        <v>80</v>
      </c>
      <c r="B2486" s="56" t="s">
        <v>1606</v>
      </c>
      <c r="C2486" s="56"/>
      <c r="D2486" s="544">
        <v>15921.127</v>
      </c>
      <c r="E2486" s="624" t="s">
        <v>2545</v>
      </c>
      <c r="F2486" s="1098"/>
      <c r="G2486" s="62">
        <v>358.45109000000002</v>
      </c>
      <c r="H2486" s="69">
        <v>375.72430000000003</v>
      </c>
      <c r="I2486" s="608"/>
      <c r="J2486" s="68">
        <v>254.85668999999999</v>
      </c>
      <c r="K2486" s="93">
        <v>241.24970999999999</v>
      </c>
      <c r="L2486" s="608"/>
      <c r="M2486" s="68">
        <v>306.24245999999999</v>
      </c>
      <c r="N2486" s="68">
        <v>303.64242999999999</v>
      </c>
      <c r="O2486" s="603"/>
      <c r="P2486" s="68">
        <v>312.05806000000001</v>
      </c>
      <c r="Q2486" s="356">
        <v>298.06412999999998</v>
      </c>
      <c r="R2486" s="603"/>
      <c r="S2486" s="68"/>
      <c r="T2486" s="356"/>
      <c r="U2486" s="68">
        <v>291.7</v>
      </c>
      <c r="V2486" s="69">
        <v>291.7</v>
      </c>
      <c r="W2486" s="23">
        <f t="shared" si="2191"/>
        <v>0.34942359899999997</v>
      </c>
      <c r="X2486" s="24">
        <f t="shared" si="2192"/>
        <v>0.34942359899999997</v>
      </c>
      <c r="Y2486" s="53">
        <v>1990</v>
      </c>
      <c r="Z2486" s="53"/>
      <c r="AA2486" s="36">
        <f>H2486/1000</f>
        <v>0.37572430000000001</v>
      </c>
      <c r="AB2486" s="395">
        <v>-7.0000000000000007E-2</v>
      </c>
      <c r="AC2486" s="443">
        <f>AB2486</f>
        <v>-7.0000000000000007E-2</v>
      </c>
      <c r="AD2486" s="168"/>
      <c r="AE2486" s="168"/>
      <c r="AF2486" s="263"/>
      <c r="AG2486" s="177"/>
      <c r="AH2486" s="274"/>
      <c r="AI2486" s="53"/>
      <c r="AJ2486" s="36"/>
      <c r="AK2486" s="156"/>
      <c r="AL2486" s="284"/>
      <c r="AM2486" s="210"/>
      <c r="AN2486" s="168"/>
      <c r="AO2486" s="388">
        <f>+AR2486*(1+AT2486)</f>
        <v>0.30468342650000002</v>
      </c>
      <c r="AP2486" s="389">
        <f>+AR2486*(1+AU2486)</f>
        <v>0.26883831750000003</v>
      </c>
      <c r="AQ2486" s="514">
        <v>1990</v>
      </c>
      <c r="AR2486" s="464">
        <f>+G2486/1000</f>
        <v>0.35845109000000003</v>
      </c>
      <c r="AS2486" s="36"/>
      <c r="AT2486" s="156">
        <v>-0.15</v>
      </c>
      <c r="AU2486" s="284">
        <v>-0.25</v>
      </c>
      <c r="AV2486" s="168"/>
      <c r="AW2486" s="168"/>
      <c r="AX2486" s="263"/>
      <c r="AY2486" s="177"/>
      <c r="AZ2486" s="274"/>
      <c r="BA2486" s="53"/>
      <c r="BB2486" s="36"/>
      <c r="BC2486" s="156"/>
      <c r="BD2486" s="341"/>
      <c r="BE2486" s="210"/>
      <c r="BF2486" s="168"/>
      <c r="BG2486" s="263"/>
      <c r="BH2486" s="177"/>
      <c r="BI2486" s="274"/>
      <c r="BJ2486" s="53"/>
      <c r="BK2486" s="36"/>
      <c r="BL2486" s="156"/>
      <c r="BM2486" s="341"/>
      <c r="BN2486" s="210"/>
      <c r="BO2486" s="168"/>
      <c r="BP2486" s="23"/>
      <c r="BQ2486" s="24"/>
      <c r="BR2486" s="53"/>
      <c r="BS2486" s="53"/>
      <c r="BT2486" s="36"/>
      <c r="BU2486" s="82"/>
      <c r="BV2486" s="217"/>
      <c r="BW2486" s="140" t="s">
        <v>220</v>
      </c>
      <c r="BX2486" s="309"/>
      <c r="BY2486" s="309" t="s">
        <v>237</v>
      </c>
    </row>
    <row r="2487" spans="1:77" ht="15" customHeight="1" x14ac:dyDescent="0.2">
      <c r="A2487" s="56" t="s">
        <v>80</v>
      </c>
      <c r="B2487" s="56"/>
      <c r="C2487" s="107" t="s">
        <v>657</v>
      </c>
      <c r="D2487" s="544">
        <v>347.48599999999999</v>
      </c>
      <c r="E2487" s="107" t="s">
        <v>631</v>
      </c>
      <c r="F2487" s="572"/>
      <c r="G2487" s="62"/>
      <c r="H2487" s="68"/>
      <c r="I2487" s="608"/>
      <c r="J2487" s="68"/>
      <c r="K2487" s="93"/>
      <c r="L2487" s="608">
        <v>2012</v>
      </c>
      <c r="M2487" s="68"/>
      <c r="N2487" s="356">
        <v>1.066324</v>
      </c>
      <c r="O2487" s="603"/>
      <c r="P2487" s="68"/>
      <c r="Q2487" s="356"/>
      <c r="R2487" s="603"/>
      <c r="S2487" s="68"/>
      <c r="T2487" s="356"/>
      <c r="U2487" s="68"/>
      <c r="V2487" s="68"/>
      <c r="W2487" s="89">
        <f t="shared" si="2191"/>
        <v>0.15800000000000003</v>
      </c>
      <c r="X2487" s="87">
        <f t="shared" si="2192"/>
        <v>0.15800000000000003</v>
      </c>
      <c r="Y2487" s="53">
        <v>2012</v>
      </c>
      <c r="Z2487" s="53"/>
      <c r="AA2487" s="36">
        <v>0.2</v>
      </c>
      <c r="AB2487" s="395">
        <v>-0.21</v>
      </c>
      <c r="AC2487" s="443">
        <f>AB2487</f>
        <v>-0.21</v>
      </c>
      <c r="AD2487" s="168"/>
      <c r="AE2487" s="168"/>
      <c r="AF2487" s="263"/>
      <c r="AG2487" s="177"/>
      <c r="AH2487" s="274"/>
      <c r="AI2487" s="53"/>
      <c r="AJ2487" s="36"/>
      <c r="AK2487" s="156"/>
      <c r="AL2487" s="284"/>
      <c r="AM2487" s="210"/>
      <c r="AN2487" s="168"/>
      <c r="AO2487" s="388"/>
      <c r="AP2487" s="389"/>
      <c r="AQ2487" s="514"/>
      <c r="AR2487" s="464"/>
      <c r="AS2487" s="36"/>
      <c r="AT2487" s="156"/>
      <c r="AU2487" s="284"/>
      <c r="AV2487" s="168"/>
      <c r="AW2487" s="168"/>
      <c r="AX2487" s="263"/>
      <c r="AY2487" s="177"/>
      <c r="AZ2487" s="274"/>
      <c r="BA2487" s="53"/>
      <c r="BB2487" s="36"/>
      <c r="BC2487" s="156"/>
      <c r="BD2487" s="341"/>
      <c r="BE2487" s="210"/>
      <c r="BF2487" s="168"/>
      <c r="BG2487" s="263"/>
      <c r="BH2487" s="177"/>
      <c r="BI2487" s="274"/>
      <c r="BJ2487" s="53"/>
      <c r="BK2487" s="36"/>
      <c r="BL2487" s="156"/>
      <c r="BM2487" s="341"/>
      <c r="BN2487" s="210"/>
      <c r="BO2487" s="168"/>
      <c r="BP2487" s="23"/>
      <c r="BQ2487" s="24"/>
      <c r="BR2487" s="53"/>
      <c r="BS2487" s="53"/>
      <c r="BT2487" s="36"/>
      <c r="BU2487" s="82"/>
      <c r="BV2487" s="217"/>
      <c r="BW2487" s="140"/>
      <c r="BX2487" s="309"/>
      <c r="BY2487" s="309"/>
    </row>
    <row r="2488" spans="1:77" ht="15" customHeight="1" x14ac:dyDescent="0.2">
      <c r="A2488" s="56" t="s">
        <v>233</v>
      </c>
      <c r="B2488" s="56" t="s">
        <v>1606</v>
      </c>
      <c r="C2488" s="56"/>
      <c r="D2488" s="544">
        <v>1776</v>
      </c>
      <c r="E2488" s="107" t="s">
        <v>292</v>
      </c>
      <c r="F2488" s="605">
        <v>2008</v>
      </c>
      <c r="G2488" s="68">
        <f>H2488-0.0372</f>
        <v>9.4524999999999988</v>
      </c>
      <c r="H2488" s="68">
        <v>9.4896999999999991</v>
      </c>
      <c r="I2488" s="418">
        <v>2008</v>
      </c>
      <c r="J2488" s="68">
        <f>K2488-0.0372</f>
        <v>9.4524999999999988</v>
      </c>
      <c r="K2488" s="69">
        <v>9.4896999999999991</v>
      </c>
      <c r="L2488" s="418">
        <v>2009</v>
      </c>
      <c r="M2488" s="68">
        <f>N2488-0.0263</f>
        <v>10.463399999999998</v>
      </c>
      <c r="N2488" s="356">
        <v>10.489699999999999</v>
      </c>
      <c r="O2488" s="605"/>
      <c r="P2488" s="68"/>
      <c r="Q2488" s="356"/>
      <c r="R2488" s="605"/>
      <c r="S2488" s="68"/>
      <c r="T2488" s="356"/>
      <c r="U2488" s="68"/>
      <c r="V2488" s="68"/>
      <c r="W2488" s="27"/>
      <c r="X2488" s="28"/>
      <c r="Y2488" s="145"/>
      <c r="Z2488" s="38"/>
      <c r="AA2488" s="145"/>
      <c r="AB2488" s="80"/>
      <c r="AC2488" s="209"/>
      <c r="AE2488" s="16"/>
      <c r="AF2488" s="136"/>
      <c r="AG2488" s="59"/>
      <c r="AH2488" s="77"/>
      <c r="AI2488" s="38"/>
      <c r="AJ2488" s="145"/>
      <c r="AK2488" s="80"/>
      <c r="AL2488" s="215"/>
      <c r="AM2488" s="208"/>
      <c r="AN2488" s="16"/>
      <c r="AO2488" s="19"/>
      <c r="AP2488" s="20"/>
      <c r="AQ2488" s="77"/>
      <c r="AR2488" s="38"/>
      <c r="AS2488" s="145"/>
      <c r="AT2488" s="80"/>
      <c r="AU2488" s="215"/>
      <c r="AV2488" s="16"/>
      <c r="AW2488" s="16"/>
      <c r="AX2488" s="19"/>
      <c r="AY2488" s="20"/>
      <c r="AZ2488" s="77"/>
      <c r="BA2488" s="38"/>
      <c r="BB2488" s="145"/>
      <c r="BC2488" s="80"/>
      <c r="BD2488" s="75"/>
      <c r="BE2488" s="208"/>
      <c r="BF2488" s="16"/>
      <c r="BG2488" s="19"/>
      <c r="BH2488" s="20"/>
      <c r="BI2488" s="77"/>
      <c r="BJ2488" s="38"/>
      <c r="BK2488" s="145"/>
      <c r="BL2488" s="80"/>
      <c r="BM2488" s="75"/>
      <c r="BN2488" s="208"/>
      <c r="BO2488" s="16"/>
      <c r="BP2488" s="19"/>
      <c r="BQ2488" s="20"/>
      <c r="BR2488" s="32"/>
      <c r="BS2488" s="38"/>
      <c r="BT2488" s="145"/>
      <c r="BU2488" s="80"/>
      <c r="BV2488" s="215"/>
      <c r="BX2488" s="139" t="s">
        <v>295</v>
      </c>
      <c r="BY2488" s="444" t="s">
        <v>294</v>
      </c>
    </row>
    <row r="2489" spans="1:77" ht="15" customHeight="1" x14ac:dyDescent="0.2">
      <c r="A2489" s="573" t="s">
        <v>83</v>
      </c>
      <c r="B2489" s="56" t="s">
        <v>1606</v>
      </c>
      <c r="C2489" s="573"/>
      <c r="D2489" s="544">
        <v>5334.223</v>
      </c>
      <c r="E2489" s="95" t="s">
        <v>3281</v>
      </c>
      <c r="F2489" s="373"/>
      <c r="G2489" s="121">
        <f>H2489-10</f>
        <v>19.2</v>
      </c>
      <c r="H2489" s="93">
        <v>29.2</v>
      </c>
      <c r="I2489" s="1500"/>
      <c r="J2489" s="93">
        <f>K2489-10</f>
        <v>-9.9999999999999645E-2</v>
      </c>
      <c r="K2489" s="346">
        <v>9.9</v>
      </c>
      <c r="L2489" s="565"/>
      <c r="M2489" s="93">
        <f>N2489-10</f>
        <v>2</v>
      </c>
      <c r="N2489" s="93">
        <v>12</v>
      </c>
      <c r="O2489" s="1038"/>
      <c r="P2489" s="93">
        <f>Q2489-10</f>
        <v>6.5</v>
      </c>
      <c r="Q2489" s="378">
        <v>16.5</v>
      </c>
      <c r="R2489" s="1038">
        <v>2017</v>
      </c>
      <c r="S2489" s="93">
        <f>T2489-10.367</f>
        <v>5.5009999999999994</v>
      </c>
      <c r="T2489" s="378">
        <v>15.868</v>
      </c>
      <c r="U2489" s="68"/>
      <c r="V2489" s="68"/>
      <c r="W2489" s="27"/>
      <c r="X2489" s="28"/>
      <c r="Y2489" s="145"/>
      <c r="Z2489" s="38"/>
      <c r="AA2489" s="145"/>
      <c r="AB2489" s="80"/>
      <c r="AC2489" s="209"/>
      <c r="AD2489" s="207">
        <v>9.0819999999999998E-3</v>
      </c>
      <c r="AE2489" s="47"/>
      <c r="AF2489" s="1371">
        <f>AI2489*(1+AK2489)</f>
        <v>7.5716633999999994E-3</v>
      </c>
      <c r="AG2489" s="1372">
        <f>AI2489*(1+AL2489)</f>
        <v>5.7570798000000003E-3</v>
      </c>
      <c r="AH2489" s="262">
        <v>2025</v>
      </c>
      <c r="AI2489" s="48">
        <f>+AD2489</f>
        <v>9.0819999999999998E-3</v>
      </c>
      <c r="AJ2489" s="1340"/>
      <c r="AK2489" s="1345">
        <v>-0.1663</v>
      </c>
      <c r="AL2489" s="1346">
        <v>-0.36609999999999998</v>
      </c>
      <c r="AM2489" s="207">
        <f>14.884/1000</f>
        <v>1.4884E-2</v>
      </c>
      <c r="AN2489" s="47"/>
      <c r="AO2489" s="46">
        <f>+AR2489*(1+AT2489)</f>
        <v>1.2507025200000001E-2</v>
      </c>
      <c r="AP2489" s="47">
        <f>+AR2489*(1+AU2489)</f>
        <v>8.3915992000000005E-3</v>
      </c>
      <c r="AQ2489" s="262">
        <v>2030</v>
      </c>
      <c r="AR2489" s="48">
        <f>AM2489</f>
        <v>1.4884E-2</v>
      </c>
      <c r="AS2489" s="1340"/>
      <c r="AT2489" s="1345">
        <v>-0.15970000000000001</v>
      </c>
      <c r="AU2489" s="1346">
        <v>-0.43619999999999998</v>
      </c>
      <c r="AV2489" s="16"/>
      <c r="AW2489" s="16"/>
      <c r="AX2489" s="19"/>
      <c r="AY2489" s="20"/>
      <c r="AZ2489" s="77"/>
      <c r="BA2489" s="38"/>
      <c r="BB2489" s="145"/>
      <c r="BC2489" s="80"/>
      <c r="BD2489" s="75"/>
      <c r="BE2489" s="208"/>
      <c r="BF2489" s="16"/>
      <c r="BG2489" s="19"/>
      <c r="BH2489" s="20"/>
      <c r="BI2489" s="77"/>
      <c r="BJ2489" s="38"/>
      <c r="BK2489" s="145"/>
      <c r="BL2489" s="80"/>
      <c r="BM2489" s="75"/>
      <c r="BN2489" s="208"/>
      <c r="BO2489" s="16"/>
      <c r="BP2489" s="19"/>
      <c r="BQ2489" s="20"/>
      <c r="BR2489" s="32"/>
      <c r="BS2489" s="38"/>
      <c r="BT2489" s="145"/>
      <c r="BU2489" s="80"/>
      <c r="BV2489" s="215"/>
      <c r="BX2489" s="321"/>
      <c r="BY2489" s="38"/>
    </row>
    <row r="2490" spans="1:77" ht="15" customHeight="1" x14ac:dyDescent="0.2">
      <c r="A2490" s="56" t="s">
        <v>28</v>
      </c>
      <c r="B2490" s="56" t="s">
        <v>1606</v>
      </c>
      <c r="C2490" s="56"/>
      <c r="D2490" s="544">
        <v>36.119999999999997</v>
      </c>
      <c r="E2490" s="624" t="s">
        <v>2896</v>
      </c>
      <c r="F2490" s="1098"/>
      <c r="G2490" s="672">
        <v>0.23599999999999999</v>
      </c>
      <c r="H2490" s="968">
        <v>0.22900000000000001</v>
      </c>
      <c r="I2490" s="1297"/>
      <c r="J2490" s="672">
        <v>0.27300000000000002</v>
      </c>
      <c r="K2490" s="672">
        <v>0.26500000000000001</v>
      </c>
      <c r="L2490" s="1297"/>
      <c r="M2490" s="672">
        <v>0.25</v>
      </c>
      <c r="N2490" s="672">
        <v>0.22900000000000001</v>
      </c>
      <c r="O2490" s="1048"/>
      <c r="P2490" s="672">
        <v>0.20885000000000001</v>
      </c>
      <c r="Q2490" s="1298">
        <v>0.19778999999999999</v>
      </c>
      <c r="R2490" s="1048">
        <v>2017</v>
      </c>
      <c r="S2490" s="672">
        <v>0.20399999999999999</v>
      </c>
      <c r="T2490" s="1298">
        <v>0.19400000000000001</v>
      </c>
      <c r="U2490" s="63">
        <v>0.3</v>
      </c>
      <c r="V2490" s="58">
        <v>0.3</v>
      </c>
      <c r="W2490" s="21">
        <f>AA2490*(1+AB2490)</f>
        <v>1.8320000000000001E-4</v>
      </c>
      <c r="X2490" s="22">
        <f>AA2490*(1+AC2490)</f>
        <v>1.6029999999999999E-4</v>
      </c>
      <c r="Y2490" s="50">
        <v>1990</v>
      </c>
      <c r="Z2490" s="50"/>
      <c r="AA2490" s="33">
        <f>+H2490/1000</f>
        <v>2.2900000000000001E-4</v>
      </c>
      <c r="AB2490" s="395">
        <v>-0.2</v>
      </c>
      <c r="AC2490" s="443">
        <v>-0.3</v>
      </c>
      <c r="AD2490" s="16"/>
      <c r="AE2490" s="16"/>
      <c r="AF2490" s="171"/>
      <c r="AG2490" s="172"/>
      <c r="AH2490" s="272"/>
      <c r="AI2490" s="50"/>
      <c r="AJ2490" s="33"/>
      <c r="AK2490" s="156"/>
      <c r="AL2490" s="284"/>
      <c r="AM2490" s="208"/>
      <c r="AN2490" s="16"/>
      <c r="AO2490" s="446">
        <f>+AR2490*(1+AT2490)</f>
        <v>1.416E-4</v>
      </c>
      <c r="AP2490" s="447">
        <f>+AR2490*(1+AU2490)</f>
        <v>1.416E-4</v>
      </c>
      <c r="AQ2490" s="390">
        <v>1990</v>
      </c>
      <c r="AR2490" s="445">
        <f>G2490/1000</f>
        <v>2.3599999999999999E-4</v>
      </c>
      <c r="AS2490" s="445"/>
      <c r="AT2490" s="156">
        <v>-0.4</v>
      </c>
      <c r="AU2490" s="284">
        <v>-0.4</v>
      </c>
      <c r="AV2490" s="16"/>
      <c r="AW2490" s="16"/>
      <c r="AX2490" s="171"/>
      <c r="AY2490" s="172"/>
      <c r="AZ2490" s="272"/>
      <c r="BA2490" s="50"/>
      <c r="BB2490" s="33"/>
      <c r="BC2490" s="156"/>
      <c r="BD2490" s="341"/>
      <c r="BE2490" s="208"/>
      <c r="BF2490" s="16"/>
      <c r="BG2490" s="171"/>
      <c r="BH2490" s="172"/>
      <c r="BI2490" s="272"/>
      <c r="BJ2490" s="50"/>
      <c r="BK2490" s="33"/>
      <c r="BL2490" s="156"/>
      <c r="BM2490" s="341"/>
      <c r="BN2490" s="208"/>
      <c r="BO2490" s="16"/>
      <c r="BP2490" s="171"/>
      <c r="BQ2490" s="172"/>
      <c r="BR2490" s="50"/>
      <c r="BS2490" s="50"/>
      <c r="BT2490" s="33"/>
      <c r="BU2490" s="43"/>
      <c r="BV2490" s="209"/>
      <c r="BW2490" s="141" t="s">
        <v>258</v>
      </c>
      <c r="BX2490" s="448" t="s">
        <v>297</v>
      </c>
      <c r="BY2490" s="137" t="s">
        <v>225</v>
      </c>
    </row>
    <row r="2491" spans="1:77" ht="15" customHeight="1" x14ac:dyDescent="0.25">
      <c r="A2491" s="107" t="s">
        <v>2962</v>
      </c>
      <c r="B2491" s="56" t="s">
        <v>1606</v>
      </c>
      <c r="C2491" s="107"/>
      <c r="D2491" s="544">
        <v>2102.2159999999999</v>
      </c>
      <c r="E2491" s="95" t="s">
        <v>3221</v>
      </c>
      <c r="F2491" s="373"/>
      <c r="G2491" s="775">
        <v>12.2712</v>
      </c>
      <c r="H2491" s="93">
        <v>12.478199999999999</v>
      </c>
      <c r="I2491" s="114"/>
      <c r="J2491" s="93">
        <v>12.23</v>
      </c>
      <c r="K2491" s="346">
        <v>11.7521</v>
      </c>
      <c r="L2491" s="565"/>
      <c r="M2491" s="93">
        <v>11.671139999999999</v>
      </c>
      <c r="N2491" s="93">
        <f>M2491-0.91259</f>
        <v>10.75855</v>
      </c>
      <c r="O2491" s="1038"/>
      <c r="P2491" s="93">
        <v>8.6226000000000003</v>
      </c>
      <c r="Q2491" s="378">
        <v>10.2479</v>
      </c>
      <c r="R2491" s="1038">
        <v>2016</v>
      </c>
      <c r="S2491" s="93">
        <v>8.0206</v>
      </c>
      <c r="T2491" s="378">
        <v>10.110799999999999</v>
      </c>
      <c r="U2491" s="68">
        <v>11.561</v>
      </c>
      <c r="V2491" s="68"/>
      <c r="W2491" s="409">
        <f>8.694/1000</f>
        <v>8.6940000000000003E-3</v>
      </c>
      <c r="X2491" s="20">
        <f>W2491</f>
        <v>8.6940000000000003E-3</v>
      </c>
      <c r="Y2491" s="188">
        <v>2020</v>
      </c>
      <c r="Z2491" s="32">
        <f>+U2491/1000</f>
        <v>1.1561E-2</v>
      </c>
      <c r="AA2491" s="145"/>
      <c r="AB2491" s="80">
        <f>-(1-W2491/(U2491/1000))</f>
        <v>-0.24798892829340025</v>
      </c>
      <c r="AC2491" s="209">
        <f>-(1-W2491/(U2491/1000))</f>
        <v>-0.24798892829340025</v>
      </c>
      <c r="AE2491" s="16"/>
      <c r="AF2491" s="136"/>
      <c r="AG2491" s="59"/>
      <c r="AH2491" s="77"/>
      <c r="AI2491" s="38"/>
      <c r="AJ2491" s="145"/>
      <c r="AK2491" s="80"/>
      <c r="AL2491" s="215"/>
      <c r="AM2491" s="456">
        <f>17.663/1000</f>
        <v>1.7663000000000002E-2</v>
      </c>
      <c r="AN2491" s="387"/>
      <c r="AO2491" s="1447">
        <f>+AR2491*(1+AT2491)</f>
        <v>6.0128879999999992E-3</v>
      </c>
      <c r="AP2491" s="1402">
        <f>+AR2491*(1+AU2491)</f>
        <v>6.0128879999999992E-3</v>
      </c>
      <c r="AQ2491" s="1403">
        <v>1990</v>
      </c>
      <c r="AR2491" s="1443">
        <f>+G2491/1000</f>
        <v>1.2271199999999999E-2</v>
      </c>
      <c r="AS2491" s="1448"/>
      <c r="AT2491" s="1445">
        <v>-0.51</v>
      </c>
      <c r="AU2491" s="1449">
        <f>AT2491</f>
        <v>-0.51</v>
      </c>
      <c r="AV2491" s="16"/>
      <c r="AW2491" s="16"/>
      <c r="AX2491" s="19"/>
      <c r="AY2491" s="20"/>
      <c r="AZ2491" s="77"/>
      <c r="BA2491" s="38"/>
      <c r="BB2491" s="145"/>
      <c r="BC2491" s="80"/>
      <c r="BD2491" s="75"/>
      <c r="BE2491" s="208"/>
      <c r="BF2491" s="16"/>
      <c r="BG2491" s="19"/>
      <c r="BH2491" s="20"/>
      <c r="BI2491" s="77"/>
      <c r="BJ2491" s="38"/>
      <c r="BK2491" s="145"/>
      <c r="BL2491" s="80"/>
      <c r="BM2491" s="75"/>
      <c r="BN2491" s="208"/>
      <c r="BO2491" s="16"/>
      <c r="BP2491" s="19"/>
      <c r="BQ2491" s="20"/>
      <c r="BR2491" s="32"/>
      <c r="BS2491" s="38"/>
      <c r="BT2491" s="145"/>
      <c r="BU2491" s="80"/>
      <c r="BV2491" s="215"/>
      <c r="BW2491" s="204" t="s">
        <v>289</v>
      </c>
      <c r="BX2491" s="321"/>
      <c r="BY2491" s="38"/>
    </row>
    <row r="2492" spans="1:77" ht="15" customHeight="1" x14ac:dyDescent="0.2">
      <c r="A2492" s="107" t="s">
        <v>2962</v>
      </c>
      <c r="B2492" s="107"/>
      <c r="C2492" s="107" t="s">
        <v>658</v>
      </c>
      <c r="D2492" s="544">
        <v>600</v>
      </c>
      <c r="E2492" s="107" t="s">
        <v>631</v>
      </c>
      <c r="F2492" s="603"/>
      <c r="G2492" s="419"/>
      <c r="H2492" s="68"/>
      <c r="I2492" s="418"/>
      <c r="J2492" s="68"/>
      <c r="K2492" s="68"/>
      <c r="L2492" s="418">
        <v>2009</v>
      </c>
      <c r="M2492" s="68"/>
      <c r="N2492" s="356">
        <v>1.2221900000000001</v>
      </c>
      <c r="O2492" s="605"/>
      <c r="P2492" s="68"/>
      <c r="Q2492" s="356"/>
      <c r="R2492" s="605"/>
      <c r="S2492" s="68"/>
      <c r="T2492" s="356"/>
      <c r="U2492" s="68"/>
      <c r="V2492" s="68"/>
      <c r="W2492" s="89">
        <f t="shared" ref="W2492:W2493" si="2197">AA2492*(1+AB2492)</f>
        <v>9.6553010000000018E-4</v>
      </c>
      <c r="X2492" s="87">
        <f t="shared" ref="X2492:X2493" si="2198">AA2492*(1+AC2492)</f>
        <v>9.6553010000000018E-4</v>
      </c>
      <c r="Y2492" s="53">
        <v>2009</v>
      </c>
      <c r="Z2492" s="53"/>
      <c r="AA2492" s="88">
        <f>N2492/1000</f>
        <v>1.2221900000000002E-3</v>
      </c>
      <c r="AB2492" s="395">
        <v>-0.21</v>
      </c>
      <c r="AC2492" s="443">
        <f>AB2492</f>
        <v>-0.21</v>
      </c>
      <c r="AE2492" s="16"/>
      <c r="AF2492" s="136"/>
      <c r="AG2492" s="59"/>
      <c r="AH2492" s="77"/>
      <c r="AI2492" s="38"/>
      <c r="AJ2492" s="145"/>
      <c r="AK2492" s="80"/>
      <c r="AL2492" s="215"/>
      <c r="AM2492" s="456"/>
      <c r="AN2492" s="387"/>
      <c r="AO2492" s="454"/>
      <c r="AP2492" s="439"/>
      <c r="AQ2492" s="440"/>
      <c r="AR2492" s="424"/>
      <c r="AS2492" s="453"/>
      <c r="AT2492" s="292"/>
      <c r="AU2492" s="293"/>
      <c r="AV2492" s="16"/>
      <c r="AW2492" s="16"/>
      <c r="AX2492" s="19"/>
      <c r="AY2492" s="20"/>
      <c r="AZ2492" s="77"/>
      <c r="BA2492" s="38"/>
      <c r="BB2492" s="145"/>
      <c r="BC2492" s="80"/>
      <c r="BD2492" s="75"/>
      <c r="BE2492" s="208"/>
      <c r="BF2492" s="16"/>
      <c r="BG2492" s="19"/>
      <c r="BH2492" s="20"/>
      <c r="BI2492" s="77"/>
      <c r="BJ2492" s="38"/>
      <c r="BK2492" s="145"/>
      <c r="BL2492" s="80"/>
      <c r="BM2492" s="75"/>
      <c r="BN2492" s="208"/>
      <c r="BO2492" s="16"/>
      <c r="BP2492" s="19"/>
      <c r="BQ2492" s="20"/>
      <c r="BR2492" s="32"/>
      <c r="BS2492" s="38"/>
      <c r="BT2492" s="145"/>
      <c r="BU2492" s="80"/>
      <c r="BV2492" s="215"/>
      <c r="BX2492" s="321"/>
      <c r="BY2492" s="38"/>
    </row>
    <row r="2493" spans="1:77" s="14" customFormat="1" ht="15" customHeight="1" x14ac:dyDescent="0.2">
      <c r="A2493" s="573" t="s">
        <v>90</v>
      </c>
      <c r="B2493" s="56" t="s">
        <v>1606</v>
      </c>
      <c r="C2493" s="107"/>
      <c r="D2493" s="544">
        <v>3573.0239999999999</v>
      </c>
      <c r="E2493" s="624" t="s">
        <v>3333</v>
      </c>
      <c r="F2493" s="373"/>
      <c r="G2493" s="121">
        <v>43.960900000000002</v>
      </c>
      <c r="H2493" s="656">
        <v>45.348700000000001</v>
      </c>
      <c r="I2493" s="1316"/>
      <c r="J2493" s="121">
        <v>11.629300000000001</v>
      </c>
      <c r="K2493" s="121">
        <v>13.0252</v>
      </c>
      <c r="L2493" s="1316"/>
      <c r="M2493" s="121">
        <v>12.379200000000001</v>
      </c>
      <c r="N2493" s="121">
        <v>13.3331</v>
      </c>
      <c r="O2493" s="373"/>
      <c r="P2493" s="121">
        <v>12.296099999999999</v>
      </c>
      <c r="Q2493" s="915">
        <v>13.1996</v>
      </c>
      <c r="R2493" s="373">
        <v>2019</v>
      </c>
      <c r="S2493" s="121">
        <v>14.1058</v>
      </c>
      <c r="T2493" s="915">
        <v>13.81</v>
      </c>
      <c r="U2493" s="62">
        <v>20</v>
      </c>
      <c r="V2493" s="61">
        <v>20</v>
      </c>
      <c r="W2493" s="23">
        <f t="shared" si="2197"/>
        <v>3.4011525000000001E-2</v>
      </c>
      <c r="X2493" s="24">
        <f t="shared" si="2198"/>
        <v>3.4011525000000001E-2</v>
      </c>
      <c r="Y2493" s="53">
        <v>1990</v>
      </c>
      <c r="Z2493" s="53"/>
      <c r="AA2493" s="36">
        <f>+H2493/1000</f>
        <v>4.5348699999999999E-2</v>
      </c>
      <c r="AB2493" s="399">
        <v>-0.25</v>
      </c>
      <c r="AC2493" s="618">
        <v>-0.25</v>
      </c>
      <c r="AD2493" s="168"/>
      <c r="AE2493" s="168"/>
      <c r="AF2493" s="266"/>
      <c r="AG2493" s="61"/>
      <c r="AH2493" s="272"/>
      <c r="AI2493" s="53"/>
      <c r="AJ2493" s="48"/>
      <c r="AK2493" s="156"/>
      <c r="AL2493" s="284"/>
      <c r="AM2493" s="210"/>
      <c r="AN2493" s="168"/>
      <c r="AO2493" s="1310">
        <f>AS2493*(1+AT2493)</f>
        <v>1.3604610000000001E-2</v>
      </c>
      <c r="AP2493" s="1311">
        <f>+AS2493*(1+AU2493)</f>
        <v>5.4418439999999995E-3</v>
      </c>
      <c r="AQ2493" s="1312">
        <v>1990</v>
      </c>
      <c r="AR2493" s="1313"/>
      <c r="AS2493" s="1309">
        <f>+H2493/1000</f>
        <v>4.5348699999999999E-2</v>
      </c>
      <c r="AT2493" s="1314">
        <v>-0.7</v>
      </c>
      <c r="AU2493" s="1315">
        <v>-0.88</v>
      </c>
      <c r="AV2493" s="168"/>
      <c r="AW2493" s="168"/>
      <c r="AX2493" s="266"/>
      <c r="AY2493" s="61"/>
      <c r="AZ2493" s="272"/>
      <c r="BA2493" s="53"/>
      <c r="BB2493" s="48"/>
      <c r="BC2493" s="43"/>
      <c r="BD2493" s="229"/>
      <c r="BE2493" s="210"/>
      <c r="BF2493" s="168"/>
      <c r="BG2493" s="266"/>
      <c r="BH2493" s="61"/>
      <c r="BI2493" s="272"/>
      <c r="BJ2493" s="53"/>
      <c r="BK2493" s="48"/>
      <c r="BL2493" s="43"/>
      <c r="BM2493" s="229"/>
      <c r="BN2493" s="210"/>
      <c r="BO2493" s="168"/>
      <c r="BP2493" s="170"/>
      <c r="BQ2493" s="86"/>
      <c r="BR2493" s="53"/>
      <c r="BS2493" s="53"/>
      <c r="BT2493" s="48"/>
      <c r="BU2493" s="43"/>
      <c r="BV2493" s="209"/>
      <c r="BW2493" s="140" t="s">
        <v>215</v>
      </c>
      <c r="BX2493" s="309"/>
      <c r="BY2493" s="139" t="s">
        <v>215</v>
      </c>
    </row>
    <row r="2494" spans="1:77" s="14" customFormat="1" ht="15" customHeight="1" x14ac:dyDescent="0.2">
      <c r="A2494" s="573" t="s">
        <v>90</v>
      </c>
      <c r="B2494" s="107"/>
      <c r="C2494" s="107" t="s">
        <v>662</v>
      </c>
      <c r="D2494" s="544">
        <v>13.856</v>
      </c>
      <c r="E2494" s="107" t="s">
        <v>631</v>
      </c>
      <c r="F2494" s="603"/>
      <c r="G2494" s="62"/>
      <c r="H2494" s="420"/>
      <c r="I2494" s="608"/>
      <c r="J2494" s="62"/>
      <c r="K2494" s="419"/>
      <c r="L2494" s="608">
        <v>2012</v>
      </c>
      <c r="M2494" s="62"/>
      <c r="N2494" s="771">
        <v>1.5179E-2</v>
      </c>
      <c r="O2494" s="603"/>
      <c r="P2494" s="62"/>
      <c r="Q2494" s="771"/>
      <c r="R2494" s="603"/>
      <c r="S2494" s="62"/>
      <c r="T2494" s="771"/>
      <c r="U2494" s="62"/>
      <c r="V2494" s="61"/>
      <c r="W2494" s="769">
        <f t="shared" ref="W2494:W2507" si="2199">AA2494*(1+AB2494)</f>
        <v>1.2143200000000001E-5</v>
      </c>
      <c r="X2494" s="770">
        <f t="shared" ref="X2494:X2507" si="2200">AA2494*(1+AC2494)</f>
        <v>1.2143200000000001E-5</v>
      </c>
      <c r="Y2494" s="53">
        <v>2012</v>
      </c>
      <c r="Z2494" s="53"/>
      <c r="AA2494" s="768">
        <f>+N2494/1000</f>
        <v>1.5179E-5</v>
      </c>
      <c r="AB2494" s="399">
        <v>-0.2</v>
      </c>
      <c r="AC2494" s="618">
        <f t="shared" ref="AC2494:AC2506" si="2201">AB2494</f>
        <v>-0.2</v>
      </c>
      <c r="AD2494" s="168"/>
      <c r="AE2494" s="168"/>
      <c r="AF2494" s="266"/>
      <c r="AG2494" s="61"/>
      <c r="AH2494" s="272"/>
      <c r="AI2494" s="53"/>
      <c r="AJ2494" s="48"/>
      <c r="AK2494" s="156"/>
      <c r="AL2494" s="284"/>
      <c r="AM2494" s="210"/>
      <c r="AN2494" s="168"/>
      <c r="AO2494" s="425"/>
      <c r="AP2494" s="426"/>
      <c r="AQ2494" s="390"/>
      <c r="AR2494" s="513"/>
      <c r="AS2494" s="424"/>
      <c r="AT2494" s="156"/>
      <c r="AU2494" s="284"/>
      <c r="AV2494" s="168"/>
      <c r="AW2494" s="168"/>
      <c r="AX2494" s="266"/>
      <c r="AY2494" s="61"/>
      <c r="AZ2494" s="272"/>
      <c r="BA2494" s="53"/>
      <c r="BB2494" s="48"/>
      <c r="BC2494" s="43"/>
      <c r="BD2494" s="229"/>
      <c r="BE2494" s="210"/>
      <c r="BF2494" s="168"/>
      <c r="BG2494" s="266"/>
      <c r="BH2494" s="61"/>
      <c r="BI2494" s="272"/>
      <c r="BJ2494" s="53"/>
      <c r="BK2494" s="48"/>
      <c r="BL2494" s="43"/>
      <c r="BM2494" s="229"/>
      <c r="BN2494" s="210"/>
      <c r="BO2494" s="168"/>
      <c r="BP2494" s="170"/>
      <c r="BQ2494" s="86"/>
      <c r="BR2494" s="53"/>
      <c r="BS2494" s="53"/>
      <c r="BT2494" s="48"/>
      <c r="BU2494" s="43"/>
      <c r="BV2494" s="209"/>
      <c r="BW2494" s="140"/>
      <c r="BX2494" s="309"/>
      <c r="BY2494" s="139"/>
    </row>
    <row r="2495" spans="1:77" s="14" customFormat="1" ht="15" customHeight="1" x14ac:dyDescent="0.2">
      <c r="A2495" s="573" t="s">
        <v>90</v>
      </c>
      <c r="B2495" s="107"/>
      <c r="C2495" s="107" t="s">
        <v>2124</v>
      </c>
      <c r="D2495" s="544">
        <v>151</v>
      </c>
      <c r="E2495" s="107" t="s">
        <v>631</v>
      </c>
      <c r="F2495" s="603"/>
      <c r="G2495" s="62"/>
      <c r="H2495" s="420"/>
      <c r="I2495" s="608"/>
      <c r="J2495" s="62"/>
      <c r="K2495" s="419"/>
      <c r="L2495" s="608"/>
      <c r="M2495" s="62"/>
      <c r="N2495" s="771"/>
      <c r="O2495" s="603"/>
      <c r="P2495" s="62"/>
      <c r="Q2495" s="771">
        <v>0.28226499999999999</v>
      </c>
      <c r="R2495" s="603"/>
      <c r="S2495" s="62"/>
      <c r="T2495" s="771"/>
      <c r="U2495" s="62"/>
      <c r="V2495" s="61"/>
      <c r="W2495" s="674">
        <f t="shared" si="2199"/>
        <v>2.2581199999999999E-4</v>
      </c>
      <c r="X2495" s="675">
        <f t="shared" si="2200"/>
        <v>2.2581199999999999E-4</v>
      </c>
      <c r="Y2495" s="53">
        <v>2015</v>
      </c>
      <c r="Z2495" s="53"/>
      <c r="AA2495" s="767">
        <f>+Q2495/1000</f>
        <v>2.8226499999999997E-4</v>
      </c>
      <c r="AB2495" s="399">
        <v>-0.2</v>
      </c>
      <c r="AC2495" s="618">
        <f t="shared" si="2201"/>
        <v>-0.2</v>
      </c>
      <c r="AD2495" s="168"/>
      <c r="AE2495" s="168"/>
      <c r="AF2495" s="266"/>
      <c r="AG2495" s="61"/>
      <c r="AH2495" s="272"/>
      <c r="AI2495" s="53"/>
      <c r="AJ2495" s="48"/>
      <c r="AK2495" s="156"/>
      <c r="AL2495" s="284"/>
      <c r="AM2495" s="210"/>
      <c r="AN2495" s="168"/>
      <c r="AO2495" s="697">
        <f>+AS2495*(1+AT2495)</f>
        <v>3.6694449999999996E-5</v>
      </c>
      <c r="AP2495" s="698">
        <f>+AS2495*(1+AU2495)</f>
        <v>3.6694449999999996E-5</v>
      </c>
      <c r="AQ2495" s="617">
        <v>2015</v>
      </c>
      <c r="AR2495" s="432"/>
      <c r="AS2495" s="696">
        <f>+Q2495/1000</f>
        <v>2.8226499999999997E-4</v>
      </c>
      <c r="AT2495" s="399">
        <v>-0.87</v>
      </c>
      <c r="AU2495" s="618">
        <f>AT2495</f>
        <v>-0.87</v>
      </c>
      <c r="AV2495" s="168"/>
      <c r="AW2495" s="168"/>
      <c r="AX2495" s="266"/>
      <c r="AY2495" s="61"/>
      <c r="AZ2495" s="272"/>
      <c r="BA2495" s="53"/>
      <c r="BB2495" s="48"/>
      <c r="BC2495" s="43"/>
      <c r="BD2495" s="229"/>
      <c r="BE2495" s="210"/>
      <c r="BF2495" s="168"/>
      <c r="BG2495" s="266"/>
      <c r="BH2495" s="61"/>
      <c r="BI2495" s="272"/>
      <c r="BJ2495" s="53"/>
      <c r="BK2495" s="48"/>
      <c r="BL2495" s="43"/>
      <c r="BM2495" s="229"/>
      <c r="BN2495" s="210"/>
      <c r="BO2495" s="168"/>
      <c r="BP2495" s="170"/>
      <c r="BQ2495" s="86"/>
      <c r="BR2495" s="53"/>
      <c r="BS2495" s="53"/>
      <c r="BT2495" s="48"/>
      <c r="BU2495" s="43"/>
      <c r="BV2495" s="209"/>
      <c r="BW2495" s="140"/>
      <c r="BX2495" s="309"/>
      <c r="BY2495" s="139"/>
    </row>
    <row r="2496" spans="1:77" s="14" customFormat="1" ht="15" customHeight="1" x14ac:dyDescent="0.2">
      <c r="A2496" s="573" t="s">
        <v>90</v>
      </c>
      <c r="B2496" s="107"/>
      <c r="C2496" s="107" t="s">
        <v>665</v>
      </c>
      <c r="D2496" s="544">
        <v>16.100000000000001</v>
      </c>
      <c r="E2496" s="107" t="s">
        <v>631</v>
      </c>
      <c r="F2496" s="603"/>
      <c r="G2496" s="62"/>
      <c r="H2496" s="420"/>
      <c r="I2496" s="608"/>
      <c r="J2496" s="62"/>
      <c r="K2496" s="419"/>
      <c r="L2496" s="608"/>
      <c r="M2496" s="62"/>
      <c r="N2496" s="771">
        <v>1.9879000000000001E-2</v>
      </c>
      <c r="O2496" s="603"/>
      <c r="P2496" s="62"/>
      <c r="Q2496" s="771"/>
      <c r="R2496" s="603"/>
      <c r="S2496" s="62"/>
      <c r="T2496" s="771"/>
      <c r="U2496" s="62"/>
      <c r="V2496" s="61"/>
      <c r="W2496" s="769">
        <f t="shared" si="2199"/>
        <v>1.59032E-5</v>
      </c>
      <c r="X2496" s="770">
        <f t="shared" si="2200"/>
        <v>1.59032E-5</v>
      </c>
      <c r="Y2496" s="53">
        <v>2010</v>
      </c>
      <c r="Z2496" s="53"/>
      <c r="AA2496" s="768">
        <f t="shared" ref="AA2496:AA2503" si="2202">+N2496/1000</f>
        <v>1.9879000000000001E-5</v>
      </c>
      <c r="AB2496" s="399">
        <v>-0.2</v>
      </c>
      <c r="AC2496" s="618">
        <f t="shared" si="2201"/>
        <v>-0.2</v>
      </c>
      <c r="AD2496" s="168"/>
      <c r="AE2496" s="168"/>
      <c r="AF2496" s="266"/>
      <c r="AG2496" s="61"/>
      <c r="AH2496" s="272"/>
      <c r="AI2496" s="53"/>
      <c r="AJ2496" s="48"/>
      <c r="AK2496" s="156"/>
      <c r="AL2496" s="284"/>
      <c r="AM2496" s="210"/>
      <c r="AN2496" s="168"/>
      <c r="AO2496" s="425"/>
      <c r="AP2496" s="426"/>
      <c r="AQ2496" s="390"/>
      <c r="AR2496" s="513"/>
      <c r="AS2496" s="424"/>
      <c r="AT2496" s="156"/>
      <c r="AU2496" s="284"/>
      <c r="AV2496" s="168"/>
      <c r="AW2496" s="168"/>
      <c r="AX2496" s="266"/>
      <c r="AY2496" s="61"/>
      <c r="AZ2496" s="272"/>
      <c r="BA2496" s="53"/>
      <c r="BB2496" s="48"/>
      <c r="BC2496" s="43"/>
      <c r="BD2496" s="229"/>
      <c r="BE2496" s="210"/>
      <c r="BF2496" s="168"/>
      <c r="BG2496" s="266"/>
      <c r="BH2496" s="61"/>
      <c r="BI2496" s="272"/>
      <c r="BJ2496" s="53"/>
      <c r="BK2496" s="48"/>
      <c r="BL2496" s="43"/>
      <c r="BM2496" s="229"/>
      <c r="BN2496" s="210"/>
      <c r="BO2496" s="168"/>
      <c r="BP2496" s="170"/>
      <c r="BQ2496" s="86"/>
      <c r="BR2496" s="53"/>
      <c r="BS2496" s="53"/>
      <c r="BT2496" s="48"/>
      <c r="BU2496" s="43"/>
      <c r="BV2496" s="209"/>
      <c r="BW2496" s="140"/>
      <c r="BX2496" s="309"/>
      <c r="BY2496" s="139"/>
    </row>
    <row r="2497" spans="1:77" s="14" customFormat="1" ht="15" customHeight="1" x14ac:dyDescent="0.2">
      <c r="A2497" s="573" t="s">
        <v>90</v>
      </c>
      <c r="B2497" s="107"/>
      <c r="C2497" s="107" t="s">
        <v>659</v>
      </c>
      <c r="D2497" s="544">
        <v>6.3</v>
      </c>
      <c r="E2497" s="107" t="s">
        <v>631</v>
      </c>
      <c r="F2497" s="603"/>
      <c r="G2497" s="62"/>
      <c r="H2497" s="420"/>
      <c r="I2497" s="608"/>
      <c r="J2497" s="62"/>
      <c r="K2497" s="419"/>
      <c r="L2497" s="608">
        <v>2013</v>
      </c>
      <c r="M2497" s="62"/>
      <c r="N2497" s="771">
        <v>6.0639999999999999E-3</v>
      </c>
      <c r="O2497" s="603">
        <v>2013</v>
      </c>
      <c r="P2497" s="62"/>
      <c r="Q2497" s="771">
        <v>6.0639999999999999E-3</v>
      </c>
      <c r="R2497" s="603"/>
      <c r="S2497" s="62"/>
      <c r="T2497" s="771"/>
      <c r="U2497" s="62"/>
      <c r="V2497" s="61"/>
      <c r="W2497" s="769">
        <f t="shared" si="2199"/>
        <v>4.8512000000000002E-6</v>
      </c>
      <c r="X2497" s="770">
        <f t="shared" si="2200"/>
        <v>4.8512000000000002E-6</v>
      </c>
      <c r="Y2497" s="53">
        <v>2012</v>
      </c>
      <c r="Z2497" s="53"/>
      <c r="AA2497" s="768">
        <f t="shared" si="2202"/>
        <v>6.0639999999999999E-6</v>
      </c>
      <c r="AB2497" s="399">
        <v>-0.2</v>
      </c>
      <c r="AC2497" s="618">
        <f t="shared" si="2201"/>
        <v>-0.2</v>
      </c>
      <c r="AD2497" s="168"/>
      <c r="AE2497" s="168"/>
      <c r="AF2497" s="266"/>
      <c r="AG2497" s="61"/>
      <c r="AH2497" s="272"/>
      <c r="AI2497" s="53"/>
      <c r="AJ2497" s="48"/>
      <c r="AK2497" s="156"/>
      <c r="AL2497" s="284"/>
      <c r="AM2497" s="210"/>
      <c r="AN2497" s="168"/>
      <c r="AO2497" s="425"/>
      <c r="AP2497" s="426"/>
      <c r="AQ2497" s="390"/>
      <c r="AR2497" s="513"/>
      <c r="AS2497" s="424"/>
      <c r="AT2497" s="156"/>
      <c r="AU2497" s="284"/>
      <c r="AV2497" s="168"/>
      <c r="AW2497" s="168"/>
      <c r="AX2497" s="266"/>
      <c r="AY2497" s="61"/>
      <c r="AZ2497" s="272"/>
      <c r="BA2497" s="53"/>
      <c r="BB2497" s="48"/>
      <c r="BC2497" s="43"/>
      <c r="BD2497" s="229"/>
      <c r="BE2497" s="210"/>
      <c r="BF2497" s="168"/>
      <c r="BG2497" s="266"/>
      <c r="BH2497" s="61"/>
      <c r="BI2497" s="272"/>
      <c r="BJ2497" s="53"/>
      <c r="BK2497" s="48"/>
      <c r="BL2497" s="43"/>
      <c r="BM2497" s="229"/>
      <c r="BN2497" s="210"/>
      <c r="BO2497" s="168"/>
      <c r="BP2497" s="170"/>
      <c r="BQ2497" s="86"/>
      <c r="BR2497" s="53"/>
      <c r="BS2497" s="53"/>
      <c r="BT2497" s="48"/>
      <c r="BU2497" s="43"/>
      <c r="BV2497" s="209"/>
      <c r="BW2497" s="140"/>
      <c r="BX2497" s="309"/>
      <c r="BY2497" s="139"/>
    </row>
    <row r="2498" spans="1:77" s="14" customFormat="1" ht="15" customHeight="1" x14ac:dyDescent="0.2">
      <c r="A2498" s="573" t="s">
        <v>90</v>
      </c>
      <c r="B2498" s="107"/>
      <c r="C2498" s="107" t="s">
        <v>666</v>
      </c>
      <c r="D2498" s="544">
        <v>18</v>
      </c>
      <c r="E2498" s="107" t="s">
        <v>631</v>
      </c>
      <c r="F2498" s="603"/>
      <c r="G2498" s="62"/>
      <c r="H2498" s="420"/>
      <c r="I2498" s="608"/>
      <c r="J2498" s="62"/>
      <c r="K2498" s="419"/>
      <c r="L2498" s="608"/>
      <c r="M2498" s="62"/>
      <c r="N2498" s="771">
        <v>0.135717</v>
      </c>
      <c r="O2498" s="603"/>
      <c r="P2498" s="62"/>
      <c r="Q2498" s="771"/>
      <c r="R2498" s="603"/>
      <c r="S2498" s="62"/>
      <c r="T2498" s="771"/>
      <c r="U2498" s="62"/>
      <c r="V2498" s="61"/>
      <c r="W2498" s="769">
        <f t="shared" si="2199"/>
        <v>7.0572840000000006E-5</v>
      </c>
      <c r="X2498" s="770">
        <f t="shared" si="2200"/>
        <v>7.0572840000000006E-5</v>
      </c>
      <c r="Y2498" s="53">
        <v>2010</v>
      </c>
      <c r="Z2498" s="53"/>
      <c r="AA2498" s="768">
        <f t="shared" si="2202"/>
        <v>1.3571700000000002E-4</v>
      </c>
      <c r="AB2498" s="399">
        <v>-0.48</v>
      </c>
      <c r="AC2498" s="618">
        <f t="shared" si="2201"/>
        <v>-0.48</v>
      </c>
      <c r="AD2498" s="168"/>
      <c r="AE2498" s="168"/>
      <c r="AF2498" s="266"/>
      <c r="AG2498" s="61"/>
      <c r="AH2498" s="272"/>
      <c r="AI2498" s="53"/>
      <c r="AJ2498" s="48"/>
      <c r="AK2498" s="156"/>
      <c r="AL2498" s="284"/>
      <c r="AM2498" s="210"/>
      <c r="AN2498" s="168"/>
      <c r="AO2498" s="425"/>
      <c r="AP2498" s="426"/>
      <c r="AQ2498" s="390"/>
      <c r="AR2498" s="513"/>
      <c r="AS2498" s="424"/>
      <c r="AT2498" s="156"/>
      <c r="AU2498" s="284"/>
      <c r="AV2498" s="168"/>
      <c r="AW2498" s="168"/>
      <c r="AX2498" s="266"/>
      <c r="AY2498" s="61"/>
      <c r="AZ2498" s="272"/>
      <c r="BA2498" s="53"/>
      <c r="BB2498" s="48"/>
      <c r="BC2498" s="43"/>
      <c r="BD2498" s="229"/>
      <c r="BE2498" s="210"/>
      <c r="BF2498" s="168"/>
      <c r="BG2498" s="266"/>
      <c r="BH2498" s="61"/>
      <c r="BI2498" s="272"/>
      <c r="BJ2498" s="53"/>
      <c r="BK2498" s="48"/>
      <c r="BL2498" s="43"/>
      <c r="BM2498" s="229"/>
      <c r="BN2498" s="210"/>
      <c r="BO2498" s="168"/>
      <c r="BP2498" s="170"/>
      <c r="BQ2498" s="86"/>
      <c r="BR2498" s="53"/>
      <c r="BS2498" s="53"/>
      <c r="BT2498" s="48"/>
      <c r="BU2498" s="43"/>
      <c r="BV2498" s="209"/>
      <c r="BW2498" s="140"/>
      <c r="BX2498" s="309"/>
      <c r="BY2498" s="139"/>
    </row>
    <row r="2499" spans="1:77" s="14" customFormat="1" ht="15" customHeight="1" x14ac:dyDescent="0.2">
      <c r="A2499" s="573" t="s">
        <v>90</v>
      </c>
      <c r="B2499" s="107"/>
      <c r="C2499" s="107" t="s">
        <v>2123</v>
      </c>
      <c r="D2499" s="544">
        <v>14.8</v>
      </c>
      <c r="E2499" s="107" t="s">
        <v>631</v>
      </c>
      <c r="F2499" s="603"/>
      <c r="G2499" s="62"/>
      <c r="H2499" s="420"/>
      <c r="I2499" s="608"/>
      <c r="J2499" s="62"/>
      <c r="K2499" s="419"/>
      <c r="L2499" s="608">
        <v>2009</v>
      </c>
      <c r="M2499" s="62"/>
      <c r="N2499" s="771">
        <v>1.6423E-2</v>
      </c>
      <c r="O2499" s="603"/>
      <c r="P2499" s="62"/>
      <c r="Q2499" s="771"/>
      <c r="R2499" s="603"/>
      <c r="S2499" s="62"/>
      <c r="T2499" s="771"/>
      <c r="U2499" s="62"/>
      <c r="V2499" s="61"/>
      <c r="W2499" s="769">
        <f t="shared" si="2199"/>
        <v>1.3138399999999999E-5</v>
      </c>
      <c r="X2499" s="770">
        <f t="shared" si="2200"/>
        <v>1.3138399999999999E-5</v>
      </c>
      <c r="Y2499" s="53">
        <v>2009</v>
      </c>
      <c r="Z2499" s="53"/>
      <c r="AA2499" s="768">
        <f t="shared" si="2202"/>
        <v>1.6422999999999998E-5</v>
      </c>
      <c r="AB2499" s="399">
        <v>-0.2</v>
      </c>
      <c r="AC2499" s="618">
        <f t="shared" si="2201"/>
        <v>-0.2</v>
      </c>
      <c r="AD2499" s="168"/>
      <c r="AE2499" s="168"/>
      <c r="AF2499" s="266"/>
      <c r="AG2499" s="61"/>
      <c r="AH2499" s="272"/>
      <c r="AI2499" s="53"/>
      <c r="AJ2499" s="48"/>
      <c r="AK2499" s="156"/>
      <c r="AL2499" s="284"/>
      <c r="AM2499" s="210"/>
      <c r="AN2499" s="168"/>
      <c r="AO2499" s="425"/>
      <c r="AP2499" s="426"/>
      <c r="AQ2499" s="390"/>
      <c r="AR2499" s="513"/>
      <c r="AS2499" s="424"/>
      <c r="AT2499" s="156"/>
      <c r="AU2499" s="284"/>
      <c r="AV2499" s="168"/>
      <c r="AW2499" s="168"/>
      <c r="AX2499" s="266"/>
      <c r="AY2499" s="61"/>
      <c r="AZ2499" s="272"/>
      <c r="BA2499" s="53"/>
      <c r="BB2499" s="48"/>
      <c r="BC2499" s="43"/>
      <c r="BD2499" s="229"/>
      <c r="BE2499" s="210"/>
      <c r="BF2499" s="168"/>
      <c r="BG2499" s="266"/>
      <c r="BH2499" s="61"/>
      <c r="BI2499" s="272"/>
      <c r="BJ2499" s="53"/>
      <c r="BK2499" s="48"/>
      <c r="BL2499" s="43"/>
      <c r="BM2499" s="229"/>
      <c r="BN2499" s="210"/>
      <c r="BO2499" s="168"/>
      <c r="BP2499" s="170"/>
      <c r="BQ2499" s="86"/>
      <c r="BR2499" s="53"/>
      <c r="BS2499" s="53"/>
      <c r="BT2499" s="48"/>
      <c r="BU2499" s="43"/>
      <c r="BV2499" s="209"/>
      <c r="BW2499" s="140"/>
      <c r="BX2499" s="309"/>
      <c r="BY2499" s="139"/>
    </row>
    <row r="2500" spans="1:77" s="14" customFormat="1" ht="15" customHeight="1" x14ac:dyDescent="0.2">
      <c r="A2500" s="573" t="s">
        <v>90</v>
      </c>
      <c r="B2500" s="107"/>
      <c r="C2500" s="107" t="s">
        <v>667</v>
      </c>
      <c r="D2500" s="544">
        <v>87.082999999999998</v>
      </c>
      <c r="E2500" s="107" t="s">
        <v>631</v>
      </c>
      <c r="F2500" s="603"/>
      <c r="G2500" s="62"/>
      <c r="H2500" s="420"/>
      <c r="I2500" s="608"/>
      <c r="J2500" s="62"/>
      <c r="K2500" s="419"/>
      <c r="L2500" s="608">
        <v>2011</v>
      </c>
      <c r="M2500" s="62"/>
      <c r="N2500" s="771">
        <v>2.8195999999999999E-2</v>
      </c>
      <c r="O2500" s="603"/>
      <c r="P2500" s="62"/>
      <c r="Q2500" s="771"/>
      <c r="R2500" s="603"/>
      <c r="S2500" s="62"/>
      <c r="T2500" s="771"/>
      <c r="U2500" s="62"/>
      <c r="V2500" s="61"/>
      <c r="W2500" s="769">
        <f t="shared" si="2199"/>
        <v>2.2556800000000001E-5</v>
      </c>
      <c r="X2500" s="770">
        <f t="shared" si="2200"/>
        <v>2.2556800000000001E-5</v>
      </c>
      <c r="Y2500" s="53">
        <v>2011</v>
      </c>
      <c r="Z2500" s="53"/>
      <c r="AA2500" s="768">
        <f t="shared" si="2202"/>
        <v>2.8195999999999999E-5</v>
      </c>
      <c r="AB2500" s="399">
        <v>-0.2</v>
      </c>
      <c r="AC2500" s="618">
        <f t="shared" si="2201"/>
        <v>-0.2</v>
      </c>
      <c r="AD2500" s="168"/>
      <c r="AE2500" s="168"/>
      <c r="AF2500" s="266"/>
      <c r="AG2500" s="61"/>
      <c r="AH2500" s="272"/>
      <c r="AI2500" s="53"/>
      <c r="AJ2500" s="48"/>
      <c r="AK2500" s="156"/>
      <c r="AL2500" s="284"/>
      <c r="AM2500" s="210"/>
      <c r="AN2500" s="168"/>
      <c r="AO2500" s="425"/>
      <c r="AP2500" s="426"/>
      <c r="AQ2500" s="390"/>
      <c r="AR2500" s="513"/>
      <c r="AS2500" s="424"/>
      <c r="AT2500" s="156"/>
      <c r="AU2500" s="284"/>
      <c r="AV2500" s="168"/>
      <c r="AW2500" s="168"/>
      <c r="AX2500" s="266"/>
      <c r="AY2500" s="61"/>
      <c r="AZ2500" s="272"/>
      <c r="BA2500" s="53"/>
      <c r="BB2500" s="48"/>
      <c r="BC2500" s="43"/>
      <c r="BD2500" s="229"/>
      <c r="BE2500" s="210"/>
      <c r="BF2500" s="168"/>
      <c r="BG2500" s="266"/>
      <c r="BH2500" s="61"/>
      <c r="BI2500" s="272"/>
      <c r="BJ2500" s="53"/>
      <c r="BK2500" s="48"/>
      <c r="BL2500" s="43"/>
      <c r="BM2500" s="229"/>
      <c r="BN2500" s="210"/>
      <c r="BO2500" s="168"/>
      <c r="BP2500" s="170"/>
      <c r="BQ2500" s="86"/>
      <c r="BR2500" s="53"/>
      <c r="BS2500" s="53"/>
      <c r="BT2500" s="48"/>
      <c r="BU2500" s="43"/>
      <c r="BV2500" s="209"/>
      <c r="BW2500" s="140"/>
      <c r="BX2500" s="309"/>
      <c r="BY2500" s="139"/>
    </row>
    <row r="2501" spans="1:77" s="14" customFormat="1" ht="15" customHeight="1" x14ac:dyDescent="0.2">
      <c r="A2501" s="573" t="s">
        <v>90</v>
      </c>
      <c r="B2501" s="107"/>
      <c r="C2501" s="107" t="s">
        <v>661</v>
      </c>
      <c r="D2501" s="544">
        <v>3.1</v>
      </c>
      <c r="E2501" s="107" t="s">
        <v>631</v>
      </c>
      <c r="F2501" s="603"/>
      <c r="G2501" s="62"/>
      <c r="H2501" s="420"/>
      <c r="I2501" s="608"/>
      <c r="J2501" s="62"/>
      <c r="K2501" s="419"/>
      <c r="L2501" s="608">
        <v>2011</v>
      </c>
      <c r="M2501" s="62"/>
      <c r="N2501" s="771">
        <v>8.8230000000000003E-4</v>
      </c>
      <c r="O2501" s="603"/>
      <c r="P2501" s="62"/>
      <c r="Q2501" s="771"/>
      <c r="R2501" s="603"/>
      <c r="S2501" s="62"/>
      <c r="T2501" s="771"/>
      <c r="U2501" s="62"/>
      <c r="V2501" s="61"/>
      <c r="W2501" s="769">
        <f t="shared" si="2199"/>
        <v>7.0584000000000003E-7</v>
      </c>
      <c r="X2501" s="770">
        <f t="shared" si="2200"/>
        <v>7.0584000000000003E-7</v>
      </c>
      <c r="Y2501" s="53">
        <v>2011</v>
      </c>
      <c r="Z2501" s="53"/>
      <c r="AA2501" s="768">
        <f t="shared" si="2202"/>
        <v>8.8230000000000001E-7</v>
      </c>
      <c r="AB2501" s="399">
        <v>-0.2</v>
      </c>
      <c r="AC2501" s="618">
        <f t="shared" si="2201"/>
        <v>-0.2</v>
      </c>
      <c r="AD2501" s="168"/>
      <c r="AE2501" s="168"/>
      <c r="AF2501" s="266"/>
      <c r="AG2501" s="61"/>
      <c r="AH2501" s="272"/>
      <c r="AI2501" s="53"/>
      <c r="AJ2501" s="48"/>
      <c r="AK2501" s="156"/>
      <c r="AL2501" s="284"/>
      <c r="AM2501" s="210"/>
      <c r="AN2501" s="168"/>
      <c r="AO2501" s="425"/>
      <c r="AP2501" s="426"/>
      <c r="AQ2501" s="390"/>
      <c r="AR2501" s="513"/>
      <c r="AS2501" s="424"/>
      <c r="AT2501" s="156"/>
      <c r="AU2501" s="284"/>
      <c r="AV2501" s="168"/>
      <c r="AW2501" s="168"/>
      <c r="AX2501" s="266"/>
      <c r="AY2501" s="61"/>
      <c r="AZ2501" s="272"/>
      <c r="BA2501" s="53"/>
      <c r="BB2501" s="48"/>
      <c r="BC2501" s="43"/>
      <c r="BD2501" s="229"/>
      <c r="BE2501" s="210"/>
      <c r="BF2501" s="168"/>
      <c r="BG2501" s="266"/>
      <c r="BH2501" s="61"/>
      <c r="BI2501" s="272"/>
      <c r="BJ2501" s="53"/>
      <c r="BK2501" s="48"/>
      <c r="BL2501" s="43"/>
      <c r="BM2501" s="229"/>
      <c r="BN2501" s="210"/>
      <c r="BO2501" s="168"/>
      <c r="BP2501" s="170"/>
      <c r="BQ2501" s="86"/>
      <c r="BR2501" s="53"/>
      <c r="BS2501" s="53"/>
      <c r="BT2501" s="48"/>
      <c r="BU2501" s="43"/>
      <c r="BV2501" s="209"/>
      <c r="BW2501" s="140"/>
      <c r="BX2501" s="309"/>
      <c r="BY2501" s="139"/>
    </row>
    <row r="2502" spans="1:77" s="14" customFormat="1" ht="15" customHeight="1" x14ac:dyDescent="0.2">
      <c r="A2502" s="573" t="s">
        <v>90</v>
      </c>
      <c r="B2502" s="107"/>
      <c r="C2502" s="107" t="s">
        <v>2613</v>
      </c>
      <c r="D2502" s="544">
        <v>15.3</v>
      </c>
      <c r="E2502" s="107" t="s">
        <v>631</v>
      </c>
      <c r="F2502" s="603"/>
      <c r="G2502" s="62"/>
      <c r="H2502" s="420"/>
      <c r="I2502" s="608"/>
      <c r="J2502" s="62"/>
      <c r="K2502" s="419"/>
      <c r="L2502" s="608"/>
      <c r="M2502" s="62"/>
      <c r="N2502" s="771"/>
      <c r="O2502" s="603">
        <v>2016</v>
      </c>
      <c r="P2502" s="62"/>
      <c r="Q2502" s="771">
        <v>2.4643000000000002E-2</v>
      </c>
      <c r="R2502" s="603">
        <v>2016</v>
      </c>
      <c r="S2502" s="62"/>
      <c r="T2502" s="771">
        <v>2.4643000000000002E-2</v>
      </c>
      <c r="U2502" s="62"/>
      <c r="V2502" s="61"/>
      <c r="W2502" s="769"/>
      <c r="X2502" s="770"/>
      <c r="Y2502" s="53"/>
      <c r="Z2502" s="53"/>
      <c r="AA2502" s="768"/>
      <c r="AB2502" s="399"/>
      <c r="AC2502" s="618"/>
      <c r="AD2502" s="168"/>
      <c r="AE2502" s="168"/>
      <c r="AF2502" s="266"/>
      <c r="AG2502" s="61"/>
      <c r="AH2502" s="272"/>
      <c r="AI2502" s="53"/>
      <c r="AJ2502" s="48"/>
      <c r="AK2502" s="156"/>
      <c r="AL2502" s="284"/>
      <c r="AM2502" s="210"/>
      <c r="AN2502" s="168"/>
      <c r="AO2502" s="704">
        <f>+AS2502*(1+AT2502)</f>
        <v>1.4292940000000003E-5</v>
      </c>
      <c r="AP2502" s="705">
        <f>+AS2502*(1+AU2502)</f>
        <v>1.4292940000000003E-5</v>
      </c>
      <c r="AQ2502" s="617">
        <v>2016</v>
      </c>
      <c r="AR2502" s="432"/>
      <c r="AS2502" s="703">
        <f>+Q2502/1000</f>
        <v>2.4643000000000001E-5</v>
      </c>
      <c r="AT2502" s="399">
        <v>-0.42</v>
      </c>
      <c r="AU2502" s="618">
        <f>AT2502</f>
        <v>-0.42</v>
      </c>
      <c r="AV2502" s="168"/>
      <c r="AW2502" s="168"/>
      <c r="AX2502" s="266"/>
      <c r="AY2502" s="61"/>
      <c r="AZ2502" s="272"/>
      <c r="BA2502" s="53"/>
      <c r="BB2502" s="48"/>
      <c r="BC2502" s="43"/>
      <c r="BD2502" s="229"/>
      <c r="BE2502" s="210"/>
      <c r="BF2502" s="168"/>
      <c r="BG2502" s="266"/>
      <c r="BH2502" s="61"/>
      <c r="BI2502" s="272"/>
      <c r="BJ2502" s="53"/>
      <c r="BK2502" s="48"/>
      <c r="BL2502" s="43"/>
      <c r="BM2502" s="229"/>
      <c r="BN2502" s="210"/>
      <c r="BO2502" s="168"/>
      <c r="BP2502" s="170"/>
      <c r="BQ2502" s="86"/>
      <c r="BR2502" s="53"/>
      <c r="BS2502" s="53"/>
      <c r="BT2502" s="48"/>
      <c r="BU2502" s="43"/>
      <c r="BV2502" s="209"/>
      <c r="BW2502" s="140"/>
      <c r="BX2502" s="309"/>
      <c r="BY2502" s="139"/>
    </row>
    <row r="2503" spans="1:77" s="14" customFormat="1" ht="15" customHeight="1" x14ac:dyDescent="0.2">
      <c r="A2503" s="573" t="s">
        <v>90</v>
      </c>
      <c r="B2503" s="107"/>
      <c r="C2503" s="107" t="s">
        <v>664</v>
      </c>
      <c r="D2503" s="544">
        <v>9.17</v>
      </c>
      <c r="E2503" s="107" t="s">
        <v>631</v>
      </c>
      <c r="F2503" s="603"/>
      <c r="G2503" s="62"/>
      <c r="H2503" s="420"/>
      <c r="I2503" s="608"/>
      <c r="J2503" s="62"/>
      <c r="K2503" s="419"/>
      <c r="L2503" s="608">
        <v>2012</v>
      </c>
      <c r="M2503" s="62"/>
      <c r="N2503" s="771">
        <v>6.7200000000000003E-3</v>
      </c>
      <c r="O2503" s="603"/>
      <c r="P2503" s="62"/>
      <c r="Q2503" s="771"/>
      <c r="R2503" s="603"/>
      <c r="S2503" s="62"/>
      <c r="T2503" s="771"/>
      <c r="U2503" s="62"/>
      <c r="V2503" s="61"/>
      <c r="W2503" s="769">
        <f t="shared" si="2199"/>
        <v>5.3760000000000007E-6</v>
      </c>
      <c r="X2503" s="770">
        <f t="shared" si="2200"/>
        <v>5.3760000000000007E-6</v>
      </c>
      <c r="Y2503" s="53">
        <v>2012</v>
      </c>
      <c r="Z2503" s="53"/>
      <c r="AA2503" s="768">
        <f t="shared" si="2202"/>
        <v>6.72E-6</v>
      </c>
      <c r="AB2503" s="399">
        <v>-0.2</v>
      </c>
      <c r="AC2503" s="618">
        <f t="shared" si="2201"/>
        <v>-0.2</v>
      </c>
      <c r="AD2503" s="168"/>
      <c r="AE2503" s="168"/>
      <c r="AF2503" s="266"/>
      <c r="AG2503" s="61"/>
      <c r="AH2503" s="272"/>
      <c r="AI2503" s="53"/>
      <c r="AJ2503" s="48"/>
      <c r="AK2503" s="156"/>
      <c r="AL2503" s="284"/>
      <c r="AM2503" s="210"/>
      <c r="AN2503" s="168"/>
      <c r="AO2503" s="425"/>
      <c r="AP2503" s="426"/>
      <c r="AQ2503" s="390"/>
      <c r="AR2503" s="513"/>
      <c r="AS2503" s="424"/>
      <c r="AT2503" s="156"/>
      <c r="AU2503" s="284"/>
      <c r="AV2503" s="168"/>
      <c r="AW2503" s="168"/>
      <c r="AX2503" s="266"/>
      <c r="AY2503" s="61"/>
      <c r="AZ2503" s="272"/>
      <c r="BA2503" s="53"/>
      <c r="BB2503" s="48"/>
      <c r="BC2503" s="43"/>
      <c r="BD2503" s="229"/>
      <c r="BE2503" s="210"/>
      <c r="BF2503" s="168"/>
      <c r="BG2503" s="266"/>
      <c r="BH2503" s="61"/>
      <c r="BI2503" s="272"/>
      <c r="BJ2503" s="53"/>
      <c r="BK2503" s="48"/>
      <c r="BL2503" s="43"/>
      <c r="BM2503" s="229"/>
      <c r="BN2503" s="210"/>
      <c r="BO2503" s="168"/>
      <c r="BP2503" s="170"/>
      <c r="BQ2503" s="86"/>
      <c r="BR2503" s="53"/>
      <c r="BS2503" s="53"/>
      <c r="BT2503" s="48"/>
      <c r="BU2503" s="43"/>
      <c r="BV2503" s="209"/>
      <c r="BW2503" s="140"/>
      <c r="BX2503" s="309"/>
      <c r="BY2503" s="139"/>
    </row>
    <row r="2504" spans="1:77" s="14" customFormat="1" ht="15" customHeight="1" x14ac:dyDescent="0.2">
      <c r="A2504" s="573" t="s">
        <v>90</v>
      </c>
      <c r="B2504" s="107"/>
      <c r="C2504" s="107" t="s">
        <v>2125</v>
      </c>
      <c r="D2504" s="544">
        <v>6.2779999999999996</v>
      </c>
      <c r="E2504" s="107" t="s">
        <v>631</v>
      </c>
      <c r="F2504" s="603"/>
      <c r="G2504" s="62"/>
      <c r="H2504" s="420"/>
      <c r="I2504" s="608"/>
      <c r="J2504" s="62"/>
      <c r="K2504" s="419"/>
      <c r="L2504" s="608"/>
      <c r="M2504" s="62"/>
      <c r="N2504" s="771"/>
      <c r="O2504" s="603">
        <v>2011</v>
      </c>
      <c r="P2504" s="62"/>
      <c r="Q2504" s="771">
        <v>6.6499999999999997E-3</v>
      </c>
      <c r="R2504" s="603"/>
      <c r="S2504" s="62"/>
      <c r="T2504" s="771"/>
      <c r="U2504" s="62"/>
      <c r="V2504" s="61"/>
      <c r="W2504" s="769">
        <f t="shared" si="2199"/>
        <v>5.3199999999999999E-6</v>
      </c>
      <c r="X2504" s="770">
        <f t="shared" si="2200"/>
        <v>5.3199999999999999E-6</v>
      </c>
      <c r="Y2504" s="53">
        <v>2011</v>
      </c>
      <c r="Z2504" s="53"/>
      <c r="AA2504" s="768">
        <f>+Q2504/1000</f>
        <v>6.6499999999999999E-6</v>
      </c>
      <c r="AB2504" s="399">
        <v>-0.2</v>
      </c>
      <c r="AC2504" s="618">
        <f t="shared" si="2201"/>
        <v>-0.2</v>
      </c>
      <c r="AD2504" s="168"/>
      <c r="AE2504" s="168"/>
      <c r="AF2504" s="266"/>
      <c r="AG2504" s="61"/>
      <c r="AH2504" s="272"/>
      <c r="AI2504" s="53"/>
      <c r="AJ2504" s="48"/>
      <c r="AK2504" s="156"/>
      <c r="AL2504" s="284"/>
      <c r="AM2504" s="210"/>
      <c r="AN2504" s="168"/>
      <c r="AO2504" s="425"/>
      <c r="AP2504" s="426"/>
      <c r="AQ2504" s="390"/>
      <c r="AR2504" s="513"/>
      <c r="AS2504" s="424"/>
      <c r="AT2504" s="156"/>
      <c r="AU2504" s="284"/>
      <c r="AV2504" s="168"/>
      <c r="AW2504" s="168"/>
      <c r="AX2504" s="266"/>
      <c r="AY2504" s="61"/>
      <c r="AZ2504" s="272"/>
      <c r="BA2504" s="53"/>
      <c r="BB2504" s="48"/>
      <c r="BC2504" s="43"/>
      <c r="BD2504" s="229"/>
      <c r="BE2504" s="210"/>
      <c r="BF2504" s="168"/>
      <c r="BG2504" s="266"/>
      <c r="BH2504" s="61"/>
      <c r="BI2504" s="272"/>
      <c r="BJ2504" s="53"/>
      <c r="BK2504" s="48"/>
      <c r="BL2504" s="43"/>
      <c r="BM2504" s="229"/>
      <c r="BN2504" s="210"/>
      <c r="BO2504" s="168"/>
      <c r="BP2504" s="170"/>
      <c r="BQ2504" s="86"/>
      <c r="BR2504" s="53"/>
      <c r="BS2504" s="53"/>
      <c r="BT2504" s="48"/>
      <c r="BU2504" s="43"/>
      <c r="BV2504" s="209"/>
      <c r="BW2504" s="140"/>
      <c r="BX2504" s="309"/>
      <c r="BY2504" s="139"/>
    </row>
    <row r="2505" spans="1:77" s="14" customFormat="1" ht="15" customHeight="1" x14ac:dyDescent="0.2">
      <c r="A2505" s="573" t="s">
        <v>90</v>
      </c>
      <c r="B2505" s="107"/>
      <c r="C2505" s="107" t="s">
        <v>660</v>
      </c>
      <c r="D2505" s="544">
        <v>37.4</v>
      </c>
      <c r="E2505" s="107" t="s">
        <v>631</v>
      </c>
      <c r="F2505" s="603"/>
      <c r="G2505" s="62"/>
      <c r="H2505" s="420"/>
      <c r="I2505" s="608"/>
      <c r="J2505" s="62"/>
      <c r="K2505" s="419"/>
      <c r="L2505" s="608">
        <v>2011</v>
      </c>
      <c r="M2505" s="62"/>
      <c r="N2505" s="771">
        <v>3.9035E-2</v>
      </c>
      <c r="O2505" s="603"/>
      <c r="P2505" s="62"/>
      <c r="Q2505" s="771"/>
      <c r="R2505" s="603"/>
      <c r="S2505" s="62"/>
      <c r="T2505" s="771"/>
      <c r="U2505" s="62"/>
      <c r="V2505" s="61"/>
      <c r="W2505" s="769">
        <f t="shared" si="2199"/>
        <v>3.1228E-5</v>
      </c>
      <c r="X2505" s="770">
        <f t="shared" si="2200"/>
        <v>3.1228E-5</v>
      </c>
      <c r="Y2505" s="53">
        <v>2011</v>
      </c>
      <c r="Z2505" s="53"/>
      <c r="AA2505" s="768">
        <f>+N2505/1000</f>
        <v>3.9035000000000001E-5</v>
      </c>
      <c r="AB2505" s="399">
        <v>-0.2</v>
      </c>
      <c r="AC2505" s="618">
        <f t="shared" si="2201"/>
        <v>-0.2</v>
      </c>
      <c r="AD2505" s="168"/>
      <c r="AE2505" s="168"/>
      <c r="AF2505" s="266"/>
      <c r="AG2505" s="61"/>
      <c r="AH2505" s="272"/>
      <c r="AI2505" s="53"/>
      <c r="AJ2505" s="48"/>
      <c r="AK2505" s="156"/>
      <c r="AL2505" s="284"/>
      <c r="AM2505" s="210"/>
      <c r="AN2505" s="168"/>
      <c r="AO2505" s="425"/>
      <c r="AP2505" s="426"/>
      <c r="AQ2505" s="390"/>
      <c r="AR2505" s="513"/>
      <c r="AS2505" s="424"/>
      <c r="AT2505" s="156"/>
      <c r="AU2505" s="284"/>
      <c r="AV2505" s="168"/>
      <c r="AW2505" s="168"/>
      <c r="AX2505" s="266"/>
      <c r="AY2505" s="61"/>
      <c r="AZ2505" s="272"/>
      <c r="BA2505" s="53"/>
      <c r="BB2505" s="48"/>
      <c r="BC2505" s="43"/>
      <c r="BD2505" s="229"/>
      <c r="BE2505" s="210"/>
      <c r="BF2505" s="168"/>
      <c r="BG2505" s="266"/>
      <c r="BH2505" s="61"/>
      <c r="BI2505" s="272"/>
      <c r="BJ2505" s="53"/>
      <c r="BK2505" s="48"/>
      <c r="BL2505" s="43"/>
      <c r="BM2505" s="229"/>
      <c r="BN2505" s="210"/>
      <c r="BO2505" s="168"/>
      <c r="BP2505" s="170"/>
      <c r="BQ2505" s="86"/>
      <c r="BR2505" s="53"/>
      <c r="BS2505" s="53"/>
      <c r="BT2505" s="48"/>
      <c r="BU2505" s="43"/>
      <c r="BV2505" s="209"/>
      <c r="BW2505" s="140"/>
      <c r="BX2505" s="309"/>
      <c r="BY2505" s="139"/>
    </row>
    <row r="2506" spans="1:77" s="14" customFormat="1" ht="15" customHeight="1" x14ac:dyDescent="0.2">
      <c r="A2506" s="573" t="s">
        <v>90</v>
      </c>
      <c r="B2506" s="107"/>
      <c r="C2506" s="107" t="s">
        <v>663</v>
      </c>
      <c r="D2506" s="544">
        <v>36</v>
      </c>
      <c r="E2506" s="107" t="s">
        <v>631</v>
      </c>
      <c r="F2506" s="603"/>
      <c r="G2506" s="62"/>
      <c r="H2506" s="420"/>
      <c r="I2506" s="608"/>
      <c r="J2506" s="62"/>
      <c r="K2506" s="419"/>
      <c r="L2506" s="608">
        <v>2012</v>
      </c>
      <c r="M2506" s="62"/>
      <c r="N2506" s="771">
        <v>0.123462</v>
      </c>
      <c r="O2506" s="603"/>
      <c r="P2506" s="62"/>
      <c r="Q2506" s="771"/>
      <c r="R2506" s="603"/>
      <c r="S2506" s="62"/>
      <c r="T2506" s="771"/>
      <c r="U2506" s="62"/>
      <c r="V2506" s="61"/>
      <c r="W2506" s="769">
        <f t="shared" si="2199"/>
        <v>8.2719539999999989E-5</v>
      </c>
      <c r="X2506" s="770">
        <f t="shared" si="2200"/>
        <v>8.2719539999999989E-5</v>
      </c>
      <c r="Y2506" s="53">
        <v>2012</v>
      </c>
      <c r="Z2506" s="53"/>
      <c r="AA2506" s="768">
        <f>+N2506/1000</f>
        <v>1.2346199999999999E-4</v>
      </c>
      <c r="AB2506" s="399">
        <v>-0.33</v>
      </c>
      <c r="AC2506" s="618">
        <f t="shared" si="2201"/>
        <v>-0.33</v>
      </c>
      <c r="AD2506" s="168"/>
      <c r="AE2506" s="168"/>
      <c r="AF2506" s="266"/>
      <c r="AG2506" s="61"/>
      <c r="AH2506" s="272"/>
      <c r="AI2506" s="53"/>
      <c r="AJ2506" s="48"/>
      <c r="AK2506" s="156"/>
      <c r="AL2506" s="284"/>
      <c r="AM2506" s="210"/>
      <c r="AN2506" s="168"/>
      <c r="AO2506" s="425"/>
      <c r="AP2506" s="426"/>
      <c r="AQ2506" s="390"/>
      <c r="AR2506" s="513"/>
      <c r="AS2506" s="424"/>
      <c r="AT2506" s="156"/>
      <c r="AU2506" s="284"/>
      <c r="AV2506" s="168"/>
      <c r="AW2506" s="168"/>
      <c r="AX2506" s="266"/>
      <c r="AY2506" s="61"/>
      <c r="AZ2506" s="272"/>
      <c r="BA2506" s="53"/>
      <c r="BB2506" s="48"/>
      <c r="BC2506" s="43"/>
      <c r="BD2506" s="229"/>
      <c r="BE2506" s="210"/>
      <c r="BF2506" s="168"/>
      <c r="BG2506" s="266"/>
      <c r="BH2506" s="61"/>
      <c r="BI2506" s="272"/>
      <c r="BJ2506" s="53"/>
      <c r="BK2506" s="48"/>
      <c r="BL2506" s="43"/>
      <c r="BM2506" s="229"/>
      <c r="BN2506" s="210"/>
      <c r="BO2506" s="168"/>
      <c r="BP2506" s="170"/>
      <c r="BQ2506" s="86"/>
      <c r="BR2506" s="53"/>
      <c r="BS2506" s="53"/>
      <c r="BT2506" s="48"/>
      <c r="BU2506" s="43"/>
      <c r="BV2506" s="209"/>
      <c r="BW2506" s="140"/>
      <c r="BX2506" s="309"/>
      <c r="BY2506" s="139"/>
    </row>
    <row r="2507" spans="1:77" ht="15" customHeight="1" x14ac:dyDescent="0.2">
      <c r="A2507" s="56" t="s">
        <v>30</v>
      </c>
      <c r="B2507" s="56" t="s">
        <v>1606</v>
      </c>
      <c r="C2507" s="107"/>
      <c r="D2507" s="544">
        <v>38.1</v>
      </c>
      <c r="E2507" s="624" t="s">
        <v>3200</v>
      </c>
      <c r="F2507" s="1098"/>
      <c r="G2507" s="672">
        <v>0.10274</v>
      </c>
      <c r="H2507" s="968">
        <v>0.10274</v>
      </c>
      <c r="I2507" s="1297"/>
      <c r="J2507" s="672">
        <v>9.894E-2</v>
      </c>
      <c r="K2507" s="672">
        <v>9.8979999999999999E-2</v>
      </c>
      <c r="L2507" s="1297"/>
      <c r="M2507" s="672">
        <v>8.7639999999999996E-2</v>
      </c>
      <c r="N2507" s="672">
        <v>8.7690000000000004E-2</v>
      </c>
      <c r="O2507" s="373"/>
      <c r="P2507" s="1227">
        <v>8.9130000000000001E-2</v>
      </c>
      <c r="Q2507" s="1299">
        <v>8.906E-2</v>
      </c>
      <c r="R2507" s="373">
        <v>2017</v>
      </c>
      <c r="S2507" s="1227">
        <v>8.6849999999999997E-2</v>
      </c>
      <c r="T2507" s="1299">
        <v>8.6849999999999997E-2</v>
      </c>
      <c r="U2507" s="63">
        <v>0.1</v>
      </c>
      <c r="V2507" s="58">
        <v>0.1</v>
      </c>
      <c r="W2507" s="530">
        <f t="shared" si="2199"/>
        <v>7.1917999999999998E-5</v>
      </c>
      <c r="X2507" s="510">
        <f t="shared" si="2200"/>
        <v>7.1917999999999998E-5</v>
      </c>
      <c r="Y2507" s="50">
        <v>1990</v>
      </c>
      <c r="Z2507" s="50"/>
      <c r="AA2507" s="773">
        <f>+H2507/1000</f>
        <v>1.0274E-4</v>
      </c>
      <c r="AB2507" s="156">
        <v>-0.3</v>
      </c>
      <c r="AC2507" s="284">
        <v>-0.3</v>
      </c>
      <c r="AD2507" s="16"/>
      <c r="AE2507" s="16"/>
      <c r="AF2507" s="476">
        <f>AI2507*(1+AK2507)</f>
        <v>6.1643999999999995E-5</v>
      </c>
      <c r="AG2507" s="477">
        <f>AI2507*(1+AL2507)</f>
        <v>6.1643999999999995E-5</v>
      </c>
      <c r="AH2507" s="390">
        <v>1990</v>
      </c>
      <c r="AI2507" s="478">
        <f>+G2507/1000</f>
        <v>1.0274E-4</v>
      </c>
      <c r="AJ2507" s="33"/>
      <c r="AK2507" s="156">
        <v>-0.4</v>
      </c>
      <c r="AL2507" s="284">
        <v>-0.4</v>
      </c>
      <c r="AM2507" s="919"/>
      <c r="AN2507" s="920"/>
      <c r="AO2507" s="1428">
        <f>AR2507*(1+AT2507)</f>
        <v>4.6232999999999996E-5</v>
      </c>
      <c r="AP2507" s="1429">
        <f>AR2507*(1+AU2507)</f>
        <v>4.6232999999999996E-5</v>
      </c>
      <c r="AQ2507" s="1373">
        <v>1990</v>
      </c>
      <c r="AR2507" s="1430">
        <f>+G2507/1000</f>
        <v>1.0274E-4</v>
      </c>
      <c r="AS2507" s="1431"/>
      <c r="AT2507" s="1341">
        <v>-0.55000000000000004</v>
      </c>
      <c r="AU2507" s="694">
        <v>-0.55000000000000004</v>
      </c>
      <c r="AV2507" s="16"/>
      <c r="AW2507" s="16"/>
      <c r="AX2507" s="170"/>
      <c r="AY2507" s="86"/>
      <c r="AZ2507" s="272"/>
      <c r="BA2507" s="50"/>
      <c r="BB2507" s="33"/>
      <c r="BC2507" s="156"/>
      <c r="BD2507" s="341"/>
      <c r="BE2507" s="208"/>
      <c r="BF2507" s="16"/>
      <c r="BG2507" s="170"/>
      <c r="BH2507" s="86"/>
      <c r="BI2507" s="272"/>
      <c r="BJ2507" s="50"/>
      <c r="BK2507" s="33"/>
      <c r="BL2507" s="156"/>
      <c r="BM2507" s="341"/>
      <c r="BN2507" s="208"/>
      <c r="BO2507" s="16"/>
      <c r="BP2507" s="170"/>
      <c r="BQ2507" s="86"/>
      <c r="BR2507" s="50"/>
      <c r="BS2507" s="50"/>
      <c r="BT2507" s="33"/>
      <c r="BU2507" s="43"/>
      <c r="BV2507" s="209"/>
      <c r="BW2507" s="141" t="s">
        <v>258</v>
      </c>
      <c r="BX2507" s="311"/>
      <c r="BY2507" s="137" t="s">
        <v>225</v>
      </c>
    </row>
    <row r="2508" spans="1:77" ht="15" customHeight="1" x14ac:dyDescent="0.25">
      <c r="A2508" s="107" t="s">
        <v>148</v>
      </c>
      <c r="B2508" s="56" t="s">
        <v>1606</v>
      </c>
      <c r="C2508" s="107"/>
      <c r="D2508" s="544">
        <v>620.07799999999997</v>
      </c>
      <c r="E2508" s="1458" t="s">
        <v>3249</v>
      </c>
      <c r="F2508" s="1274"/>
      <c r="G2508" s="1317">
        <v>5.383</v>
      </c>
      <c r="H2508" s="1276">
        <f>5.383+1.58933</f>
        <v>6.9723299999999995</v>
      </c>
      <c r="I2508" s="1275"/>
      <c r="J2508" s="1276">
        <v>4.1396699999999997</v>
      </c>
      <c r="K2508" s="1318">
        <f>3.80509+2.48377</f>
        <v>6.2888599999999997</v>
      </c>
      <c r="L2508" s="1280"/>
      <c r="M2508" s="1276">
        <v>4.1103899999999998</v>
      </c>
      <c r="N2508" s="1276">
        <f>M2508+2.58801</f>
        <v>6.6983999999999995</v>
      </c>
      <c r="O2508" s="1319"/>
      <c r="P2508" s="1276">
        <v>3.5358299999999998</v>
      </c>
      <c r="Q2508" s="1320">
        <f>P2508+2.32382</f>
        <v>5.8596500000000002</v>
      </c>
      <c r="R2508" s="1319">
        <v>2018</v>
      </c>
      <c r="S2508" s="1276">
        <v>3.7672599999999998</v>
      </c>
      <c r="T2508" s="1320">
        <f>S2508+2.3191</f>
        <v>6.08636</v>
      </c>
      <c r="U2508" s="68"/>
      <c r="V2508" s="68"/>
      <c r="W2508" s="27"/>
      <c r="X2508" s="28"/>
      <c r="Y2508" s="145"/>
      <c r="Z2508" s="38"/>
      <c r="AA2508" s="145"/>
      <c r="AB2508" s="80"/>
      <c r="AC2508" s="209"/>
      <c r="AE2508" s="16"/>
      <c r="AF2508" s="136"/>
      <c r="AG2508" s="59"/>
      <c r="AH2508" s="77"/>
      <c r="AI2508" s="38"/>
      <c r="AJ2508" s="145"/>
      <c r="AK2508" s="80"/>
      <c r="AL2508" s="215"/>
      <c r="AM2508" s="456"/>
      <c r="AN2508" s="387"/>
      <c r="AO2508" s="1459">
        <f>+AP2508</f>
        <v>4.5320144999999997E-3</v>
      </c>
      <c r="AP2508" s="1460">
        <f>+AS2508*(1+AU2508)</f>
        <v>4.5320144999999997E-3</v>
      </c>
      <c r="AQ2508" s="1403">
        <v>1990</v>
      </c>
      <c r="AR2508" s="1443"/>
      <c r="AS2508" s="1443">
        <f>H2508/1000</f>
        <v>6.9723299999999997E-3</v>
      </c>
      <c r="AT2508" s="1445">
        <v>-0.35</v>
      </c>
      <c r="AU2508" s="1446">
        <f>AT2508</f>
        <v>-0.35</v>
      </c>
      <c r="AV2508" s="16"/>
      <c r="AW2508" s="16"/>
      <c r="AX2508" s="19"/>
      <c r="AY2508" s="20"/>
      <c r="AZ2508" s="77"/>
      <c r="BA2508" s="38"/>
      <c r="BB2508" s="145"/>
      <c r="BC2508" s="80"/>
      <c r="BD2508" s="75"/>
      <c r="BE2508" s="208"/>
      <c r="BF2508" s="16"/>
      <c r="BG2508" s="19"/>
      <c r="BH2508" s="20"/>
      <c r="BI2508" s="77"/>
      <c r="BJ2508" s="38"/>
      <c r="BK2508" s="145"/>
      <c r="BL2508" s="80"/>
      <c r="BM2508" s="75"/>
      <c r="BN2508" s="208"/>
      <c r="BO2508" s="16"/>
      <c r="BP2508" s="19"/>
      <c r="BQ2508" s="20"/>
      <c r="BR2508" s="32"/>
      <c r="BS2508" s="38"/>
      <c r="BT2508" s="145"/>
      <c r="BU2508" s="80"/>
      <c r="BV2508" s="215"/>
      <c r="BX2508" s="321"/>
      <c r="BY2508" s="38"/>
    </row>
    <row r="2509" spans="1:77" ht="15" customHeight="1" x14ac:dyDescent="0.2">
      <c r="A2509" s="107" t="s">
        <v>148</v>
      </c>
      <c r="B2509" s="107"/>
      <c r="C2509" s="107" t="s">
        <v>668</v>
      </c>
      <c r="D2509" s="544">
        <v>136.47300000000001</v>
      </c>
      <c r="E2509" s="107" t="s">
        <v>631</v>
      </c>
      <c r="F2509" s="603"/>
      <c r="G2509" s="419"/>
      <c r="H2509" s="68"/>
      <c r="I2509" s="418">
        <v>2008</v>
      </c>
      <c r="J2509" s="68"/>
      <c r="K2509" s="68">
        <v>0.28312999999999999</v>
      </c>
      <c r="L2509" s="418"/>
      <c r="M2509" s="68"/>
      <c r="N2509" s="356"/>
      <c r="O2509" s="605"/>
      <c r="P2509" s="68"/>
      <c r="Q2509" s="356"/>
      <c r="R2509" s="605"/>
      <c r="S2509" s="68"/>
      <c r="T2509" s="356"/>
      <c r="U2509" s="68"/>
      <c r="V2509" s="68"/>
      <c r="W2509" s="674">
        <f t="shared" ref="W2509" si="2203">AA2509*(1+AB2509)</f>
        <v>2.2650399999999998E-4</v>
      </c>
      <c r="X2509" s="675">
        <f t="shared" ref="X2509" si="2204">AA2509*(1+AC2509)</f>
        <v>2.2650399999999998E-4</v>
      </c>
      <c r="Y2509" s="53">
        <v>2008</v>
      </c>
      <c r="Z2509" s="53"/>
      <c r="AA2509" s="767">
        <f>+K2509/1000</f>
        <v>2.8312999999999998E-4</v>
      </c>
      <c r="AB2509" s="399">
        <v>-0.2</v>
      </c>
      <c r="AC2509" s="618">
        <f t="shared" ref="AC2509" si="2205">AB2509</f>
        <v>-0.2</v>
      </c>
      <c r="AE2509" s="16"/>
      <c r="AF2509" s="136"/>
      <c r="AG2509" s="59"/>
      <c r="AH2509" s="77"/>
      <c r="AI2509" s="38"/>
      <c r="AJ2509" s="145"/>
      <c r="AK2509" s="80"/>
      <c r="AL2509" s="215"/>
      <c r="AM2509" s="456"/>
      <c r="AN2509" s="387"/>
      <c r="AO2509" s="454"/>
      <c r="AP2509" s="439"/>
      <c r="AQ2509" s="440"/>
      <c r="AR2509" s="424"/>
      <c r="AS2509" s="453"/>
      <c r="AT2509" s="292"/>
      <c r="AU2509" s="293"/>
      <c r="AV2509" s="16"/>
      <c r="AW2509" s="16"/>
      <c r="AX2509" s="19"/>
      <c r="AY2509" s="20"/>
      <c r="AZ2509" s="77"/>
      <c r="BA2509" s="38"/>
      <c r="BB2509" s="145"/>
      <c r="BC2509" s="80"/>
      <c r="BD2509" s="75"/>
      <c r="BE2509" s="208"/>
      <c r="BF2509" s="16"/>
      <c r="BG2509" s="19"/>
      <c r="BH2509" s="20"/>
      <c r="BI2509" s="77"/>
      <c r="BJ2509" s="38"/>
      <c r="BK2509" s="145"/>
      <c r="BL2509" s="80"/>
      <c r="BM2509" s="75"/>
      <c r="BN2509" s="208"/>
      <c r="BO2509" s="16"/>
      <c r="BP2509" s="19"/>
      <c r="BQ2509" s="20"/>
      <c r="BR2509" s="32"/>
      <c r="BS2509" s="38"/>
      <c r="BT2509" s="145"/>
      <c r="BU2509" s="80"/>
      <c r="BV2509" s="215"/>
      <c r="BX2509" s="321"/>
      <c r="BY2509" s="38"/>
    </row>
    <row r="2510" spans="1:77" ht="15" customHeight="1" x14ac:dyDescent="0.2">
      <c r="A2510" s="107" t="s">
        <v>148</v>
      </c>
      <c r="B2510" s="107"/>
      <c r="C2510" s="107" t="s">
        <v>669</v>
      </c>
      <c r="D2510" s="544">
        <v>3.0150000000000001</v>
      </c>
      <c r="E2510" s="107" t="s">
        <v>631</v>
      </c>
      <c r="F2510" s="603"/>
      <c r="G2510" s="419"/>
      <c r="H2510" s="68"/>
      <c r="I2510" s="418">
        <v>2008</v>
      </c>
      <c r="J2510" s="68"/>
      <c r="K2510" s="71">
        <v>2.0986999999999999E-2</v>
      </c>
      <c r="L2510" s="418"/>
      <c r="M2510" s="68"/>
      <c r="N2510" s="356"/>
      <c r="O2510" s="605"/>
      <c r="P2510" s="68"/>
      <c r="Q2510" s="356"/>
      <c r="R2510" s="605"/>
      <c r="S2510" s="68"/>
      <c r="T2510" s="356"/>
      <c r="U2510" s="68"/>
      <c r="V2510" s="68"/>
      <c r="W2510" s="674">
        <f t="shared" ref="W2510" si="2206">AA2510*(1+AB2510)</f>
        <v>1.5530379999999998E-5</v>
      </c>
      <c r="X2510" s="675">
        <f t="shared" ref="X2510" si="2207">AA2510*(1+AC2510)</f>
        <v>1.5530379999999998E-5</v>
      </c>
      <c r="Y2510" s="53">
        <v>2008</v>
      </c>
      <c r="Z2510" s="53"/>
      <c r="AA2510" s="767">
        <f>+K2510/1000</f>
        <v>2.0986999999999997E-5</v>
      </c>
      <c r="AB2510" s="399">
        <v>-0.26</v>
      </c>
      <c r="AC2510" s="618">
        <f t="shared" ref="AC2510" si="2208">AB2510</f>
        <v>-0.26</v>
      </c>
      <c r="AE2510" s="16"/>
      <c r="AF2510" s="136"/>
      <c r="AG2510" s="59"/>
      <c r="AH2510" s="77"/>
      <c r="AI2510" s="38"/>
      <c r="AJ2510" s="145"/>
      <c r="AK2510" s="80"/>
      <c r="AL2510" s="215"/>
      <c r="AM2510" s="456"/>
      <c r="AN2510" s="387"/>
      <c r="AO2510" s="454"/>
      <c r="AP2510" s="439"/>
      <c r="AQ2510" s="440"/>
      <c r="AR2510" s="424"/>
      <c r="AS2510" s="453"/>
      <c r="AT2510" s="292"/>
      <c r="AU2510" s="293"/>
      <c r="AV2510" s="16"/>
      <c r="AW2510" s="16"/>
      <c r="AX2510" s="19"/>
      <c r="AY2510" s="20"/>
      <c r="AZ2510" s="77"/>
      <c r="BA2510" s="38"/>
      <c r="BB2510" s="145"/>
      <c r="BC2510" s="80"/>
      <c r="BD2510" s="75"/>
      <c r="BE2510" s="208"/>
      <c r="BF2510" s="16"/>
      <c r="BG2510" s="19"/>
      <c r="BH2510" s="20"/>
      <c r="BI2510" s="77"/>
      <c r="BJ2510" s="38"/>
      <c r="BK2510" s="145"/>
      <c r="BL2510" s="80"/>
      <c r="BM2510" s="75"/>
      <c r="BN2510" s="208"/>
      <c r="BO2510" s="16"/>
      <c r="BP2510" s="19"/>
      <c r="BQ2510" s="20"/>
      <c r="BR2510" s="32"/>
      <c r="BS2510" s="38"/>
      <c r="BT2510" s="145"/>
      <c r="BU2510" s="80"/>
      <c r="BV2510" s="215"/>
      <c r="BX2510" s="321"/>
      <c r="BY2510" s="38"/>
    </row>
    <row r="2511" spans="1:77" ht="15" customHeight="1" x14ac:dyDescent="0.2">
      <c r="A2511" s="107" t="s">
        <v>148</v>
      </c>
      <c r="B2511" s="107"/>
      <c r="C2511" s="107" t="s">
        <v>670</v>
      </c>
      <c r="D2511" s="544">
        <v>1.9279999999999999</v>
      </c>
      <c r="E2511" s="107" t="s">
        <v>631</v>
      </c>
      <c r="F2511" s="603"/>
      <c r="G2511" s="419"/>
      <c r="H2511" s="68"/>
      <c r="I2511" s="418">
        <v>2009</v>
      </c>
      <c r="J2511" s="68"/>
      <c r="K2511" s="71">
        <v>1.453E-2</v>
      </c>
      <c r="L2511" s="418"/>
      <c r="M2511" s="68"/>
      <c r="N2511" s="356"/>
      <c r="O2511" s="605"/>
      <c r="P2511" s="68"/>
      <c r="Q2511" s="356"/>
      <c r="R2511" s="605"/>
      <c r="S2511" s="68"/>
      <c r="T2511" s="356"/>
      <c r="U2511" s="68"/>
      <c r="V2511" s="68"/>
      <c r="W2511" s="674">
        <f t="shared" ref="W2511" si="2209">AA2511*(1+AB2511)</f>
        <v>1.1333400000000001E-5</v>
      </c>
      <c r="X2511" s="675">
        <f t="shared" ref="X2511" si="2210">AA2511*(1+AC2511)</f>
        <v>1.1333400000000001E-5</v>
      </c>
      <c r="Y2511" s="53">
        <v>2008</v>
      </c>
      <c r="Z2511" s="53"/>
      <c r="AA2511" s="767">
        <f>+K2511/1000</f>
        <v>1.453E-5</v>
      </c>
      <c r="AB2511" s="399">
        <v>-0.22</v>
      </c>
      <c r="AC2511" s="618">
        <f t="shared" ref="AC2511" si="2211">AB2511</f>
        <v>-0.22</v>
      </c>
      <c r="AE2511" s="16"/>
      <c r="AF2511" s="136"/>
      <c r="AG2511" s="59"/>
      <c r="AH2511" s="77"/>
      <c r="AI2511" s="38"/>
      <c r="AJ2511" s="145"/>
      <c r="AK2511" s="80"/>
      <c r="AL2511" s="215"/>
      <c r="AM2511" s="456"/>
      <c r="AN2511" s="387"/>
      <c r="AO2511" s="454"/>
      <c r="AP2511" s="439"/>
      <c r="AQ2511" s="440"/>
      <c r="AR2511" s="424"/>
      <c r="AS2511" s="453"/>
      <c r="AT2511" s="292"/>
      <c r="AU2511" s="293"/>
      <c r="AV2511" s="16"/>
      <c r="AW2511" s="16"/>
      <c r="AX2511" s="19"/>
      <c r="AY2511" s="20"/>
      <c r="AZ2511" s="77"/>
      <c r="BA2511" s="38"/>
      <c r="BB2511" s="145"/>
      <c r="BC2511" s="80"/>
      <c r="BD2511" s="75"/>
      <c r="BE2511" s="208"/>
      <c r="BF2511" s="16"/>
      <c r="BG2511" s="19"/>
      <c r="BH2511" s="20"/>
      <c r="BI2511" s="77"/>
      <c r="BJ2511" s="38"/>
      <c r="BK2511" s="145"/>
      <c r="BL2511" s="80"/>
      <c r="BM2511" s="75"/>
      <c r="BN2511" s="208"/>
      <c r="BO2511" s="16"/>
      <c r="BP2511" s="19"/>
      <c r="BQ2511" s="20"/>
      <c r="BR2511" s="32"/>
      <c r="BS2511" s="38"/>
      <c r="BT2511" s="145"/>
      <c r="BU2511" s="80"/>
      <c r="BV2511" s="215"/>
      <c r="BX2511" s="321"/>
      <c r="BY2511" s="38"/>
    </row>
    <row r="2512" spans="1:77" s="14" customFormat="1" ht="15" customHeight="1" x14ac:dyDescent="0.2">
      <c r="A2512" s="56" t="s">
        <v>29</v>
      </c>
      <c r="B2512" s="56" t="s">
        <v>1606</v>
      </c>
      <c r="C2512" s="56"/>
      <c r="D2512" s="544">
        <v>4891.2510000000002</v>
      </c>
      <c r="E2512" s="1329" t="s">
        <v>2963</v>
      </c>
      <c r="F2512" s="1098"/>
      <c r="G2512" s="121">
        <v>41.241999999999997</v>
      </c>
      <c r="H2512" s="120">
        <v>54.158000000000001</v>
      </c>
      <c r="I2512" s="778"/>
      <c r="J2512" s="121">
        <v>30.224</v>
      </c>
      <c r="K2512" s="121">
        <v>55.366999999999997</v>
      </c>
      <c r="L2512" s="778"/>
      <c r="M2512" s="121">
        <v>29.009</v>
      </c>
      <c r="N2512" s="121">
        <v>55.466999999999999</v>
      </c>
      <c r="O2512" s="1048"/>
      <c r="P2512" s="121">
        <v>31.237310000000001</v>
      </c>
      <c r="Q2512" s="915">
        <v>54.450029999999998</v>
      </c>
      <c r="R2512" s="1048">
        <v>2017</v>
      </c>
      <c r="S2512" s="121">
        <v>27.722000000000001</v>
      </c>
      <c r="T2512" s="915">
        <v>52.713000000000001</v>
      </c>
      <c r="U2512" s="62">
        <f>V2512-19</f>
        <v>40</v>
      </c>
      <c r="V2512" s="61">
        <v>59</v>
      </c>
      <c r="W2512" s="23">
        <f>AA2512*(1+AB2512)</f>
        <v>3.7910599999999996E-2</v>
      </c>
      <c r="X2512" s="24">
        <f>AA2512*(1+AC2512)</f>
        <v>3.2494799999999997E-2</v>
      </c>
      <c r="Y2512" s="50">
        <v>1990</v>
      </c>
      <c r="Z2512" s="50"/>
      <c r="AA2512" s="31">
        <f>H2512/1000</f>
        <v>5.4157999999999998E-2</v>
      </c>
      <c r="AB2512" s="395">
        <v>-0.3</v>
      </c>
      <c r="AC2512" s="443">
        <v>-0.4</v>
      </c>
      <c r="AD2512" s="168"/>
      <c r="AE2512" s="168"/>
      <c r="AF2512" s="170"/>
      <c r="AG2512" s="86"/>
      <c r="AH2512" s="272"/>
      <c r="AI2512" s="50"/>
      <c r="AJ2512" s="31"/>
      <c r="AK2512" s="156"/>
      <c r="AL2512" s="284"/>
      <c r="AM2512" s="210"/>
      <c r="AN2512" s="422"/>
      <c r="AO2512" s="1371">
        <f>+AS2512*(1+AT2512)</f>
        <v>2.7078999999999999E-2</v>
      </c>
      <c r="AP2512" s="1372">
        <f>+AS2512*(1+AU2512)</f>
        <v>2.4371099999999996E-2</v>
      </c>
      <c r="AQ2512" s="1373">
        <v>1990</v>
      </c>
      <c r="AR2512" s="1374"/>
      <c r="AS2512" s="1375">
        <f>+H2512/1000</f>
        <v>5.4157999999999998E-2</v>
      </c>
      <c r="AT2512" s="1341">
        <v>-0.5</v>
      </c>
      <c r="AU2512" s="694">
        <v>-0.55000000000000004</v>
      </c>
      <c r="AV2512" s="168"/>
      <c r="AW2512" s="168"/>
      <c r="AX2512" s="170"/>
      <c r="AY2512" s="86"/>
      <c r="AZ2512" s="272"/>
      <c r="BA2512" s="50"/>
      <c r="BB2512" s="31"/>
      <c r="BC2512" s="156"/>
      <c r="BD2512" s="341"/>
      <c r="BE2512" s="210"/>
      <c r="BF2512" s="168"/>
      <c r="BG2512" s="170"/>
      <c r="BH2512" s="86"/>
      <c r="BI2512" s="272"/>
      <c r="BJ2512" s="50"/>
      <c r="BK2512" s="31"/>
      <c r="BL2512" s="156"/>
      <c r="BM2512" s="341"/>
      <c r="BN2512" s="210"/>
      <c r="BO2512" s="168"/>
      <c r="BP2512" s="615">
        <f>+BT2512*(1+BU2512)</f>
        <v>0</v>
      </c>
      <c r="BQ2512" s="616">
        <f>BT2512*(1+BV2512)</f>
        <v>0</v>
      </c>
      <c r="BR2512" s="432">
        <v>1990</v>
      </c>
      <c r="BS2512" s="432"/>
      <c r="BT2512" s="679">
        <f>+H2512/1000</f>
        <v>5.4157999999999998E-2</v>
      </c>
      <c r="BU2512" s="399">
        <v>-1</v>
      </c>
      <c r="BV2512" s="618">
        <v>-1</v>
      </c>
      <c r="BW2512" s="429" t="s">
        <v>227</v>
      </c>
      <c r="BX2512" s="926" t="s">
        <v>2167</v>
      </c>
      <c r="BY2512" s="430" t="s">
        <v>226</v>
      </c>
    </row>
    <row r="2513" spans="1:77" s="14" customFormat="1" ht="15" customHeight="1" x14ac:dyDescent="0.2">
      <c r="A2513" s="56" t="s">
        <v>29</v>
      </c>
      <c r="B2513" s="107" t="s">
        <v>2882</v>
      </c>
      <c r="C2513" s="56"/>
      <c r="D2513" s="544">
        <v>615</v>
      </c>
      <c r="E2513" s="624" t="s">
        <v>371</v>
      </c>
      <c r="F2513" s="602"/>
      <c r="G2513" s="121"/>
      <c r="H2513" s="656"/>
      <c r="I2513" s="608"/>
      <c r="J2513" s="62"/>
      <c r="K2513" s="62"/>
      <c r="L2513" s="608"/>
      <c r="M2513" s="62"/>
      <c r="N2513" s="355"/>
      <c r="O2513" s="603"/>
      <c r="P2513" s="62"/>
      <c r="Q2513" s="355"/>
      <c r="R2513" s="603"/>
      <c r="S2513" s="62"/>
      <c r="T2513" s="355"/>
      <c r="U2513" s="62"/>
      <c r="V2513" s="61"/>
      <c r="W2513" s="23"/>
      <c r="X2513" s="24"/>
      <c r="Y2513" s="272"/>
      <c r="Z2513" s="50"/>
      <c r="AA2513" s="31"/>
      <c r="AB2513" s="395"/>
      <c r="AC2513" s="443"/>
      <c r="AD2513" s="168"/>
      <c r="AE2513" s="168"/>
      <c r="AF2513" s="170"/>
      <c r="AG2513" s="86"/>
      <c r="AH2513" s="272"/>
      <c r="AI2513" s="50"/>
      <c r="AJ2513" s="31"/>
      <c r="AK2513" s="156"/>
      <c r="AL2513" s="284"/>
      <c r="AM2513" s="210"/>
      <c r="AN2513" s="422"/>
      <c r="AO2513" s="615"/>
      <c r="AP2513" s="616"/>
      <c r="AQ2513" s="617">
        <v>1991</v>
      </c>
      <c r="AR2513" s="432"/>
      <c r="AS2513" s="679"/>
      <c r="AT2513" s="399">
        <v>-0.55000000000000004</v>
      </c>
      <c r="AU2513" s="618">
        <f>AT2513</f>
        <v>-0.55000000000000004</v>
      </c>
      <c r="AV2513" s="168"/>
      <c r="AW2513" s="168"/>
      <c r="AX2513" s="170"/>
      <c r="AY2513" s="86"/>
      <c r="AZ2513" s="272"/>
      <c r="BA2513" s="50"/>
      <c r="BB2513" s="31"/>
      <c r="BC2513" s="156"/>
      <c r="BD2513" s="341"/>
      <c r="BE2513" s="210"/>
      <c r="BF2513" s="168"/>
      <c r="BG2513" s="170"/>
      <c r="BH2513" s="86"/>
      <c r="BI2513" s="272"/>
      <c r="BJ2513" s="50"/>
      <c r="BK2513" s="31"/>
      <c r="BL2513" s="156"/>
      <c r="BM2513" s="341"/>
      <c r="BN2513" s="210"/>
      <c r="BO2513" s="168"/>
      <c r="BP2513" s="615"/>
      <c r="BQ2513" s="616"/>
      <c r="BR2513" s="432">
        <v>1991</v>
      </c>
      <c r="BS2513" s="432"/>
      <c r="BT2513" s="679"/>
      <c r="BU2513" s="399">
        <v>-0.85</v>
      </c>
      <c r="BV2513" s="618">
        <v>-0.9</v>
      </c>
      <c r="BW2513" s="429"/>
      <c r="BX2513" s="926"/>
      <c r="BY2513" s="430"/>
    </row>
    <row r="2514" spans="1:77" s="14" customFormat="1" ht="15" customHeight="1" x14ac:dyDescent="0.2">
      <c r="A2514" s="56" t="s">
        <v>29</v>
      </c>
      <c r="B2514" s="56" t="s">
        <v>2249</v>
      </c>
      <c r="C2514" s="56"/>
      <c r="D2514" s="544">
        <v>188.92599999999999</v>
      </c>
      <c r="E2514" s="161" t="s">
        <v>2562</v>
      </c>
      <c r="F2514" s="602"/>
      <c r="G2514" s="419"/>
      <c r="H2514" s="968">
        <v>1.2</v>
      </c>
      <c r="I2514" s="608"/>
      <c r="J2514" s="62"/>
      <c r="K2514" s="62"/>
      <c r="L2514" s="608"/>
      <c r="M2514" s="62"/>
      <c r="N2514" s="355"/>
      <c r="O2514" s="603"/>
      <c r="P2514" s="62"/>
      <c r="Q2514" s="357">
        <f>H2514*0.99</f>
        <v>1.1879999999999999</v>
      </c>
      <c r="R2514" s="603"/>
      <c r="S2514" s="62"/>
      <c r="T2514" s="357"/>
      <c r="U2514" s="62"/>
      <c r="V2514" s="61"/>
      <c r="W2514" s="619">
        <f>+AA2514*(1+AB2514)</f>
        <v>8.3999999999999993E-4</v>
      </c>
      <c r="X2514" s="620">
        <f>+AA2514*(1+AC2514)</f>
        <v>8.3999999999999993E-4</v>
      </c>
      <c r="Y2514" s="617">
        <v>1990</v>
      </c>
      <c r="Z2514" s="432"/>
      <c r="AA2514" s="621">
        <f>+H2514/1000</f>
        <v>1.1999999999999999E-3</v>
      </c>
      <c r="AB2514" s="399">
        <v>-0.3</v>
      </c>
      <c r="AC2514" s="618">
        <f t="shared" ref="AC2514:AC2524" si="2212">AB2514</f>
        <v>-0.3</v>
      </c>
      <c r="AD2514" s="168"/>
      <c r="AE2514" s="168"/>
      <c r="AF2514" s="170">
        <v>0</v>
      </c>
      <c r="AG2514" s="86">
        <v>0</v>
      </c>
      <c r="AH2514" s="272"/>
      <c r="AI2514" s="50"/>
      <c r="AJ2514" s="31"/>
      <c r="AK2514" s="156"/>
      <c r="AL2514" s="284"/>
      <c r="AM2514" s="210"/>
      <c r="AN2514" s="422"/>
      <c r="AO2514" s="619"/>
      <c r="AP2514" s="620"/>
      <c r="AQ2514" s="617"/>
      <c r="AR2514" s="432"/>
      <c r="AS2514" s="621"/>
      <c r="AT2514" s="399"/>
      <c r="AU2514" s="618"/>
      <c r="AV2514" s="168"/>
      <c r="AW2514" s="168"/>
      <c r="AX2514" s="170"/>
      <c r="AY2514" s="86"/>
      <c r="AZ2514" s="272"/>
      <c r="BA2514" s="50"/>
      <c r="BB2514" s="31"/>
      <c r="BC2514" s="156"/>
      <c r="BD2514" s="341"/>
      <c r="BE2514" s="210"/>
      <c r="BF2514" s="168"/>
      <c r="BG2514" s="170"/>
      <c r="BH2514" s="86"/>
      <c r="BI2514" s="272"/>
      <c r="BJ2514" s="50"/>
      <c r="BK2514" s="31"/>
      <c r="BL2514" s="156"/>
      <c r="BM2514" s="341"/>
      <c r="BN2514" s="210"/>
      <c r="BO2514" s="168"/>
      <c r="BP2514" s="388"/>
      <c r="BQ2514" s="389"/>
      <c r="BR2514" s="391"/>
      <c r="BS2514" s="391"/>
      <c r="BT2514" s="392"/>
      <c r="BU2514" s="156"/>
      <c r="BV2514" s="284"/>
      <c r="BW2514" s="429"/>
      <c r="BX2514" s="926"/>
      <c r="BY2514" s="430"/>
    </row>
    <row r="2515" spans="1:77" s="14" customFormat="1" ht="15" customHeight="1" x14ac:dyDescent="0.2">
      <c r="A2515" s="56" t="s">
        <v>29</v>
      </c>
      <c r="B2515" s="107" t="s">
        <v>2925</v>
      </c>
      <c r="C2515" s="56"/>
      <c r="D2515" s="544">
        <v>242</v>
      </c>
      <c r="E2515" s="1306" t="s">
        <v>2904</v>
      </c>
      <c r="F2515" s="602"/>
      <c r="G2515" s="419"/>
      <c r="H2515" s="968"/>
      <c r="I2515" s="608">
        <v>2009</v>
      </c>
      <c r="J2515" s="62"/>
      <c r="K2515" s="62">
        <v>3.2441119999999999</v>
      </c>
      <c r="L2515" s="608"/>
      <c r="M2515" s="62"/>
      <c r="N2515" s="355"/>
      <c r="O2515" s="603"/>
      <c r="P2515" s="62"/>
      <c r="Q2515" s="357"/>
      <c r="R2515" s="603">
        <v>2017</v>
      </c>
      <c r="S2515" s="62"/>
      <c r="T2515" s="357">
        <v>3.2441119999999999</v>
      </c>
      <c r="U2515" s="62"/>
      <c r="V2515" s="61">
        <v>3.2</v>
      </c>
      <c r="W2515" s="89">
        <f t="shared" ref="W2515" si="2213">AA2515*(1+AB2515)</f>
        <v>2.2708783999999997E-3</v>
      </c>
      <c r="X2515" s="87">
        <f t="shared" ref="X2515" si="2214">AA2515*(1+AC2515)</f>
        <v>2.2708783999999997E-3</v>
      </c>
      <c r="Y2515" s="53">
        <v>2009</v>
      </c>
      <c r="Z2515" s="53"/>
      <c r="AA2515" s="767">
        <f>+K2515/1000</f>
        <v>3.244112E-3</v>
      </c>
      <c r="AB2515" s="399">
        <v>-0.3</v>
      </c>
      <c r="AC2515" s="618">
        <f t="shared" si="2212"/>
        <v>-0.3</v>
      </c>
      <c r="AD2515" s="168"/>
      <c r="AE2515" s="168"/>
      <c r="AF2515" s="170"/>
      <c r="AG2515" s="86"/>
      <c r="AH2515" s="272"/>
      <c r="AI2515" s="50"/>
      <c r="AJ2515" s="31"/>
      <c r="AK2515" s="156"/>
      <c r="AL2515" s="284"/>
      <c r="AM2515" s="210"/>
      <c r="AN2515" s="422"/>
      <c r="AO2515" s="619"/>
      <c r="AP2515" s="620"/>
      <c r="AQ2515" s="617"/>
      <c r="AR2515" s="432"/>
      <c r="AS2515" s="621"/>
      <c r="AT2515" s="399"/>
      <c r="AU2515" s="618"/>
      <c r="AV2515" s="168"/>
      <c r="AW2515" s="168"/>
      <c r="AX2515" s="170"/>
      <c r="AY2515" s="86"/>
      <c r="AZ2515" s="272"/>
      <c r="BA2515" s="50"/>
      <c r="BB2515" s="31"/>
      <c r="BC2515" s="156"/>
      <c r="BD2515" s="341"/>
      <c r="BE2515" s="210"/>
      <c r="BF2515" s="168"/>
      <c r="BG2515" s="170"/>
      <c r="BH2515" s="86"/>
      <c r="BI2515" s="272"/>
      <c r="BJ2515" s="50"/>
      <c r="BK2515" s="31"/>
      <c r="BL2515" s="156"/>
      <c r="BM2515" s="341"/>
      <c r="BN2515" s="210"/>
      <c r="BO2515" s="168"/>
      <c r="BP2515" s="388"/>
      <c r="BQ2515" s="389"/>
      <c r="BR2515" s="391"/>
      <c r="BS2515" s="391"/>
      <c r="BT2515" s="392"/>
      <c r="BU2515" s="156"/>
      <c r="BV2515" s="284"/>
      <c r="BW2515" s="429"/>
      <c r="BX2515" s="926"/>
      <c r="BY2515" s="430"/>
    </row>
    <row r="2516" spans="1:77" s="14" customFormat="1" ht="15" customHeight="1" x14ac:dyDescent="0.2">
      <c r="A2516" s="56" t="s">
        <v>29</v>
      </c>
      <c r="B2516" s="56"/>
      <c r="C2516" s="107" t="s">
        <v>677</v>
      </c>
      <c r="D2516" s="53">
        <v>42.317</v>
      </c>
      <c r="E2516" s="107" t="s">
        <v>631</v>
      </c>
      <c r="F2516" s="603">
        <v>1991</v>
      </c>
      <c r="G2516" s="419"/>
      <c r="H2516" s="656">
        <v>0.117302</v>
      </c>
      <c r="I2516" s="608">
        <v>2007</v>
      </c>
      <c r="J2516" s="62"/>
      <c r="K2516" s="62">
        <v>0.140709</v>
      </c>
      <c r="L2516" s="608">
        <v>2014</v>
      </c>
      <c r="M2516" s="62"/>
      <c r="N2516" s="355">
        <v>0.120939</v>
      </c>
      <c r="O2516" s="603">
        <v>2014</v>
      </c>
      <c r="P2516" s="62"/>
      <c r="Q2516" s="355">
        <v>0.120939</v>
      </c>
      <c r="R2516" s="603"/>
      <c r="S2516" s="62"/>
      <c r="T2516" s="355"/>
      <c r="U2516" s="62"/>
      <c r="V2516" s="61"/>
      <c r="W2516" s="89">
        <f>AA2516*(1+AB2516)</f>
        <v>1.0553175E-4</v>
      </c>
      <c r="X2516" s="87">
        <f>AA2516*(1+AC2516)</f>
        <v>1.0553175E-4</v>
      </c>
      <c r="Y2516" s="50">
        <v>2007</v>
      </c>
      <c r="Z2516" s="50"/>
      <c r="AA2516" s="33">
        <f>+K2516/1000</f>
        <v>1.4070900000000001E-4</v>
      </c>
      <c r="AB2516" s="395">
        <v>-0.25</v>
      </c>
      <c r="AC2516" s="443">
        <f t="shared" si="2212"/>
        <v>-0.25</v>
      </c>
      <c r="AD2516" s="168"/>
      <c r="AE2516" s="168"/>
      <c r="AF2516" s="170"/>
      <c r="AG2516" s="86"/>
      <c r="AH2516" s="272"/>
      <c r="AI2516" s="50"/>
      <c r="AJ2516" s="31"/>
      <c r="AK2516" s="156"/>
      <c r="AL2516" s="284"/>
      <c r="AM2516" s="216"/>
      <c r="AN2516" s="280"/>
      <c r="AO2516" s="697">
        <f>+AS2516*(1+AT2516)</f>
        <v>8.5832490000000008E-5</v>
      </c>
      <c r="AP2516" s="698">
        <f>+AS2516*(1+AU2516)</f>
        <v>8.5832490000000008E-5</v>
      </c>
      <c r="AQ2516" s="617">
        <v>2007</v>
      </c>
      <c r="AR2516" s="432"/>
      <c r="AS2516" s="696">
        <f>+K2516/1000</f>
        <v>1.4070900000000001E-4</v>
      </c>
      <c r="AT2516" s="399">
        <v>-0.39</v>
      </c>
      <c r="AU2516" s="618">
        <f>AT2516</f>
        <v>-0.39</v>
      </c>
      <c r="AV2516" s="168"/>
      <c r="AW2516" s="168"/>
      <c r="AX2516" s="170"/>
      <c r="AY2516" s="86"/>
      <c r="AZ2516" s="272"/>
      <c r="BA2516" s="50"/>
      <c r="BB2516" s="31"/>
      <c r="BC2516" s="156"/>
      <c r="BD2516" s="341"/>
      <c r="BE2516" s="210"/>
      <c r="BF2516" s="168"/>
      <c r="BG2516" s="170"/>
      <c r="BH2516" s="86"/>
      <c r="BI2516" s="272"/>
      <c r="BJ2516" s="50"/>
      <c r="BK2516" s="31"/>
      <c r="BL2516" s="156"/>
      <c r="BM2516" s="341"/>
      <c r="BN2516" s="210"/>
      <c r="BO2516" s="168"/>
      <c r="BP2516" s="615"/>
      <c r="BQ2516" s="616"/>
      <c r="BR2516" s="432"/>
      <c r="BS2516" s="432"/>
      <c r="BT2516" s="621"/>
      <c r="BU2516" s="399"/>
      <c r="BV2516" s="618"/>
      <c r="BW2516" s="429"/>
      <c r="BX2516" s="448"/>
      <c r="BY2516" s="430"/>
    </row>
    <row r="2517" spans="1:77" s="14" customFormat="1" ht="15" customHeight="1" x14ac:dyDescent="0.2">
      <c r="A2517" s="56" t="s">
        <v>29</v>
      </c>
      <c r="B2517" s="56"/>
      <c r="C2517" s="107" t="s">
        <v>2808</v>
      </c>
      <c r="D2517" s="53">
        <v>44.99</v>
      </c>
      <c r="E2517" s="107" t="s">
        <v>387</v>
      </c>
      <c r="F2517" s="603">
        <v>1991</v>
      </c>
      <c r="G2517" s="419"/>
      <c r="H2517" s="656">
        <v>0.22700000000000001</v>
      </c>
      <c r="I2517" s="608"/>
      <c r="J2517" s="62"/>
      <c r="K2517" s="62"/>
      <c r="L2517" s="608">
        <v>2009</v>
      </c>
      <c r="M2517" s="62"/>
      <c r="N2517" s="355">
        <v>0.22700000000000001</v>
      </c>
      <c r="O2517" s="603"/>
      <c r="P2517" s="62"/>
      <c r="Q2517" s="355"/>
      <c r="R2517" s="603"/>
      <c r="S2517" s="62"/>
      <c r="T2517" s="355"/>
      <c r="U2517" s="62"/>
      <c r="V2517" s="61"/>
      <c r="W2517" s="89"/>
      <c r="X2517" s="87"/>
      <c r="Y2517" s="50"/>
      <c r="Z2517" s="50"/>
      <c r="AA2517" s="33"/>
      <c r="AB2517" s="395"/>
      <c r="AC2517" s="443"/>
      <c r="AD2517" s="168"/>
      <c r="AE2517" s="168"/>
      <c r="AF2517" s="170"/>
      <c r="AG2517" s="86"/>
      <c r="AH2517" s="272"/>
      <c r="AI2517" s="50"/>
      <c r="AJ2517" s="31"/>
      <c r="AK2517" s="156"/>
      <c r="AL2517" s="284"/>
      <c r="AM2517" s="216"/>
      <c r="AN2517" s="280"/>
      <c r="AO2517" s="697"/>
      <c r="AP2517" s="698"/>
      <c r="AQ2517" s="617"/>
      <c r="AR2517" s="432"/>
      <c r="AS2517" s="696"/>
      <c r="AT2517" s="399"/>
      <c r="AU2517" s="618"/>
      <c r="AV2517" s="168"/>
      <c r="AW2517" s="168"/>
      <c r="AX2517" s="170"/>
      <c r="AY2517" s="86"/>
      <c r="AZ2517" s="272"/>
      <c r="BA2517" s="50"/>
      <c r="BB2517" s="31"/>
      <c r="BC2517" s="156"/>
      <c r="BD2517" s="341"/>
      <c r="BE2517" s="210"/>
      <c r="BF2517" s="168"/>
      <c r="BG2517" s="757">
        <f>BK2517*(1+BL2517)</f>
        <v>4.994E-5</v>
      </c>
      <c r="BH2517" s="758">
        <f>BK2517*(1+BM2517)</f>
        <v>4.994E-5</v>
      </c>
      <c r="BI2517" s="272">
        <v>2009</v>
      </c>
      <c r="BJ2517" s="34"/>
      <c r="BK2517" s="756">
        <f>N2517/1000</f>
        <v>2.2700000000000002E-4</v>
      </c>
      <c r="BL2517" s="395">
        <v>-0.78</v>
      </c>
      <c r="BM2517" s="443">
        <f>BL2517</f>
        <v>-0.78</v>
      </c>
      <c r="BN2517" s="210"/>
      <c r="BO2517" s="168"/>
      <c r="BP2517" s="615"/>
      <c r="BQ2517" s="616"/>
      <c r="BR2517" s="432"/>
      <c r="BS2517" s="432"/>
      <c r="BT2517" s="621"/>
      <c r="BU2517" s="399"/>
      <c r="BV2517" s="618"/>
      <c r="BW2517" s="429"/>
      <c r="BX2517" s="448"/>
      <c r="BY2517" s="430"/>
    </row>
    <row r="2518" spans="1:77" s="14" customFormat="1" ht="15" customHeight="1" x14ac:dyDescent="0.2">
      <c r="A2518" s="56" t="s">
        <v>29</v>
      </c>
      <c r="B2518" s="56"/>
      <c r="C2518" s="107" t="s">
        <v>675</v>
      </c>
      <c r="D2518" s="53">
        <v>256.60000000000002</v>
      </c>
      <c r="E2518" s="107" t="s">
        <v>631</v>
      </c>
      <c r="F2518" s="603">
        <v>1991</v>
      </c>
      <c r="G2518" s="419"/>
      <c r="H2518" s="656">
        <v>0.54600000000000004</v>
      </c>
      <c r="I2518" s="608"/>
      <c r="J2518" s="62"/>
      <c r="K2518" s="62"/>
      <c r="L2518" s="608"/>
      <c r="M2518" s="62"/>
      <c r="N2518" s="355"/>
      <c r="O2518" s="603"/>
      <c r="P2518" s="62"/>
      <c r="Q2518" s="355"/>
      <c r="R2518" s="603"/>
      <c r="S2518" s="62"/>
      <c r="T2518" s="355"/>
      <c r="U2518" s="62"/>
      <c r="V2518" s="61"/>
      <c r="W2518" s="89">
        <f>AA2518*(1+AB2518)</f>
        <v>3.3852000000000003E-4</v>
      </c>
      <c r="X2518" s="87">
        <f>AA2518*(1+AC2518)</f>
        <v>3.3852000000000003E-4</v>
      </c>
      <c r="Y2518" s="50">
        <v>1991</v>
      </c>
      <c r="Z2518" s="50"/>
      <c r="AA2518" s="33">
        <f>+H2518/1000</f>
        <v>5.4600000000000004E-4</v>
      </c>
      <c r="AB2518" s="395">
        <v>-0.38</v>
      </c>
      <c r="AC2518" s="443">
        <f t="shared" si="2212"/>
        <v>-0.38</v>
      </c>
      <c r="AD2518" s="168"/>
      <c r="AE2518" s="168"/>
      <c r="AF2518" s="170"/>
      <c r="AG2518" s="86"/>
      <c r="AH2518" s="272"/>
      <c r="AI2518" s="50"/>
      <c r="AJ2518" s="31"/>
      <c r="AK2518" s="156"/>
      <c r="AL2518" s="284"/>
      <c r="AM2518" s="216"/>
      <c r="AN2518" s="280"/>
      <c r="AO2518" s="619"/>
      <c r="AP2518" s="620"/>
      <c r="AQ2518" s="617"/>
      <c r="AR2518" s="432"/>
      <c r="AS2518" s="621"/>
      <c r="AT2518" s="399"/>
      <c r="AU2518" s="618"/>
      <c r="AV2518" s="168"/>
      <c r="AW2518" s="168"/>
      <c r="AX2518" s="170"/>
      <c r="AY2518" s="86"/>
      <c r="AZ2518" s="272"/>
      <c r="BA2518" s="50"/>
      <c r="BB2518" s="31"/>
      <c r="BC2518" s="156"/>
      <c r="BD2518" s="341"/>
      <c r="BE2518" s="210"/>
      <c r="BF2518" s="168"/>
      <c r="BG2518" s="170"/>
      <c r="BH2518" s="86"/>
      <c r="BI2518" s="272"/>
      <c r="BJ2518" s="50"/>
      <c r="BK2518" s="31"/>
      <c r="BL2518" s="156"/>
      <c r="BM2518" s="341"/>
      <c r="BN2518" s="210"/>
      <c r="BO2518" s="168"/>
      <c r="BP2518" s="615"/>
      <c r="BQ2518" s="616"/>
      <c r="BR2518" s="432"/>
      <c r="BS2518" s="432"/>
      <c r="BT2518" s="621"/>
      <c r="BU2518" s="399"/>
      <c r="BV2518" s="618"/>
      <c r="BW2518" s="429"/>
      <c r="BX2518" s="448"/>
      <c r="BY2518" s="430"/>
    </row>
    <row r="2519" spans="1:77" s="14" customFormat="1" ht="15" customHeight="1" x14ac:dyDescent="0.2">
      <c r="A2519" s="56" t="s">
        <v>29</v>
      </c>
      <c r="B2519" s="56"/>
      <c r="C2519" s="107" t="s">
        <v>3169</v>
      </c>
      <c r="D2519" s="53">
        <v>127.867</v>
      </c>
      <c r="E2519" s="107" t="s">
        <v>387</v>
      </c>
      <c r="F2519" s="603"/>
      <c r="G2519" s="419"/>
      <c r="H2519" s="656"/>
      <c r="I2519" s="608"/>
      <c r="J2519" s="62"/>
      <c r="K2519" s="62"/>
      <c r="L2519" s="608">
        <v>2009</v>
      </c>
      <c r="M2519" s="62"/>
      <c r="N2519" s="355">
        <v>0.2288202</v>
      </c>
      <c r="O2519" s="603"/>
      <c r="P2519" s="62"/>
      <c r="Q2519" s="355"/>
      <c r="R2519" s="603"/>
      <c r="S2519" s="62"/>
      <c r="T2519" s="355"/>
      <c r="U2519" s="62"/>
      <c r="V2519" s="61"/>
      <c r="W2519" s="89"/>
      <c r="X2519" s="87"/>
      <c r="Y2519" s="50"/>
      <c r="Z2519" s="272"/>
      <c r="AA2519" s="33"/>
      <c r="AB2519" s="395"/>
      <c r="AC2519" s="443"/>
      <c r="AD2519" s="168"/>
      <c r="AE2519" s="168"/>
      <c r="AF2519" s="170"/>
      <c r="AG2519" s="86"/>
      <c r="AH2519" s="272"/>
      <c r="AI2519" s="50"/>
      <c r="AJ2519" s="31"/>
      <c r="AK2519" s="156"/>
      <c r="AL2519" s="284"/>
      <c r="AM2519" s="216"/>
      <c r="AN2519" s="280"/>
      <c r="AO2519" s="619">
        <f>+AS2519*(1+AT2519)</f>
        <v>1.3729211999999999E-4</v>
      </c>
      <c r="AP2519" s="620">
        <f>+AS2519*(1+AU2519)</f>
        <v>1.3729211999999999E-4</v>
      </c>
      <c r="AQ2519" s="617">
        <v>1991</v>
      </c>
      <c r="AR2519" s="432"/>
      <c r="AS2519" s="621">
        <f>+N2519/1000</f>
        <v>2.2882020000000001E-4</v>
      </c>
      <c r="AT2519" s="399">
        <v>-0.4</v>
      </c>
      <c r="AU2519" s="618">
        <f>AT2519</f>
        <v>-0.4</v>
      </c>
      <c r="AV2519" s="168"/>
      <c r="AW2519" s="168"/>
      <c r="AX2519" s="170"/>
      <c r="AY2519" s="86"/>
      <c r="AZ2519" s="272"/>
      <c r="BA2519" s="50"/>
      <c r="BB2519" s="31"/>
      <c r="BC2519" s="156"/>
      <c r="BD2519" s="341"/>
      <c r="BE2519" s="210"/>
      <c r="BF2519" s="168"/>
      <c r="BG2519" s="170"/>
      <c r="BH2519" s="86"/>
      <c r="BI2519" s="272"/>
      <c r="BJ2519" s="50"/>
      <c r="BK2519" s="31"/>
      <c r="BL2519" s="156"/>
      <c r="BM2519" s="341"/>
      <c r="BN2519" s="210"/>
      <c r="BO2519" s="168"/>
      <c r="BP2519" s="615"/>
      <c r="BQ2519" s="616"/>
      <c r="BR2519" s="432"/>
      <c r="BS2519" s="432"/>
      <c r="BT2519" s="621"/>
      <c r="BU2519" s="399"/>
      <c r="BV2519" s="618"/>
      <c r="BW2519" s="429"/>
      <c r="BX2519" s="448"/>
      <c r="BY2519" s="430"/>
    </row>
    <row r="2520" spans="1:77" s="14" customFormat="1" ht="15" customHeight="1" x14ac:dyDescent="0.2">
      <c r="A2520" s="56" t="s">
        <v>29</v>
      </c>
      <c r="B2520" s="56"/>
      <c r="C2520" s="107" t="s">
        <v>348</v>
      </c>
      <c r="D2520" s="53">
        <v>673.46900000000005</v>
      </c>
      <c r="E2520" s="161" t="s">
        <v>2809</v>
      </c>
      <c r="F2520" s="603">
        <v>1990</v>
      </c>
      <c r="G2520" s="419"/>
      <c r="H2520" s="420">
        <v>1.4813860000000001</v>
      </c>
      <c r="I2520" s="608">
        <v>2009</v>
      </c>
      <c r="J2520" s="62"/>
      <c r="K2520" s="62">
        <v>1.509773</v>
      </c>
      <c r="L2520" s="608">
        <v>2013</v>
      </c>
      <c r="M2520" s="62"/>
      <c r="N2520" s="355">
        <v>2.344284</v>
      </c>
      <c r="O2520" s="603">
        <v>2016</v>
      </c>
      <c r="P2520" s="62"/>
      <c r="Q2520" s="355">
        <v>1.340422</v>
      </c>
      <c r="R2520" s="603">
        <v>2016</v>
      </c>
      <c r="S2520" s="62"/>
      <c r="T2520" s="355">
        <v>1.340422</v>
      </c>
      <c r="U2520" s="62"/>
      <c r="V2520" s="61"/>
      <c r="W2520" s="613">
        <f>AA2520*(1+AB2520)</f>
        <v>7.4069300000000006E-4</v>
      </c>
      <c r="X2520" s="614">
        <f>AA2520*(1+AC2520)</f>
        <v>7.4069300000000006E-4</v>
      </c>
      <c r="Y2520" s="50">
        <v>1990</v>
      </c>
      <c r="AA2520" s="33">
        <f>+H2520/1000</f>
        <v>1.4813860000000001E-3</v>
      </c>
      <c r="AB2520" s="395">
        <v>-0.5</v>
      </c>
      <c r="AC2520" s="443">
        <f t="shared" si="2212"/>
        <v>-0.5</v>
      </c>
      <c r="AD2520" s="168"/>
      <c r="AE2520" s="168"/>
      <c r="AF2520" s="170"/>
      <c r="AG2520" s="86"/>
      <c r="AH2520" s="272"/>
      <c r="AI2520" s="50"/>
      <c r="AJ2520" s="31"/>
      <c r="AK2520" s="156"/>
      <c r="AL2520" s="284"/>
      <c r="AM2520" s="216"/>
      <c r="AN2520" s="280"/>
      <c r="AO2520" s="619">
        <f>+AS2520*(1+AT2520)</f>
        <v>7.5488650000000065E-5</v>
      </c>
      <c r="AP2520" s="620">
        <f>+AS2520*(1+AU2520)</f>
        <v>7.5488650000000065E-5</v>
      </c>
      <c r="AQ2520" s="617">
        <v>2009</v>
      </c>
      <c r="AR2520" s="432"/>
      <c r="AS2520" s="621">
        <f>+K2520/1000</f>
        <v>1.5097730000000001E-3</v>
      </c>
      <c r="AT2520" s="399">
        <v>-0.95</v>
      </c>
      <c r="AU2520" s="618">
        <f>AT2520</f>
        <v>-0.95</v>
      </c>
      <c r="AV2520" s="168"/>
      <c r="AW2520" s="168"/>
      <c r="AX2520" s="170"/>
      <c r="AY2520" s="86"/>
      <c r="AZ2520" s="272"/>
      <c r="BA2520" s="50"/>
      <c r="BB2520" s="31"/>
      <c r="BC2520" s="156"/>
      <c r="BD2520" s="341"/>
      <c r="BE2520" s="210"/>
      <c r="BF2520" s="168"/>
      <c r="BG2520" s="170"/>
      <c r="BH2520" s="86"/>
      <c r="BI2520" s="272"/>
      <c r="BJ2520" s="50"/>
      <c r="BK2520" s="31"/>
      <c r="BL2520" s="156"/>
      <c r="BM2520" s="341"/>
      <c r="BN2520" s="210"/>
      <c r="BO2520" s="168"/>
      <c r="BP2520" s="615">
        <f>+BT2520*(1+BU2520)</f>
        <v>0</v>
      </c>
      <c r="BQ2520" s="616">
        <f>BT2520*(1+BV2520)</f>
        <v>0</v>
      </c>
      <c r="BR2520" s="432">
        <v>1991</v>
      </c>
      <c r="BS2520" s="432"/>
      <c r="BT2520" s="621">
        <f>+H2520/1000</f>
        <v>1.4813860000000001E-3</v>
      </c>
      <c r="BU2520" s="399">
        <v>-1</v>
      </c>
      <c r="BV2520" s="618">
        <v>-1</v>
      </c>
      <c r="BW2520" s="429"/>
      <c r="BX2520" s="448"/>
      <c r="BY2520" s="430"/>
    </row>
    <row r="2521" spans="1:77" s="14" customFormat="1" ht="15" customHeight="1" x14ac:dyDescent="0.2">
      <c r="A2521" s="56" t="s">
        <v>29</v>
      </c>
      <c r="B2521" s="56"/>
      <c r="C2521" s="107" t="s">
        <v>674</v>
      </c>
      <c r="D2521" s="53">
        <v>34.186</v>
      </c>
      <c r="E2521" s="107" t="s">
        <v>631</v>
      </c>
      <c r="F2521" s="603"/>
      <c r="G2521" s="419"/>
      <c r="H2521" s="656"/>
      <c r="I2521" s="608">
        <v>2006</v>
      </c>
      <c r="J2521" s="62"/>
      <c r="K2521" s="62">
        <v>8.8999999999999996E-2</v>
      </c>
      <c r="L2521" s="608"/>
      <c r="M2521" s="62"/>
      <c r="N2521" s="355"/>
      <c r="O2521" s="603"/>
      <c r="P2521" s="62"/>
      <c r="Q2521" s="355"/>
      <c r="R2521" s="603"/>
      <c r="S2521" s="62"/>
      <c r="T2521" s="355"/>
      <c r="U2521" s="62"/>
      <c r="V2521" s="61"/>
      <c r="W2521" s="89">
        <f t="shared" ref="W2521:W2526" si="2215">AA2521*(1+AB2521)</f>
        <v>6.2299999999999996E-5</v>
      </c>
      <c r="X2521" s="87">
        <f t="shared" ref="X2521:X2526" si="2216">AA2521*(1+AC2521)</f>
        <v>6.2299999999999996E-5</v>
      </c>
      <c r="Y2521" s="50">
        <v>2006</v>
      </c>
      <c r="Z2521" s="50"/>
      <c r="AA2521" s="33">
        <f>+K2521/1000</f>
        <v>8.8999999999999995E-5</v>
      </c>
      <c r="AB2521" s="395">
        <v>-0.3</v>
      </c>
      <c r="AC2521" s="443">
        <f t="shared" si="2212"/>
        <v>-0.3</v>
      </c>
      <c r="AD2521" s="168"/>
      <c r="AE2521" s="168"/>
      <c r="AF2521" s="170"/>
      <c r="AG2521" s="86"/>
      <c r="AH2521" s="272"/>
      <c r="AI2521" s="50"/>
      <c r="AJ2521" s="31"/>
      <c r="AK2521" s="156"/>
      <c r="AL2521" s="284"/>
      <c r="AM2521" s="216"/>
      <c r="AN2521" s="280"/>
      <c r="AO2521" s="619"/>
      <c r="AP2521" s="620"/>
      <c r="AQ2521" s="617"/>
      <c r="AR2521" s="432"/>
      <c r="AS2521" s="621"/>
      <c r="AT2521" s="399"/>
      <c r="AU2521" s="618"/>
      <c r="AV2521" s="168"/>
      <c r="AW2521" s="168"/>
      <c r="AX2521" s="170"/>
      <c r="AY2521" s="86"/>
      <c r="AZ2521" s="272"/>
      <c r="BA2521" s="50"/>
      <c r="BB2521" s="31"/>
      <c r="BC2521" s="156"/>
      <c r="BD2521" s="341"/>
      <c r="BE2521" s="210"/>
      <c r="BF2521" s="168"/>
      <c r="BG2521" s="170"/>
      <c r="BH2521" s="86"/>
      <c r="BI2521" s="272"/>
      <c r="BJ2521" s="50"/>
      <c r="BK2521" s="31"/>
      <c r="BL2521" s="156"/>
      <c r="BM2521" s="341"/>
      <c r="BN2521" s="210"/>
      <c r="BO2521" s="168"/>
      <c r="BP2521" s="615"/>
      <c r="BQ2521" s="616"/>
      <c r="BR2521" s="432"/>
      <c r="BS2521" s="432"/>
      <c r="BT2521" s="621"/>
      <c r="BU2521" s="399"/>
      <c r="BV2521" s="618"/>
      <c r="BW2521" s="429"/>
      <c r="BX2521" s="448"/>
      <c r="BY2521" s="430"/>
    </row>
    <row r="2522" spans="1:77" s="14" customFormat="1" ht="15" customHeight="1" x14ac:dyDescent="0.2">
      <c r="A2522" s="56" t="s">
        <v>29</v>
      </c>
      <c r="B2522" s="56"/>
      <c r="C2522" s="107" t="s">
        <v>582</v>
      </c>
      <c r="D2522" s="53">
        <v>79</v>
      </c>
      <c r="E2522" s="161" t="s">
        <v>392</v>
      </c>
      <c r="F2522" s="603"/>
      <c r="G2522" s="419"/>
      <c r="H2522" s="420"/>
      <c r="I2522" s="608"/>
      <c r="J2522" s="62"/>
      <c r="K2522" s="62">
        <v>0.25540000000000002</v>
      </c>
      <c r="L2522" s="608">
        <v>2009</v>
      </c>
      <c r="M2522" s="62"/>
      <c r="N2522" s="355">
        <v>0.232738</v>
      </c>
      <c r="O2522" s="603"/>
      <c r="P2522" s="62"/>
      <c r="Q2522" s="355"/>
      <c r="R2522" s="603"/>
      <c r="S2522" s="62"/>
      <c r="T2522" s="355"/>
      <c r="U2522" s="62"/>
      <c r="V2522" s="61"/>
      <c r="W2522" s="89">
        <f t="shared" si="2215"/>
        <v>1.5324000000000002E-4</v>
      </c>
      <c r="X2522" s="87">
        <f t="shared" si="2216"/>
        <v>1.5324000000000002E-4</v>
      </c>
      <c r="Y2522" s="50">
        <v>2008</v>
      </c>
      <c r="Z2522" s="50"/>
      <c r="AA2522" s="33">
        <f>+K2522/1000</f>
        <v>2.5540000000000003E-4</v>
      </c>
      <c r="AB2522" s="395">
        <v>-0.4</v>
      </c>
      <c r="AC2522" s="443">
        <f t="shared" si="2212"/>
        <v>-0.4</v>
      </c>
      <c r="AD2522" s="168"/>
      <c r="AE2522" s="168"/>
      <c r="AF2522" s="170"/>
      <c r="AG2522" s="86"/>
      <c r="AH2522" s="272"/>
      <c r="AI2522" s="50"/>
      <c r="AJ2522" s="31"/>
      <c r="AK2522" s="156"/>
      <c r="AL2522" s="284"/>
      <c r="AM2522" s="216"/>
      <c r="AN2522" s="280"/>
      <c r="AO2522" s="619">
        <f>+AS2522*(1+AT2522)</f>
        <v>1.5324000000000002E-4</v>
      </c>
      <c r="AP2522" s="620">
        <f>+AS2522*(1+AU2522)</f>
        <v>1.5324000000000002E-4</v>
      </c>
      <c r="AQ2522" s="617">
        <v>2009</v>
      </c>
      <c r="AR2522" s="432"/>
      <c r="AS2522" s="621">
        <f>+K2522/1000</f>
        <v>2.5540000000000003E-4</v>
      </c>
      <c r="AT2522" s="399">
        <v>-0.4</v>
      </c>
      <c r="AU2522" s="618">
        <f>AT2522</f>
        <v>-0.4</v>
      </c>
      <c r="AV2522" s="168"/>
      <c r="AW2522" s="168"/>
      <c r="AX2522" s="170"/>
      <c r="AY2522" s="86"/>
      <c r="AZ2522" s="272"/>
      <c r="BA2522" s="50"/>
      <c r="BB2522" s="31"/>
      <c r="BC2522" s="156"/>
      <c r="BD2522" s="341"/>
      <c r="BE2522" s="210"/>
      <c r="BF2522" s="168"/>
      <c r="BG2522" s="170"/>
      <c r="BH2522" s="86"/>
      <c r="BI2522" s="272"/>
      <c r="BJ2522" s="50"/>
      <c r="BK2522" s="31"/>
      <c r="BL2522" s="156"/>
      <c r="BM2522" s="341"/>
      <c r="BN2522" s="210"/>
      <c r="BO2522" s="168"/>
      <c r="BP2522" s="615"/>
      <c r="BQ2522" s="616"/>
      <c r="BR2522" s="432"/>
      <c r="BS2522" s="432"/>
      <c r="BT2522" s="621"/>
      <c r="BU2522" s="399"/>
      <c r="BV2522" s="618"/>
      <c r="BW2522" s="429"/>
      <c r="BX2522" s="448"/>
      <c r="BY2522" s="430"/>
    </row>
    <row r="2523" spans="1:77" s="14" customFormat="1" ht="15" customHeight="1" x14ac:dyDescent="0.2">
      <c r="A2523" s="56" t="s">
        <v>29</v>
      </c>
      <c r="B2523" s="56"/>
      <c r="C2523" s="107" t="s">
        <v>676</v>
      </c>
      <c r="D2523" s="53">
        <v>130.75399999999999</v>
      </c>
      <c r="E2523" s="107" t="s">
        <v>631</v>
      </c>
      <c r="F2523" s="603">
        <v>1991</v>
      </c>
      <c r="G2523" s="419"/>
      <c r="H2523" s="420">
        <v>0.66781500000000005</v>
      </c>
      <c r="I2523" s="608"/>
      <c r="J2523" s="62"/>
      <c r="K2523" s="62"/>
      <c r="L2523" s="608"/>
      <c r="M2523" s="62"/>
      <c r="N2523" s="355"/>
      <c r="O2523" s="603"/>
      <c r="P2523" s="62"/>
      <c r="Q2523" s="355"/>
      <c r="R2523" s="603"/>
      <c r="S2523" s="62"/>
      <c r="T2523" s="355"/>
      <c r="U2523" s="62"/>
      <c r="V2523" s="61"/>
      <c r="W2523" s="89">
        <f t="shared" si="2215"/>
        <v>5.3425200000000014E-4</v>
      </c>
      <c r="X2523" s="87">
        <f t="shared" si="2216"/>
        <v>5.3425200000000014E-4</v>
      </c>
      <c r="Y2523" s="50">
        <v>1991</v>
      </c>
      <c r="Z2523" s="50"/>
      <c r="AA2523" s="33">
        <f>+H2523/1000</f>
        <v>6.678150000000001E-4</v>
      </c>
      <c r="AB2523" s="395">
        <v>-0.2</v>
      </c>
      <c r="AC2523" s="443">
        <f t="shared" si="2212"/>
        <v>-0.2</v>
      </c>
      <c r="AD2523" s="168"/>
      <c r="AE2523" s="168"/>
      <c r="AF2523" s="170"/>
      <c r="AG2523" s="86"/>
      <c r="AH2523" s="272"/>
      <c r="AI2523" s="50"/>
      <c r="AJ2523" s="31"/>
      <c r="AK2523" s="156"/>
      <c r="AL2523" s="284"/>
      <c r="AM2523" s="216"/>
      <c r="AN2523" s="280"/>
      <c r="AO2523" s="619"/>
      <c r="AP2523" s="620"/>
      <c r="AQ2523" s="617"/>
      <c r="AR2523" s="432"/>
      <c r="AS2523" s="621"/>
      <c r="AT2523" s="399"/>
      <c r="AU2523" s="618"/>
      <c r="AV2523" s="168"/>
      <c r="AW2523" s="168"/>
      <c r="AX2523" s="170"/>
      <c r="AY2523" s="86"/>
      <c r="AZ2523" s="272"/>
      <c r="BA2523" s="50"/>
      <c r="BB2523" s="31"/>
      <c r="BC2523" s="156"/>
      <c r="BD2523" s="341"/>
      <c r="BE2523" s="210"/>
      <c r="BF2523" s="168"/>
      <c r="BG2523" s="170"/>
      <c r="BH2523" s="86"/>
      <c r="BI2523" s="272"/>
      <c r="BJ2523" s="50"/>
      <c r="BK2523" s="31"/>
      <c r="BL2523" s="156"/>
      <c r="BM2523" s="341"/>
      <c r="BN2523" s="210"/>
      <c r="BO2523" s="168"/>
      <c r="BP2523" s="615"/>
      <c r="BQ2523" s="616"/>
      <c r="BR2523" s="432"/>
      <c r="BS2523" s="432"/>
      <c r="BT2523" s="621"/>
      <c r="BU2523" s="399"/>
      <c r="BV2523" s="618"/>
      <c r="BW2523" s="429"/>
      <c r="BX2523" s="448"/>
      <c r="BY2523" s="430"/>
    </row>
    <row r="2524" spans="1:77" s="14" customFormat="1" ht="15" customHeight="1" x14ac:dyDescent="0.2">
      <c r="A2524" s="56" t="s">
        <v>29</v>
      </c>
      <c r="B2524" s="56"/>
      <c r="C2524" s="107" t="s">
        <v>673</v>
      </c>
      <c r="D2524" s="53">
        <v>205</v>
      </c>
      <c r="E2524" s="107" t="s">
        <v>2608</v>
      </c>
      <c r="F2524" s="603">
        <v>1991</v>
      </c>
      <c r="G2524" s="419"/>
      <c r="H2524" s="656">
        <v>0.49399999999999999</v>
      </c>
      <c r="I2524" s="608"/>
      <c r="J2524" s="62"/>
      <c r="K2524" s="62"/>
      <c r="L2524" s="608">
        <v>2009</v>
      </c>
      <c r="M2524" s="62"/>
      <c r="N2524" s="355">
        <v>0.54100000000000004</v>
      </c>
      <c r="O2524" s="603"/>
      <c r="P2524" s="62"/>
      <c r="Q2524" s="355"/>
      <c r="R2524" s="603"/>
      <c r="S2524" s="62"/>
      <c r="T2524" s="355"/>
      <c r="U2524" s="62"/>
      <c r="V2524" s="61"/>
      <c r="W2524" s="89">
        <f t="shared" si="2215"/>
        <v>3.7049999999999995E-4</v>
      </c>
      <c r="X2524" s="87">
        <f t="shared" si="2216"/>
        <v>3.7049999999999995E-4</v>
      </c>
      <c r="Y2524" s="50">
        <v>1991</v>
      </c>
      <c r="Z2524" s="50"/>
      <c r="AA2524" s="33">
        <f>+H2524/1000</f>
        <v>4.9399999999999997E-4</v>
      </c>
      <c r="AB2524" s="395">
        <v>-0.25</v>
      </c>
      <c r="AC2524" s="443">
        <f t="shared" si="2212"/>
        <v>-0.25</v>
      </c>
      <c r="AD2524" s="168"/>
      <c r="AE2524" s="168"/>
      <c r="AF2524" s="170"/>
      <c r="AG2524" s="86"/>
      <c r="AH2524" s="272"/>
      <c r="AI2524" s="50"/>
      <c r="AJ2524" s="31"/>
      <c r="AK2524" s="156"/>
      <c r="AL2524" s="284"/>
      <c r="AM2524" s="216"/>
      <c r="AN2524" s="280"/>
      <c r="AO2524" s="697">
        <f>+AS2524*(1+AT2524)</f>
        <v>2.7050000000000024E-5</v>
      </c>
      <c r="AP2524" s="698">
        <f>+AS2524*(1+AU2524)</f>
        <v>2.7050000000000024E-5</v>
      </c>
      <c r="AQ2524" s="617">
        <v>2009</v>
      </c>
      <c r="AR2524" s="432"/>
      <c r="AS2524" s="621">
        <f>+N2524/1000</f>
        <v>5.4100000000000003E-4</v>
      </c>
      <c r="AT2524" s="399">
        <v>-0.95</v>
      </c>
      <c r="AU2524" s="618">
        <f>AT2524</f>
        <v>-0.95</v>
      </c>
      <c r="AV2524" s="168"/>
      <c r="AW2524" s="168"/>
      <c r="AX2524" s="170"/>
      <c r="AY2524" s="86"/>
      <c r="AZ2524" s="272"/>
      <c r="BA2524" s="50"/>
      <c r="BB2524" s="31"/>
      <c r="BC2524" s="156"/>
      <c r="BD2524" s="341"/>
      <c r="BE2524" s="210"/>
      <c r="BF2524" s="168"/>
      <c r="BG2524" s="170"/>
      <c r="BH2524" s="86"/>
      <c r="BI2524" s="272"/>
      <c r="BJ2524" s="50"/>
      <c r="BK2524" s="31"/>
      <c r="BL2524" s="156"/>
      <c r="BM2524" s="341"/>
      <c r="BN2524" s="210"/>
      <c r="BO2524" s="168"/>
      <c r="BP2524" s="615"/>
      <c r="BQ2524" s="616"/>
      <c r="BR2524" s="432"/>
      <c r="BS2524" s="432"/>
      <c r="BT2524" s="621"/>
      <c r="BU2524" s="399"/>
      <c r="BV2524" s="618"/>
      <c r="BW2524" s="429"/>
      <c r="BX2524" s="448"/>
      <c r="BY2524" s="935" t="s">
        <v>2607</v>
      </c>
    </row>
    <row r="2525" spans="1:77" s="14" customFormat="1" ht="15" customHeight="1" x14ac:dyDescent="0.2">
      <c r="A2525" s="56" t="s">
        <v>7</v>
      </c>
      <c r="B2525" s="56" t="s">
        <v>1606</v>
      </c>
      <c r="C2525" s="56"/>
      <c r="D2525" s="544">
        <v>143617.913</v>
      </c>
      <c r="E2525" s="624" t="s">
        <v>2896</v>
      </c>
      <c r="F2525" s="1098"/>
      <c r="G2525" s="121">
        <v>3113.3939999999998</v>
      </c>
      <c r="H2525" s="656">
        <v>3186.7959999999998</v>
      </c>
      <c r="I2525" s="778"/>
      <c r="J2525" s="121">
        <v>1430.0419999999999</v>
      </c>
      <c r="K2525" s="121">
        <v>1993.963</v>
      </c>
      <c r="L2525" s="778"/>
      <c r="M2525" s="121">
        <v>1330.6179999999999</v>
      </c>
      <c r="N2525" s="121">
        <v>2057.6729999999998</v>
      </c>
      <c r="O2525" s="1048"/>
      <c r="P2525" s="121">
        <v>1492.6392000000001</v>
      </c>
      <c r="Q2525" s="915">
        <v>2093.6529399999999</v>
      </c>
      <c r="R2525" s="1048">
        <v>2017</v>
      </c>
      <c r="S2525" s="121">
        <v>1577.7670000000001</v>
      </c>
      <c r="T2525" s="915">
        <v>2155.471</v>
      </c>
      <c r="U2525" s="62">
        <v>2891</v>
      </c>
      <c r="V2525" s="61">
        <v>2651</v>
      </c>
      <c r="W2525" s="23">
        <f t="shared" si="2215"/>
        <v>2.7087765999999998</v>
      </c>
      <c r="X2525" s="24">
        <f t="shared" si="2216"/>
        <v>2.3900969999999999</v>
      </c>
      <c r="Y2525" s="50">
        <v>1990</v>
      </c>
      <c r="Z2525" s="50"/>
      <c r="AA2525" s="31">
        <f>+H2525/1000</f>
        <v>3.1867959999999997</v>
      </c>
      <c r="AB2525" s="395">
        <v>-0.15</v>
      </c>
      <c r="AC2525" s="443">
        <v>-0.25</v>
      </c>
      <c r="AD2525" s="168"/>
      <c r="AE2525" s="168"/>
      <c r="AF2525" s="388"/>
      <c r="AG2525" s="389"/>
      <c r="AH2525" s="390"/>
      <c r="AI2525" s="432"/>
      <c r="AJ2525" s="392"/>
      <c r="AK2525" s="156"/>
      <c r="AL2525" s="284"/>
      <c r="AM2525" s="210"/>
      <c r="AN2525" s="168"/>
      <c r="AO2525" s="388">
        <f>AR2525*(1+AT2525)</f>
        <v>2.3350455000000001</v>
      </c>
      <c r="AP2525" s="389">
        <f>AR2525*(1+AU2525)</f>
        <v>2.1793757999999999</v>
      </c>
      <c r="AQ2525" s="390">
        <v>1990</v>
      </c>
      <c r="AR2525" s="392">
        <f>+G2525/1000</f>
        <v>3.113394</v>
      </c>
      <c r="AS2525" s="392"/>
      <c r="AT2525" s="156">
        <v>-0.25</v>
      </c>
      <c r="AU2525" s="284">
        <v>-0.3</v>
      </c>
      <c r="AV2525" s="168"/>
      <c r="AW2525" s="168"/>
      <c r="AX2525" s="170"/>
      <c r="AY2525" s="86"/>
      <c r="AZ2525" s="272"/>
      <c r="BA2525" s="50"/>
      <c r="BB2525" s="31"/>
      <c r="BC2525" s="156"/>
      <c r="BD2525" s="341"/>
      <c r="BE2525" s="210"/>
      <c r="BF2525" s="168"/>
      <c r="BG2525" s="170"/>
      <c r="BH2525" s="86"/>
      <c r="BI2525" s="272"/>
      <c r="BJ2525" s="50"/>
      <c r="BK2525" s="31"/>
      <c r="BL2525" s="156"/>
      <c r="BM2525" s="341"/>
      <c r="BN2525" s="210"/>
      <c r="BO2525" s="168"/>
      <c r="BP2525" s="170"/>
      <c r="BQ2525" s="86"/>
      <c r="BR2525" s="50"/>
      <c r="BS2525" s="50"/>
      <c r="BT2525" s="31"/>
      <c r="BU2525" s="43"/>
      <c r="BV2525" s="209"/>
      <c r="BW2525" s="429" t="s">
        <v>258</v>
      </c>
      <c r="BX2525" s="311"/>
      <c r="BY2525" s="430" t="s">
        <v>219</v>
      </c>
    </row>
    <row r="2526" spans="1:77" s="14" customFormat="1" ht="15" customHeight="1" x14ac:dyDescent="0.2">
      <c r="A2526" s="56" t="s">
        <v>7</v>
      </c>
      <c r="B2526" s="56"/>
      <c r="C2526" s="107" t="s">
        <v>490</v>
      </c>
      <c r="D2526" s="544">
        <v>12678.079</v>
      </c>
      <c r="E2526" s="161" t="s">
        <v>387</v>
      </c>
      <c r="F2526" s="602"/>
      <c r="G2526" s="62"/>
      <c r="H2526" s="62">
        <v>77.400000000000006</v>
      </c>
      <c r="I2526" s="608"/>
      <c r="J2526" s="62"/>
      <c r="K2526" s="62"/>
      <c r="L2526" s="608"/>
      <c r="M2526" s="62"/>
      <c r="N2526" s="355"/>
      <c r="O2526" s="603">
        <v>2016</v>
      </c>
      <c r="P2526" s="62"/>
      <c r="Q2526" s="355">
        <v>62.668112999999998</v>
      </c>
      <c r="R2526" s="603">
        <v>2016</v>
      </c>
      <c r="S2526" s="62"/>
      <c r="T2526" s="355">
        <v>62.668112999999998</v>
      </c>
      <c r="U2526" s="62"/>
      <c r="V2526" s="62"/>
      <c r="W2526" s="23">
        <f t="shared" si="2215"/>
        <v>5.8050000000000004E-2</v>
      </c>
      <c r="X2526" s="24">
        <f t="shared" si="2216"/>
        <v>5.8050000000000004E-2</v>
      </c>
      <c r="Y2526" s="50">
        <v>1990</v>
      </c>
      <c r="Z2526" s="50"/>
      <c r="AA2526" s="31">
        <f>+H2526/1000</f>
        <v>7.740000000000001E-2</v>
      </c>
      <c r="AB2526" s="395">
        <v>-0.25</v>
      </c>
      <c r="AC2526" s="443">
        <f>AB2526</f>
        <v>-0.25</v>
      </c>
      <c r="AD2526" s="168"/>
      <c r="AE2526" s="168"/>
      <c r="AF2526" s="388"/>
      <c r="AG2526" s="389"/>
      <c r="AH2526" s="390"/>
      <c r="AI2526" s="432"/>
      <c r="AJ2526" s="392"/>
      <c r="AK2526" s="156"/>
      <c r="AL2526" s="284"/>
      <c r="AM2526" s="210"/>
      <c r="AN2526" s="168"/>
      <c r="AO2526" s="615">
        <f>+AS2526*(1+AT2526)</f>
        <v>5.4180000000000006E-2</v>
      </c>
      <c r="AP2526" s="616">
        <f>+AS2526*(1+AU2526)</f>
        <v>5.4180000000000006E-2</v>
      </c>
      <c r="AQ2526" s="617">
        <v>1990</v>
      </c>
      <c r="AR2526" s="432"/>
      <c r="AS2526" s="679">
        <f>+H2526/1000</f>
        <v>7.740000000000001E-2</v>
      </c>
      <c r="AT2526" s="399">
        <v>-0.3</v>
      </c>
      <c r="AU2526" s="618">
        <f>AT2526</f>
        <v>-0.3</v>
      </c>
      <c r="AV2526" s="168"/>
      <c r="AW2526" s="168"/>
      <c r="AX2526" s="170"/>
      <c r="AY2526" s="86"/>
      <c r="AZ2526" s="272"/>
      <c r="BA2526" s="50"/>
      <c r="BB2526" s="31"/>
      <c r="BC2526" s="156"/>
      <c r="BD2526" s="341"/>
      <c r="BE2526" s="210"/>
      <c r="BF2526" s="168"/>
      <c r="BG2526" s="170"/>
      <c r="BH2526" s="86"/>
      <c r="BI2526" s="272"/>
      <c r="BJ2526" s="50"/>
      <c r="BK2526" s="31"/>
      <c r="BL2526" s="156"/>
      <c r="BM2526" s="341"/>
      <c r="BN2526" s="210"/>
      <c r="BO2526" s="168"/>
      <c r="BP2526" s="170">
        <v>0</v>
      </c>
      <c r="BQ2526" s="86">
        <v>0</v>
      </c>
      <c r="BR2526" s="50"/>
      <c r="BS2526" s="50"/>
      <c r="BT2526" s="31"/>
      <c r="BU2526" s="43">
        <v>-1</v>
      </c>
      <c r="BV2526" s="209">
        <v>1</v>
      </c>
      <c r="BW2526" s="429"/>
      <c r="BX2526" s="311"/>
      <c r="BY2526" s="430"/>
    </row>
    <row r="2527" spans="1:77" ht="15" customHeight="1" x14ac:dyDescent="0.2">
      <c r="A2527" s="107" t="s">
        <v>200</v>
      </c>
      <c r="B2527" s="56" t="s">
        <v>1606</v>
      </c>
      <c r="C2527" s="107"/>
      <c r="D2527" s="544">
        <v>30.861000000000001</v>
      </c>
      <c r="E2527" s="107" t="s">
        <v>319</v>
      </c>
      <c r="F2527" s="603">
        <v>2005</v>
      </c>
      <c r="G2527" s="62">
        <f>+J2527</f>
        <v>0.21349000000000001</v>
      </c>
      <c r="H2527" s="68">
        <f>+K2527</f>
        <v>0.22394</v>
      </c>
      <c r="I2527" s="608"/>
      <c r="J2527" s="62">
        <v>0.21349000000000001</v>
      </c>
      <c r="K2527" s="69">
        <v>0.22394</v>
      </c>
      <c r="L2527" s="608"/>
      <c r="M2527" s="62">
        <v>0.25679999999999997</v>
      </c>
      <c r="N2527" s="356">
        <v>0.26728000000000002</v>
      </c>
      <c r="O2527" s="603"/>
      <c r="P2527" s="62"/>
      <c r="Q2527" s="356"/>
      <c r="R2527" s="603"/>
      <c r="S2527" s="62"/>
      <c r="T2527" s="356"/>
      <c r="U2527" s="62"/>
      <c r="V2527" s="68"/>
      <c r="W2527" s="27"/>
      <c r="X2527" s="28"/>
      <c r="Y2527" s="145"/>
      <c r="Z2527" s="38"/>
      <c r="AA2527" s="145"/>
      <c r="AB2527" s="80"/>
      <c r="AC2527" s="209"/>
      <c r="AE2527" s="16"/>
      <c r="AF2527" s="136"/>
      <c r="AG2527" s="59"/>
      <c r="AH2527" s="77"/>
      <c r="AI2527" s="38"/>
      <c r="AJ2527" s="145"/>
      <c r="AK2527" s="80"/>
      <c r="AL2527" s="215"/>
      <c r="AM2527" s="208"/>
      <c r="AN2527" s="16"/>
      <c r="AO2527" s="454">
        <f>+AP2527</f>
        <v>0.17079200000000003</v>
      </c>
      <c r="AP2527" s="439">
        <f>+AR2527*(1+AU2527)</f>
        <v>0.17079200000000003</v>
      </c>
      <c r="AQ2527" s="440">
        <v>2005</v>
      </c>
      <c r="AR2527" s="424">
        <f>+J2527</f>
        <v>0.21349000000000001</v>
      </c>
      <c r="AS2527" s="453"/>
      <c r="AT2527" s="292">
        <v>-0.2</v>
      </c>
      <c r="AU2527" s="293">
        <v>-0.2</v>
      </c>
      <c r="AV2527" s="16"/>
      <c r="AW2527" s="16"/>
      <c r="AX2527" s="19"/>
      <c r="AY2527" s="20"/>
      <c r="AZ2527" s="77"/>
      <c r="BA2527" s="38"/>
      <c r="BB2527" s="145"/>
      <c r="BC2527" s="80"/>
      <c r="BD2527" s="75"/>
      <c r="BE2527" s="208"/>
      <c r="BF2527" s="16"/>
      <c r="BG2527" s="19"/>
      <c r="BH2527" s="20"/>
      <c r="BI2527" s="77"/>
      <c r="BJ2527" s="38"/>
      <c r="BK2527" s="145"/>
      <c r="BL2527" s="80"/>
      <c r="BM2527" s="75"/>
      <c r="BN2527" s="208"/>
      <c r="BO2527" s="16"/>
      <c r="BP2527" s="19"/>
      <c r="BQ2527" s="20"/>
      <c r="BR2527" s="32"/>
      <c r="BS2527" s="38"/>
      <c r="BT2527" s="145"/>
      <c r="BU2527" s="80"/>
      <c r="BV2527" s="215"/>
      <c r="BX2527" s="321"/>
      <c r="BY2527" s="38"/>
    </row>
    <row r="2528" spans="1:77" ht="15" customHeight="1" x14ac:dyDescent="0.2">
      <c r="A2528" s="56" t="s">
        <v>108</v>
      </c>
      <c r="B2528" s="56" t="s">
        <v>1606</v>
      </c>
      <c r="C2528" s="56"/>
      <c r="D2528" s="544">
        <v>9647.1090000000004</v>
      </c>
      <c r="E2528" s="95" t="s">
        <v>2539</v>
      </c>
      <c r="F2528" s="362"/>
      <c r="G2528" s="62">
        <v>66.664140000000003</v>
      </c>
      <c r="H2528" s="68">
        <v>83.519499999999994</v>
      </c>
      <c r="I2528" s="74"/>
      <c r="J2528" s="68">
        <v>59.20008</v>
      </c>
      <c r="K2528" s="69">
        <v>70.445689999999999</v>
      </c>
      <c r="L2528" s="13"/>
      <c r="M2528" s="68">
        <v>48.254779999999997</v>
      </c>
      <c r="N2528" s="356">
        <v>64.813649999999996</v>
      </c>
      <c r="O2528" s="923">
        <v>2014</v>
      </c>
      <c r="P2528" s="68">
        <v>49.299239999999998</v>
      </c>
      <c r="Q2528" s="356">
        <v>67.148229999999998</v>
      </c>
      <c r="R2528" s="923"/>
      <c r="S2528" s="68"/>
      <c r="T2528" s="356"/>
      <c r="U2528" s="68"/>
      <c r="V2528" s="68">
        <v>79.442369999999997</v>
      </c>
      <c r="W2528" s="19">
        <v>7.0966539999999995E-2</v>
      </c>
      <c r="X2528" s="20">
        <v>6.5164089999999994E-2</v>
      </c>
      <c r="Y2528" s="188">
        <v>2020</v>
      </c>
      <c r="Z2528" s="32"/>
      <c r="AA2528" s="32">
        <f>V2528/1000</f>
        <v>7.9442369999999998E-2</v>
      </c>
      <c r="AB2528" s="80">
        <f>-(AA2528-W2528)/AA2528</f>
        <v>-0.10669155514871981</v>
      </c>
      <c r="AC2528" s="914">
        <f>-(AA2528-X2528)/AA2528</f>
        <v>-0.17973129452205422</v>
      </c>
      <c r="AE2528" s="16"/>
      <c r="AF2528" s="136"/>
      <c r="AG2528" s="59"/>
      <c r="AH2528" s="77"/>
      <c r="AI2528" s="38"/>
      <c r="AJ2528" s="145"/>
      <c r="AK2528" s="80"/>
      <c r="AL2528" s="215"/>
      <c r="AM2528" s="208"/>
      <c r="AN2528" s="16"/>
      <c r="AO2528" s="454">
        <f>+AP2528</f>
        <v>6.0131054279999999E-2</v>
      </c>
      <c r="AP2528" s="439">
        <f>+AR2528*(1+AU2528)</f>
        <v>6.0131054279999999E-2</v>
      </c>
      <c r="AQ2528" s="440">
        <v>1990</v>
      </c>
      <c r="AR2528" s="424">
        <f>+G2528/1000</f>
        <v>6.6664139999999997E-2</v>
      </c>
      <c r="AS2528" s="453"/>
      <c r="AT2528" s="461">
        <v>-9.8000000000000004E-2</v>
      </c>
      <c r="AU2528" s="462">
        <v>-9.8000000000000004E-2</v>
      </c>
      <c r="AV2528" s="16"/>
      <c r="AW2528" s="16"/>
      <c r="AX2528" s="19"/>
      <c r="AY2528" s="20"/>
      <c r="AZ2528" s="77"/>
      <c r="BA2528" s="38"/>
      <c r="BB2528" s="145"/>
      <c r="BC2528" s="80"/>
      <c r="BD2528" s="75"/>
      <c r="BE2528" s="208"/>
      <c r="BF2528" s="16"/>
      <c r="BG2528" s="19"/>
      <c r="BH2528" s="20"/>
      <c r="BI2528" s="77"/>
      <c r="BJ2528" s="38"/>
      <c r="BK2528" s="145"/>
      <c r="BL2528" s="80"/>
      <c r="BM2528" s="75"/>
      <c r="BN2528" s="208"/>
      <c r="BO2528" s="16"/>
      <c r="BP2528" s="19"/>
      <c r="BQ2528" s="20"/>
      <c r="BR2528" s="32"/>
      <c r="BS2528" s="38"/>
      <c r="BT2528" s="145"/>
      <c r="BU2528" s="80"/>
      <c r="BV2528" s="215"/>
      <c r="BX2528" s="321"/>
      <c r="BY2528" s="38"/>
    </row>
    <row r="2529" spans="1:77" ht="15" customHeight="1" x14ac:dyDescent="0.2">
      <c r="A2529" s="56" t="s">
        <v>108</v>
      </c>
      <c r="B2529" s="56"/>
      <c r="C2529" s="107" t="s">
        <v>679</v>
      </c>
      <c r="D2529" s="544">
        <v>255.518</v>
      </c>
      <c r="E2529" s="107" t="s">
        <v>631</v>
      </c>
      <c r="F2529" s="603"/>
      <c r="G2529" s="62"/>
      <c r="H2529" s="68"/>
      <c r="I2529" s="418"/>
      <c r="J2529" s="68"/>
      <c r="K2529" s="68"/>
      <c r="L2529" s="418"/>
      <c r="M2529" s="68"/>
      <c r="N2529" s="356">
        <v>1.0429999999999999</v>
      </c>
      <c r="O2529" s="605"/>
      <c r="P2529" s="68"/>
      <c r="Q2529" s="356"/>
      <c r="R2529" s="605"/>
      <c r="S2529" s="68"/>
      <c r="T2529" s="356"/>
      <c r="U2529" s="68"/>
      <c r="V2529" s="68">
        <v>1.26</v>
      </c>
      <c r="W2529" s="89">
        <f>AA2529*(1+AB2529)</f>
        <v>8.2396999999999993E-4</v>
      </c>
      <c r="X2529" s="87">
        <f>AA2529*(1+AC2529)</f>
        <v>8.2396999999999993E-4</v>
      </c>
      <c r="Y2529" s="50">
        <v>2010</v>
      </c>
      <c r="Z2529" s="50"/>
      <c r="AA2529" s="621">
        <f>N2529/1000</f>
        <v>1.0429999999999999E-3</v>
      </c>
      <c r="AB2529" s="395">
        <v>-0.21</v>
      </c>
      <c r="AC2529" s="443">
        <f>AB2529</f>
        <v>-0.21</v>
      </c>
      <c r="AE2529" s="16"/>
      <c r="AF2529" s="136"/>
      <c r="AG2529" s="59"/>
      <c r="AH2529" s="77"/>
      <c r="AI2529" s="38"/>
      <c r="AJ2529" s="145"/>
      <c r="AK2529" s="80"/>
      <c r="AL2529" s="215"/>
      <c r="AM2529" s="208"/>
      <c r="AN2529" s="16"/>
      <c r="AO2529" s="454"/>
      <c r="AP2529" s="439"/>
      <c r="AQ2529" s="440"/>
      <c r="AR2529" s="424"/>
      <c r="AS2529" s="453"/>
      <c r="AT2529" s="461"/>
      <c r="AU2529" s="462"/>
      <c r="AV2529" s="16"/>
      <c r="AW2529" s="16"/>
      <c r="AX2529" s="19"/>
      <c r="AY2529" s="20"/>
      <c r="AZ2529" s="77"/>
      <c r="BA2529" s="38"/>
      <c r="BB2529" s="145"/>
      <c r="BC2529" s="80"/>
      <c r="BD2529" s="75"/>
      <c r="BE2529" s="208"/>
      <c r="BF2529" s="16"/>
      <c r="BG2529" s="19"/>
      <c r="BH2529" s="20"/>
      <c r="BI2529" s="77"/>
      <c r="BJ2529" s="38"/>
      <c r="BK2529" s="145"/>
      <c r="BL2529" s="80"/>
      <c r="BM2529" s="75"/>
      <c r="BN2529" s="208"/>
      <c r="BO2529" s="16"/>
      <c r="BP2529" s="19"/>
      <c r="BQ2529" s="20"/>
      <c r="BR2529" s="32"/>
      <c r="BS2529" s="38"/>
      <c r="BT2529" s="145"/>
      <c r="BU2529" s="80"/>
      <c r="BV2529" s="215"/>
      <c r="BX2529" s="321"/>
      <c r="BY2529" s="38"/>
    </row>
    <row r="2530" spans="1:77" s="14" customFormat="1" ht="15" customHeight="1" x14ac:dyDescent="0.2">
      <c r="A2530" s="56" t="s">
        <v>36</v>
      </c>
      <c r="B2530" s="56" t="s">
        <v>1606</v>
      </c>
      <c r="C2530" s="56"/>
      <c r="D2530" s="544">
        <v>7830.5339999999997</v>
      </c>
      <c r="E2530" s="624" t="s">
        <v>3201</v>
      </c>
      <c r="F2530" s="1098"/>
      <c r="G2530" s="121">
        <v>50.767000000000003</v>
      </c>
      <c r="H2530" s="120">
        <v>54.158000000000001</v>
      </c>
      <c r="I2530" s="778"/>
      <c r="J2530" s="121">
        <v>52.232999999999997</v>
      </c>
      <c r="K2530" s="121">
        <v>54.713999999999999</v>
      </c>
      <c r="L2530" s="778"/>
      <c r="M2530" s="121">
        <v>51.497999999999998</v>
      </c>
      <c r="N2530" s="121">
        <v>54.116999999999997</v>
      </c>
      <c r="O2530" s="1048"/>
      <c r="P2530" s="121">
        <v>45.630009999999999</v>
      </c>
      <c r="Q2530" s="915">
        <v>47.81588</v>
      </c>
      <c r="R2530" s="1048">
        <v>2019</v>
      </c>
      <c r="S2530" s="121">
        <v>46.2</v>
      </c>
      <c r="T2530" s="915">
        <f>S2530*0.961</f>
        <v>44.398200000000003</v>
      </c>
      <c r="U2530" s="62">
        <v>55.1</v>
      </c>
      <c r="V2530" s="61">
        <v>55.1</v>
      </c>
      <c r="W2530" s="23">
        <f>AA2530*(1+AB2530)</f>
        <v>4.3326400000000001E-2</v>
      </c>
      <c r="X2530" s="24">
        <f>AA2530*(1+AC2530)</f>
        <v>3.7910599999999996E-2</v>
      </c>
      <c r="Y2530" s="50">
        <v>1990</v>
      </c>
      <c r="Z2530" s="50"/>
      <c r="AA2530" s="31">
        <f>+H2530/1000</f>
        <v>5.4157999999999998E-2</v>
      </c>
      <c r="AB2530" s="395">
        <v>-0.2</v>
      </c>
      <c r="AC2530" s="443">
        <v>-0.3</v>
      </c>
      <c r="AD2530" s="216"/>
      <c r="AE2530" s="280"/>
      <c r="AF2530" s="1371">
        <f>+AJ2530*(1+AK2530)</f>
        <v>3.5202699999999996E-2</v>
      </c>
      <c r="AG2530" s="1372">
        <f>+AJ2530*(1+AL2530)</f>
        <v>3.5202699999999996E-2</v>
      </c>
      <c r="AH2530" s="1373">
        <v>1990</v>
      </c>
      <c r="AI2530" s="1374"/>
      <c r="AJ2530" s="1375">
        <f>H2530/1000</f>
        <v>5.4157999999999998E-2</v>
      </c>
      <c r="AK2530" s="1341">
        <v>-0.35</v>
      </c>
      <c r="AL2530" s="694">
        <v>-0.35</v>
      </c>
      <c r="AM2530" s="1400"/>
      <c r="AN2530" s="1411"/>
      <c r="AO2530" s="1371">
        <f>AS2530*(1+AT2530)</f>
        <v>2.7078999999999999E-2</v>
      </c>
      <c r="AP2530" s="1372">
        <f>AS2530*(1+AU2530)</f>
        <v>2.7078999999999999E-2</v>
      </c>
      <c r="AQ2530" s="1373">
        <v>1990</v>
      </c>
      <c r="AR2530" s="1374"/>
      <c r="AS2530" s="1375">
        <f>+H2530/1000</f>
        <v>5.4157999999999998E-2</v>
      </c>
      <c r="AT2530" s="1341">
        <v>-0.5</v>
      </c>
      <c r="AU2530" s="694">
        <v>-0.5</v>
      </c>
      <c r="AV2530" s="168"/>
      <c r="AW2530" s="168"/>
      <c r="AX2530" s="170"/>
      <c r="AY2530" s="86"/>
      <c r="AZ2530" s="272"/>
      <c r="BA2530" s="50"/>
      <c r="BB2530" s="31"/>
      <c r="BC2530" s="156"/>
      <c r="BD2530" s="341"/>
      <c r="BE2530" s="210"/>
      <c r="BF2530" s="168"/>
      <c r="BG2530" s="170"/>
      <c r="BH2530" s="86"/>
      <c r="BI2530" s="272"/>
      <c r="BJ2530" s="50"/>
      <c r="BK2530" s="31"/>
      <c r="BL2530" s="156"/>
      <c r="BM2530" s="341"/>
      <c r="BN2530" s="210"/>
      <c r="BO2530" s="168"/>
      <c r="BP2530" s="170"/>
      <c r="BQ2530" s="86"/>
      <c r="BR2530" s="50"/>
      <c r="BS2530" s="50"/>
      <c r="BT2530" s="31"/>
      <c r="BU2530" s="43"/>
      <c r="BV2530" s="209"/>
      <c r="BW2530" s="431" t="s">
        <v>286</v>
      </c>
      <c r="BX2530" s="448" t="s">
        <v>287</v>
      </c>
      <c r="BY2530" s="430" t="s">
        <v>225</v>
      </c>
    </row>
    <row r="2531" spans="1:77" s="14" customFormat="1" ht="15" customHeight="1" x14ac:dyDescent="0.2">
      <c r="A2531" s="56" t="s">
        <v>36</v>
      </c>
      <c r="B2531" s="107" t="s">
        <v>2278</v>
      </c>
      <c r="C2531" s="107"/>
      <c r="D2531" s="544">
        <v>198</v>
      </c>
      <c r="E2531" s="107" t="s">
        <v>2510</v>
      </c>
      <c r="F2531" s="602"/>
      <c r="G2531" s="62"/>
      <c r="H2531" s="62">
        <v>1.1080300000000001</v>
      </c>
      <c r="I2531" s="608"/>
      <c r="J2531" s="62"/>
      <c r="K2531" s="63"/>
      <c r="L2531" s="608"/>
      <c r="M2531" s="62"/>
      <c r="N2531" s="355"/>
      <c r="O2531" s="603">
        <v>2016</v>
      </c>
      <c r="P2531" s="62"/>
      <c r="Q2531" s="355">
        <v>0.82570399999999999</v>
      </c>
      <c r="R2531" s="603">
        <v>2016</v>
      </c>
      <c r="S2531" s="62"/>
      <c r="T2531" s="355">
        <v>0.82570399999999999</v>
      </c>
      <c r="U2531" s="62"/>
      <c r="V2531" s="62"/>
      <c r="W2531" s="1160">
        <f>AA2531*(1+AB2531)</f>
        <v>8.8642400000000013E-4</v>
      </c>
      <c r="X2531" s="1161">
        <f>AA2531*(1+AC2531)</f>
        <v>8.8642400000000013E-4</v>
      </c>
      <c r="Y2531" s="50">
        <v>1990</v>
      </c>
      <c r="Z2531" s="50"/>
      <c r="AA2531" s="33">
        <f>+H2531/1000</f>
        <v>1.1080300000000001E-3</v>
      </c>
      <c r="AB2531" s="1166">
        <v>-0.2</v>
      </c>
      <c r="AC2531" s="1167">
        <f>AB2531</f>
        <v>-0.2</v>
      </c>
      <c r="AD2531" s="168"/>
      <c r="AE2531" s="168"/>
      <c r="AF2531" s="388"/>
      <c r="AG2531" s="389"/>
      <c r="AH2531" s="390"/>
      <c r="AI2531" s="391"/>
      <c r="AJ2531" s="392"/>
      <c r="AK2531" s="156"/>
      <c r="AL2531" s="284"/>
      <c r="AM2531" s="421"/>
      <c r="AN2531" s="422"/>
      <c r="AO2531" s="615">
        <v>0</v>
      </c>
      <c r="AP2531" s="616">
        <v>0</v>
      </c>
      <c r="AQ2531" s="617"/>
      <c r="AR2531" s="432"/>
      <c r="AS2531" s="679"/>
      <c r="AT2531" s="399">
        <v>-1</v>
      </c>
      <c r="AU2531" s="618">
        <f>AT2531</f>
        <v>-1</v>
      </c>
      <c r="AV2531" s="168"/>
      <c r="AW2531" s="168"/>
      <c r="AX2531" s="171"/>
      <c r="AY2531" s="172"/>
      <c r="AZ2531" s="272"/>
      <c r="BA2531" s="34"/>
      <c r="BB2531" s="657"/>
      <c r="BC2531" s="395"/>
      <c r="BD2531" s="670"/>
      <c r="BE2531" s="210"/>
      <c r="BF2531" s="168"/>
      <c r="BG2531" s="170"/>
      <c r="BH2531" s="86"/>
      <c r="BI2531" s="272"/>
      <c r="BJ2531" s="50"/>
      <c r="BK2531" s="31"/>
      <c r="BL2531" s="156"/>
      <c r="BM2531" s="341"/>
      <c r="BN2531" s="210"/>
      <c r="BO2531" s="168"/>
      <c r="BP2531" s="682"/>
      <c r="BQ2531" s="683"/>
      <c r="BR2531" s="427"/>
      <c r="BS2531" s="681"/>
      <c r="BT2531" s="48"/>
      <c r="BU2531" s="399"/>
      <c r="BV2531" s="618"/>
      <c r="BW2531" s="431"/>
      <c r="BX2531" s="448"/>
      <c r="BY2531" s="430"/>
    </row>
    <row r="2532" spans="1:77" s="14" customFormat="1" ht="15" customHeight="1" x14ac:dyDescent="0.2">
      <c r="A2532" s="56" t="s">
        <v>36</v>
      </c>
      <c r="B2532" s="56"/>
      <c r="C2532" s="107" t="s">
        <v>682</v>
      </c>
      <c r="D2532" s="544">
        <v>3.508</v>
      </c>
      <c r="E2532" s="107" t="s">
        <v>631</v>
      </c>
      <c r="F2532" s="602"/>
      <c r="G2532" s="62"/>
      <c r="H2532" s="62"/>
      <c r="I2532" s="608">
        <v>2004</v>
      </c>
      <c r="J2532" s="62"/>
      <c r="K2532" s="63">
        <v>2.8542999999999999E-2</v>
      </c>
      <c r="L2532" s="608"/>
      <c r="M2532" s="62"/>
      <c r="N2532" s="355"/>
      <c r="O2532" s="603"/>
      <c r="P2532" s="62"/>
      <c r="Q2532" s="355"/>
      <c r="R2532" s="603"/>
      <c r="S2532" s="62"/>
      <c r="T2532" s="355"/>
      <c r="U2532" s="62"/>
      <c r="V2532" s="62"/>
      <c r="W2532" s="674">
        <f>AA2532*(1+AB2532)</f>
        <v>2.1692679999999998E-5</v>
      </c>
      <c r="X2532" s="675">
        <f>AA2532*(1+AC2532)</f>
        <v>2.1692679999999998E-5</v>
      </c>
      <c r="Y2532" s="50">
        <v>2004</v>
      </c>
      <c r="Z2532" s="50"/>
      <c r="AA2532" s="773">
        <f>+K2532/1000</f>
        <v>2.8542999999999998E-5</v>
      </c>
      <c r="AB2532" s="395">
        <v>-0.24</v>
      </c>
      <c r="AC2532" s="443">
        <f>AB2532</f>
        <v>-0.24</v>
      </c>
      <c r="AD2532" s="168"/>
      <c r="AE2532" s="168"/>
      <c r="AF2532" s="388"/>
      <c r="AG2532" s="389"/>
      <c r="AH2532" s="390"/>
      <c r="AI2532" s="391"/>
      <c r="AJ2532" s="392"/>
      <c r="AK2532" s="156"/>
      <c r="AL2532" s="284"/>
      <c r="AM2532" s="421"/>
      <c r="AN2532" s="422"/>
      <c r="AO2532" s="388"/>
      <c r="AP2532" s="389"/>
      <c r="AQ2532" s="390"/>
      <c r="AR2532" s="391"/>
      <c r="AS2532" s="392"/>
      <c r="AT2532" s="156"/>
      <c r="AU2532" s="284"/>
      <c r="AV2532" s="168"/>
      <c r="AW2532" s="168"/>
      <c r="AX2532" s="171"/>
      <c r="AY2532" s="172"/>
      <c r="AZ2532" s="272"/>
      <c r="BA2532" s="34"/>
      <c r="BB2532" s="657"/>
      <c r="BC2532" s="395"/>
      <c r="BD2532" s="670"/>
      <c r="BE2532" s="210"/>
      <c r="BF2532" s="168"/>
      <c r="BG2532" s="170"/>
      <c r="BH2532" s="86"/>
      <c r="BI2532" s="272"/>
      <c r="BJ2532" s="50"/>
      <c r="BK2532" s="31"/>
      <c r="BL2532" s="156"/>
      <c r="BM2532" s="341"/>
      <c r="BN2532" s="210"/>
      <c r="BO2532" s="168"/>
      <c r="BP2532" s="682"/>
      <c r="BQ2532" s="683"/>
      <c r="BR2532" s="427"/>
      <c r="BS2532" s="681"/>
      <c r="BT2532" s="48"/>
      <c r="BU2532" s="399"/>
      <c r="BV2532" s="618"/>
      <c r="BW2532" s="431"/>
      <c r="BX2532" s="448"/>
      <c r="BY2532" s="430"/>
    </row>
    <row r="2533" spans="1:77" s="14" customFormat="1" ht="15" customHeight="1" x14ac:dyDescent="0.2">
      <c r="A2533" s="56" t="s">
        <v>36</v>
      </c>
      <c r="B2533" s="56"/>
      <c r="C2533" s="107" t="s">
        <v>684</v>
      </c>
      <c r="D2533" s="544">
        <v>191.36</v>
      </c>
      <c r="E2533" s="107" t="s">
        <v>631</v>
      </c>
      <c r="F2533" s="602"/>
      <c r="G2533" s="62"/>
      <c r="H2533" s="62"/>
      <c r="I2533" s="608"/>
      <c r="J2533" s="62"/>
      <c r="K2533" s="62">
        <v>0.84876600000000002</v>
      </c>
      <c r="L2533" s="608"/>
      <c r="M2533" s="62"/>
      <c r="N2533" s="355"/>
      <c r="O2533" s="603"/>
      <c r="P2533" s="62"/>
      <c r="Q2533" s="355"/>
      <c r="R2533" s="603"/>
      <c r="S2533" s="62"/>
      <c r="T2533" s="355"/>
      <c r="U2533" s="62"/>
      <c r="V2533" s="62"/>
      <c r="W2533" s="89">
        <f>AA2533*(1+AB2533)</f>
        <v>6.7052514000000003E-4</v>
      </c>
      <c r="X2533" s="87">
        <f>AA2533*(1+AC2533)</f>
        <v>6.7052514000000003E-4</v>
      </c>
      <c r="Y2533" s="50">
        <v>2005</v>
      </c>
      <c r="Z2533" s="50"/>
      <c r="AA2533" s="33">
        <f>+K2533/1000</f>
        <v>8.4876600000000004E-4</v>
      </c>
      <c r="AB2533" s="395">
        <v>-0.21</v>
      </c>
      <c r="AC2533" s="443">
        <f>AB2533</f>
        <v>-0.21</v>
      </c>
      <c r="AD2533" s="168"/>
      <c r="AE2533" s="168"/>
      <c r="AF2533" s="388"/>
      <c r="AG2533" s="389"/>
      <c r="AH2533" s="390"/>
      <c r="AI2533" s="391"/>
      <c r="AJ2533" s="392"/>
      <c r="AK2533" s="156"/>
      <c r="AL2533" s="284"/>
      <c r="AM2533" s="421"/>
      <c r="AN2533" s="422"/>
      <c r="AO2533" s="388"/>
      <c r="AP2533" s="389"/>
      <c r="AQ2533" s="390"/>
      <c r="AR2533" s="391"/>
      <c r="AS2533" s="392"/>
      <c r="AT2533" s="156"/>
      <c r="AU2533" s="284"/>
      <c r="AV2533" s="168"/>
      <c r="AW2533" s="168"/>
      <c r="AX2533" s="171"/>
      <c r="AY2533" s="172"/>
      <c r="AZ2533" s="272"/>
      <c r="BA2533" s="34"/>
      <c r="BB2533" s="657"/>
      <c r="BC2533" s="395"/>
      <c r="BD2533" s="670"/>
      <c r="BE2533" s="210"/>
      <c r="BF2533" s="168"/>
      <c r="BG2533" s="170"/>
      <c r="BH2533" s="86"/>
      <c r="BI2533" s="272"/>
      <c r="BJ2533" s="50"/>
      <c r="BK2533" s="31"/>
      <c r="BL2533" s="156"/>
      <c r="BM2533" s="341"/>
      <c r="BN2533" s="210"/>
      <c r="BO2533" s="168"/>
      <c r="BP2533" s="682">
        <v>0</v>
      </c>
      <c r="BQ2533" s="683">
        <v>0</v>
      </c>
      <c r="BR2533" s="427"/>
      <c r="BS2533" s="681"/>
      <c r="BT2533" s="48"/>
      <c r="BU2533" s="399">
        <v>-1</v>
      </c>
      <c r="BV2533" s="618">
        <f>BU2533</f>
        <v>-1</v>
      </c>
      <c r="BW2533" s="429" t="s">
        <v>685</v>
      </c>
      <c r="BX2533" s="448"/>
      <c r="BY2533" s="430"/>
    </row>
    <row r="2534" spans="1:77" s="14" customFormat="1" ht="15" customHeight="1" x14ac:dyDescent="0.2">
      <c r="A2534" s="56" t="s">
        <v>36</v>
      </c>
      <c r="B2534" s="56"/>
      <c r="C2534" s="107" t="s">
        <v>680</v>
      </c>
      <c r="D2534" s="544">
        <v>130</v>
      </c>
      <c r="E2534" s="107" t="s">
        <v>631</v>
      </c>
      <c r="F2534" s="602"/>
      <c r="G2534" s="62"/>
      <c r="H2534" s="62"/>
      <c r="I2534" s="608"/>
      <c r="J2534" s="62"/>
      <c r="K2534" s="62">
        <v>0.58553100000000002</v>
      </c>
      <c r="L2534" s="608"/>
      <c r="M2534" s="62"/>
      <c r="N2534" s="355"/>
      <c r="O2534" s="603"/>
      <c r="P2534" s="62"/>
      <c r="Q2534" s="355">
        <v>0.49957299999999999</v>
      </c>
      <c r="R2534" s="603"/>
      <c r="S2534" s="62"/>
      <c r="T2534" s="355"/>
      <c r="U2534" s="62"/>
      <c r="V2534" s="62"/>
      <c r="W2534" s="89">
        <f t="shared" ref="W2534" si="2217">AA2534*(1+AB2534)</f>
        <v>4.6842480000000006E-4</v>
      </c>
      <c r="X2534" s="87">
        <f t="shared" ref="X2534" si="2218">AA2534*(1+AC2534)</f>
        <v>4.6842480000000006E-4</v>
      </c>
      <c r="Y2534" s="160">
        <v>2005</v>
      </c>
      <c r="Z2534" s="21"/>
      <c r="AA2534" s="21">
        <f>+K2534/1000</f>
        <v>5.8553100000000003E-4</v>
      </c>
      <c r="AB2534" s="399">
        <v>-0.2</v>
      </c>
      <c r="AC2534" s="618">
        <f t="shared" ref="AC2534" si="2219">AB2534</f>
        <v>-0.2</v>
      </c>
      <c r="AD2534" s="168"/>
      <c r="AE2534" s="168"/>
      <c r="AF2534" s="388"/>
      <c r="AG2534" s="389"/>
      <c r="AH2534" s="390"/>
      <c r="AI2534" s="391"/>
      <c r="AJ2534" s="392"/>
      <c r="AK2534" s="156"/>
      <c r="AL2534" s="284"/>
      <c r="AM2534" s="421"/>
      <c r="AN2534" s="422"/>
      <c r="AO2534" s="388"/>
      <c r="AP2534" s="389"/>
      <c r="AQ2534" s="390"/>
      <c r="AR2534" s="391"/>
      <c r="AS2534" s="392"/>
      <c r="AT2534" s="156"/>
      <c r="AU2534" s="284"/>
      <c r="AV2534" s="168"/>
      <c r="AW2534" s="168"/>
      <c r="AX2534" s="171"/>
      <c r="AY2534" s="172"/>
      <c r="AZ2534" s="272"/>
      <c r="BA2534" s="34"/>
      <c r="BB2534" s="657"/>
      <c r="BC2534" s="395"/>
      <c r="BD2534" s="670"/>
      <c r="BE2534" s="210"/>
      <c r="BF2534" s="168"/>
      <c r="BG2534" s="170"/>
      <c r="BH2534" s="86"/>
      <c r="BI2534" s="272"/>
      <c r="BJ2534" s="50"/>
      <c r="BK2534" s="31"/>
      <c r="BL2534" s="156"/>
      <c r="BM2534" s="341"/>
      <c r="BN2534" s="210"/>
      <c r="BO2534" s="168"/>
      <c r="BP2534" s="682">
        <f>BS2534*(1+BU2534)</f>
        <v>2.9276550000000001E-4</v>
      </c>
      <c r="BQ2534" s="683">
        <f>BS2534*(1+BV2534)</f>
        <v>2.9276550000000001E-4</v>
      </c>
      <c r="BR2534" s="427">
        <v>2005</v>
      </c>
      <c r="BS2534" s="681">
        <f>+K2534/1000</f>
        <v>5.8553100000000003E-4</v>
      </c>
      <c r="BT2534" s="48"/>
      <c r="BU2534" s="399">
        <v>-0.5</v>
      </c>
      <c r="BV2534" s="618">
        <f>BU2534</f>
        <v>-0.5</v>
      </c>
      <c r="BW2534" s="431"/>
      <c r="BX2534" s="448"/>
      <c r="BY2534" s="430"/>
    </row>
    <row r="2535" spans="1:77" s="14" customFormat="1" ht="15" customHeight="1" x14ac:dyDescent="0.2">
      <c r="A2535" s="56" t="s">
        <v>36</v>
      </c>
      <c r="B2535" s="56"/>
      <c r="C2535" s="107" t="s">
        <v>687</v>
      </c>
      <c r="D2535" s="544">
        <v>16</v>
      </c>
      <c r="E2535" s="107" t="s">
        <v>631</v>
      </c>
      <c r="F2535" s="602"/>
      <c r="G2535" s="62"/>
      <c r="H2535" s="62"/>
      <c r="I2535" s="608">
        <v>2007</v>
      </c>
      <c r="J2535" s="62"/>
      <c r="K2535" s="62">
        <v>0.13827100000000001</v>
      </c>
      <c r="L2535" s="608"/>
      <c r="M2535" s="62"/>
      <c r="N2535" s="355"/>
      <c r="O2535" s="603"/>
      <c r="P2535" s="62"/>
      <c r="Q2535" s="355"/>
      <c r="R2535" s="603"/>
      <c r="S2535" s="62"/>
      <c r="T2535" s="355"/>
      <c r="U2535" s="62"/>
      <c r="V2535" s="62"/>
      <c r="W2535" s="674">
        <f>AA2535*(1+AB2535)</f>
        <v>9.8172409999999996E-5</v>
      </c>
      <c r="X2535" s="675">
        <f>AA2535*(1+AC2535)</f>
        <v>9.8172409999999996E-5</v>
      </c>
      <c r="Y2535" s="50">
        <v>2007</v>
      </c>
      <c r="Z2535" s="50"/>
      <c r="AA2535" s="773">
        <f>+K2535/1000</f>
        <v>1.38271E-4</v>
      </c>
      <c r="AB2535" s="395">
        <v>-0.28999999999999998</v>
      </c>
      <c r="AC2535" s="443">
        <f>AB2535</f>
        <v>-0.28999999999999998</v>
      </c>
      <c r="AD2535" s="168"/>
      <c r="AE2535" s="168"/>
      <c r="AF2535" s="388"/>
      <c r="AG2535" s="389"/>
      <c r="AH2535" s="390"/>
      <c r="AI2535" s="391"/>
      <c r="AJ2535" s="392"/>
      <c r="AK2535" s="156"/>
      <c r="AL2535" s="284"/>
      <c r="AM2535" s="421"/>
      <c r="AN2535" s="422"/>
      <c r="AO2535" s="388"/>
      <c r="AP2535" s="389"/>
      <c r="AQ2535" s="390"/>
      <c r="AR2535" s="391"/>
      <c r="AS2535" s="392"/>
      <c r="AT2535" s="156"/>
      <c r="AU2535" s="284"/>
      <c r="AV2535" s="168"/>
      <c r="AW2535" s="168"/>
      <c r="AX2535" s="171"/>
      <c r="AY2535" s="172"/>
      <c r="AZ2535" s="272"/>
      <c r="BA2535" s="34"/>
      <c r="BB2535" s="657"/>
      <c r="BC2535" s="395"/>
      <c r="BD2535" s="670"/>
      <c r="BE2535" s="210"/>
      <c r="BF2535" s="168"/>
      <c r="BG2535" s="170"/>
      <c r="BH2535" s="86"/>
      <c r="BI2535" s="272"/>
      <c r="BJ2535" s="50"/>
      <c r="BK2535" s="31"/>
      <c r="BL2535" s="156"/>
      <c r="BM2535" s="341"/>
      <c r="BN2535" s="210"/>
      <c r="BO2535" s="168"/>
      <c r="BP2535" s="682"/>
      <c r="BQ2535" s="683"/>
      <c r="BR2535" s="427"/>
      <c r="BS2535" s="681"/>
      <c r="BT2535" s="48"/>
      <c r="BU2535" s="399"/>
      <c r="BV2535" s="618"/>
      <c r="BW2535" s="431"/>
      <c r="BX2535" s="448"/>
      <c r="BY2535" s="430"/>
    </row>
    <row r="2536" spans="1:77" s="14" customFormat="1" ht="15" customHeight="1" x14ac:dyDescent="0.2">
      <c r="A2536" s="56" t="s">
        <v>36</v>
      </c>
      <c r="B2536" s="56"/>
      <c r="C2536" s="107" t="s">
        <v>686</v>
      </c>
      <c r="D2536" s="544">
        <v>24.731999999999999</v>
      </c>
      <c r="E2536" s="107" t="s">
        <v>631</v>
      </c>
      <c r="F2536" s="602"/>
      <c r="G2536" s="62"/>
      <c r="H2536" s="62"/>
      <c r="I2536" s="608">
        <v>2000</v>
      </c>
      <c r="J2536" s="62"/>
      <c r="K2536" s="62">
        <v>0.18803600000000001</v>
      </c>
      <c r="L2536" s="608"/>
      <c r="M2536" s="62"/>
      <c r="N2536" s="355"/>
      <c r="O2536" s="603"/>
      <c r="P2536" s="62"/>
      <c r="Q2536" s="355"/>
      <c r="R2536" s="603"/>
      <c r="S2536" s="62"/>
      <c r="T2536" s="355"/>
      <c r="U2536" s="62"/>
      <c r="V2536" s="62"/>
      <c r="W2536" s="674">
        <f>AA2536*(1+AB2536)</f>
        <v>1.41027E-4</v>
      </c>
      <c r="X2536" s="675">
        <f>AA2536*(1+AC2536)</f>
        <v>1.41027E-4</v>
      </c>
      <c r="Y2536" s="50">
        <v>2000</v>
      </c>
      <c r="Z2536" s="50"/>
      <c r="AA2536" s="773">
        <f>+K2536/1000</f>
        <v>1.8803600000000001E-4</v>
      </c>
      <c r="AB2536" s="395">
        <v>-0.25</v>
      </c>
      <c r="AC2536" s="443">
        <f>AB2536</f>
        <v>-0.25</v>
      </c>
      <c r="AD2536" s="168"/>
      <c r="AE2536" s="168"/>
      <c r="AF2536" s="388"/>
      <c r="AG2536" s="389"/>
      <c r="AH2536" s="390"/>
      <c r="AI2536" s="391"/>
      <c r="AJ2536" s="392"/>
      <c r="AK2536" s="156"/>
      <c r="AL2536" s="284"/>
      <c r="AM2536" s="421"/>
      <c r="AN2536" s="422"/>
      <c r="AO2536" s="388"/>
      <c r="AP2536" s="389"/>
      <c r="AQ2536" s="390"/>
      <c r="AR2536" s="391"/>
      <c r="AS2536" s="392"/>
      <c r="AT2536" s="156"/>
      <c r="AU2536" s="284"/>
      <c r="AV2536" s="168"/>
      <c r="AW2536" s="168"/>
      <c r="AX2536" s="171"/>
      <c r="AY2536" s="172"/>
      <c r="AZ2536" s="272"/>
      <c r="BA2536" s="34"/>
      <c r="BB2536" s="657"/>
      <c r="BC2536" s="395"/>
      <c r="BD2536" s="670"/>
      <c r="BE2536" s="210"/>
      <c r="BF2536" s="168"/>
      <c r="BG2536" s="170"/>
      <c r="BH2536" s="86"/>
      <c r="BI2536" s="272"/>
      <c r="BJ2536" s="50"/>
      <c r="BK2536" s="31"/>
      <c r="BL2536" s="156"/>
      <c r="BM2536" s="341"/>
      <c r="BN2536" s="210"/>
      <c r="BO2536" s="168"/>
      <c r="BP2536" s="682"/>
      <c r="BQ2536" s="683"/>
      <c r="BR2536" s="427"/>
      <c r="BS2536" s="681"/>
      <c r="BT2536" s="48"/>
      <c r="BU2536" s="399"/>
      <c r="BV2536" s="618"/>
      <c r="BW2536" s="431"/>
      <c r="BX2536" s="448"/>
      <c r="BY2536" s="430"/>
    </row>
    <row r="2537" spans="1:77" s="14" customFormat="1" ht="15" customHeight="1" x14ac:dyDescent="0.2">
      <c r="A2537" s="56" t="s">
        <v>36</v>
      </c>
      <c r="B2537" s="56"/>
      <c r="C2537" s="107" t="s">
        <v>681</v>
      </c>
      <c r="D2537" s="544">
        <v>32.505000000000003</v>
      </c>
      <c r="E2537" s="107" t="s">
        <v>631</v>
      </c>
      <c r="F2537" s="603">
        <v>1993</v>
      </c>
      <c r="G2537" s="62"/>
      <c r="H2537" s="62">
        <v>0.155528</v>
      </c>
      <c r="I2537" s="608"/>
      <c r="J2537" s="62"/>
      <c r="K2537" s="62"/>
      <c r="L2537" s="608"/>
      <c r="M2537" s="62"/>
      <c r="N2537" s="355"/>
      <c r="O2537" s="603"/>
      <c r="P2537" s="62"/>
      <c r="Q2537" s="355"/>
      <c r="R2537" s="603"/>
      <c r="S2537" s="62"/>
      <c r="T2537" s="355"/>
      <c r="U2537" s="62"/>
      <c r="V2537" s="62"/>
      <c r="W2537" s="89">
        <f>AA2537*(1+AB2537)</f>
        <v>1.1664599999999999E-4</v>
      </c>
      <c r="X2537" s="87">
        <f>AA2537*(1+AC2537)</f>
        <v>1.1664599999999999E-4</v>
      </c>
      <c r="Y2537" s="50">
        <v>1993</v>
      </c>
      <c r="Z2537" s="50"/>
      <c r="AA2537" s="33">
        <f>+H2537/1000</f>
        <v>1.5552799999999999E-4</v>
      </c>
      <c r="AB2537" s="395">
        <v>-0.25</v>
      </c>
      <c r="AC2537" s="443">
        <f>AB2537</f>
        <v>-0.25</v>
      </c>
      <c r="AD2537" s="168"/>
      <c r="AE2537" s="168"/>
      <c r="AF2537" s="388"/>
      <c r="AG2537" s="389"/>
      <c r="AH2537" s="390"/>
      <c r="AI2537" s="391"/>
      <c r="AJ2537" s="392"/>
      <c r="AK2537" s="156"/>
      <c r="AL2537" s="284"/>
      <c r="AM2537" s="421"/>
      <c r="AN2537" s="422"/>
      <c r="AO2537" s="388"/>
      <c r="AP2537" s="389"/>
      <c r="AQ2537" s="390"/>
      <c r="AR2537" s="391"/>
      <c r="AS2537" s="392"/>
      <c r="AT2537" s="156"/>
      <c r="AU2537" s="284"/>
      <c r="AV2537" s="168"/>
      <c r="AW2537" s="168"/>
      <c r="AX2537" s="171"/>
      <c r="AY2537" s="172"/>
      <c r="AZ2537" s="272"/>
      <c r="BA2537" s="34"/>
      <c r="BB2537" s="657"/>
      <c r="BC2537" s="395"/>
      <c r="BD2537" s="670"/>
      <c r="BE2537" s="210"/>
      <c r="BF2537" s="168"/>
      <c r="BG2537" s="170"/>
      <c r="BH2537" s="86"/>
      <c r="BI2537" s="272"/>
      <c r="BJ2537" s="50"/>
      <c r="BK2537" s="31"/>
      <c r="BL2537" s="156"/>
      <c r="BM2537" s="341"/>
      <c r="BN2537" s="210"/>
      <c r="BO2537" s="168"/>
      <c r="BP2537" s="682"/>
      <c r="BQ2537" s="683"/>
      <c r="BR2537" s="427"/>
      <c r="BS2537" s="681"/>
      <c r="BT2537" s="48"/>
      <c r="BU2537" s="399"/>
      <c r="BV2537" s="618"/>
      <c r="BW2537" s="431"/>
      <c r="BX2537" s="448"/>
      <c r="BY2537" s="430"/>
    </row>
    <row r="2538" spans="1:77" s="14" customFormat="1" ht="15" customHeight="1" x14ac:dyDescent="0.2">
      <c r="A2538" s="56" t="s">
        <v>36</v>
      </c>
      <c r="B2538" s="56"/>
      <c r="C2538" s="107" t="s">
        <v>486</v>
      </c>
      <c r="D2538" s="544">
        <v>515.67999999999995</v>
      </c>
      <c r="E2538" s="161" t="s">
        <v>2586</v>
      </c>
      <c r="F2538" s="602"/>
      <c r="G2538" s="62"/>
      <c r="H2538" s="62"/>
      <c r="I2538" s="608"/>
      <c r="J2538" s="62"/>
      <c r="K2538" s="62">
        <f>5.5*D2538/1000</f>
        <v>2.8362399999999997</v>
      </c>
      <c r="L2538" s="608"/>
      <c r="M2538" s="62"/>
      <c r="N2538" s="355"/>
      <c r="O2538" s="603">
        <v>2014</v>
      </c>
      <c r="P2538" s="62"/>
      <c r="Q2538" s="355">
        <v>1.8223670000000001</v>
      </c>
      <c r="R2538" s="603"/>
      <c r="S2538" s="62"/>
      <c r="T2538" s="355"/>
      <c r="U2538" s="62"/>
      <c r="V2538" s="62"/>
      <c r="W2538" s="89">
        <f t="shared" ref="W2538" si="2220">AA2538*(1+AB2538)</f>
        <v>2.0420928E-3</v>
      </c>
      <c r="X2538" s="87">
        <f t="shared" ref="X2538" si="2221">AA2538*(1+AC2538)</f>
        <v>2.0420928E-3</v>
      </c>
      <c r="Y2538" s="160">
        <v>2005</v>
      </c>
      <c r="Z2538" s="21"/>
      <c r="AA2538" s="21">
        <f>+K2538/1000</f>
        <v>2.8362399999999999E-3</v>
      </c>
      <c r="AB2538" s="399">
        <v>-0.28000000000000003</v>
      </c>
      <c r="AC2538" s="618">
        <f t="shared" ref="AC2538" si="2222">AB2538</f>
        <v>-0.28000000000000003</v>
      </c>
      <c r="AD2538" s="168"/>
      <c r="AE2538" s="168"/>
      <c r="AF2538" s="388"/>
      <c r="AG2538" s="389"/>
      <c r="AH2538" s="390"/>
      <c r="AI2538" s="391"/>
      <c r="AJ2538" s="392"/>
      <c r="AK2538" s="156"/>
      <c r="AL2538" s="284"/>
      <c r="AM2538" s="421"/>
      <c r="AN2538" s="422"/>
      <c r="AO2538" s="388"/>
      <c r="AP2538" s="389"/>
      <c r="AQ2538" s="390"/>
      <c r="AR2538" s="391"/>
      <c r="AS2538" s="392"/>
      <c r="AT2538" s="156"/>
      <c r="AU2538" s="284"/>
      <c r="AV2538" s="168"/>
      <c r="AW2538" s="168"/>
      <c r="AX2538" s="171">
        <f>BB2538*(1+BC2538)</f>
        <v>1.2763079999999999E-3</v>
      </c>
      <c r="AY2538" s="172">
        <f>BB2538*(1+BD2538)</f>
        <v>1.2763079999999999E-3</v>
      </c>
      <c r="AZ2538" s="272">
        <v>2005</v>
      </c>
      <c r="BA2538" s="34"/>
      <c r="BB2538" s="657">
        <f>K2538/1000</f>
        <v>2.8362399999999999E-3</v>
      </c>
      <c r="BC2538" s="395">
        <v>-0.55000000000000004</v>
      </c>
      <c r="BD2538" s="443">
        <f>BC2538</f>
        <v>-0.55000000000000004</v>
      </c>
      <c r="BE2538" s="210"/>
      <c r="BF2538" s="168"/>
      <c r="BG2538" s="170"/>
      <c r="BH2538" s="86"/>
      <c r="BI2538" s="272"/>
      <c r="BJ2538" s="50"/>
      <c r="BK2538" s="31"/>
      <c r="BL2538" s="156"/>
      <c r="BM2538" s="341"/>
      <c r="BN2538" s="210"/>
      <c r="BO2538" s="168"/>
      <c r="BP2538" s="682">
        <f>BS2538*(1+BU2538)</f>
        <v>5.105232000000001E-4</v>
      </c>
      <c r="BQ2538" s="683">
        <f>BS2538*(1+BV2538)</f>
        <v>5.105232000000001E-4</v>
      </c>
      <c r="BR2538" s="427">
        <v>2005</v>
      </c>
      <c r="BS2538" s="681">
        <f>+K2538/1000</f>
        <v>2.8362399999999999E-3</v>
      </c>
      <c r="BT2538" s="48"/>
      <c r="BU2538" s="399">
        <v>-0.82</v>
      </c>
      <c r="BV2538" s="618">
        <f>BU2538</f>
        <v>-0.82</v>
      </c>
      <c r="BW2538" s="431"/>
      <c r="BX2538" s="448"/>
      <c r="BY2538" s="430"/>
    </row>
    <row r="2539" spans="1:77" s="14" customFormat="1" ht="15" customHeight="1" x14ac:dyDescent="0.2">
      <c r="A2539" s="56" t="s">
        <v>36</v>
      </c>
      <c r="B2539" s="56"/>
      <c r="C2539" s="107" t="s">
        <v>688</v>
      </c>
      <c r="D2539" s="544">
        <v>18.225999999999999</v>
      </c>
      <c r="E2539" s="107" t="s">
        <v>631</v>
      </c>
      <c r="F2539" s="602"/>
      <c r="G2539" s="62"/>
      <c r="H2539" s="62"/>
      <c r="I2539" s="608">
        <v>1999</v>
      </c>
      <c r="J2539" s="62"/>
      <c r="K2539" s="62">
        <v>0.13073199999999999</v>
      </c>
      <c r="L2539" s="608"/>
      <c r="M2539" s="62"/>
      <c r="N2539" s="355"/>
      <c r="O2539" s="603"/>
      <c r="P2539" s="62"/>
      <c r="Q2539" s="355"/>
      <c r="R2539" s="603"/>
      <c r="S2539" s="62"/>
      <c r="T2539" s="355"/>
      <c r="U2539" s="62"/>
      <c r="V2539" s="62"/>
      <c r="W2539" s="674">
        <f>AA2539*(1+AB2539)</f>
        <v>1.045856E-4</v>
      </c>
      <c r="X2539" s="675">
        <f>AA2539*(1+AC2539)</f>
        <v>1.045856E-4</v>
      </c>
      <c r="Y2539" s="50">
        <v>1999</v>
      </c>
      <c r="Z2539" s="50"/>
      <c r="AA2539" s="773">
        <f>+K2539/1000</f>
        <v>1.3073199999999999E-4</v>
      </c>
      <c r="AB2539" s="395">
        <v>-0.2</v>
      </c>
      <c r="AC2539" s="443">
        <f>AB2539</f>
        <v>-0.2</v>
      </c>
      <c r="AD2539" s="168"/>
      <c r="AE2539" s="168"/>
      <c r="AF2539" s="388"/>
      <c r="AG2539" s="389"/>
      <c r="AH2539" s="390"/>
      <c r="AI2539" s="391"/>
      <c r="AJ2539" s="392"/>
      <c r="AK2539" s="156"/>
      <c r="AL2539" s="284"/>
      <c r="AM2539" s="421"/>
      <c r="AN2539" s="422"/>
      <c r="AO2539" s="388"/>
      <c r="AP2539" s="389"/>
      <c r="AQ2539" s="390"/>
      <c r="AR2539" s="391"/>
      <c r="AS2539" s="392"/>
      <c r="AT2539" s="156"/>
      <c r="AU2539" s="284"/>
      <c r="AV2539" s="168"/>
      <c r="AW2539" s="168"/>
      <c r="AX2539" s="171"/>
      <c r="AY2539" s="172"/>
      <c r="AZ2539" s="272"/>
      <c r="BA2539" s="34"/>
      <c r="BB2539" s="657"/>
      <c r="BC2539" s="395"/>
      <c r="BD2539" s="670"/>
      <c r="BE2539" s="210"/>
      <c r="BF2539" s="168"/>
      <c r="BG2539" s="170"/>
      <c r="BH2539" s="86"/>
      <c r="BI2539" s="272"/>
      <c r="BJ2539" s="50"/>
      <c r="BK2539" s="31"/>
      <c r="BL2539" s="156"/>
      <c r="BM2539" s="341"/>
      <c r="BN2539" s="210"/>
      <c r="BO2539" s="168"/>
      <c r="BP2539" s="682"/>
      <c r="BQ2539" s="683"/>
      <c r="BR2539" s="427"/>
      <c r="BS2539" s="681"/>
      <c r="BT2539" s="48"/>
      <c r="BU2539" s="399"/>
      <c r="BV2539" s="618"/>
      <c r="BW2539" s="431"/>
      <c r="BX2539" s="448"/>
      <c r="BY2539" s="430"/>
    </row>
    <row r="2540" spans="1:77" ht="15" customHeight="1" x14ac:dyDescent="0.2">
      <c r="A2540" s="56" t="s">
        <v>114</v>
      </c>
      <c r="B2540" s="56" t="s">
        <v>1606</v>
      </c>
      <c r="C2540" s="56"/>
      <c r="D2540" s="544">
        <v>7627.326</v>
      </c>
      <c r="E2540" s="95" t="s">
        <v>3345</v>
      </c>
      <c r="F2540" s="373"/>
      <c r="G2540" s="121">
        <v>23.6</v>
      </c>
      <c r="H2540" s="72">
        <v>35.53</v>
      </c>
      <c r="I2540" s="114"/>
      <c r="J2540" s="93">
        <v>8.07</v>
      </c>
      <c r="K2540" s="346">
        <v>9.5310000000000006</v>
      </c>
      <c r="L2540" s="565"/>
      <c r="M2540" s="93">
        <v>7.9829999999999997</v>
      </c>
      <c r="N2540" s="93">
        <v>9.4960000000000004</v>
      </c>
      <c r="O2540" s="1038"/>
      <c r="P2540" s="93">
        <v>11.367000000000001</v>
      </c>
      <c r="Q2540" s="378">
        <v>12.957000000000001</v>
      </c>
      <c r="R2540" s="1038">
        <v>2016</v>
      </c>
      <c r="S2540" s="93">
        <v>13.975</v>
      </c>
      <c r="T2540" s="378">
        <v>15.573</v>
      </c>
      <c r="U2540" s="68"/>
      <c r="V2540" s="68"/>
      <c r="W2540" s="27"/>
      <c r="X2540" s="28"/>
      <c r="Y2540" s="145"/>
      <c r="Z2540" s="38"/>
      <c r="AA2540" s="145"/>
      <c r="AB2540" s="80"/>
      <c r="AC2540" s="209"/>
      <c r="AE2540" s="16"/>
      <c r="AF2540" s="136"/>
      <c r="AG2540" s="59"/>
      <c r="AH2540" s="77"/>
      <c r="AI2540" s="38"/>
      <c r="AJ2540" s="145"/>
      <c r="AK2540" s="80"/>
      <c r="AL2540" s="215"/>
      <c r="AM2540" s="207">
        <v>2.3539999999999998E-2</v>
      </c>
      <c r="AN2540" s="47"/>
      <c r="AO2540" s="46">
        <f>+AS2540*(1+AT2540)</f>
        <v>2.1892199999999997E-2</v>
      </c>
      <c r="AP2540" s="47">
        <f>+AS2540*(1+AU2540)</f>
        <v>1.7890400000000001E-2</v>
      </c>
      <c r="AQ2540" s="262">
        <v>2030</v>
      </c>
      <c r="AR2540" s="1364"/>
      <c r="AS2540" s="48">
        <f>+AM2540</f>
        <v>2.3539999999999998E-2</v>
      </c>
      <c r="AT2540" s="1325">
        <v>-7.0000000000000007E-2</v>
      </c>
      <c r="AU2540" s="1326">
        <v>-0.24</v>
      </c>
      <c r="AV2540" s="16"/>
      <c r="AW2540" s="16"/>
      <c r="AX2540" s="19"/>
      <c r="AY2540" s="20"/>
      <c r="AZ2540" s="77"/>
      <c r="BA2540" s="38"/>
      <c r="BB2540" s="145"/>
      <c r="BC2540" s="80"/>
      <c r="BD2540" s="75"/>
      <c r="BE2540" s="208"/>
      <c r="BF2540" s="16"/>
      <c r="BG2540" s="19"/>
      <c r="BH2540" s="20"/>
      <c r="BI2540" s="77"/>
      <c r="BJ2540" s="38"/>
      <c r="BK2540" s="145"/>
      <c r="BL2540" s="80"/>
      <c r="BM2540" s="75"/>
      <c r="BN2540" s="208"/>
      <c r="BO2540" s="16"/>
      <c r="BP2540" s="19"/>
      <c r="BQ2540" s="20"/>
      <c r="BR2540" s="32"/>
      <c r="BS2540" s="38"/>
      <c r="BT2540" s="145"/>
      <c r="BU2540" s="80"/>
      <c r="BV2540" s="215"/>
      <c r="BX2540" s="321"/>
      <c r="BY2540" s="38"/>
    </row>
    <row r="2541" spans="1:77" ht="15" customHeight="1" x14ac:dyDescent="0.2">
      <c r="A2541" s="56" t="s">
        <v>114</v>
      </c>
      <c r="B2541" s="56"/>
      <c r="C2541" s="107" t="s">
        <v>689</v>
      </c>
      <c r="D2541" s="544">
        <v>25.361000000000001</v>
      </c>
      <c r="E2541" s="107" t="s">
        <v>631</v>
      </c>
      <c r="F2541" s="603"/>
      <c r="G2541" s="62"/>
      <c r="H2541" s="68"/>
      <c r="I2541" s="418"/>
      <c r="J2541" s="68"/>
      <c r="K2541" s="68"/>
      <c r="L2541" s="418">
        <v>2013</v>
      </c>
      <c r="M2541" s="68"/>
      <c r="N2541" s="354">
        <v>2.5361000000000002E-2</v>
      </c>
      <c r="O2541" s="605">
        <v>2013</v>
      </c>
      <c r="P2541" s="68"/>
      <c r="Q2541" s="354">
        <v>2.5361000000000002E-2</v>
      </c>
      <c r="R2541" s="605"/>
      <c r="S2541" s="68"/>
      <c r="T2541" s="354"/>
      <c r="U2541" s="68"/>
      <c r="V2541" s="68"/>
      <c r="W2541" s="674">
        <f>AA2541*(1+AB2541)</f>
        <v>1.9527970000000001E-5</v>
      </c>
      <c r="X2541" s="675">
        <f>AA2541*(1+AC2541)</f>
        <v>1.9527970000000001E-5</v>
      </c>
      <c r="Y2541" s="50">
        <v>2013</v>
      </c>
      <c r="Z2541" s="50"/>
      <c r="AA2541" s="773">
        <f>+N2541/1000</f>
        <v>2.5361E-5</v>
      </c>
      <c r="AB2541" s="395">
        <v>-0.23</v>
      </c>
      <c r="AC2541" s="443">
        <f>AB2541</f>
        <v>-0.23</v>
      </c>
      <c r="AE2541" s="16"/>
      <c r="AF2541" s="136"/>
      <c r="AG2541" s="59"/>
      <c r="AH2541" s="77"/>
      <c r="AI2541" s="38"/>
      <c r="AJ2541" s="145"/>
      <c r="AK2541" s="80"/>
      <c r="AL2541" s="215"/>
      <c r="AM2541" s="208"/>
      <c r="AN2541" s="16"/>
      <c r="AO2541" s="454"/>
      <c r="AP2541" s="439"/>
      <c r="AQ2541" s="440"/>
      <c r="AR2541" s="441"/>
      <c r="AS2541" s="424"/>
      <c r="AT2541" s="292"/>
      <c r="AU2541" s="293"/>
      <c r="AV2541" s="16"/>
      <c r="AW2541" s="16"/>
      <c r="AX2541" s="19"/>
      <c r="AY2541" s="20"/>
      <c r="AZ2541" s="77"/>
      <c r="BA2541" s="38"/>
      <c r="BB2541" s="145"/>
      <c r="BC2541" s="80"/>
      <c r="BD2541" s="75"/>
      <c r="BE2541" s="208"/>
      <c r="BF2541" s="16"/>
      <c r="BG2541" s="19"/>
      <c r="BH2541" s="20"/>
      <c r="BI2541" s="77"/>
      <c r="BJ2541" s="38"/>
      <c r="BK2541" s="145"/>
      <c r="BL2541" s="80"/>
      <c r="BM2541" s="75"/>
      <c r="BN2541" s="208"/>
      <c r="BO2541" s="16"/>
      <c r="BP2541" s="19"/>
      <c r="BQ2541" s="20"/>
      <c r="BR2541" s="32"/>
      <c r="BS2541" s="38"/>
      <c r="BT2541" s="145"/>
      <c r="BU2541" s="80"/>
      <c r="BV2541" s="215"/>
      <c r="BX2541" s="321"/>
      <c r="BY2541" s="38"/>
    </row>
    <row r="2542" spans="1:77" s="14" customFormat="1" ht="15" customHeight="1" x14ac:dyDescent="0.2">
      <c r="A2542" s="56" t="s">
        <v>133</v>
      </c>
      <c r="B2542" s="56" t="s">
        <v>1606</v>
      </c>
      <c r="C2542" s="56"/>
      <c r="D2542" s="544">
        <v>72137.546000000002</v>
      </c>
      <c r="E2542" s="624" t="s">
        <v>2896</v>
      </c>
      <c r="F2542" s="1098"/>
      <c r="G2542" s="121">
        <v>163.43700000000001</v>
      </c>
      <c r="H2542" s="656">
        <v>219.202</v>
      </c>
      <c r="I2542" s="778"/>
      <c r="J2542" s="121">
        <v>262.51900000000001</v>
      </c>
      <c r="K2542" s="121">
        <v>337.21300000000002</v>
      </c>
      <c r="L2542" s="612"/>
      <c r="M2542" s="121">
        <v>325.16899999999998</v>
      </c>
      <c r="N2542" s="121">
        <v>398.65100000000001</v>
      </c>
      <c r="O2542" s="1048"/>
      <c r="P2542" s="121">
        <v>374.98446000000001</v>
      </c>
      <c r="Q2542" s="915">
        <v>472.19081</v>
      </c>
      <c r="R2542" s="1048">
        <v>2017</v>
      </c>
      <c r="S2542" s="121">
        <v>426.346</v>
      </c>
      <c r="T2542" s="915">
        <v>526.25300000000004</v>
      </c>
      <c r="U2542" s="419">
        <v>673</v>
      </c>
      <c r="V2542" s="61"/>
      <c r="W2542" s="466">
        <v>0.59899999999999998</v>
      </c>
      <c r="X2542" s="24">
        <f>W2542</f>
        <v>0.59899999999999998</v>
      </c>
      <c r="Y2542" s="391">
        <v>2020</v>
      </c>
      <c r="Z2542" s="392">
        <f>+U2542/1000</f>
        <v>0.67300000000000004</v>
      </c>
      <c r="AA2542" s="31"/>
      <c r="AB2542" s="395">
        <v>0</v>
      </c>
      <c r="AC2542" s="443">
        <v>0</v>
      </c>
      <c r="AD2542" s="422">
        <v>0.93400000000000005</v>
      </c>
      <c r="AE2542" s="168"/>
      <c r="AF2542" s="388">
        <v>0.79</v>
      </c>
      <c r="AG2542" s="389">
        <f>AF2542</f>
        <v>0.79</v>
      </c>
      <c r="AH2542" s="390">
        <v>2025</v>
      </c>
      <c r="AI2542" s="50"/>
      <c r="AJ2542" s="31"/>
      <c r="AK2542" s="156"/>
      <c r="AL2542" s="284"/>
      <c r="AM2542" s="421">
        <v>1.175</v>
      </c>
      <c r="AN2542" s="168"/>
      <c r="AO2542" s="388">
        <f>AR2542*(1+AT2542)</f>
        <v>0.92825000000000013</v>
      </c>
      <c r="AP2542" s="389">
        <f>AR2542*(1+AU2542)</f>
        <v>0.92825000000000013</v>
      </c>
      <c r="AQ2542" s="390">
        <v>2030</v>
      </c>
      <c r="AR2542" s="392">
        <f>AM2542</f>
        <v>1.175</v>
      </c>
      <c r="AS2542" s="392"/>
      <c r="AT2542" s="156">
        <v>-0.21</v>
      </c>
      <c r="AU2542" s="284">
        <v>-0.21</v>
      </c>
      <c r="AV2542" s="168"/>
      <c r="AW2542" s="168"/>
      <c r="AX2542" s="170"/>
      <c r="AY2542" s="86"/>
      <c r="AZ2542" s="272"/>
      <c r="BA2542" s="50"/>
      <c r="BB2542" s="31"/>
      <c r="BC2542" s="156"/>
      <c r="BD2542" s="341"/>
      <c r="BE2542" s="210"/>
      <c r="BF2542" s="168"/>
      <c r="BG2542" s="170"/>
      <c r="BH2542" s="86"/>
      <c r="BI2542" s="272"/>
      <c r="BJ2542" s="50"/>
      <c r="BK2542" s="31"/>
      <c r="BL2542" s="156"/>
      <c r="BM2542" s="341"/>
      <c r="BN2542" s="210"/>
      <c r="BO2542" s="168"/>
      <c r="BP2542" s="170"/>
      <c r="BQ2542" s="86"/>
      <c r="BR2542" s="50"/>
      <c r="BS2542" s="50"/>
      <c r="BT2542" s="31"/>
      <c r="BU2542" s="43"/>
      <c r="BV2542" s="209"/>
      <c r="BW2542" s="429" t="s">
        <v>258</v>
      </c>
      <c r="BX2542" s="311"/>
      <c r="BY2542" s="430"/>
    </row>
    <row r="2543" spans="1:77" s="14" customFormat="1" ht="15" customHeight="1" x14ac:dyDescent="0.2">
      <c r="A2543" s="56" t="s">
        <v>133</v>
      </c>
      <c r="B2543" s="56"/>
      <c r="C2543" s="107" t="s">
        <v>693</v>
      </c>
      <c r="D2543" s="544">
        <v>2043.432</v>
      </c>
      <c r="E2543" s="107" t="s">
        <v>631</v>
      </c>
      <c r="F2543" s="602"/>
      <c r="G2543" s="62"/>
      <c r="H2543" s="62"/>
      <c r="I2543" s="608"/>
      <c r="J2543" s="62"/>
      <c r="K2543" s="62"/>
      <c r="L2543" s="778">
        <v>2012</v>
      </c>
      <c r="M2543" s="419"/>
      <c r="N2543" s="355">
        <v>5.84</v>
      </c>
      <c r="O2543" s="1048"/>
      <c r="P2543" s="419"/>
      <c r="Q2543" s="355"/>
      <c r="R2543" s="1048">
        <v>2019</v>
      </c>
      <c r="S2543" s="419"/>
      <c r="T2543" s="355">
        <v>8.2329190000000008</v>
      </c>
      <c r="U2543" s="419"/>
      <c r="V2543" s="62"/>
      <c r="W2543" s="89">
        <f t="shared" ref="W2543:W2557" si="2223">AA2543*(1+AB2543)</f>
        <v>4.4967999999999996E-3</v>
      </c>
      <c r="X2543" s="87">
        <f t="shared" ref="X2543:X2557" si="2224">AA2543*(1+AC2543)</f>
        <v>4.4967999999999996E-3</v>
      </c>
      <c r="Y2543" s="50">
        <v>2012</v>
      </c>
      <c r="Z2543" s="50"/>
      <c r="AA2543" s="33">
        <f t="shared" ref="AA2543:AA2557" si="2225">+N2543/1000</f>
        <v>5.8399999999999997E-3</v>
      </c>
      <c r="AB2543" s="395">
        <v>-0.23</v>
      </c>
      <c r="AC2543" s="443">
        <f t="shared" ref="AC2543:AC2557" si="2226">AB2543</f>
        <v>-0.23</v>
      </c>
      <c r="AD2543" s="422"/>
      <c r="AE2543" s="168"/>
      <c r="AF2543" s="388"/>
      <c r="AG2543" s="389"/>
      <c r="AH2543" s="390"/>
      <c r="AI2543" s="50"/>
      <c r="AJ2543" s="31"/>
      <c r="AK2543" s="156"/>
      <c r="AL2543" s="284"/>
      <c r="AM2543" s="421"/>
      <c r="AN2543" s="168"/>
      <c r="AO2543" s="615">
        <f>AS2543*(1+AT2543)</f>
        <v>4.9397514000000002E-3</v>
      </c>
      <c r="AP2543" s="616">
        <f>AS2543*(1+AU2543)</f>
        <v>4.9397514000000002E-3</v>
      </c>
      <c r="AQ2543" s="1050">
        <v>2014</v>
      </c>
      <c r="AR2543" s="679"/>
      <c r="AS2543" s="679">
        <f>+T2543/1000</f>
        <v>8.232919E-3</v>
      </c>
      <c r="AT2543" s="399">
        <v>-0.4</v>
      </c>
      <c r="AU2543" s="618">
        <f>+AT2543</f>
        <v>-0.4</v>
      </c>
      <c r="AV2543" s="168"/>
      <c r="AW2543" s="168"/>
      <c r="AX2543" s="170"/>
      <c r="AY2543" s="86"/>
      <c r="AZ2543" s="272"/>
      <c r="BA2543" s="50"/>
      <c r="BB2543" s="31"/>
      <c r="BC2543" s="156"/>
      <c r="BD2543" s="341"/>
      <c r="BE2543" s="210"/>
      <c r="BF2543" s="168"/>
      <c r="BG2543" s="170"/>
      <c r="BH2543" s="86"/>
      <c r="BI2543" s="272"/>
      <c r="BJ2543" s="50"/>
      <c r="BK2543" s="31"/>
      <c r="BL2543" s="156"/>
      <c r="BM2543" s="341"/>
      <c r="BN2543" s="210"/>
      <c r="BO2543" s="168"/>
      <c r="BP2543" s="170"/>
      <c r="BQ2543" s="86"/>
      <c r="BR2543" s="50"/>
      <c r="BS2543" s="50"/>
      <c r="BT2543" s="31"/>
      <c r="BU2543" s="43"/>
      <c r="BV2543" s="209"/>
      <c r="BW2543" s="429"/>
      <c r="BX2543" s="311"/>
      <c r="BY2543" s="430"/>
    </row>
    <row r="2544" spans="1:77" s="14" customFormat="1" ht="15" customHeight="1" x14ac:dyDescent="0.2">
      <c r="A2544" s="56" t="s">
        <v>133</v>
      </c>
      <c r="B2544" s="56"/>
      <c r="C2544" s="107" t="s">
        <v>692</v>
      </c>
      <c r="D2544" s="544">
        <v>412.27499999999998</v>
      </c>
      <c r="E2544" s="107" t="s">
        <v>2181</v>
      </c>
      <c r="F2544" s="602"/>
      <c r="G2544" s="62"/>
      <c r="H2544" s="62"/>
      <c r="I2544" s="608"/>
      <c r="J2544" s="62"/>
      <c r="K2544" s="62"/>
      <c r="L2544" s="778">
        <v>2011</v>
      </c>
      <c r="M2544" s="419"/>
      <c r="N2544" s="355">
        <v>0.75862700000000005</v>
      </c>
      <c r="O2544" s="1048"/>
      <c r="P2544" s="419"/>
      <c r="Q2544" s="355"/>
      <c r="R2544" s="1048"/>
      <c r="S2544" s="419"/>
      <c r="T2544" s="355"/>
      <c r="U2544" s="419"/>
      <c r="V2544" s="62"/>
      <c r="W2544" s="674">
        <f t="shared" si="2223"/>
        <v>5.6897025E-4</v>
      </c>
      <c r="X2544" s="675">
        <f t="shared" si="2224"/>
        <v>5.6897025E-4</v>
      </c>
      <c r="Y2544" s="50">
        <v>2011</v>
      </c>
      <c r="Z2544" s="50"/>
      <c r="AA2544" s="773">
        <f t="shared" si="2225"/>
        <v>7.58627E-4</v>
      </c>
      <c r="AB2544" s="395">
        <v>-0.25</v>
      </c>
      <c r="AC2544" s="443">
        <f t="shared" si="2226"/>
        <v>-0.25</v>
      </c>
      <c r="AD2544" s="422"/>
      <c r="AE2544" s="168"/>
      <c r="AF2544" s="388"/>
      <c r="AG2544" s="389"/>
      <c r="AH2544" s="390"/>
      <c r="AI2544" s="50"/>
      <c r="AJ2544" s="31"/>
      <c r="AK2544" s="156"/>
      <c r="AL2544" s="284"/>
      <c r="AM2544" s="421"/>
      <c r="AN2544" s="168"/>
      <c r="AO2544" s="388"/>
      <c r="AP2544" s="389"/>
      <c r="AQ2544" s="390"/>
      <c r="AR2544" s="392"/>
      <c r="AS2544" s="392"/>
      <c r="AT2544" s="156"/>
      <c r="AU2544" s="284"/>
      <c r="AV2544" s="168"/>
      <c r="AW2544" s="168"/>
      <c r="AX2544" s="170"/>
      <c r="AY2544" s="86"/>
      <c r="AZ2544" s="272"/>
      <c r="BA2544" s="50"/>
      <c r="BB2544" s="31"/>
      <c r="BC2544" s="156"/>
      <c r="BD2544" s="341"/>
      <c r="BE2544" s="210"/>
      <c r="BF2544" s="168"/>
      <c r="BG2544" s="170"/>
      <c r="BH2544" s="86"/>
      <c r="BI2544" s="272"/>
      <c r="BJ2544" s="50"/>
      <c r="BK2544" s="31"/>
      <c r="BL2544" s="156"/>
      <c r="BM2544" s="341"/>
      <c r="BN2544" s="210"/>
      <c r="BO2544" s="168"/>
      <c r="BP2544" s="170"/>
      <c r="BQ2544" s="86"/>
      <c r="BR2544" s="50"/>
      <c r="BS2544" s="50"/>
      <c r="BT2544" s="31"/>
      <c r="BU2544" s="43"/>
      <c r="BV2544" s="209"/>
      <c r="BW2544" s="429"/>
      <c r="BX2544" s="311"/>
      <c r="BY2544" s="430"/>
    </row>
    <row r="2545" spans="1:77" s="14" customFormat="1" ht="15" customHeight="1" x14ac:dyDescent="0.2">
      <c r="A2545" s="56" t="s">
        <v>133</v>
      </c>
      <c r="B2545" s="56"/>
      <c r="C2545" s="107" t="s">
        <v>2472</v>
      </c>
      <c r="D2545" s="544">
        <v>2788</v>
      </c>
      <c r="E2545" s="107" t="s">
        <v>631</v>
      </c>
      <c r="F2545" s="602"/>
      <c r="G2545" s="62"/>
      <c r="H2545" s="62"/>
      <c r="I2545" s="608"/>
      <c r="J2545" s="62"/>
      <c r="K2545" s="62"/>
      <c r="L2545" s="778"/>
      <c r="M2545" s="419"/>
      <c r="N2545" s="355"/>
      <c r="O2545" s="1048">
        <v>2014</v>
      </c>
      <c r="P2545" s="419"/>
      <c r="Q2545" s="355">
        <v>13.209619</v>
      </c>
      <c r="R2545" s="1048"/>
      <c r="S2545" s="419"/>
      <c r="T2545" s="355"/>
      <c r="U2545" s="419"/>
      <c r="V2545" s="62"/>
      <c r="W2545" s="674"/>
      <c r="X2545" s="675"/>
      <c r="Y2545" s="50"/>
      <c r="Z2545" s="50"/>
      <c r="AA2545" s="773"/>
      <c r="AB2545" s="395"/>
      <c r="AC2545" s="443"/>
      <c r="AD2545" s="422"/>
      <c r="AE2545" s="168"/>
      <c r="AF2545" s="388"/>
      <c r="AG2545" s="389"/>
      <c r="AH2545" s="390"/>
      <c r="AI2545" s="50"/>
      <c r="AJ2545" s="31"/>
      <c r="AK2545" s="156"/>
      <c r="AL2545" s="284"/>
      <c r="AM2545" s="421"/>
      <c r="AN2545" s="168"/>
      <c r="AO2545" s="615">
        <f>AS2545*(1+AT2545)</f>
        <v>7.9257714E-3</v>
      </c>
      <c r="AP2545" s="616">
        <f>AS2545*(1+AU2545)</f>
        <v>7.9257714E-3</v>
      </c>
      <c r="AQ2545" s="1050">
        <v>2014</v>
      </c>
      <c r="AR2545" s="679"/>
      <c r="AS2545" s="679">
        <f>+Q2545/1000</f>
        <v>1.3209619000000001E-2</v>
      </c>
      <c r="AT2545" s="399">
        <v>-0.4</v>
      </c>
      <c r="AU2545" s="618">
        <f>+AT2545</f>
        <v>-0.4</v>
      </c>
      <c r="AV2545" s="168"/>
      <c r="AW2545" s="168"/>
      <c r="AX2545" s="170"/>
      <c r="AY2545" s="86"/>
      <c r="AZ2545" s="272"/>
      <c r="BA2545" s="50"/>
      <c r="BB2545" s="31"/>
      <c r="BC2545" s="156"/>
      <c r="BD2545" s="341"/>
      <c r="BE2545" s="210"/>
      <c r="BF2545" s="168"/>
      <c r="BG2545" s="170"/>
      <c r="BH2545" s="86"/>
      <c r="BI2545" s="272"/>
      <c r="BJ2545" s="50"/>
      <c r="BK2545" s="31"/>
      <c r="BL2545" s="156"/>
      <c r="BM2545" s="341"/>
      <c r="BN2545" s="210"/>
      <c r="BO2545" s="168"/>
      <c r="BP2545" s="170"/>
      <c r="BQ2545" s="86"/>
      <c r="BR2545" s="50"/>
      <c r="BS2545" s="50"/>
      <c r="BT2545" s="31"/>
      <c r="BU2545" s="43"/>
      <c r="BV2545" s="209"/>
      <c r="BW2545" s="429"/>
      <c r="BX2545" s="311"/>
      <c r="BY2545" s="430"/>
    </row>
    <row r="2546" spans="1:77" s="14" customFormat="1" ht="15" customHeight="1" x14ac:dyDescent="0.2">
      <c r="A2546" s="56" t="s">
        <v>133</v>
      </c>
      <c r="B2546" s="56"/>
      <c r="C2546" s="107" t="s">
        <v>2616</v>
      </c>
      <c r="D2546" s="544">
        <v>914.5</v>
      </c>
      <c r="E2546" s="107" t="s">
        <v>631</v>
      </c>
      <c r="F2546" s="602"/>
      <c r="G2546" s="62"/>
      <c r="H2546" s="62"/>
      <c r="I2546" s="608"/>
      <c r="J2546" s="62"/>
      <c r="K2546" s="62"/>
      <c r="L2546" s="778"/>
      <c r="M2546" s="419"/>
      <c r="N2546" s="355"/>
      <c r="O2546" s="1048"/>
      <c r="P2546" s="419"/>
      <c r="Q2546" s="781">
        <v>2.4523E-2</v>
      </c>
      <c r="R2546" s="1048"/>
      <c r="S2546" s="419"/>
      <c r="T2546" s="781"/>
      <c r="U2546" s="419"/>
      <c r="V2546" s="62"/>
      <c r="W2546" s="769">
        <f t="shared" ref="W2546" si="2227">AA2546*(1+AB2546)</f>
        <v>1.9618400000000002E-5</v>
      </c>
      <c r="X2546" s="770">
        <f t="shared" ref="X2546" si="2228">AA2546*(1+AC2546)</f>
        <v>1.9618400000000002E-5</v>
      </c>
      <c r="Y2546" s="50">
        <v>2015</v>
      </c>
      <c r="Z2546" s="50"/>
      <c r="AA2546" s="780">
        <f>+Q2546/1000</f>
        <v>2.4522999999999999E-5</v>
      </c>
      <c r="AB2546" s="395">
        <v>-0.2</v>
      </c>
      <c r="AC2546" s="443">
        <f t="shared" ref="AC2546" si="2229">AB2546</f>
        <v>-0.2</v>
      </c>
      <c r="AD2546" s="422"/>
      <c r="AE2546" s="168"/>
      <c r="AF2546" s="388"/>
      <c r="AG2546" s="389"/>
      <c r="AH2546" s="390"/>
      <c r="AI2546" s="50"/>
      <c r="AJ2546" s="31"/>
      <c r="AK2546" s="156"/>
      <c r="AL2546" s="284"/>
      <c r="AM2546" s="421"/>
      <c r="AN2546" s="168"/>
      <c r="AO2546" s="615"/>
      <c r="AP2546" s="616"/>
      <c r="AQ2546" s="1050"/>
      <c r="AR2546" s="679"/>
      <c r="AS2546" s="679"/>
      <c r="AT2546" s="399"/>
      <c r="AU2546" s="618"/>
      <c r="AV2546" s="168"/>
      <c r="AW2546" s="168"/>
      <c r="AX2546" s="170"/>
      <c r="AY2546" s="86"/>
      <c r="AZ2546" s="272"/>
      <c r="BA2546" s="50"/>
      <c r="BB2546" s="31"/>
      <c r="BC2546" s="156"/>
      <c r="BD2546" s="341"/>
      <c r="BE2546" s="210"/>
      <c r="BF2546" s="168"/>
      <c r="BG2546" s="170"/>
      <c r="BH2546" s="86"/>
      <c r="BI2546" s="272"/>
      <c r="BJ2546" s="50"/>
      <c r="BK2546" s="31"/>
      <c r="BL2546" s="156"/>
      <c r="BM2546" s="341"/>
      <c r="BN2546" s="210"/>
      <c r="BO2546" s="168"/>
      <c r="BP2546" s="170"/>
      <c r="BQ2546" s="86"/>
      <c r="BR2546" s="50"/>
      <c r="BS2546" s="50"/>
      <c r="BT2546" s="31"/>
      <c r="BU2546" s="43"/>
      <c r="BV2546" s="209"/>
      <c r="BW2546" s="429"/>
      <c r="BX2546" s="311"/>
      <c r="BY2546" s="430"/>
    </row>
    <row r="2547" spans="1:77" s="14" customFormat="1" ht="15" customHeight="1" x14ac:dyDescent="0.2">
      <c r="A2547" s="56" t="s">
        <v>133</v>
      </c>
      <c r="B2547" s="56"/>
      <c r="C2547" s="107" t="s">
        <v>2968</v>
      </c>
      <c r="D2547" s="544"/>
      <c r="E2547" s="107" t="s">
        <v>387</v>
      </c>
      <c r="F2547" s="602"/>
      <c r="G2547" s="62"/>
      <c r="H2547" s="62"/>
      <c r="I2547" s="608"/>
      <c r="J2547" s="62"/>
      <c r="K2547" s="62"/>
      <c r="L2547" s="778"/>
      <c r="M2547" s="419"/>
      <c r="N2547" s="355"/>
      <c r="O2547" s="1048">
        <v>2016</v>
      </c>
      <c r="P2547" s="419"/>
      <c r="Q2547" s="355">
        <v>7.5</v>
      </c>
      <c r="R2547" s="1048"/>
      <c r="S2547" s="419"/>
      <c r="T2547" s="781"/>
      <c r="U2547" s="419"/>
      <c r="V2547" s="62"/>
      <c r="W2547" s="769"/>
      <c r="X2547" s="770"/>
      <c r="Y2547" s="50"/>
      <c r="Z2547" s="50"/>
      <c r="AA2547" s="780"/>
      <c r="AB2547" s="395"/>
      <c r="AC2547" s="443"/>
      <c r="AD2547" s="422"/>
      <c r="AE2547" s="168"/>
      <c r="AF2547" s="388"/>
      <c r="AG2547" s="389"/>
      <c r="AH2547" s="390"/>
      <c r="AI2547" s="50"/>
      <c r="AJ2547" s="31"/>
      <c r="AK2547" s="156"/>
      <c r="AL2547" s="284"/>
      <c r="AM2547" s="421"/>
      <c r="AN2547" s="168"/>
      <c r="AO2547" s="615">
        <f>AS2547*(1+AT2547)</f>
        <v>4.4999999999999997E-3</v>
      </c>
      <c r="AP2547" s="616">
        <f>AS2547*(1+AU2547)</f>
        <v>4.4999999999999997E-3</v>
      </c>
      <c r="AQ2547" s="1050">
        <v>2014</v>
      </c>
      <c r="AR2547" s="679"/>
      <c r="AS2547" s="621">
        <f>+Q2547/1000</f>
        <v>7.4999999999999997E-3</v>
      </c>
      <c r="AT2547" s="399">
        <v>-0.4</v>
      </c>
      <c r="AU2547" s="618">
        <f>+AT2547</f>
        <v>-0.4</v>
      </c>
      <c r="AV2547" s="168"/>
      <c r="AW2547" s="168"/>
      <c r="AX2547" s="170"/>
      <c r="AY2547" s="86"/>
      <c r="AZ2547" s="272"/>
      <c r="BA2547" s="50"/>
      <c r="BB2547" s="31"/>
      <c r="BC2547" s="156"/>
      <c r="BD2547" s="341"/>
      <c r="BE2547" s="210"/>
      <c r="BF2547" s="168"/>
      <c r="BG2547" s="170"/>
      <c r="BH2547" s="86"/>
      <c r="BI2547" s="272"/>
      <c r="BJ2547" s="50"/>
      <c r="BK2547" s="31"/>
      <c r="BL2547" s="156"/>
      <c r="BM2547" s="341"/>
      <c r="BN2547" s="210"/>
      <c r="BO2547" s="168"/>
      <c r="BP2547" s="170"/>
      <c r="BQ2547" s="86"/>
      <c r="BR2547" s="50"/>
      <c r="BS2547" s="50"/>
      <c r="BT2547" s="31"/>
      <c r="BU2547" s="43"/>
      <c r="BV2547" s="209"/>
      <c r="BW2547" s="429"/>
      <c r="BX2547" s="311"/>
      <c r="BY2547" s="430"/>
    </row>
    <row r="2548" spans="1:77" s="14" customFormat="1" ht="15" customHeight="1" x14ac:dyDescent="0.2">
      <c r="A2548" s="56" t="s">
        <v>133</v>
      </c>
      <c r="B2548" s="56"/>
      <c r="C2548" s="107" t="s">
        <v>690</v>
      </c>
      <c r="D2548" s="544">
        <v>305.63200000000001</v>
      </c>
      <c r="E2548" s="107" t="s">
        <v>631</v>
      </c>
      <c r="F2548" s="602"/>
      <c r="G2548" s="62"/>
      <c r="H2548" s="62"/>
      <c r="I2548" s="608"/>
      <c r="J2548" s="62"/>
      <c r="K2548" s="62"/>
      <c r="L2548" s="612"/>
      <c r="M2548" s="419"/>
      <c r="N2548" s="355">
        <v>0.74903200000000003</v>
      </c>
      <c r="O2548" s="1047"/>
      <c r="P2548" s="419"/>
      <c r="Q2548" s="355"/>
      <c r="R2548" s="1047"/>
      <c r="S2548" s="419"/>
      <c r="T2548" s="355"/>
      <c r="U2548" s="419"/>
      <c r="V2548" s="62"/>
      <c r="W2548" s="674">
        <f t="shared" si="2223"/>
        <v>5.7675464000000011E-4</v>
      </c>
      <c r="X2548" s="675">
        <f t="shared" si="2224"/>
        <v>5.7675464000000011E-4</v>
      </c>
      <c r="Y2548" s="50">
        <v>2010</v>
      </c>
      <c r="Z2548" s="50"/>
      <c r="AA2548" s="773">
        <f t="shared" si="2225"/>
        <v>7.4903200000000006E-4</v>
      </c>
      <c r="AB2548" s="395">
        <v>-0.23</v>
      </c>
      <c r="AC2548" s="443">
        <f t="shared" si="2226"/>
        <v>-0.23</v>
      </c>
      <c r="AD2548" s="422"/>
      <c r="AE2548" s="168"/>
      <c r="AF2548" s="388"/>
      <c r="AG2548" s="389"/>
      <c r="AH2548" s="390"/>
      <c r="AI2548" s="50"/>
      <c r="AJ2548" s="31"/>
      <c r="AK2548" s="156"/>
      <c r="AL2548" s="284"/>
      <c r="AM2548" s="421"/>
      <c r="AN2548" s="168"/>
      <c r="AO2548" s="388"/>
      <c r="AP2548" s="389"/>
      <c r="AQ2548" s="390"/>
      <c r="AR2548" s="392"/>
      <c r="AS2548" s="392"/>
      <c r="AT2548" s="156"/>
      <c r="AU2548" s="284"/>
      <c r="AV2548" s="168"/>
      <c r="AW2548" s="168"/>
      <c r="AX2548" s="170"/>
      <c r="AY2548" s="86"/>
      <c r="AZ2548" s="272"/>
      <c r="BA2548" s="50"/>
      <c r="BB2548" s="31"/>
      <c r="BC2548" s="156"/>
      <c r="BD2548" s="341"/>
      <c r="BE2548" s="210"/>
      <c r="BF2548" s="168"/>
      <c r="BG2548" s="170"/>
      <c r="BH2548" s="86"/>
      <c r="BI2548" s="272"/>
      <c r="BJ2548" s="50"/>
      <c r="BK2548" s="31"/>
      <c r="BL2548" s="156"/>
      <c r="BM2548" s="341"/>
      <c r="BN2548" s="210"/>
      <c r="BO2548" s="168"/>
      <c r="BP2548" s="170"/>
      <c r="BQ2548" s="86"/>
      <c r="BR2548" s="50"/>
      <c r="BS2548" s="50"/>
      <c r="BT2548" s="31"/>
      <c r="BU2548" s="43"/>
      <c r="BV2548" s="209"/>
      <c r="BW2548" s="429"/>
      <c r="BX2548" s="311"/>
      <c r="BY2548" s="430"/>
    </row>
    <row r="2549" spans="1:77" s="14" customFormat="1" ht="15" customHeight="1" x14ac:dyDescent="0.2">
      <c r="A2549" s="56" t="s">
        <v>133</v>
      </c>
      <c r="B2549" s="56"/>
      <c r="C2549" s="107" t="s">
        <v>2967</v>
      </c>
      <c r="D2549" s="544">
        <v>2101.1570000000002</v>
      </c>
      <c r="E2549" s="107" t="s">
        <v>387</v>
      </c>
      <c r="F2549" s="602"/>
      <c r="G2549" s="62"/>
      <c r="H2549" s="62"/>
      <c r="I2549" s="608"/>
      <c r="J2549" s="62"/>
      <c r="K2549" s="62"/>
      <c r="L2549" s="612"/>
      <c r="M2549" s="419"/>
      <c r="N2549" s="355"/>
      <c r="O2549" s="1047"/>
      <c r="P2549" s="419"/>
      <c r="Q2549" s="355">
        <v>6.4081910000000004</v>
      </c>
      <c r="R2549" s="1047"/>
      <c r="S2549" s="419"/>
      <c r="T2549" s="355"/>
      <c r="U2549" s="419"/>
      <c r="V2549" s="62"/>
      <c r="W2549" s="674"/>
      <c r="X2549" s="675"/>
      <c r="Y2549" s="50"/>
      <c r="Z2549" s="50"/>
      <c r="AA2549" s="773"/>
      <c r="AB2549" s="395"/>
      <c r="AC2549" s="443"/>
      <c r="AD2549" s="422"/>
      <c r="AE2549" s="168"/>
      <c r="AF2549" s="388"/>
      <c r="AG2549" s="389"/>
      <c r="AH2549" s="390"/>
      <c r="AI2549" s="50"/>
      <c r="AJ2549" s="31"/>
      <c r="AK2549" s="156"/>
      <c r="AL2549" s="284"/>
      <c r="AM2549" s="421"/>
      <c r="AN2549" s="168"/>
      <c r="AO2549" s="615">
        <f>AS2549*(1+AT2549)</f>
        <v>3.8449146000000003E-3</v>
      </c>
      <c r="AP2549" s="616">
        <f>AS2549*(1+AU2549)</f>
        <v>3.8449146000000003E-3</v>
      </c>
      <c r="AQ2549" s="1050">
        <v>2014</v>
      </c>
      <c r="AR2549" s="679"/>
      <c r="AS2549" s="679">
        <f>+Q2549/1000</f>
        <v>6.4081910000000006E-3</v>
      </c>
      <c r="AT2549" s="399">
        <v>-0.4</v>
      </c>
      <c r="AU2549" s="618">
        <f>+AT2549</f>
        <v>-0.4</v>
      </c>
      <c r="AV2549" s="168"/>
      <c r="AW2549" s="168"/>
      <c r="AX2549" s="170"/>
      <c r="AY2549" s="86"/>
      <c r="AZ2549" s="272"/>
      <c r="BA2549" s="50"/>
      <c r="BB2549" s="31"/>
      <c r="BC2549" s="156"/>
      <c r="BD2549" s="341"/>
      <c r="BE2549" s="210"/>
      <c r="BF2549" s="168"/>
      <c r="BG2549" s="170"/>
      <c r="BH2549" s="86"/>
      <c r="BI2549" s="272"/>
      <c r="BJ2549" s="50"/>
      <c r="BK2549" s="31"/>
      <c r="BL2549" s="156"/>
      <c r="BM2549" s="341"/>
      <c r="BN2549" s="210"/>
      <c r="BO2549" s="168"/>
      <c r="BP2549" s="170"/>
      <c r="BQ2549" s="86"/>
      <c r="BR2549" s="50"/>
      <c r="BS2549" s="50"/>
      <c r="BT2549" s="31"/>
      <c r="BU2549" s="43"/>
      <c r="BV2549" s="209"/>
      <c r="BW2549" s="429"/>
      <c r="BX2549" s="311"/>
      <c r="BY2549" s="430"/>
    </row>
    <row r="2550" spans="1:77" s="14" customFormat="1" ht="15" customHeight="1" x14ac:dyDescent="0.2">
      <c r="A2550" s="56" t="s">
        <v>133</v>
      </c>
      <c r="B2550" s="56"/>
      <c r="C2550" s="107" t="s">
        <v>3174</v>
      </c>
      <c r="D2550" s="544">
        <v>15519.267</v>
      </c>
      <c r="E2550" s="107" t="s">
        <v>387</v>
      </c>
      <c r="F2550" s="602"/>
      <c r="G2550" s="62"/>
      <c r="H2550" s="62"/>
      <c r="I2550" s="608"/>
      <c r="J2550" s="62"/>
      <c r="K2550" s="62"/>
      <c r="L2550" s="612"/>
      <c r="M2550" s="419"/>
      <c r="N2550" s="355"/>
      <c r="O2550" s="1047"/>
      <c r="P2550" s="419"/>
      <c r="Q2550" s="355">
        <v>47.340724999999999</v>
      </c>
      <c r="R2550" s="1047">
        <v>2019</v>
      </c>
      <c r="S2550" s="419"/>
      <c r="T2550" s="355">
        <v>50.888652999999998</v>
      </c>
      <c r="U2550" s="419"/>
      <c r="V2550" s="62"/>
      <c r="W2550" s="674"/>
      <c r="X2550" s="675"/>
      <c r="Y2550" s="50"/>
      <c r="Z2550" s="50"/>
      <c r="AA2550" s="773"/>
      <c r="AB2550" s="395"/>
      <c r="AC2550" s="443"/>
      <c r="AD2550" s="422"/>
      <c r="AE2550" s="168"/>
      <c r="AF2550" s="388"/>
      <c r="AG2550" s="389"/>
      <c r="AH2550" s="390"/>
      <c r="AI2550" s="50"/>
      <c r="AJ2550" s="31"/>
      <c r="AK2550" s="156"/>
      <c r="AL2550" s="284"/>
      <c r="AM2550" s="421"/>
      <c r="AN2550" s="168"/>
      <c r="AO2550" s="615">
        <f>AS2550*(1+AT2550)</f>
        <v>3.1718285749999998E-2</v>
      </c>
      <c r="AP2550" s="616">
        <f>AS2550*(1+AU2550)</f>
        <v>3.1718285749999998E-2</v>
      </c>
      <c r="AQ2550" s="1050">
        <v>2014</v>
      </c>
      <c r="AR2550" s="679"/>
      <c r="AS2550" s="679">
        <f>+Q2550/1000</f>
        <v>4.7340725E-2</v>
      </c>
      <c r="AT2550" s="399">
        <v>-0.33</v>
      </c>
      <c r="AU2550" s="618">
        <f>+AT2550</f>
        <v>-0.33</v>
      </c>
      <c r="AV2550" s="168"/>
      <c r="AW2550" s="168"/>
      <c r="AX2550" s="170"/>
      <c r="AY2550" s="86"/>
      <c r="AZ2550" s="272"/>
      <c r="BA2550" s="50"/>
      <c r="BB2550" s="31"/>
      <c r="BC2550" s="156"/>
      <c r="BD2550" s="341"/>
      <c r="BE2550" s="210"/>
      <c r="BF2550" s="168"/>
      <c r="BG2550" s="170"/>
      <c r="BH2550" s="86"/>
      <c r="BI2550" s="272"/>
      <c r="BJ2550" s="50"/>
      <c r="BK2550" s="31"/>
      <c r="BL2550" s="156"/>
      <c r="BM2550" s="341"/>
      <c r="BN2550" s="210"/>
      <c r="BO2550" s="168"/>
      <c r="BP2550" s="170">
        <v>0</v>
      </c>
      <c r="BQ2550" s="86">
        <v>0</v>
      </c>
      <c r="BR2550" s="50"/>
      <c r="BS2550" s="50"/>
      <c r="BT2550" s="31"/>
      <c r="BU2550" s="43">
        <v>-1</v>
      </c>
      <c r="BV2550" s="209">
        <v>-1</v>
      </c>
      <c r="BW2550" s="429"/>
      <c r="BX2550" s="311"/>
      <c r="BY2550" s="430"/>
    </row>
    <row r="2551" spans="1:77" s="14" customFormat="1" ht="15" customHeight="1" x14ac:dyDescent="0.2">
      <c r="A2551" s="56" t="s">
        <v>133</v>
      </c>
      <c r="B2551" s="56"/>
      <c r="C2551" s="107" t="s">
        <v>2128</v>
      </c>
      <c r="D2551" s="544">
        <v>4114</v>
      </c>
      <c r="E2551" s="107" t="s">
        <v>2713</v>
      </c>
      <c r="F2551" s="602"/>
      <c r="G2551" s="62"/>
      <c r="H2551" s="62"/>
      <c r="I2551" s="608"/>
      <c r="J2551" s="62"/>
      <c r="K2551" s="62"/>
      <c r="L2551" s="612"/>
      <c r="M2551" s="419"/>
      <c r="N2551" s="355"/>
      <c r="O2551" s="1048">
        <v>2014</v>
      </c>
      <c r="P2551" s="419"/>
      <c r="Q2551" s="357">
        <v>8.4947359999999996</v>
      </c>
      <c r="R2551" s="1048">
        <v>2018</v>
      </c>
      <c r="S2551" s="419"/>
      <c r="T2551" s="355">
        <v>14.319706</v>
      </c>
      <c r="U2551" s="419"/>
      <c r="V2551" s="62"/>
      <c r="W2551" s="769">
        <f t="shared" si="2223"/>
        <v>6.7957887999999999E-3</v>
      </c>
      <c r="X2551" s="770">
        <f t="shared" si="2224"/>
        <v>6.7957887999999999E-3</v>
      </c>
      <c r="Y2551" s="50">
        <v>2014</v>
      </c>
      <c r="Z2551" s="50"/>
      <c r="AA2551" s="780">
        <f>+Q2551/1000</f>
        <v>8.4947359999999993E-3</v>
      </c>
      <c r="AB2551" s="395">
        <v>-0.2</v>
      </c>
      <c r="AC2551" s="443">
        <f t="shared" si="2226"/>
        <v>-0.2</v>
      </c>
      <c r="AD2551" s="422"/>
      <c r="AE2551" s="168"/>
      <c r="AF2551" s="388"/>
      <c r="AG2551" s="389"/>
      <c r="AH2551" s="390"/>
      <c r="AI2551" s="50"/>
      <c r="AJ2551" s="31"/>
      <c r="AK2551" s="156"/>
      <c r="AL2551" s="284"/>
      <c r="AM2551" s="421"/>
      <c r="AN2551" s="168"/>
      <c r="AO2551" s="615">
        <f>AS2551*(1+AT2551)</f>
        <v>8.5918235999999995E-3</v>
      </c>
      <c r="AP2551" s="616">
        <f>AS2551*(1+AU2551)</f>
        <v>8.5918235999999995E-3</v>
      </c>
      <c r="AQ2551" s="617">
        <v>2014</v>
      </c>
      <c r="AR2551" s="679"/>
      <c r="AS2551" s="679">
        <f>+T2551/1000</f>
        <v>1.4319706E-2</v>
      </c>
      <c r="AT2551" s="399">
        <v>-0.4</v>
      </c>
      <c r="AU2551" s="618">
        <f>+AT2551</f>
        <v>-0.4</v>
      </c>
      <c r="AV2551" s="168"/>
      <c r="AW2551" s="168"/>
      <c r="AX2551" s="170"/>
      <c r="AY2551" s="86"/>
      <c r="AZ2551" s="272"/>
      <c r="BA2551" s="50"/>
      <c r="BB2551" s="31"/>
      <c r="BC2551" s="156"/>
      <c r="BD2551" s="341"/>
      <c r="BE2551" s="210"/>
      <c r="BF2551" s="168"/>
      <c r="BG2551" s="170"/>
      <c r="BH2551" s="86"/>
      <c r="BI2551" s="272"/>
      <c r="BJ2551" s="50"/>
      <c r="BK2551" s="31"/>
      <c r="BL2551" s="156"/>
      <c r="BM2551" s="341"/>
      <c r="BN2551" s="210"/>
      <c r="BO2551" s="168"/>
      <c r="BP2551" s="170"/>
      <c r="BQ2551" s="86"/>
      <c r="BR2551" s="50"/>
      <c r="BS2551" s="50"/>
      <c r="BT2551" s="31"/>
      <c r="BU2551" s="43"/>
      <c r="BV2551" s="209"/>
      <c r="BW2551" s="429"/>
      <c r="BX2551" s="311"/>
      <c r="BY2551" s="430"/>
    </row>
    <row r="2552" spans="1:77" s="14" customFormat="1" ht="15" customHeight="1" x14ac:dyDescent="0.2">
      <c r="A2552" s="56" t="s">
        <v>133</v>
      </c>
      <c r="B2552" s="56"/>
      <c r="C2552" s="107" t="s">
        <v>3324</v>
      </c>
      <c r="D2552" s="544">
        <v>553</v>
      </c>
      <c r="E2552" s="107" t="s">
        <v>2259</v>
      </c>
      <c r="F2552" s="602"/>
      <c r="G2552" s="62"/>
      <c r="H2552" s="62"/>
      <c r="I2552" s="608"/>
      <c r="J2552" s="62"/>
      <c r="K2552" s="62"/>
      <c r="L2552" s="612"/>
      <c r="M2552" s="419"/>
      <c r="N2552" s="355">
        <v>1.7150000000000001</v>
      </c>
      <c r="O2552" s="1047">
        <v>2016</v>
      </c>
      <c r="P2552" s="419"/>
      <c r="Q2552" s="355">
        <v>1.5093019999999999</v>
      </c>
      <c r="R2552" s="1047"/>
      <c r="S2552" s="419"/>
      <c r="T2552" s="355"/>
      <c r="U2552" s="419"/>
      <c r="V2552" s="62"/>
      <c r="W2552" s="674">
        <f>AA2552*(1+AB2552)</f>
        <v>1.3720000000000002E-3</v>
      </c>
      <c r="X2552" s="675">
        <f>AA2552*(1+AC2552)</f>
        <v>1.3720000000000002E-3</v>
      </c>
      <c r="Y2552" s="50">
        <v>2010</v>
      </c>
      <c r="Z2552" s="50"/>
      <c r="AA2552" s="773">
        <f>+N2552/1000</f>
        <v>1.7150000000000002E-3</v>
      </c>
      <c r="AB2552" s="395">
        <v>-0.2</v>
      </c>
      <c r="AC2552" s="443">
        <f>AB2552</f>
        <v>-0.2</v>
      </c>
      <c r="AD2552" s="422"/>
      <c r="AE2552" s="168"/>
      <c r="AF2552" s="388"/>
      <c r="AG2552" s="389"/>
      <c r="AH2552" s="390"/>
      <c r="AI2552" s="50"/>
      <c r="AJ2552" s="31"/>
      <c r="AK2552" s="156"/>
      <c r="AL2552" s="284"/>
      <c r="AM2552" s="421"/>
      <c r="AN2552" s="168"/>
      <c r="AO2552" s="615">
        <f>AS2552*(1+AT2552)</f>
        <v>9.0558119999999988E-4</v>
      </c>
      <c r="AP2552" s="616">
        <f>AS2552*(1+AU2552)</f>
        <v>9.0558119999999988E-4</v>
      </c>
      <c r="AQ2552" s="617">
        <v>2014</v>
      </c>
      <c r="AR2552" s="679"/>
      <c r="AS2552" s="679">
        <f>+Q2552/1000</f>
        <v>1.5093019999999999E-3</v>
      </c>
      <c r="AT2552" s="399">
        <v>-0.4</v>
      </c>
      <c r="AU2552" s="618">
        <f>+AT2552</f>
        <v>-0.4</v>
      </c>
      <c r="AV2552" s="168"/>
      <c r="AW2552" s="168"/>
      <c r="AX2552" s="170"/>
      <c r="AY2552" s="86"/>
      <c r="AZ2552" s="272"/>
      <c r="BA2552" s="50"/>
      <c r="BB2552" s="31"/>
      <c r="BC2552" s="156"/>
      <c r="BD2552" s="341"/>
      <c r="BE2552" s="210"/>
      <c r="BF2552" s="168"/>
      <c r="BG2552" s="170"/>
      <c r="BH2552" s="86"/>
      <c r="BI2552" s="272"/>
      <c r="BJ2552" s="50"/>
      <c r="BK2552" s="31"/>
      <c r="BL2552" s="156"/>
      <c r="BM2552" s="341"/>
      <c r="BN2552" s="210"/>
      <c r="BO2552" s="168"/>
      <c r="BP2552" s="170"/>
      <c r="BQ2552" s="86"/>
      <c r="BR2552" s="50"/>
      <c r="BS2552" s="50"/>
      <c r="BT2552" s="31"/>
      <c r="BU2552" s="43"/>
      <c r="BV2552" s="209"/>
      <c r="BW2552" s="429"/>
      <c r="BX2552" s="311"/>
      <c r="BY2552" s="430"/>
    </row>
    <row r="2553" spans="1:77" s="14" customFormat="1" ht="15" customHeight="1" x14ac:dyDescent="0.2">
      <c r="A2553" s="56" t="s">
        <v>133</v>
      </c>
      <c r="B2553" s="56"/>
      <c r="C2553" s="107" t="s">
        <v>2286</v>
      </c>
      <c r="D2553" s="544"/>
      <c r="E2553" s="107" t="s">
        <v>387</v>
      </c>
      <c r="F2553" s="602"/>
      <c r="G2553" s="62"/>
      <c r="H2553" s="62"/>
      <c r="I2553" s="608"/>
      <c r="J2553" s="62"/>
      <c r="K2553" s="62"/>
      <c r="L2553" s="612"/>
      <c r="M2553" s="419"/>
      <c r="N2553" s="355"/>
      <c r="O2553" s="1048">
        <v>2014</v>
      </c>
      <c r="P2553" s="419"/>
      <c r="Q2553" s="355">
        <v>0.44379000000000002</v>
      </c>
      <c r="R2553" s="1048"/>
      <c r="S2553" s="419"/>
      <c r="T2553" s="355"/>
      <c r="U2553" s="419"/>
      <c r="V2553" s="62"/>
      <c r="W2553" s="674">
        <f>AA2553*(1+AB2553)</f>
        <v>4.2603839999999998E-4</v>
      </c>
      <c r="X2553" s="675">
        <f>AA2553*(1+AC2553)</f>
        <v>4.2603839999999998E-4</v>
      </c>
      <c r="Y2553" s="50">
        <v>2014</v>
      </c>
      <c r="Z2553" s="50"/>
      <c r="AA2553" s="773">
        <f>+Q2553/1000</f>
        <v>4.4379E-4</v>
      </c>
      <c r="AB2553" s="395">
        <v>-0.04</v>
      </c>
      <c r="AC2553" s="443">
        <f>AB2553</f>
        <v>-0.04</v>
      </c>
      <c r="AD2553" s="422"/>
      <c r="AE2553" s="168"/>
      <c r="AF2553" s="388"/>
      <c r="AG2553" s="389"/>
      <c r="AH2553" s="390"/>
      <c r="AI2553" s="50"/>
      <c r="AJ2553" s="31"/>
      <c r="AK2553" s="156"/>
      <c r="AL2553" s="284"/>
      <c r="AM2553" s="421"/>
      <c r="AN2553" s="168"/>
      <c r="AO2553" s="388"/>
      <c r="AP2553" s="389"/>
      <c r="AQ2553" s="390"/>
      <c r="AR2553" s="392"/>
      <c r="AS2553" s="392"/>
      <c r="AT2553" s="156"/>
      <c r="AU2553" s="284"/>
      <c r="AV2553" s="168"/>
      <c r="AW2553" s="168"/>
      <c r="AX2553" s="170"/>
      <c r="AY2553" s="86"/>
      <c r="AZ2553" s="272"/>
      <c r="BA2553" s="50"/>
      <c r="BB2553" s="31"/>
      <c r="BC2553" s="156"/>
      <c r="BD2553" s="341"/>
      <c r="BE2553" s="210"/>
      <c r="BF2553" s="168"/>
      <c r="BG2553" s="170"/>
      <c r="BH2553" s="86"/>
      <c r="BI2553" s="272"/>
      <c r="BJ2553" s="50"/>
      <c r="BK2553" s="31"/>
      <c r="BL2553" s="156"/>
      <c r="BM2553" s="341"/>
      <c r="BN2553" s="210"/>
      <c r="BO2553" s="168"/>
      <c r="BP2553" s="170"/>
      <c r="BQ2553" s="86"/>
      <c r="BR2553" s="50"/>
      <c r="BS2553" s="50"/>
      <c r="BT2553" s="31"/>
      <c r="BU2553" s="43"/>
      <c r="BV2553" s="209"/>
      <c r="BW2553" s="429"/>
      <c r="BX2553" s="311"/>
      <c r="BY2553" s="430"/>
    </row>
    <row r="2554" spans="1:77" s="14" customFormat="1" ht="15" customHeight="1" x14ac:dyDescent="0.2">
      <c r="A2554" s="56" t="s">
        <v>133</v>
      </c>
      <c r="B2554" s="56"/>
      <c r="C2554" s="107" t="s">
        <v>694</v>
      </c>
      <c r="D2554" s="544">
        <v>312.21300000000002</v>
      </c>
      <c r="E2554" s="107" t="s">
        <v>631</v>
      </c>
      <c r="F2554" s="602"/>
      <c r="G2554" s="62"/>
      <c r="H2554" s="62"/>
      <c r="I2554" s="608"/>
      <c r="J2554" s="62"/>
      <c r="K2554" s="62"/>
      <c r="L2554" s="778">
        <v>2009</v>
      </c>
      <c r="M2554" s="419"/>
      <c r="N2554" s="355">
        <v>0.58763900000000002</v>
      </c>
      <c r="O2554" s="1048"/>
      <c r="P2554" s="419"/>
      <c r="Q2554" s="355"/>
      <c r="R2554" s="1048"/>
      <c r="S2554" s="419"/>
      <c r="T2554" s="355"/>
      <c r="U2554" s="419"/>
      <c r="V2554" s="62"/>
      <c r="W2554" s="89">
        <f>AA2554*(1+AB2554)</f>
        <v>3.8196535000000002E-4</v>
      </c>
      <c r="X2554" s="87">
        <f>AA2554*(1+AC2554)</f>
        <v>3.8196535000000002E-4</v>
      </c>
      <c r="Y2554" s="50">
        <v>2009</v>
      </c>
      <c r="Z2554" s="50"/>
      <c r="AA2554" s="33">
        <f>+N2554/1000</f>
        <v>5.8763900000000004E-4</v>
      </c>
      <c r="AB2554" s="395">
        <v>-0.35</v>
      </c>
      <c r="AC2554" s="443">
        <f>AB2554</f>
        <v>-0.35</v>
      </c>
      <c r="AD2554" s="422"/>
      <c r="AE2554" s="168"/>
      <c r="AF2554" s="388"/>
      <c r="AG2554" s="389"/>
      <c r="AH2554" s="390"/>
      <c r="AI2554" s="50"/>
      <c r="AJ2554" s="31"/>
      <c r="AK2554" s="156"/>
      <c r="AL2554" s="284"/>
      <c r="AM2554" s="421"/>
      <c r="AN2554" s="168"/>
      <c r="AO2554" s="388"/>
      <c r="AP2554" s="389"/>
      <c r="AQ2554" s="390"/>
      <c r="AR2554" s="392"/>
      <c r="AS2554" s="392"/>
      <c r="AT2554" s="156"/>
      <c r="AU2554" s="284"/>
      <c r="AV2554" s="168"/>
      <c r="AW2554" s="168"/>
      <c r="AX2554" s="170"/>
      <c r="AY2554" s="86"/>
      <c r="AZ2554" s="272"/>
      <c r="BA2554" s="50"/>
      <c r="BB2554" s="31"/>
      <c r="BC2554" s="156"/>
      <c r="BD2554" s="341"/>
      <c r="BE2554" s="210"/>
      <c r="BF2554" s="168"/>
      <c r="BG2554" s="170"/>
      <c r="BH2554" s="86"/>
      <c r="BI2554" s="272"/>
      <c r="BJ2554" s="50"/>
      <c r="BK2554" s="31"/>
      <c r="BL2554" s="156"/>
      <c r="BM2554" s="341"/>
      <c r="BN2554" s="210"/>
      <c r="BO2554" s="168"/>
      <c r="BP2554" s="170"/>
      <c r="BQ2554" s="86"/>
      <c r="BR2554" s="50"/>
      <c r="BS2554" s="50"/>
      <c r="BT2554" s="31"/>
      <c r="BU2554" s="43"/>
      <c r="BV2554" s="209"/>
      <c r="BW2554" s="429"/>
      <c r="BX2554" s="311"/>
      <c r="BY2554" s="430"/>
    </row>
    <row r="2555" spans="1:77" s="14" customFormat="1" ht="15" customHeight="1" x14ac:dyDescent="0.2">
      <c r="A2555" s="56" t="s">
        <v>133</v>
      </c>
      <c r="B2555" s="56"/>
      <c r="C2555" s="107" t="s">
        <v>2357</v>
      </c>
      <c r="D2555" s="544">
        <v>460.95499999999998</v>
      </c>
      <c r="E2555" s="107" t="s">
        <v>631</v>
      </c>
      <c r="F2555" s="602"/>
      <c r="G2555" s="62"/>
      <c r="H2555" s="62"/>
      <c r="I2555" s="608"/>
      <c r="J2555" s="62"/>
      <c r="K2555" s="62"/>
      <c r="L2555" s="778"/>
      <c r="M2555" s="419"/>
      <c r="N2555" s="355"/>
      <c r="O2555" s="1048">
        <v>2014</v>
      </c>
      <c r="P2555" s="419"/>
      <c r="Q2555" s="355">
        <v>1.250618</v>
      </c>
      <c r="R2555" s="1048"/>
      <c r="S2555" s="419"/>
      <c r="T2555" s="355"/>
      <c r="U2555" s="419"/>
      <c r="V2555" s="62"/>
      <c r="W2555" s="89">
        <f>AA2555*(1+AB2555)</f>
        <v>9.7548204000000001E-4</v>
      </c>
      <c r="X2555" s="87">
        <f>AA2555*(1+AC2555)</f>
        <v>9.7548204000000001E-4</v>
      </c>
      <c r="Y2555" s="50">
        <v>2014</v>
      </c>
      <c r="Z2555" s="50"/>
      <c r="AA2555" s="33">
        <f>+Q2555/1000</f>
        <v>1.250618E-3</v>
      </c>
      <c r="AB2555" s="395">
        <v>-0.22</v>
      </c>
      <c r="AC2555" s="443">
        <f>AB2555</f>
        <v>-0.22</v>
      </c>
      <c r="AD2555" s="422"/>
      <c r="AE2555" s="168"/>
      <c r="AF2555" s="388"/>
      <c r="AG2555" s="389"/>
      <c r="AH2555" s="390"/>
      <c r="AI2555" s="50"/>
      <c r="AJ2555" s="31"/>
      <c r="AK2555" s="156"/>
      <c r="AL2555" s="284"/>
      <c r="AM2555" s="421"/>
      <c r="AN2555" s="168"/>
      <c r="AO2555" s="388"/>
      <c r="AP2555" s="389"/>
      <c r="AQ2555" s="390"/>
      <c r="AR2555" s="392"/>
      <c r="AS2555" s="392"/>
      <c r="AT2555" s="156"/>
      <c r="AU2555" s="284"/>
      <c r="AV2555" s="168"/>
      <c r="AW2555" s="168"/>
      <c r="AX2555" s="170"/>
      <c r="AY2555" s="86"/>
      <c r="AZ2555" s="272"/>
      <c r="BA2555" s="50"/>
      <c r="BB2555" s="31"/>
      <c r="BC2555" s="156"/>
      <c r="BD2555" s="341"/>
      <c r="BE2555" s="210"/>
      <c r="BF2555" s="168"/>
      <c r="BG2555" s="170"/>
      <c r="BH2555" s="86"/>
      <c r="BI2555" s="272"/>
      <c r="BJ2555" s="50"/>
      <c r="BK2555" s="31"/>
      <c r="BL2555" s="156"/>
      <c r="BM2555" s="341"/>
      <c r="BN2555" s="210"/>
      <c r="BO2555" s="168"/>
      <c r="BP2555" s="170"/>
      <c r="BQ2555" s="86"/>
      <c r="BR2555" s="50"/>
      <c r="BS2555" s="50"/>
      <c r="BT2555" s="31"/>
      <c r="BU2555" s="43"/>
      <c r="BV2555" s="209"/>
      <c r="BW2555" s="429"/>
      <c r="BX2555" s="311"/>
      <c r="BY2555" s="430"/>
    </row>
    <row r="2556" spans="1:77" s="14" customFormat="1" ht="15" customHeight="1" x14ac:dyDescent="0.2">
      <c r="A2556" s="56" t="s">
        <v>133</v>
      </c>
      <c r="B2556" s="56"/>
      <c r="C2556" s="107" t="s">
        <v>2127</v>
      </c>
      <c r="D2556" s="544">
        <v>350</v>
      </c>
      <c r="E2556" s="107" t="s">
        <v>631</v>
      </c>
      <c r="F2556" s="602"/>
      <c r="G2556" s="62"/>
      <c r="H2556" s="62"/>
      <c r="I2556" s="608"/>
      <c r="J2556" s="62"/>
      <c r="K2556" s="62"/>
      <c r="L2556" s="612"/>
      <c r="M2556" s="419"/>
      <c r="N2556" s="355"/>
      <c r="O2556" s="1048">
        <v>2013</v>
      </c>
      <c r="P2556" s="419"/>
      <c r="Q2556" s="355">
        <f>2.6*350/1000</f>
        <v>0.91</v>
      </c>
      <c r="R2556" s="1048"/>
      <c r="S2556" s="419"/>
      <c r="T2556" s="355"/>
      <c r="U2556" s="419"/>
      <c r="V2556" s="62"/>
      <c r="W2556" s="674">
        <f t="shared" ref="W2556" si="2230">AA2556*(1+AB2556)</f>
        <v>7.2800000000000002E-4</v>
      </c>
      <c r="X2556" s="675">
        <f t="shared" ref="X2556" si="2231">AA2556*(1+AC2556)</f>
        <v>7.2800000000000002E-4</v>
      </c>
      <c r="Y2556" s="50">
        <v>2013</v>
      </c>
      <c r="Z2556" s="50"/>
      <c r="AA2556" s="773">
        <f>+Q2556/1000</f>
        <v>9.1E-4</v>
      </c>
      <c r="AB2556" s="395">
        <v>-0.2</v>
      </c>
      <c r="AC2556" s="443">
        <f t="shared" ref="AC2556" si="2232">AB2556</f>
        <v>-0.2</v>
      </c>
      <c r="AD2556" s="422"/>
      <c r="AE2556" s="168"/>
      <c r="AF2556" s="388"/>
      <c r="AG2556" s="389"/>
      <c r="AH2556" s="390"/>
      <c r="AI2556" s="50"/>
      <c r="AJ2556" s="31"/>
      <c r="AK2556" s="156"/>
      <c r="AL2556" s="284"/>
      <c r="AM2556" s="421"/>
      <c r="AN2556" s="168"/>
      <c r="AO2556" s="388"/>
      <c r="AP2556" s="389"/>
      <c r="AQ2556" s="390"/>
      <c r="AR2556" s="392"/>
      <c r="AS2556" s="392"/>
      <c r="AT2556" s="156"/>
      <c r="AU2556" s="284"/>
      <c r="AV2556" s="168"/>
      <c r="AW2556" s="168"/>
      <c r="AX2556" s="170"/>
      <c r="AY2556" s="86"/>
      <c r="AZ2556" s="272"/>
      <c r="BA2556" s="50"/>
      <c r="BB2556" s="31"/>
      <c r="BC2556" s="156"/>
      <c r="BD2556" s="341"/>
      <c r="BE2556" s="210"/>
      <c r="BF2556" s="168"/>
      <c r="BG2556" s="170"/>
      <c r="BH2556" s="86"/>
      <c r="BI2556" s="272"/>
      <c r="BJ2556" s="50"/>
      <c r="BK2556" s="31"/>
      <c r="BL2556" s="156"/>
      <c r="BM2556" s="341"/>
      <c r="BN2556" s="210"/>
      <c r="BO2556" s="168"/>
      <c r="BP2556" s="170"/>
      <c r="BQ2556" s="86"/>
      <c r="BR2556" s="50"/>
      <c r="BS2556" s="50"/>
      <c r="BT2556" s="31"/>
      <c r="BU2556" s="43"/>
      <c r="BV2556" s="209"/>
      <c r="BW2556" s="429"/>
      <c r="BX2556" s="311"/>
      <c r="BY2556" s="430"/>
    </row>
    <row r="2557" spans="1:77" s="14" customFormat="1" ht="15" customHeight="1" x14ac:dyDescent="0.2">
      <c r="A2557" s="56" t="s">
        <v>133</v>
      </c>
      <c r="B2557" s="56"/>
      <c r="C2557" s="107" t="s">
        <v>691</v>
      </c>
      <c r="D2557" s="544">
        <v>35</v>
      </c>
      <c r="E2557" s="107" t="s">
        <v>631</v>
      </c>
      <c r="F2557" s="602"/>
      <c r="G2557" s="62"/>
      <c r="H2557" s="62"/>
      <c r="I2557" s="608"/>
      <c r="J2557" s="62"/>
      <c r="K2557" s="62"/>
      <c r="L2557" s="778">
        <v>2012</v>
      </c>
      <c r="M2557" s="419"/>
      <c r="N2557" s="357">
        <v>5.5660000000000001E-2</v>
      </c>
      <c r="O2557" s="1048"/>
      <c r="P2557" s="419"/>
      <c r="Q2557" s="357"/>
      <c r="R2557" s="1048"/>
      <c r="S2557" s="419"/>
      <c r="T2557" s="357"/>
      <c r="U2557" s="419"/>
      <c r="V2557" s="62"/>
      <c r="W2557" s="674">
        <f t="shared" si="2223"/>
        <v>4.2301600000000002E-5</v>
      </c>
      <c r="X2557" s="675">
        <f t="shared" si="2224"/>
        <v>4.2301600000000002E-5</v>
      </c>
      <c r="Y2557" s="50">
        <v>2012</v>
      </c>
      <c r="Z2557" s="50"/>
      <c r="AA2557" s="773">
        <f t="shared" si="2225"/>
        <v>5.5659999999999999E-5</v>
      </c>
      <c r="AB2557" s="395">
        <v>-0.24</v>
      </c>
      <c r="AC2557" s="443">
        <f t="shared" si="2226"/>
        <v>-0.24</v>
      </c>
      <c r="AD2557" s="422"/>
      <c r="AE2557" s="168"/>
      <c r="AF2557" s="388"/>
      <c r="AG2557" s="389"/>
      <c r="AH2557" s="390"/>
      <c r="AI2557" s="50"/>
      <c r="AJ2557" s="31"/>
      <c r="AK2557" s="156"/>
      <c r="AL2557" s="284"/>
      <c r="AM2557" s="421"/>
      <c r="AN2557" s="168"/>
      <c r="AO2557" s="388"/>
      <c r="AP2557" s="389"/>
      <c r="AQ2557" s="390"/>
      <c r="AR2557" s="392"/>
      <c r="AS2557" s="392"/>
      <c r="AT2557" s="156"/>
      <c r="AU2557" s="284"/>
      <c r="AV2557" s="168"/>
      <c r="AW2557" s="168"/>
      <c r="AX2557" s="170"/>
      <c r="AY2557" s="86"/>
      <c r="AZ2557" s="272"/>
      <c r="BA2557" s="50"/>
      <c r="BB2557" s="31"/>
      <c r="BC2557" s="156"/>
      <c r="BD2557" s="341"/>
      <c r="BE2557" s="210"/>
      <c r="BF2557" s="168"/>
      <c r="BG2557" s="170"/>
      <c r="BH2557" s="86"/>
      <c r="BI2557" s="272"/>
      <c r="BJ2557" s="50"/>
      <c r="BK2557" s="31"/>
      <c r="BL2557" s="156"/>
      <c r="BM2557" s="341"/>
      <c r="BN2557" s="210"/>
      <c r="BO2557" s="168"/>
      <c r="BP2557" s="170"/>
      <c r="BQ2557" s="86"/>
      <c r="BR2557" s="50"/>
      <c r="BS2557" s="50"/>
      <c r="BT2557" s="31"/>
      <c r="BU2557" s="43"/>
      <c r="BV2557" s="209"/>
      <c r="BW2557" s="429"/>
      <c r="BX2557" s="311"/>
      <c r="BY2557" s="430"/>
    </row>
    <row r="2558" spans="1:77" ht="15" customHeight="1" x14ac:dyDescent="0.2">
      <c r="A2558" s="574" t="s">
        <v>120</v>
      </c>
      <c r="B2558" s="56" t="s">
        <v>1606</v>
      </c>
      <c r="C2558" s="574"/>
      <c r="D2558" s="544">
        <v>5041.9949999999999</v>
      </c>
      <c r="E2558" s="95" t="s">
        <v>317</v>
      </c>
      <c r="F2558" s="604">
        <v>1994</v>
      </c>
      <c r="G2558" s="99">
        <f>H2558-0.8</f>
        <v>34.101310000000005</v>
      </c>
      <c r="H2558" s="68">
        <v>34.901310000000002</v>
      </c>
      <c r="I2558" s="418">
        <v>2004</v>
      </c>
      <c r="J2558" s="68">
        <f>K2558-0.8</f>
        <v>59.769920000000006</v>
      </c>
      <c r="K2558" s="69">
        <v>60.569920000000003</v>
      </c>
      <c r="L2558" s="418">
        <v>2012</v>
      </c>
      <c r="M2558" s="437">
        <f>135.833/2</f>
        <v>67.916499999999999</v>
      </c>
      <c r="N2558" s="356"/>
      <c r="O2558" s="605"/>
      <c r="P2558" s="437"/>
      <c r="Q2558" s="356"/>
      <c r="R2558" s="605"/>
      <c r="S2558" s="437"/>
      <c r="T2558" s="356"/>
      <c r="U2558" s="68"/>
      <c r="V2558" s="68"/>
      <c r="W2558" s="27"/>
      <c r="X2558" s="28"/>
      <c r="Y2558" s="145"/>
      <c r="Z2558" s="38"/>
      <c r="AA2558" s="145"/>
      <c r="AB2558" s="80"/>
      <c r="AC2558" s="209"/>
      <c r="AE2558" s="16"/>
      <c r="AF2558" s="136"/>
      <c r="AG2558" s="59"/>
      <c r="AH2558" s="77"/>
      <c r="AI2558" s="38"/>
      <c r="AJ2558" s="145"/>
      <c r="AK2558" s="80"/>
      <c r="AL2558" s="215"/>
      <c r="AM2558" s="456">
        <f>135.833/1000</f>
        <v>0.13583300000000001</v>
      </c>
      <c r="AN2558" s="16"/>
      <c r="AO2558" s="454">
        <f>+AM2558</f>
        <v>0.13583300000000001</v>
      </c>
      <c r="AP2558" s="439">
        <f>M2558/1000</f>
        <v>6.7916500000000005E-2</v>
      </c>
      <c r="AQ2558" s="77"/>
      <c r="AR2558" s="38"/>
      <c r="AS2558" s="145"/>
      <c r="AT2558" s="80"/>
      <c r="AU2558" s="215"/>
      <c r="AV2558" s="16"/>
      <c r="AW2558" s="16"/>
      <c r="AX2558" s="19"/>
      <c r="AY2558" s="20"/>
      <c r="AZ2558" s="77"/>
      <c r="BA2558" s="38"/>
      <c r="BB2558" s="145"/>
      <c r="BC2558" s="80"/>
      <c r="BD2558" s="75"/>
      <c r="BE2558" s="208"/>
      <c r="BF2558" s="16"/>
      <c r="BG2558" s="19"/>
      <c r="BH2558" s="20"/>
      <c r="BI2558" s="77"/>
      <c r="BJ2558" s="38"/>
      <c r="BK2558" s="145"/>
      <c r="BL2558" s="80"/>
      <c r="BM2558" s="75"/>
      <c r="BN2558" s="208"/>
      <c r="BO2558" s="16"/>
      <c r="BP2558" s="19"/>
      <c r="BQ2558" s="20"/>
      <c r="BR2558" s="32"/>
      <c r="BS2558" s="38"/>
      <c r="BT2558" s="145"/>
      <c r="BU2558" s="80"/>
      <c r="BV2558" s="215"/>
      <c r="BX2558" s="321"/>
      <c r="BY2558" s="38"/>
    </row>
    <row r="2559" spans="1:77" ht="15" customHeight="1" x14ac:dyDescent="0.2">
      <c r="A2559" s="56" t="s">
        <v>12</v>
      </c>
      <c r="B2559" s="56" t="s">
        <v>1606</v>
      </c>
      <c r="C2559" s="56"/>
      <c r="D2559" s="544">
        <v>46050.22</v>
      </c>
      <c r="E2559" s="624" t="s">
        <v>2176</v>
      </c>
      <c r="F2559" s="602"/>
      <c r="G2559" s="775">
        <v>882.9</v>
      </c>
      <c r="H2559" s="656">
        <f>G2559+460.2659</f>
        <v>1343.1659</v>
      </c>
      <c r="I2559" s="608"/>
      <c r="J2559" s="62">
        <v>406.06307661689499</v>
      </c>
      <c r="K2559" s="62">
        <v>435.66066170008799</v>
      </c>
      <c r="L2559" s="608"/>
      <c r="M2559" s="62">
        <v>370.45958956137702</v>
      </c>
      <c r="N2559" s="355">
        <v>401.92909334510603</v>
      </c>
      <c r="O2559" s="603">
        <v>2014</v>
      </c>
      <c r="P2559" s="943">
        <v>341.434103035433</v>
      </c>
      <c r="Q2559" s="944">
        <v>354.34753669117902</v>
      </c>
      <c r="R2559" s="603"/>
      <c r="S2559" s="943"/>
      <c r="T2559" s="944"/>
      <c r="U2559" s="62"/>
      <c r="V2559" s="61"/>
      <c r="W2559" s="19">
        <f t="shared" ref="W2559:W2560" si="2233">AA2559*(1+AB2559)</f>
        <v>1.0745327200000001</v>
      </c>
      <c r="X2559" s="20">
        <f t="shared" ref="X2559:X2560" si="2234">AA2559*(1+AC2559)</f>
        <v>1.0745327200000001</v>
      </c>
      <c r="Y2559" s="50">
        <v>1990</v>
      </c>
      <c r="Z2559" s="50"/>
      <c r="AA2559" s="31">
        <f>+H2559/1000</f>
        <v>1.3431659</v>
      </c>
      <c r="AB2559" s="395">
        <v>-0.2</v>
      </c>
      <c r="AC2559" s="443">
        <v>-0.2</v>
      </c>
      <c r="AD2559" s="16"/>
      <c r="AE2559" s="16"/>
      <c r="AF2559" s="170"/>
      <c r="AG2559" s="86"/>
      <c r="AH2559" s="272"/>
      <c r="AI2559" s="50"/>
      <c r="AJ2559" s="31"/>
      <c r="AK2559" s="156"/>
      <c r="AL2559" s="284"/>
      <c r="AM2559" s="208"/>
      <c r="AN2559" s="16"/>
      <c r="AO2559" s="1371">
        <f>AR2559*(1+AT2559)</f>
        <v>0.30901499999999998</v>
      </c>
      <c r="AP2559" s="1372">
        <f>AR2559*(1+AU2559)</f>
        <v>0.30901499999999998</v>
      </c>
      <c r="AQ2559" s="1373">
        <v>1990</v>
      </c>
      <c r="AR2559" s="1375">
        <f>+G2559/1000</f>
        <v>0.88290000000000002</v>
      </c>
      <c r="AS2559" s="1375"/>
      <c r="AT2559" s="1341">
        <v>-0.65</v>
      </c>
      <c r="AU2559" s="694">
        <f>AT2559</f>
        <v>-0.65</v>
      </c>
      <c r="AV2559" s="16"/>
      <c r="AW2559" s="16"/>
      <c r="AX2559" s="170"/>
      <c r="AY2559" s="86"/>
      <c r="AZ2559" s="272"/>
      <c r="BA2559" s="50"/>
      <c r="BB2559" s="31"/>
      <c r="BC2559" s="156"/>
      <c r="BD2559" s="341"/>
      <c r="BE2559" s="208"/>
      <c r="BF2559" s="16"/>
      <c r="BG2559" s="170"/>
      <c r="BH2559" s="86"/>
      <c r="BI2559" s="272"/>
      <c r="BJ2559" s="50"/>
      <c r="BK2559" s="31"/>
      <c r="BL2559" s="156"/>
      <c r="BM2559" s="341"/>
      <c r="BN2559" s="208"/>
      <c r="BO2559" s="16"/>
      <c r="BP2559" s="170"/>
      <c r="BQ2559" s="86"/>
      <c r="BR2559" s="50"/>
      <c r="BS2559" s="50"/>
      <c r="BT2559" s="31"/>
      <c r="BU2559" s="43"/>
      <c r="BV2559" s="209"/>
      <c r="BW2559" s="141" t="s">
        <v>258</v>
      </c>
      <c r="BX2559" s="311"/>
      <c r="BY2559" s="137" t="s">
        <v>225</v>
      </c>
    </row>
    <row r="2560" spans="1:77" ht="15" customHeight="1" x14ac:dyDescent="0.2">
      <c r="A2560" s="56" t="s">
        <v>12</v>
      </c>
      <c r="B2560" s="56"/>
      <c r="C2560" s="107" t="s">
        <v>2361</v>
      </c>
      <c r="D2560" s="544">
        <v>80.655000000000001</v>
      </c>
      <c r="E2560" s="107" t="s">
        <v>631</v>
      </c>
      <c r="F2560" s="602"/>
      <c r="G2560" s="419"/>
      <c r="H2560" s="419"/>
      <c r="I2560" s="608"/>
      <c r="J2560" s="62"/>
      <c r="K2560" s="62"/>
      <c r="L2560" s="608"/>
      <c r="M2560" s="62"/>
      <c r="N2560" s="355"/>
      <c r="O2560" s="603">
        <v>2012</v>
      </c>
      <c r="P2560" s="62"/>
      <c r="Q2560" s="355">
        <v>0.51362200000000002</v>
      </c>
      <c r="R2560" s="603"/>
      <c r="S2560" s="62"/>
      <c r="T2560" s="355"/>
      <c r="U2560" s="62"/>
      <c r="V2560" s="62"/>
      <c r="W2560" s="699">
        <f t="shared" si="2233"/>
        <v>4.0576138000000003E-4</v>
      </c>
      <c r="X2560" s="779">
        <f t="shared" si="2234"/>
        <v>4.0576138000000003E-4</v>
      </c>
      <c r="Y2560" s="50">
        <v>2010</v>
      </c>
      <c r="Z2560" s="50"/>
      <c r="AA2560" s="773">
        <f>+Q2560/1000</f>
        <v>5.1362200000000004E-4</v>
      </c>
      <c r="AB2560" s="395">
        <v>-0.21</v>
      </c>
      <c r="AC2560" s="443">
        <f t="shared" ref="AC2560" si="2235">AB2560</f>
        <v>-0.21</v>
      </c>
      <c r="AD2560" s="16"/>
      <c r="AE2560" s="16"/>
      <c r="AF2560" s="170"/>
      <c r="AG2560" s="86"/>
      <c r="AH2560" s="272"/>
      <c r="AI2560" s="50"/>
      <c r="AJ2560" s="31"/>
      <c r="AK2560" s="156"/>
      <c r="AL2560" s="284"/>
      <c r="AM2560" s="208"/>
      <c r="AN2560" s="16"/>
      <c r="AO2560" s="388"/>
      <c r="AP2560" s="389"/>
      <c r="AQ2560" s="390"/>
      <c r="AR2560" s="392"/>
      <c r="AS2560" s="31"/>
      <c r="AT2560" s="156"/>
      <c r="AU2560" s="284"/>
      <c r="AV2560" s="16"/>
      <c r="AW2560" s="16"/>
      <c r="AX2560" s="170"/>
      <c r="AY2560" s="86"/>
      <c r="AZ2560" s="272"/>
      <c r="BA2560" s="50"/>
      <c r="BB2560" s="31"/>
      <c r="BC2560" s="156"/>
      <c r="BD2560" s="341"/>
      <c r="BE2560" s="208"/>
      <c r="BF2560" s="16"/>
      <c r="BG2560" s="170"/>
      <c r="BH2560" s="86"/>
      <c r="BI2560" s="272"/>
      <c r="BJ2560" s="50"/>
      <c r="BK2560" s="31"/>
      <c r="BL2560" s="156"/>
      <c r="BM2560" s="341"/>
      <c r="BN2560" s="208"/>
      <c r="BO2560" s="16"/>
      <c r="BP2560" s="170"/>
      <c r="BQ2560" s="86"/>
      <c r="BR2560" s="50"/>
      <c r="BS2560" s="50"/>
      <c r="BT2560" s="31"/>
      <c r="BU2560" s="43"/>
      <c r="BV2560" s="209"/>
      <c r="BW2560" s="141"/>
      <c r="BX2560" s="311"/>
      <c r="BY2560" s="137"/>
    </row>
    <row r="2561" spans="1:77" ht="15" customHeight="1" x14ac:dyDescent="0.2">
      <c r="A2561" s="56" t="s">
        <v>12</v>
      </c>
      <c r="B2561" s="56"/>
      <c r="C2561" s="107" t="s">
        <v>705</v>
      </c>
      <c r="D2561" s="544">
        <v>115.11</v>
      </c>
      <c r="E2561" s="107" t="s">
        <v>631</v>
      </c>
      <c r="F2561" s="602"/>
      <c r="G2561" s="419"/>
      <c r="H2561" s="419"/>
      <c r="I2561" s="608"/>
      <c r="J2561" s="62"/>
      <c r="K2561" s="62"/>
      <c r="L2561" s="608">
        <v>2011</v>
      </c>
      <c r="M2561" s="62"/>
      <c r="N2561" s="355">
        <v>0.47422999999999998</v>
      </c>
      <c r="O2561" s="603"/>
      <c r="P2561" s="62"/>
      <c r="Q2561" s="355"/>
      <c r="R2561" s="603"/>
      <c r="S2561" s="62"/>
      <c r="T2561" s="355"/>
      <c r="U2561" s="62"/>
      <c r="V2561" s="62"/>
      <c r="W2561" s="699">
        <f t="shared" ref="W2561:W2647" si="2236">AA2561*(1+AB2561)</f>
        <v>3.7938399999999997E-4</v>
      </c>
      <c r="X2561" s="779">
        <f t="shared" ref="X2561:X2647" si="2237">AA2561*(1+AC2561)</f>
        <v>3.7938399999999997E-4</v>
      </c>
      <c r="Y2561" s="50">
        <v>2011</v>
      </c>
      <c r="Z2561" s="50"/>
      <c r="AA2561" s="773">
        <f t="shared" ref="AA2561:AA2583" si="2238">+N2561/1000</f>
        <v>4.7422999999999996E-4</v>
      </c>
      <c r="AB2561" s="395">
        <v>-0.2</v>
      </c>
      <c r="AC2561" s="443">
        <f t="shared" ref="AC2561:AC2647" si="2239">AB2561</f>
        <v>-0.2</v>
      </c>
      <c r="AD2561" s="16"/>
      <c r="AE2561" s="16"/>
      <c r="AF2561" s="170"/>
      <c r="AG2561" s="86"/>
      <c r="AH2561" s="272"/>
      <c r="AI2561" s="50"/>
      <c r="AJ2561" s="31"/>
      <c r="AK2561" s="156"/>
      <c r="AL2561" s="284"/>
      <c r="AM2561" s="208"/>
      <c r="AN2561" s="16"/>
      <c r="AO2561" s="388"/>
      <c r="AP2561" s="389"/>
      <c r="AQ2561" s="390"/>
      <c r="AR2561" s="392"/>
      <c r="AS2561" s="31"/>
      <c r="AT2561" s="156"/>
      <c r="AU2561" s="284"/>
      <c r="AV2561" s="16"/>
      <c r="AW2561" s="16"/>
      <c r="AX2561" s="170"/>
      <c r="AY2561" s="86"/>
      <c r="AZ2561" s="272"/>
      <c r="BA2561" s="50"/>
      <c r="BB2561" s="31"/>
      <c r="BC2561" s="156"/>
      <c r="BD2561" s="341"/>
      <c r="BE2561" s="208"/>
      <c r="BF2561" s="16"/>
      <c r="BG2561" s="170"/>
      <c r="BH2561" s="86"/>
      <c r="BI2561" s="272"/>
      <c r="BJ2561" s="50"/>
      <c r="BK2561" s="31"/>
      <c r="BL2561" s="156"/>
      <c r="BM2561" s="341"/>
      <c r="BN2561" s="208"/>
      <c r="BO2561" s="16"/>
      <c r="BP2561" s="170"/>
      <c r="BQ2561" s="86"/>
      <c r="BR2561" s="50"/>
      <c r="BS2561" s="50"/>
      <c r="BT2561" s="31"/>
      <c r="BU2561" s="43"/>
      <c r="BV2561" s="209"/>
      <c r="BW2561" s="141"/>
      <c r="BX2561" s="311"/>
      <c r="BY2561" s="137"/>
    </row>
    <row r="2562" spans="1:77" ht="15" customHeight="1" x14ac:dyDescent="0.2">
      <c r="A2562" s="56" t="s">
        <v>12</v>
      </c>
      <c r="B2562" s="56"/>
      <c r="C2562" s="107" t="s">
        <v>729</v>
      </c>
      <c r="D2562" s="544">
        <v>78.546999999999997</v>
      </c>
      <c r="E2562" s="107" t="s">
        <v>631</v>
      </c>
      <c r="F2562" s="602"/>
      <c r="G2562" s="419"/>
      <c r="H2562" s="419"/>
      <c r="I2562" s="608"/>
      <c r="J2562" s="62"/>
      <c r="K2562" s="62"/>
      <c r="L2562" s="608"/>
      <c r="M2562" s="62"/>
      <c r="N2562" s="355">
        <v>0.18409300000000001</v>
      </c>
      <c r="O2562" s="603"/>
      <c r="P2562" s="62"/>
      <c r="Q2562" s="355"/>
      <c r="R2562" s="603"/>
      <c r="S2562" s="62"/>
      <c r="T2562" s="355"/>
      <c r="U2562" s="62"/>
      <c r="V2562" s="62"/>
      <c r="W2562" s="699">
        <f t="shared" si="2236"/>
        <v>1.4543347000000001E-4</v>
      </c>
      <c r="X2562" s="779">
        <f t="shared" si="2237"/>
        <v>1.4543347000000001E-4</v>
      </c>
      <c r="Y2562" s="50">
        <v>2010</v>
      </c>
      <c r="Z2562" s="50"/>
      <c r="AA2562" s="773">
        <f t="shared" si="2238"/>
        <v>1.84093E-4</v>
      </c>
      <c r="AB2562" s="395">
        <v>-0.21</v>
      </c>
      <c r="AC2562" s="443">
        <f t="shared" si="2239"/>
        <v>-0.21</v>
      </c>
      <c r="AD2562" s="16"/>
      <c r="AE2562" s="16"/>
      <c r="AF2562" s="170"/>
      <c r="AG2562" s="86"/>
      <c r="AH2562" s="272"/>
      <c r="AI2562" s="50"/>
      <c r="AJ2562" s="31"/>
      <c r="AK2562" s="156"/>
      <c r="AL2562" s="284"/>
      <c r="AM2562" s="208"/>
      <c r="AN2562" s="16"/>
      <c r="AO2562" s="388"/>
      <c r="AP2562" s="389"/>
      <c r="AQ2562" s="390"/>
      <c r="AR2562" s="392"/>
      <c r="AS2562" s="31"/>
      <c r="AT2562" s="156"/>
      <c r="AU2562" s="284"/>
      <c r="AV2562" s="16"/>
      <c r="AW2562" s="16"/>
      <c r="AX2562" s="170"/>
      <c r="AY2562" s="86"/>
      <c r="AZ2562" s="272"/>
      <c r="BA2562" s="50"/>
      <c r="BB2562" s="31"/>
      <c r="BC2562" s="156"/>
      <c r="BD2562" s="341"/>
      <c r="BE2562" s="208"/>
      <c r="BF2562" s="16"/>
      <c r="BG2562" s="170"/>
      <c r="BH2562" s="86"/>
      <c r="BI2562" s="272"/>
      <c r="BJ2562" s="50"/>
      <c r="BK2562" s="31"/>
      <c r="BL2562" s="156"/>
      <c r="BM2562" s="341"/>
      <c r="BN2562" s="208"/>
      <c r="BO2562" s="16"/>
      <c r="BP2562" s="170"/>
      <c r="BQ2562" s="86"/>
      <c r="BR2562" s="50"/>
      <c r="BS2562" s="50"/>
      <c r="BT2562" s="31"/>
      <c r="BU2562" s="43"/>
      <c r="BV2562" s="209"/>
      <c r="BW2562" s="141"/>
      <c r="BX2562" s="311"/>
      <c r="BY2562" s="137"/>
    </row>
    <row r="2563" spans="1:77" ht="15" customHeight="1" x14ac:dyDescent="0.2">
      <c r="A2563" s="56" t="s">
        <v>12</v>
      </c>
      <c r="B2563" s="56"/>
      <c r="C2563" s="107" t="s">
        <v>2643</v>
      </c>
      <c r="D2563" s="544">
        <v>209.815</v>
      </c>
      <c r="E2563" s="107" t="s">
        <v>631</v>
      </c>
      <c r="F2563" s="602"/>
      <c r="G2563" s="419"/>
      <c r="H2563" s="419"/>
      <c r="I2563" s="608"/>
      <c r="J2563" s="62"/>
      <c r="K2563" s="62"/>
      <c r="L2563" s="608"/>
      <c r="M2563" s="62"/>
      <c r="N2563" s="355"/>
      <c r="O2563" s="603">
        <v>2013</v>
      </c>
      <c r="P2563" s="62"/>
      <c r="Q2563" s="357">
        <v>0.54623699999999997</v>
      </c>
      <c r="R2563" s="603"/>
      <c r="S2563" s="62"/>
      <c r="T2563" s="357"/>
      <c r="U2563" s="62"/>
      <c r="V2563" s="62"/>
      <c r="W2563" s="699"/>
      <c r="X2563" s="779"/>
      <c r="Y2563" s="50"/>
      <c r="Z2563" s="50"/>
      <c r="AA2563" s="773"/>
      <c r="AB2563" s="395"/>
      <c r="AC2563" s="443"/>
      <c r="AD2563" s="16"/>
      <c r="AE2563" s="16"/>
      <c r="AF2563" s="170"/>
      <c r="AG2563" s="86"/>
      <c r="AH2563" s="272"/>
      <c r="AI2563" s="50"/>
      <c r="AJ2563" s="31"/>
      <c r="AK2563" s="156"/>
      <c r="AL2563" s="284"/>
      <c r="AM2563" s="208"/>
      <c r="AN2563" s="16"/>
      <c r="AO2563" s="699">
        <f t="shared" ref="AO2563" si="2240">AS2563*(1+AT2563)</f>
        <v>3.2774219999999997E-4</v>
      </c>
      <c r="AP2563" s="779">
        <f t="shared" ref="AP2563" si="2241">AS2563*(1+AU2563)</f>
        <v>3.2774219999999997E-4</v>
      </c>
      <c r="AQ2563" s="50">
        <v>2013</v>
      </c>
      <c r="AR2563" s="50"/>
      <c r="AS2563" s="773">
        <f>+Q2563/1000</f>
        <v>5.4623699999999998E-4</v>
      </c>
      <c r="AT2563" s="395">
        <v>-0.4</v>
      </c>
      <c r="AU2563" s="443">
        <f t="shared" ref="AU2563" si="2242">AT2563</f>
        <v>-0.4</v>
      </c>
      <c r="AV2563" s="16"/>
      <c r="AW2563" s="16"/>
      <c r="AX2563" s="170"/>
      <c r="AY2563" s="86"/>
      <c r="AZ2563" s="272"/>
      <c r="BA2563" s="50"/>
      <c r="BB2563" s="31"/>
      <c r="BC2563" s="156"/>
      <c r="BD2563" s="341"/>
      <c r="BE2563" s="208"/>
      <c r="BF2563" s="16"/>
      <c r="BG2563" s="170"/>
      <c r="BH2563" s="86"/>
      <c r="BI2563" s="272"/>
      <c r="BJ2563" s="50"/>
      <c r="BK2563" s="31"/>
      <c r="BL2563" s="156"/>
      <c r="BM2563" s="341"/>
      <c r="BN2563" s="208"/>
      <c r="BO2563" s="16"/>
      <c r="BP2563" s="170"/>
      <c r="BQ2563" s="86"/>
      <c r="BR2563" s="50"/>
      <c r="BS2563" s="50"/>
      <c r="BT2563" s="31"/>
      <c r="BU2563" s="43"/>
      <c r="BV2563" s="209"/>
      <c r="BW2563" s="141"/>
      <c r="BX2563" s="311"/>
      <c r="BY2563" s="137"/>
    </row>
    <row r="2564" spans="1:77" ht="15" customHeight="1" x14ac:dyDescent="0.2">
      <c r="A2564" s="56" t="s">
        <v>12</v>
      </c>
      <c r="B2564" s="56"/>
      <c r="C2564" s="107" t="s">
        <v>2626</v>
      </c>
      <c r="D2564" s="544">
        <v>50.078000000000003</v>
      </c>
      <c r="E2564" s="107" t="s">
        <v>631</v>
      </c>
      <c r="F2564" s="602"/>
      <c r="G2564" s="419"/>
      <c r="H2564" s="419"/>
      <c r="I2564" s="608"/>
      <c r="J2564" s="62"/>
      <c r="K2564" s="62"/>
      <c r="L2564" s="608"/>
      <c r="M2564" s="62"/>
      <c r="N2564" s="355"/>
      <c r="O2564" s="603"/>
      <c r="P2564" s="62"/>
      <c r="Q2564" s="357">
        <v>0.17826900000000001</v>
      </c>
      <c r="R2564" s="603"/>
      <c r="S2564" s="62"/>
      <c r="T2564" s="357"/>
      <c r="U2564" s="62"/>
      <c r="V2564" s="62"/>
      <c r="W2564" s="699"/>
      <c r="X2564" s="779"/>
      <c r="Y2564" s="50"/>
      <c r="Z2564" s="50"/>
      <c r="AA2564" s="773"/>
      <c r="AB2564" s="395"/>
      <c r="AC2564" s="443"/>
      <c r="AD2564" s="16"/>
      <c r="AE2564" s="16"/>
      <c r="AF2564" s="170"/>
      <c r="AG2564" s="86"/>
      <c r="AH2564" s="272"/>
      <c r="AI2564" s="50"/>
      <c r="AJ2564" s="31"/>
      <c r="AK2564" s="156"/>
      <c r="AL2564" s="284"/>
      <c r="AM2564" s="208"/>
      <c r="AN2564" s="16"/>
      <c r="AO2564" s="699">
        <f t="shared" ref="AO2564" si="2243">AS2564*(1+AT2564)</f>
        <v>1.1587485000000001E-4</v>
      </c>
      <c r="AP2564" s="779">
        <f t="shared" ref="AP2564" si="2244">AS2564*(1+AU2564)</f>
        <v>1.1587485000000001E-4</v>
      </c>
      <c r="AQ2564" s="50">
        <v>2015</v>
      </c>
      <c r="AR2564" s="50"/>
      <c r="AS2564" s="773">
        <f>+Q2564/1000</f>
        <v>1.7826900000000002E-4</v>
      </c>
      <c r="AT2564" s="395">
        <v>-0.35</v>
      </c>
      <c r="AU2564" s="443">
        <f t="shared" ref="AU2564" si="2245">AT2564</f>
        <v>-0.35</v>
      </c>
      <c r="AV2564" s="16"/>
      <c r="AW2564" s="16"/>
      <c r="AX2564" s="170"/>
      <c r="AY2564" s="86"/>
      <c r="AZ2564" s="272"/>
      <c r="BA2564" s="50"/>
      <c r="BB2564" s="31"/>
      <c r="BC2564" s="156"/>
      <c r="BD2564" s="341"/>
      <c r="BE2564" s="208"/>
      <c r="BF2564" s="16"/>
      <c r="BG2564" s="170"/>
      <c r="BH2564" s="86"/>
      <c r="BI2564" s="272"/>
      <c r="BJ2564" s="50"/>
      <c r="BK2564" s="31"/>
      <c r="BL2564" s="156"/>
      <c r="BM2564" s="341"/>
      <c r="BN2564" s="208"/>
      <c r="BO2564" s="16"/>
      <c r="BP2564" s="170"/>
      <c r="BQ2564" s="86"/>
      <c r="BR2564" s="50"/>
      <c r="BS2564" s="50"/>
      <c r="BT2564" s="31"/>
      <c r="BU2564" s="43"/>
      <c r="BV2564" s="209"/>
      <c r="BW2564" s="141"/>
      <c r="BX2564" s="311"/>
      <c r="BY2564" s="137"/>
    </row>
    <row r="2565" spans="1:77" ht="15" customHeight="1" x14ac:dyDescent="0.2">
      <c r="A2565" s="56" t="s">
        <v>12</v>
      </c>
      <c r="B2565" s="56"/>
      <c r="C2565" s="107" t="s">
        <v>736</v>
      </c>
      <c r="D2565" s="544">
        <v>15.132</v>
      </c>
      <c r="E2565" s="107" t="s">
        <v>631</v>
      </c>
      <c r="F2565" s="602"/>
      <c r="G2565" s="419"/>
      <c r="H2565" s="419"/>
      <c r="I2565" s="608"/>
      <c r="J2565" s="62"/>
      <c r="K2565" s="62"/>
      <c r="L2565" s="608"/>
      <c r="M2565" s="62"/>
      <c r="N2565" s="357">
        <v>2.1330999999999999E-2</v>
      </c>
      <c r="O2565" s="603"/>
      <c r="P2565" s="62"/>
      <c r="Q2565" s="357"/>
      <c r="R2565" s="603"/>
      <c r="S2565" s="62"/>
      <c r="T2565" s="357"/>
      <c r="U2565" s="62"/>
      <c r="V2565" s="62"/>
      <c r="W2565" s="699">
        <f t="shared" si="2236"/>
        <v>1.70648E-5</v>
      </c>
      <c r="X2565" s="779">
        <f t="shared" si="2237"/>
        <v>1.70648E-5</v>
      </c>
      <c r="Y2565" s="50">
        <v>2010</v>
      </c>
      <c r="Z2565" s="50"/>
      <c r="AA2565" s="773">
        <f t="shared" si="2238"/>
        <v>2.1331E-5</v>
      </c>
      <c r="AB2565" s="395">
        <v>-0.2</v>
      </c>
      <c r="AC2565" s="443">
        <f t="shared" si="2239"/>
        <v>-0.2</v>
      </c>
      <c r="AD2565" s="16"/>
      <c r="AE2565" s="16"/>
      <c r="AF2565" s="170"/>
      <c r="AG2565" s="86"/>
      <c r="AH2565" s="272"/>
      <c r="AI2565" s="50"/>
      <c r="AJ2565" s="31"/>
      <c r="AK2565" s="156"/>
      <c r="AL2565" s="284"/>
      <c r="AM2565" s="208"/>
      <c r="AN2565" s="16"/>
      <c r="AO2565" s="388"/>
      <c r="AP2565" s="389"/>
      <c r="AQ2565" s="390"/>
      <c r="AR2565" s="392"/>
      <c r="AS2565" s="31"/>
      <c r="AT2565" s="156"/>
      <c r="AU2565" s="284"/>
      <c r="AV2565" s="16"/>
      <c r="AW2565" s="16"/>
      <c r="AX2565" s="170"/>
      <c r="AY2565" s="86"/>
      <c r="AZ2565" s="272"/>
      <c r="BA2565" s="50"/>
      <c r="BB2565" s="31"/>
      <c r="BC2565" s="156"/>
      <c r="BD2565" s="341"/>
      <c r="BE2565" s="208"/>
      <c r="BF2565" s="16"/>
      <c r="BG2565" s="170"/>
      <c r="BH2565" s="86"/>
      <c r="BI2565" s="272"/>
      <c r="BJ2565" s="50"/>
      <c r="BK2565" s="31"/>
      <c r="BL2565" s="156"/>
      <c r="BM2565" s="341"/>
      <c r="BN2565" s="208"/>
      <c r="BO2565" s="16"/>
      <c r="BP2565" s="170"/>
      <c r="BQ2565" s="86"/>
      <c r="BR2565" s="50"/>
      <c r="BS2565" s="50"/>
      <c r="BT2565" s="31"/>
      <c r="BU2565" s="43"/>
      <c r="BV2565" s="209"/>
      <c r="BW2565" s="141"/>
      <c r="BX2565" s="311"/>
      <c r="BY2565" s="137"/>
    </row>
    <row r="2566" spans="1:77" ht="15" customHeight="1" x14ac:dyDescent="0.2">
      <c r="A2566" s="56" t="s">
        <v>12</v>
      </c>
      <c r="B2566" s="56"/>
      <c r="C2566" s="107" t="s">
        <v>2618</v>
      </c>
      <c r="D2566" s="544">
        <v>15.47</v>
      </c>
      <c r="E2566" s="107" t="s">
        <v>631</v>
      </c>
      <c r="F2566" s="602"/>
      <c r="G2566" s="419"/>
      <c r="H2566" s="419"/>
      <c r="I2566" s="608"/>
      <c r="J2566" s="62"/>
      <c r="K2566" s="62"/>
      <c r="L2566" s="608">
        <v>2012</v>
      </c>
      <c r="M2566" s="62"/>
      <c r="N2566" s="357">
        <v>3.6700000000000003E-2</v>
      </c>
      <c r="O2566" s="603"/>
      <c r="P2566" s="62"/>
      <c r="Q2566" s="357"/>
      <c r="R2566" s="603"/>
      <c r="S2566" s="62"/>
      <c r="T2566" s="357"/>
      <c r="U2566" s="62"/>
      <c r="V2566" s="62"/>
      <c r="W2566" s="699">
        <f t="shared" ref="W2566" si="2246">AA2566*(1+AB2566)</f>
        <v>2.5323000000000001E-5</v>
      </c>
      <c r="X2566" s="779">
        <f t="shared" ref="X2566" si="2247">AA2566*(1+AC2566)</f>
        <v>2.5323000000000001E-5</v>
      </c>
      <c r="Y2566" s="50">
        <v>2010</v>
      </c>
      <c r="Z2566" s="50"/>
      <c r="AA2566" s="773">
        <f t="shared" ref="AA2566" si="2248">+N2566/1000</f>
        <v>3.6700000000000004E-5</v>
      </c>
      <c r="AB2566" s="395">
        <v>-0.31</v>
      </c>
      <c r="AC2566" s="443">
        <f t="shared" ref="AC2566" si="2249">AB2566</f>
        <v>-0.31</v>
      </c>
      <c r="AD2566" s="16"/>
      <c r="AE2566" s="16"/>
      <c r="AF2566" s="170"/>
      <c r="AG2566" s="86"/>
      <c r="AH2566" s="272"/>
      <c r="AI2566" s="50"/>
      <c r="AJ2566" s="31"/>
      <c r="AK2566" s="156"/>
      <c r="AL2566" s="284"/>
      <c r="AM2566" s="208"/>
      <c r="AN2566" s="16"/>
      <c r="AO2566" s="388"/>
      <c r="AP2566" s="389"/>
      <c r="AQ2566" s="390"/>
      <c r="AR2566" s="392"/>
      <c r="AS2566" s="31"/>
      <c r="AT2566" s="156"/>
      <c r="AU2566" s="284"/>
      <c r="AV2566" s="16"/>
      <c r="AW2566" s="16"/>
      <c r="AX2566" s="170"/>
      <c r="AY2566" s="86"/>
      <c r="AZ2566" s="272"/>
      <c r="BA2566" s="50"/>
      <c r="BB2566" s="31"/>
      <c r="BC2566" s="156"/>
      <c r="BD2566" s="341"/>
      <c r="BE2566" s="208"/>
      <c r="BF2566" s="16"/>
      <c r="BG2566" s="170"/>
      <c r="BH2566" s="86"/>
      <c r="BI2566" s="272"/>
      <c r="BJ2566" s="50"/>
      <c r="BK2566" s="31"/>
      <c r="BL2566" s="156"/>
      <c r="BM2566" s="341"/>
      <c r="BN2566" s="208"/>
      <c r="BO2566" s="16"/>
      <c r="BP2566" s="170"/>
      <c r="BQ2566" s="86"/>
      <c r="BR2566" s="50"/>
      <c r="BS2566" s="50"/>
      <c r="BT2566" s="31"/>
      <c r="BU2566" s="43"/>
      <c r="BV2566" s="209"/>
      <c r="BW2566" s="141"/>
      <c r="BX2566" s="311"/>
      <c r="BY2566" s="137"/>
    </row>
    <row r="2567" spans="1:77" ht="15" customHeight="1" x14ac:dyDescent="0.2">
      <c r="A2567" s="56" t="s">
        <v>12</v>
      </c>
      <c r="B2567" s="56"/>
      <c r="C2567" s="107" t="s">
        <v>2636</v>
      </c>
      <c r="D2567" s="544">
        <v>15.586</v>
      </c>
      <c r="E2567" s="107" t="s">
        <v>631</v>
      </c>
      <c r="F2567" s="602"/>
      <c r="G2567" s="419"/>
      <c r="H2567" s="419"/>
      <c r="I2567" s="608"/>
      <c r="J2567" s="62"/>
      <c r="K2567" s="62"/>
      <c r="L2567" s="608"/>
      <c r="M2567" s="62"/>
      <c r="N2567" s="357">
        <v>3.8351999999999997E-2</v>
      </c>
      <c r="O2567" s="603"/>
      <c r="P2567" s="62"/>
      <c r="Q2567" s="357"/>
      <c r="R2567" s="603"/>
      <c r="S2567" s="62"/>
      <c r="T2567" s="357"/>
      <c r="U2567" s="62"/>
      <c r="V2567" s="62"/>
      <c r="W2567" s="699">
        <f t="shared" ref="W2567" si="2250">AA2567*(1+AB2567)</f>
        <v>3.0681599999999994E-5</v>
      </c>
      <c r="X2567" s="779">
        <f t="shared" ref="X2567" si="2251">AA2567*(1+AC2567)</f>
        <v>3.0681599999999994E-5</v>
      </c>
      <c r="Y2567" s="50">
        <v>2010</v>
      </c>
      <c r="Z2567" s="50"/>
      <c r="AA2567" s="773">
        <f t="shared" ref="AA2567" si="2252">+N2567/1000</f>
        <v>3.8351999999999995E-5</v>
      </c>
      <c r="AB2567" s="395">
        <v>-0.2</v>
      </c>
      <c r="AC2567" s="443">
        <f t="shared" ref="AC2567" si="2253">AB2567</f>
        <v>-0.2</v>
      </c>
      <c r="AD2567" s="16"/>
      <c r="AE2567" s="16"/>
      <c r="AF2567" s="170"/>
      <c r="AG2567" s="86"/>
      <c r="AH2567" s="272"/>
      <c r="AI2567" s="50"/>
      <c r="AJ2567" s="31"/>
      <c r="AK2567" s="156"/>
      <c r="AL2567" s="284"/>
      <c r="AM2567" s="208"/>
      <c r="AN2567" s="16"/>
      <c r="AO2567" s="388"/>
      <c r="AP2567" s="389"/>
      <c r="AQ2567" s="390"/>
      <c r="AR2567" s="392"/>
      <c r="AS2567" s="31"/>
      <c r="AT2567" s="156"/>
      <c r="AU2567" s="284"/>
      <c r="AV2567" s="16"/>
      <c r="AW2567" s="16"/>
      <c r="AX2567" s="170"/>
      <c r="AY2567" s="86"/>
      <c r="AZ2567" s="272"/>
      <c r="BA2567" s="50"/>
      <c r="BB2567" s="31"/>
      <c r="BC2567" s="156"/>
      <c r="BD2567" s="341"/>
      <c r="BE2567" s="208"/>
      <c r="BF2567" s="16"/>
      <c r="BG2567" s="170"/>
      <c r="BH2567" s="86"/>
      <c r="BI2567" s="272"/>
      <c r="BJ2567" s="50"/>
      <c r="BK2567" s="31"/>
      <c r="BL2567" s="156"/>
      <c r="BM2567" s="341"/>
      <c r="BN2567" s="208"/>
      <c r="BO2567" s="16"/>
      <c r="BP2567" s="170"/>
      <c r="BQ2567" s="86"/>
      <c r="BR2567" s="50"/>
      <c r="BS2567" s="50"/>
      <c r="BT2567" s="31"/>
      <c r="BU2567" s="43"/>
      <c r="BV2567" s="209"/>
      <c r="BW2567" s="141"/>
      <c r="BX2567" s="311"/>
      <c r="BY2567" s="137"/>
    </row>
    <row r="2568" spans="1:77" ht="15" customHeight="1" x14ac:dyDescent="0.2">
      <c r="A2568" s="56" t="s">
        <v>12</v>
      </c>
      <c r="B2568" s="56"/>
      <c r="C2568" s="107" t="s">
        <v>715</v>
      </c>
      <c r="D2568" s="544">
        <v>287</v>
      </c>
      <c r="E2568" s="107" t="s">
        <v>631</v>
      </c>
      <c r="F2568" s="602"/>
      <c r="G2568" s="419"/>
      <c r="H2568" s="419"/>
      <c r="I2568" s="608"/>
      <c r="J2568" s="62"/>
      <c r="K2568" s="62"/>
      <c r="L2568" s="608">
        <v>2009</v>
      </c>
      <c r="M2568" s="62"/>
      <c r="N2568" s="355">
        <v>0.66836499999999999</v>
      </c>
      <c r="O2568" s="603"/>
      <c r="P2568" s="62"/>
      <c r="Q2568" s="355"/>
      <c r="R2568" s="603"/>
      <c r="S2568" s="62"/>
      <c r="T2568" s="355"/>
      <c r="U2568" s="62"/>
      <c r="V2568" s="62"/>
      <c r="W2568" s="699">
        <f t="shared" si="2236"/>
        <v>4.8790644999999996E-4</v>
      </c>
      <c r="X2568" s="779">
        <f t="shared" si="2237"/>
        <v>4.8790644999999996E-4</v>
      </c>
      <c r="Y2568" s="50">
        <v>2007</v>
      </c>
      <c r="Z2568" s="50"/>
      <c r="AA2568" s="773">
        <f t="shared" si="2238"/>
        <v>6.6836499999999997E-4</v>
      </c>
      <c r="AB2568" s="395">
        <v>-0.27</v>
      </c>
      <c r="AC2568" s="443">
        <f t="shared" si="2239"/>
        <v>-0.27</v>
      </c>
      <c r="AD2568" s="16"/>
      <c r="AE2568" s="16"/>
      <c r="AF2568" s="170"/>
      <c r="AG2568" s="86"/>
      <c r="AH2568" s="272"/>
      <c r="AI2568" s="50"/>
      <c r="AJ2568" s="31"/>
      <c r="AK2568" s="156"/>
      <c r="AL2568" s="284"/>
      <c r="AM2568" s="208"/>
      <c r="AN2568" s="16"/>
      <c r="AO2568" s="388"/>
      <c r="AP2568" s="389"/>
      <c r="AQ2568" s="390"/>
      <c r="AR2568" s="392"/>
      <c r="AS2568" s="31"/>
      <c r="AT2568" s="156"/>
      <c r="AU2568" s="284"/>
      <c r="AV2568" s="16"/>
      <c r="AW2568" s="16"/>
      <c r="AX2568" s="170"/>
      <c r="AY2568" s="86"/>
      <c r="AZ2568" s="272"/>
      <c r="BA2568" s="50"/>
      <c r="BB2568" s="31"/>
      <c r="BC2568" s="156"/>
      <c r="BD2568" s="341"/>
      <c r="BE2568" s="208"/>
      <c r="BF2568" s="16"/>
      <c r="BG2568" s="170"/>
      <c r="BH2568" s="86"/>
      <c r="BI2568" s="272"/>
      <c r="BJ2568" s="50"/>
      <c r="BK2568" s="31"/>
      <c r="BL2568" s="156"/>
      <c r="BM2568" s="341"/>
      <c r="BN2568" s="208"/>
      <c r="BO2568" s="16"/>
      <c r="BP2568" s="170"/>
      <c r="BQ2568" s="86"/>
      <c r="BR2568" s="50"/>
      <c r="BS2568" s="50"/>
      <c r="BT2568" s="31"/>
      <c r="BU2568" s="43"/>
      <c r="BV2568" s="209"/>
      <c r="BW2568" s="141"/>
      <c r="BX2568" s="311"/>
      <c r="BY2568" s="137"/>
    </row>
    <row r="2569" spans="1:77" ht="15" customHeight="1" x14ac:dyDescent="0.2">
      <c r="A2569" s="56" t="s">
        <v>12</v>
      </c>
      <c r="B2569" s="56"/>
      <c r="C2569" s="107" t="s">
        <v>733</v>
      </c>
      <c r="D2569" s="544">
        <v>296.834</v>
      </c>
      <c r="E2569" s="107" t="s">
        <v>631</v>
      </c>
      <c r="F2569" s="602"/>
      <c r="G2569" s="419"/>
      <c r="H2569" s="419"/>
      <c r="I2569" s="608"/>
      <c r="J2569" s="62"/>
      <c r="K2569" s="62"/>
      <c r="L2569" s="608">
        <v>2008</v>
      </c>
      <c r="M2569" s="62"/>
      <c r="N2569" s="355">
        <v>1.2851360000000001</v>
      </c>
      <c r="O2569" s="603"/>
      <c r="P2569" s="62"/>
      <c r="Q2569" s="355"/>
      <c r="R2569" s="603"/>
      <c r="S2569" s="62"/>
      <c r="T2569" s="355"/>
      <c r="U2569" s="62"/>
      <c r="V2569" s="62"/>
      <c r="W2569" s="699">
        <f t="shared" si="2236"/>
        <v>1.0281088000000001E-3</v>
      </c>
      <c r="X2569" s="779">
        <f t="shared" si="2237"/>
        <v>1.0281088000000001E-3</v>
      </c>
      <c r="Y2569" s="50">
        <v>2008</v>
      </c>
      <c r="Z2569" s="50"/>
      <c r="AA2569" s="773">
        <f t="shared" si="2238"/>
        <v>1.2851360000000001E-3</v>
      </c>
      <c r="AB2569" s="395">
        <v>-0.2</v>
      </c>
      <c r="AC2569" s="443">
        <f t="shared" si="2239"/>
        <v>-0.2</v>
      </c>
      <c r="AD2569" s="16"/>
      <c r="AE2569" s="16"/>
      <c r="AF2569" s="170"/>
      <c r="AG2569" s="86"/>
      <c r="AH2569" s="272"/>
      <c r="AI2569" s="50"/>
      <c r="AJ2569" s="31"/>
      <c r="AK2569" s="156"/>
      <c r="AL2569" s="284"/>
      <c r="AM2569" s="208"/>
      <c r="AN2569" s="16"/>
      <c r="AO2569" s="388"/>
      <c r="AP2569" s="389"/>
      <c r="AQ2569" s="390"/>
      <c r="AR2569" s="392"/>
      <c r="AS2569" s="31"/>
      <c r="AT2569" s="156"/>
      <c r="AU2569" s="284"/>
      <c r="AV2569" s="16"/>
      <c r="AW2569" s="16"/>
      <c r="AX2569" s="170"/>
      <c r="AY2569" s="86"/>
      <c r="AZ2569" s="272"/>
      <c r="BA2569" s="50"/>
      <c r="BB2569" s="31"/>
      <c r="BC2569" s="156"/>
      <c r="BD2569" s="341"/>
      <c r="BE2569" s="208"/>
      <c r="BF2569" s="16"/>
      <c r="BG2569" s="170"/>
      <c r="BH2569" s="86"/>
      <c r="BI2569" s="272"/>
      <c r="BJ2569" s="50"/>
      <c r="BK2569" s="31"/>
      <c r="BL2569" s="156"/>
      <c r="BM2569" s="341"/>
      <c r="BN2569" s="208"/>
      <c r="BO2569" s="16"/>
      <c r="BP2569" s="170"/>
      <c r="BQ2569" s="86"/>
      <c r="BR2569" s="50"/>
      <c r="BS2569" s="50"/>
      <c r="BT2569" s="31"/>
      <c r="BU2569" s="43"/>
      <c r="BV2569" s="209"/>
      <c r="BW2569" s="141"/>
      <c r="BX2569" s="311"/>
      <c r="BY2569" s="137"/>
    </row>
    <row r="2570" spans="1:77" ht="15" customHeight="1" x14ac:dyDescent="0.2">
      <c r="A2570" s="56" t="s">
        <v>12</v>
      </c>
      <c r="B2570" s="56"/>
      <c r="C2570" s="107" t="s">
        <v>731</v>
      </c>
      <c r="D2570" s="544">
        <v>262.29399999999998</v>
      </c>
      <c r="E2570" s="107" t="s">
        <v>631</v>
      </c>
      <c r="F2570" s="602"/>
      <c r="G2570" s="419"/>
      <c r="H2570" s="419"/>
      <c r="I2570" s="608"/>
      <c r="J2570" s="62"/>
      <c r="K2570" s="62"/>
      <c r="L2570" s="608"/>
      <c r="M2570" s="62"/>
      <c r="N2570" s="355">
        <v>0.50038000000000005</v>
      </c>
      <c r="O2570" s="603"/>
      <c r="P2570" s="62"/>
      <c r="Q2570" s="355"/>
      <c r="R2570" s="603"/>
      <c r="S2570" s="62"/>
      <c r="T2570" s="355"/>
      <c r="U2570" s="62"/>
      <c r="V2570" s="62"/>
      <c r="W2570" s="699">
        <f t="shared" si="2236"/>
        <v>3.9530020000000003E-4</v>
      </c>
      <c r="X2570" s="779">
        <f t="shared" si="2237"/>
        <v>3.9530020000000003E-4</v>
      </c>
      <c r="Y2570" s="50">
        <v>2010</v>
      </c>
      <c r="Z2570" s="50"/>
      <c r="AA2570" s="773">
        <f t="shared" si="2238"/>
        <v>5.0038000000000003E-4</v>
      </c>
      <c r="AB2570" s="395">
        <v>-0.21</v>
      </c>
      <c r="AC2570" s="443">
        <f t="shared" si="2239"/>
        <v>-0.21</v>
      </c>
      <c r="AD2570" s="16"/>
      <c r="AE2570" s="16"/>
      <c r="AF2570" s="170"/>
      <c r="AG2570" s="86"/>
      <c r="AH2570" s="272"/>
      <c r="AI2570" s="50"/>
      <c r="AJ2570" s="31"/>
      <c r="AK2570" s="156"/>
      <c r="AL2570" s="284"/>
      <c r="AM2570" s="208"/>
      <c r="AN2570" s="16"/>
      <c r="AO2570" s="388"/>
      <c r="AP2570" s="389"/>
      <c r="AQ2570" s="390"/>
      <c r="AR2570" s="392"/>
      <c r="AS2570" s="31"/>
      <c r="AT2570" s="156"/>
      <c r="AU2570" s="284"/>
      <c r="AV2570" s="16"/>
      <c r="AW2570" s="16"/>
      <c r="AX2570" s="170"/>
      <c r="AY2570" s="86"/>
      <c r="AZ2570" s="272"/>
      <c r="BA2570" s="50"/>
      <c r="BB2570" s="31"/>
      <c r="BC2570" s="156"/>
      <c r="BD2570" s="341"/>
      <c r="BE2570" s="208"/>
      <c r="BF2570" s="16"/>
      <c r="BG2570" s="170"/>
      <c r="BH2570" s="86"/>
      <c r="BI2570" s="272"/>
      <c r="BJ2570" s="50"/>
      <c r="BK2570" s="31"/>
      <c r="BL2570" s="156"/>
      <c r="BM2570" s="341"/>
      <c r="BN2570" s="208"/>
      <c r="BO2570" s="16"/>
      <c r="BP2570" s="170"/>
      <c r="BQ2570" s="86"/>
      <c r="BR2570" s="50"/>
      <c r="BS2570" s="50"/>
      <c r="BT2570" s="31"/>
      <c r="BU2570" s="43"/>
      <c r="BV2570" s="209"/>
      <c r="BW2570" s="141"/>
      <c r="BX2570" s="311"/>
      <c r="BY2570" s="137"/>
    </row>
    <row r="2571" spans="1:77" ht="15" customHeight="1" x14ac:dyDescent="0.2">
      <c r="A2571" s="56" t="s">
        <v>12</v>
      </c>
      <c r="B2571" s="56"/>
      <c r="C2571" s="107" t="s">
        <v>2631</v>
      </c>
      <c r="D2571" s="544">
        <v>29.169</v>
      </c>
      <c r="E2571" s="107" t="s">
        <v>631</v>
      </c>
      <c r="F2571" s="602"/>
      <c r="G2571" s="419"/>
      <c r="H2571" s="419"/>
      <c r="I2571" s="608"/>
      <c r="J2571" s="62"/>
      <c r="K2571" s="62"/>
      <c r="L2571" s="608"/>
      <c r="M2571" s="62"/>
      <c r="N2571" s="355"/>
      <c r="O2571" s="603">
        <v>2013</v>
      </c>
      <c r="P2571" s="62"/>
      <c r="Q2571" s="357">
        <v>0.90181999999999995</v>
      </c>
      <c r="R2571" s="603"/>
      <c r="S2571" s="62"/>
      <c r="T2571" s="357"/>
      <c r="U2571" s="62"/>
      <c r="V2571" s="62"/>
      <c r="W2571" s="699"/>
      <c r="X2571" s="779"/>
      <c r="Y2571" s="50"/>
      <c r="Z2571" s="50"/>
      <c r="AA2571" s="773"/>
      <c r="AB2571" s="395"/>
      <c r="AC2571" s="443"/>
      <c r="AD2571" s="16"/>
      <c r="AE2571" s="16"/>
      <c r="AF2571" s="170"/>
      <c r="AG2571" s="86"/>
      <c r="AH2571" s="272"/>
      <c r="AI2571" s="50"/>
      <c r="AJ2571" s="31"/>
      <c r="AK2571" s="156"/>
      <c r="AL2571" s="284"/>
      <c r="AM2571" s="208"/>
      <c r="AN2571" s="16"/>
      <c r="AO2571" s="699">
        <f t="shared" ref="AO2571" si="2254">AS2571*(1+AT2571)</f>
        <v>6.222558E-4</v>
      </c>
      <c r="AP2571" s="779">
        <f t="shared" ref="AP2571" si="2255">AS2571*(1+AU2571)</f>
        <v>6.222558E-4</v>
      </c>
      <c r="AQ2571" s="50">
        <v>2013</v>
      </c>
      <c r="AR2571" s="50"/>
      <c r="AS2571" s="773">
        <f>+Q2571/1000</f>
        <v>9.0182000000000001E-4</v>
      </c>
      <c r="AT2571" s="395">
        <v>-0.31</v>
      </c>
      <c r="AU2571" s="443">
        <f t="shared" ref="AU2571" si="2256">AT2571</f>
        <v>-0.31</v>
      </c>
      <c r="AV2571" s="16"/>
      <c r="AW2571" s="16"/>
      <c r="AX2571" s="170"/>
      <c r="AY2571" s="86"/>
      <c r="AZ2571" s="272"/>
      <c r="BA2571" s="50"/>
      <c r="BB2571" s="31"/>
      <c r="BC2571" s="156"/>
      <c r="BD2571" s="341"/>
      <c r="BE2571" s="208"/>
      <c r="BF2571" s="16"/>
      <c r="BG2571" s="170"/>
      <c r="BH2571" s="86"/>
      <c r="BI2571" s="272"/>
      <c r="BJ2571" s="50"/>
      <c r="BK2571" s="31"/>
      <c r="BL2571" s="156"/>
      <c r="BM2571" s="341"/>
      <c r="BN2571" s="208"/>
      <c r="BO2571" s="16"/>
      <c r="BP2571" s="170"/>
      <c r="BQ2571" s="86"/>
      <c r="BR2571" s="50"/>
      <c r="BS2571" s="50"/>
      <c r="BT2571" s="31"/>
      <c r="BU2571" s="43"/>
      <c r="BV2571" s="209"/>
      <c r="BW2571" s="141"/>
      <c r="BX2571" s="311"/>
      <c r="BY2571" s="137"/>
    </row>
    <row r="2572" spans="1:77" ht="15" customHeight="1" x14ac:dyDescent="0.2">
      <c r="A2572" s="56" t="s">
        <v>12</v>
      </c>
      <c r="B2572" s="56"/>
      <c r="C2572" s="107" t="s">
        <v>734</v>
      </c>
      <c r="D2572" s="544">
        <v>32.29</v>
      </c>
      <c r="E2572" s="107" t="s">
        <v>631</v>
      </c>
      <c r="F2572" s="602"/>
      <c r="G2572" s="419"/>
      <c r="H2572" s="419"/>
      <c r="I2572" s="608"/>
      <c r="J2572" s="62"/>
      <c r="K2572" s="62"/>
      <c r="L2572" s="608"/>
      <c r="M2572" s="62"/>
      <c r="N2572" s="357"/>
      <c r="O2572" s="603">
        <v>2013</v>
      </c>
      <c r="P2572" s="62"/>
      <c r="Q2572" s="357">
        <v>6.3090999999999994E-2</v>
      </c>
      <c r="R2572" s="603"/>
      <c r="S2572" s="62"/>
      <c r="T2572" s="357"/>
      <c r="U2572" s="62"/>
      <c r="V2572" s="62"/>
      <c r="W2572" s="699">
        <f t="shared" si="2236"/>
        <v>5.0472800000000002E-5</v>
      </c>
      <c r="X2572" s="779">
        <f t="shared" si="2237"/>
        <v>5.0472800000000002E-5</v>
      </c>
      <c r="Y2572" s="50">
        <v>2013</v>
      </c>
      <c r="Z2572" s="50"/>
      <c r="AA2572" s="773">
        <f>+Q2572/1000</f>
        <v>6.3090999999999996E-5</v>
      </c>
      <c r="AB2572" s="395">
        <v>-0.2</v>
      </c>
      <c r="AC2572" s="443">
        <f t="shared" si="2239"/>
        <v>-0.2</v>
      </c>
      <c r="AD2572" s="16"/>
      <c r="AE2572" s="16"/>
      <c r="AF2572" s="170"/>
      <c r="AG2572" s="86"/>
      <c r="AH2572" s="272"/>
      <c r="AI2572" s="50"/>
      <c r="AJ2572" s="31"/>
      <c r="AK2572" s="156"/>
      <c r="AL2572" s="284"/>
      <c r="AM2572" s="208"/>
      <c r="AN2572" s="16"/>
      <c r="AO2572" s="388"/>
      <c r="AP2572" s="389"/>
      <c r="AQ2572" s="390"/>
      <c r="AR2572" s="392"/>
      <c r="AS2572" s="31"/>
      <c r="AT2572" s="156"/>
      <c r="AU2572" s="284"/>
      <c r="AV2572" s="16"/>
      <c r="AW2572" s="16"/>
      <c r="AX2572" s="170"/>
      <c r="AY2572" s="86"/>
      <c r="AZ2572" s="272"/>
      <c r="BA2572" s="50"/>
      <c r="BB2572" s="31"/>
      <c r="BC2572" s="156"/>
      <c r="BD2572" s="341"/>
      <c r="BE2572" s="208"/>
      <c r="BF2572" s="16"/>
      <c r="BG2572" s="170"/>
      <c r="BH2572" s="86"/>
      <c r="BI2572" s="272"/>
      <c r="BJ2572" s="50"/>
      <c r="BK2572" s="31"/>
      <c r="BL2572" s="156"/>
      <c r="BM2572" s="341"/>
      <c r="BN2572" s="208"/>
      <c r="BO2572" s="16"/>
      <c r="BP2572" s="170"/>
      <c r="BQ2572" s="86"/>
      <c r="BR2572" s="50"/>
      <c r="BS2572" s="50"/>
      <c r="BT2572" s="31"/>
      <c r="BU2572" s="43"/>
      <c r="BV2572" s="209"/>
      <c r="BW2572" s="141"/>
      <c r="BX2572" s="311"/>
      <c r="BY2572" s="137"/>
    </row>
    <row r="2573" spans="1:77" ht="15" customHeight="1" x14ac:dyDescent="0.2">
      <c r="A2573" s="56" t="s">
        <v>12</v>
      </c>
      <c r="B2573" s="56"/>
      <c r="C2573" s="107" t="s">
        <v>2364</v>
      </c>
      <c r="D2573" s="544">
        <v>31.196000000000002</v>
      </c>
      <c r="E2573" s="107" t="s">
        <v>631</v>
      </c>
      <c r="F2573" s="602"/>
      <c r="G2573" s="419"/>
      <c r="H2573" s="419"/>
      <c r="I2573" s="608"/>
      <c r="J2573" s="62"/>
      <c r="K2573" s="62"/>
      <c r="L2573" s="608"/>
      <c r="M2573" s="62"/>
      <c r="N2573" s="357"/>
      <c r="O2573" s="603">
        <v>2012</v>
      </c>
      <c r="P2573" s="62"/>
      <c r="Q2573" s="357">
        <v>0.151532</v>
      </c>
      <c r="R2573" s="603"/>
      <c r="S2573" s="62"/>
      <c r="T2573" s="357"/>
      <c r="U2573" s="62"/>
      <c r="V2573" s="62"/>
      <c r="W2573" s="699">
        <f t="shared" ref="W2573" si="2257">AA2573*(1+AB2573)</f>
        <v>1.1819496000000001E-4</v>
      </c>
      <c r="X2573" s="779">
        <f t="shared" ref="X2573" si="2258">AA2573*(1+AC2573)</f>
        <v>1.1819496000000001E-4</v>
      </c>
      <c r="Y2573" s="50">
        <v>2012</v>
      </c>
      <c r="Z2573" s="50"/>
      <c r="AA2573" s="773">
        <f>+Q2573/1000</f>
        <v>1.5153200000000001E-4</v>
      </c>
      <c r="AB2573" s="395">
        <v>-0.22</v>
      </c>
      <c r="AC2573" s="443">
        <f t="shared" ref="AC2573" si="2259">AB2573</f>
        <v>-0.22</v>
      </c>
      <c r="AD2573" s="16"/>
      <c r="AE2573" s="16"/>
      <c r="AF2573" s="170"/>
      <c r="AG2573" s="86"/>
      <c r="AH2573" s="272"/>
      <c r="AI2573" s="50"/>
      <c r="AJ2573" s="31"/>
      <c r="AK2573" s="156"/>
      <c r="AL2573" s="284"/>
      <c r="AM2573" s="208"/>
      <c r="AN2573" s="16"/>
      <c r="AO2573" s="388"/>
      <c r="AP2573" s="389"/>
      <c r="AQ2573" s="390"/>
      <c r="AR2573" s="392"/>
      <c r="AS2573" s="31"/>
      <c r="AT2573" s="156"/>
      <c r="AU2573" s="284"/>
      <c r="AV2573" s="16"/>
      <c r="AW2573" s="16"/>
      <c r="AX2573" s="170"/>
      <c r="AY2573" s="86"/>
      <c r="AZ2573" s="272"/>
      <c r="BA2573" s="50"/>
      <c r="BB2573" s="31"/>
      <c r="BC2573" s="156"/>
      <c r="BD2573" s="341"/>
      <c r="BE2573" s="208"/>
      <c r="BF2573" s="16"/>
      <c r="BG2573" s="170"/>
      <c r="BH2573" s="86"/>
      <c r="BI2573" s="272"/>
      <c r="BJ2573" s="50"/>
      <c r="BK2573" s="31"/>
      <c r="BL2573" s="156"/>
      <c r="BM2573" s="341"/>
      <c r="BN2573" s="208"/>
      <c r="BO2573" s="16"/>
      <c r="BP2573" s="170"/>
      <c r="BQ2573" s="86"/>
      <c r="BR2573" s="50"/>
      <c r="BS2573" s="50"/>
      <c r="BT2573" s="31"/>
      <c r="BU2573" s="43"/>
      <c r="BV2573" s="209"/>
      <c r="BW2573" s="141"/>
      <c r="BX2573" s="311"/>
      <c r="BY2573" s="137"/>
    </row>
    <row r="2574" spans="1:77" ht="15" customHeight="1" x14ac:dyDescent="0.2">
      <c r="A2574" s="56" t="s">
        <v>12</v>
      </c>
      <c r="B2574" s="56"/>
      <c r="C2574" s="107" t="s">
        <v>722</v>
      </c>
      <c r="D2574" s="544">
        <v>20.696000000000002</v>
      </c>
      <c r="E2574" s="107" t="s">
        <v>631</v>
      </c>
      <c r="F2574" s="602"/>
      <c r="G2574" s="419"/>
      <c r="H2574" s="419"/>
      <c r="I2574" s="608"/>
      <c r="J2574" s="62"/>
      <c r="K2574" s="62"/>
      <c r="L2574" s="608"/>
      <c r="M2574" s="62"/>
      <c r="N2574" s="357">
        <v>8.6993000000000001E-2</v>
      </c>
      <c r="O2574" s="603"/>
      <c r="P2574" s="62"/>
      <c r="Q2574" s="357"/>
      <c r="R2574" s="603"/>
      <c r="S2574" s="62"/>
      <c r="T2574" s="357"/>
      <c r="U2574" s="62"/>
      <c r="V2574" s="62"/>
      <c r="W2574" s="699">
        <f t="shared" si="2236"/>
        <v>6.8724470000000007E-5</v>
      </c>
      <c r="X2574" s="779">
        <f t="shared" si="2237"/>
        <v>6.8724470000000007E-5</v>
      </c>
      <c r="Y2574" s="50">
        <v>2010</v>
      </c>
      <c r="Z2574" s="50"/>
      <c r="AA2574" s="773">
        <f t="shared" si="2238"/>
        <v>8.6992999999999999E-5</v>
      </c>
      <c r="AB2574" s="395">
        <v>-0.21</v>
      </c>
      <c r="AC2574" s="443">
        <f t="shared" si="2239"/>
        <v>-0.21</v>
      </c>
      <c r="AD2574" s="16"/>
      <c r="AE2574" s="16"/>
      <c r="AF2574" s="170"/>
      <c r="AG2574" s="86"/>
      <c r="AH2574" s="272"/>
      <c r="AI2574" s="50"/>
      <c r="AJ2574" s="31"/>
      <c r="AK2574" s="156"/>
      <c r="AL2574" s="284"/>
      <c r="AM2574" s="208"/>
      <c r="AN2574" s="16"/>
      <c r="AO2574" s="388"/>
      <c r="AP2574" s="389"/>
      <c r="AQ2574" s="390"/>
      <c r="AR2574" s="392"/>
      <c r="AS2574" s="31"/>
      <c r="AT2574" s="156"/>
      <c r="AU2574" s="284"/>
      <c r="AV2574" s="16"/>
      <c r="AW2574" s="16"/>
      <c r="AX2574" s="170"/>
      <c r="AY2574" s="86"/>
      <c r="AZ2574" s="272"/>
      <c r="BA2574" s="50"/>
      <c r="BB2574" s="31"/>
      <c r="BC2574" s="156"/>
      <c r="BD2574" s="341"/>
      <c r="BE2574" s="208"/>
      <c r="BF2574" s="16"/>
      <c r="BG2574" s="170"/>
      <c r="BH2574" s="86"/>
      <c r="BI2574" s="272"/>
      <c r="BJ2574" s="50"/>
      <c r="BK2574" s="31"/>
      <c r="BL2574" s="156"/>
      <c r="BM2574" s="341"/>
      <c r="BN2574" s="208"/>
      <c r="BO2574" s="16"/>
      <c r="BP2574" s="170"/>
      <c r="BQ2574" s="86"/>
      <c r="BR2574" s="50"/>
      <c r="BS2574" s="50"/>
      <c r="BT2574" s="31"/>
      <c r="BU2574" s="43"/>
      <c r="BV2574" s="209"/>
      <c r="BW2574" s="141"/>
      <c r="BX2574" s="311"/>
      <c r="BY2574" s="137"/>
    </row>
    <row r="2575" spans="1:77" ht="15" customHeight="1" x14ac:dyDescent="0.2">
      <c r="A2575" s="56" t="s">
        <v>12</v>
      </c>
      <c r="B2575" s="56"/>
      <c r="C2575" s="107" t="s">
        <v>2617</v>
      </c>
      <c r="D2575" s="544">
        <v>67.381</v>
      </c>
      <c r="E2575" s="107" t="s">
        <v>631</v>
      </c>
      <c r="F2575" s="602"/>
      <c r="G2575" s="419"/>
      <c r="H2575" s="419"/>
      <c r="I2575" s="608"/>
      <c r="J2575" s="62"/>
      <c r="K2575" s="62"/>
      <c r="L2575" s="608"/>
      <c r="M2575" s="62"/>
      <c r="N2575" s="357"/>
      <c r="O2575" s="603">
        <v>2013</v>
      </c>
      <c r="P2575" s="62"/>
      <c r="Q2575" s="357">
        <v>0.19083900000000001</v>
      </c>
      <c r="R2575" s="603"/>
      <c r="S2575" s="62"/>
      <c r="T2575" s="357"/>
      <c r="U2575" s="62"/>
      <c r="V2575" s="62"/>
      <c r="W2575" s="699">
        <f t="shared" ref="W2575" si="2260">AA2575*(1+AB2575)</f>
        <v>1.335873E-4</v>
      </c>
      <c r="X2575" s="779">
        <f t="shared" ref="X2575" si="2261">AA2575*(1+AC2575)</f>
        <v>1.335873E-4</v>
      </c>
      <c r="Y2575" s="50">
        <v>2013</v>
      </c>
      <c r="Z2575" s="50"/>
      <c r="AA2575" s="773">
        <f>+Q2575/1000</f>
        <v>1.9083900000000002E-4</v>
      </c>
      <c r="AB2575" s="395">
        <v>-0.3</v>
      </c>
      <c r="AC2575" s="443">
        <f t="shared" ref="AC2575" si="2262">AB2575</f>
        <v>-0.3</v>
      </c>
      <c r="AD2575" s="16"/>
      <c r="AE2575" s="16"/>
      <c r="AF2575" s="170"/>
      <c r="AG2575" s="86"/>
      <c r="AH2575" s="272"/>
      <c r="AI2575" s="50"/>
      <c r="AJ2575" s="31"/>
      <c r="AK2575" s="156"/>
      <c r="AL2575" s="284"/>
      <c r="AM2575" s="208"/>
      <c r="AN2575" s="16"/>
      <c r="AO2575" s="388"/>
      <c r="AP2575" s="389"/>
      <c r="AQ2575" s="390"/>
      <c r="AR2575" s="392"/>
      <c r="AS2575" s="31"/>
      <c r="AT2575" s="156"/>
      <c r="AU2575" s="284"/>
      <c r="AV2575" s="16"/>
      <c r="AW2575" s="16"/>
      <c r="AX2575" s="170"/>
      <c r="AY2575" s="86"/>
      <c r="AZ2575" s="272"/>
      <c r="BA2575" s="50"/>
      <c r="BB2575" s="31"/>
      <c r="BC2575" s="156"/>
      <c r="BD2575" s="341"/>
      <c r="BE2575" s="208"/>
      <c r="BF2575" s="16"/>
      <c r="BG2575" s="170"/>
      <c r="BH2575" s="86"/>
      <c r="BI2575" s="272"/>
      <c r="BJ2575" s="50"/>
      <c r="BK2575" s="31"/>
      <c r="BL2575" s="156"/>
      <c r="BM2575" s="341"/>
      <c r="BN2575" s="208"/>
      <c r="BO2575" s="16"/>
      <c r="BP2575" s="170"/>
      <c r="BQ2575" s="86"/>
      <c r="BR2575" s="50"/>
      <c r="BS2575" s="50"/>
      <c r="BT2575" s="31"/>
      <c r="BU2575" s="43"/>
      <c r="BV2575" s="209"/>
      <c r="BW2575" s="141"/>
      <c r="BX2575" s="311"/>
      <c r="BY2575" s="137"/>
    </row>
    <row r="2576" spans="1:77" ht="15" customHeight="1" x14ac:dyDescent="0.2">
      <c r="A2576" s="56" t="s">
        <v>12</v>
      </c>
      <c r="B2576" s="56"/>
      <c r="C2576" s="107" t="s">
        <v>735</v>
      </c>
      <c r="D2576" s="544">
        <v>38.006999999999998</v>
      </c>
      <c r="E2576" s="107" t="s">
        <v>631</v>
      </c>
      <c r="F2576" s="602"/>
      <c r="G2576" s="419"/>
      <c r="H2576" s="419"/>
      <c r="I2576" s="608"/>
      <c r="J2576" s="62"/>
      <c r="K2576" s="62"/>
      <c r="L2576" s="608"/>
      <c r="M2576" s="62"/>
      <c r="N2576" s="355">
        <v>0.19622700000000001</v>
      </c>
      <c r="O2576" s="603"/>
      <c r="P2576" s="62"/>
      <c r="Q2576" s="355"/>
      <c r="R2576" s="603"/>
      <c r="S2576" s="62"/>
      <c r="T2576" s="355"/>
      <c r="U2576" s="62"/>
      <c r="V2576" s="62"/>
      <c r="W2576" s="699">
        <f t="shared" si="2236"/>
        <v>1.5501933000000001E-4</v>
      </c>
      <c r="X2576" s="779">
        <f t="shared" si="2237"/>
        <v>1.5501933000000001E-4</v>
      </c>
      <c r="Y2576" s="50">
        <v>2010</v>
      </c>
      <c r="Z2576" s="50"/>
      <c r="AA2576" s="773">
        <f t="shared" si="2238"/>
        <v>1.9622700000000002E-4</v>
      </c>
      <c r="AB2576" s="395">
        <v>-0.21</v>
      </c>
      <c r="AC2576" s="443">
        <f t="shared" si="2239"/>
        <v>-0.21</v>
      </c>
      <c r="AD2576" s="16"/>
      <c r="AE2576" s="16"/>
      <c r="AF2576" s="170"/>
      <c r="AG2576" s="86"/>
      <c r="AH2576" s="272"/>
      <c r="AI2576" s="50"/>
      <c r="AJ2576" s="31"/>
      <c r="AK2576" s="156"/>
      <c r="AL2576" s="284"/>
      <c r="AM2576" s="208"/>
      <c r="AN2576" s="16"/>
      <c r="AO2576" s="388"/>
      <c r="AP2576" s="389"/>
      <c r="AQ2576" s="390"/>
      <c r="AR2576" s="392"/>
      <c r="AS2576" s="31"/>
      <c r="AT2576" s="156"/>
      <c r="AU2576" s="284"/>
      <c r="AV2576" s="16"/>
      <c r="AW2576" s="16"/>
      <c r="AX2576" s="170"/>
      <c r="AY2576" s="86"/>
      <c r="AZ2576" s="272"/>
      <c r="BA2576" s="50"/>
      <c r="BB2576" s="31"/>
      <c r="BC2576" s="156"/>
      <c r="BD2576" s="341"/>
      <c r="BE2576" s="208"/>
      <c r="BF2576" s="16"/>
      <c r="BG2576" s="170"/>
      <c r="BH2576" s="86"/>
      <c r="BI2576" s="272"/>
      <c r="BJ2576" s="50"/>
      <c r="BK2576" s="31"/>
      <c r="BL2576" s="156"/>
      <c r="BM2576" s="341"/>
      <c r="BN2576" s="208"/>
      <c r="BO2576" s="16"/>
      <c r="BP2576" s="170"/>
      <c r="BQ2576" s="86"/>
      <c r="BR2576" s="50"/>
      <c r="BS2576" s="50"/>
      <c r="BT2576" s="31"/>
      <c r="BU2576" s="43"/>
      <c r="BV2576" s="209"/>
      <c r="BW2576" s="141"/>
      <c r="BX2576" s="311"/>
      <c r="BY2576" s="137"/>
    </row>
    <row r="2577" spans="1:77" ht="15" customHeight="1" x14ac:dyDescent="0.2">
      <c r="A2577" s="56" t="s">
        <v>12</v>
      </c>
      <c r="B2577" s="56"/>
      <c r="C2577" s="107" t="s">
        <v>2640</v>
      </c>
      <c r="D2577" s="544">
        <v>47.283999999999999</v>
      </c>
      <c r="E2577" s="107" t="s">
        <v>631</v>
      </c>
      <c r="F2577" s="602"/>
      <c r="G2577" s="419"/>
      <c r="H2577" s="419"/>
      <c r="I2577" s="608"/>
      <c r="J2577" s="62"/>
      <c r="K2577" s="62"/>
      <c r="L2577" s="608"/>
      <c r="M2577" s="62"/>
      <c r="N2577" s="355"/>
      <c r="O2577" s="603">
        <v>2014</v>
      </c>
      <c r="P2577" s="62"/>
      <c r="Q2577" s="357">
        <v>0.13403899999999999</v>
      </c>
      <c r="R2577" s="603"/>
      <c r="S2577" s="62"/>
      <c r="T2577" s="357"/>
      <c r="U2577" s="62"/>
      <c r="V2577" s="62"/>
      <c r="W2577" s="699"/>
      <c r="X2577" s="779"/>
      <c r="Y2577" s="50"/>
      <c r="Z2577" s="50"/>
      <c r="AA2577" s="773"/>
      <c r="AB2577" s="395"/>
      <c r="AC2577" s="443"/>
      <c r="AD2577" s="16"/>
      <c r="AE2577" s="16"/>
      <c r="AF2577" s="170"/>
      <c r="AG2577" s="86"/>
      <c r="AH2577" s="272"/>
      <c r="AI2577" s="50"/>
      <c r="AJ2577" s="31"/>
      <c r="AK2577" s="156"/>
      <c r="AL2577" s="284"/>
      <c r="AM2577" s="208"/>
      <c r="AN2577" s="16"/>
      <c r="AO2577" s="699">
        <f t="shared" ref="AO2577" si="2263">AS2577*(1+AT2577)</f>
        <v>9.3827299999999988E-5</v>
      </c>
      <c r="AP2577" s="779">
        <f t="shared" ref="AP2577" si="2264">AS2577*(1+AU2577)</f>
        <v>9.3827299999999988E-5</v>
      </c>
      <c r="AQ2577" s="50">
        <v>2013</v>
      </c>
      <c r="AR2577" s="50"/>
      <c r="AS2577" s="773">
        <f>+Q2577/1000</f>
        <v>1.34039E-4</v>
      </c>
      <c r="AT2577" s="395">
        <v>-0.3</v>
      </c>
      <c r="AU2577" s="443">
        <f t="shared" ref="AU2577" si="2265">AT2577</f>
        <v>-0.3</v>
      </c>
      <c r="AV2577" s="16"/>
      <c r="AW2577" s="16"/>
      <c r="AX2577" s="170"/>
      <c r="AY2577" s="86"/>
      <c r="AZ2577" s="272"/>
      <c r="BA2577" s="50"/>
      <c r="BB2577" s="31"/>
      <c r="BC2577" s="156"/>
      <c r="BD2577" s="341"/>
      <c r="BE2577" s="208"/>
      <c r="BF2577" s="16"/>
      <c r="BG2577" s="170"/>
      <c r="BH2577" s="86"/>
      <c r="BI2577" s="272"/>
      <c r="BJ2577" s="50"/>
      <c r="BK2577" s="31"/>
      <c r="BL2577" s="156"/>
      <c r="BM2577" s="341"/>
      <c r="BN2577" s="208"/>
      <c r="BO2577" s="16"/>
      <c r="BP2577" s="170"/>
      <c r="BQ2577" s="86"/>
      <c r="BR2577" s="50"/>
      <c r="BS2577" s="50"/>
      <c r="BT2577" s="31"/>
      <c r="BU2577" s="43"/>
      <c r="BV2577" s="209"/>
      <c r="BW2577" s="141"/>
      <c r="BX2577" s="311"/>
      <c r="BY2577" s="137"/>
    </row>
    <row r="2578" spans="1:77" ht="15" customHeight="1" x14ac:dyDescent="0.2">
      <c r="A2578" s="56" t="s">
        <v>12</v>
      </c>
      <c r="B2578" s="56"/>
      <c r="C2578" s="107" t="s">
        <v>2634</v>
      </c>
      <c r="D2578" s="544">
        <v>3.242</v>
      </c>
      <c r="E2578" s="107" t="s">
        <v>631</v>
      </c>
      <c r="F2578" s="602"/>
      <c r="G2578" s="419"/>
      <c r="H2578" s="419"/>
      <c r="I2578" s="608"/>
      <c r="J2578" s="62"/>
      <c r="K2578" s="62"/>
      <c r="L2578" s="608">
        <v>2011</v>
      </c>
      <c r="M2578" s="62"/>
      <c r="N2578" s="781">
        <v>5.3969999999999999E-3</v>
      </c>
      <c r="O2578" s="603"/>
      <c r="P2578" s="62"/>
      <c r="Q2578" s="355"/>
      <c r="R2578" s="603"/>
      <c r="S2578" s="62"/>
      <c r="T2578" s="355"/>
      <c r="U2578" s="62"/>
      <c r="V2578" s="62"/>
      <c r="W2578" s="766">
        <f t="shared" ref="W2578" si="2266">AA2578*(1+AB2578)</f>
        <v>4.0477500000000003E-6</v>
      </c>
      <c r="X2578" s="548">
        <f t="shared" ref="X2578" si="2267">AA2578*(1+AC2578)</f>
        <v>4.0477500000000003E-6</v>
      </c>
      <c r="Y2578" s="50">
        <v>2011</v>
      </c>
      <c r="Z2578" s="50"/>
      <c r="AA2578" s="780">
        <f t="shared" ref="AA2578" si="2268">+N2578/1000</f>
        <v>5.3970000000000002E-6</v>
      </c>
      <c r="AB2578" s="395">
        <v>-0.25</v>
      </c>
      <c r="AC2578" s="443">
        <f t="shared" ref="AC2578" si="2269">AB2578</f>
        <v>-0.25</v>
      </c>
      <c r="AD2578" s="16"/>
      <c r="AE2578" s="16"/>
      <c r="AF2578" s="170"/>
      <c r="AG2578" s="86"/>
      <c r="AH2578" s="272"/>
      <c r="AI2578" s="50"/>
      <c r="AJ2578" s="31"/>
      <c r="AK2578" s="156"/>
      <c r="AL2578" s="284"/>
      <c r="AM2578" s="208"/>
      <c r="AN2578" s="16"/>
      <c r="AO2578" s="388"/>
      <c r="AP2578" s="389"/>
      <c r="AQ2578" s="390"/>
      <c r="AR2578" s="392"/>
      <c r="AS2578" s="31"/>
      <c r="AT2578" s="156"/>
      <c r="AU2578" s="284"/>
      <c r="AV2578" s="16"/>
      <c r="AW2578" s="16"/>
      <c r="AX2578" s="170"/>
      <c r="AY2578" s="86"/>
      <c r="AZ2578" s="272"/>
      <c r="BA2578" s="50"/>
      <c r="BB2578" s="31"/>
      <c r="BC2578" s="156"/>
      <c r="BD2578" s="341"/>
      <c r="BE2578" s="208"/>
      <c r="BF2578" s="16"/>
      <c r="BG2578" s="170"/>
      <c r="BH2578" s="86"/>
      <c r="BI2578" s="272"/>
      <c r="BJ2578" s="50"/>
      <c r="BK2578" s="31"/>
      <c r="BL2578" s="156"/>
      <c r="BM2578" s="341"/>
      <c r="BN2578" s="208"/>
      <c r="BO2578" s="16"/>
      <c r="BP2578" s="170"/>
      <c r="BQ2578" s="86"/>
      <c r="BR2578" s="50"/>
      <c r="BS2578" s="50"/>
      <c r="BT2578" s="31"/>
      <c r="BU2578" s="43"/>
      <c r="BV2578" s="209"/>
      <c r="BW2578" s="141"/>
      <c r="BX2578" s="311"/>
      <c r="BY2578" s="137"/>
    </row>
    <row r="2579" spans="1:77" ht="15" customHeight="1" x14ac:dyDescent="0.2">
      <c r="A2579" s="56" t="s">
        <v>12</v>
      </c>
      <c r="B2579" s="56"/>
      <c r="C2579" s="107" t="s">
        <v>699</v>
      </c>
      <c r="D2579" s="544">
        <v>15.000999999999999</v>
      </c>
      <c r="E2579" s="107" t="s">
        <v>631</v>
      </c>
      <c r="F2579" s="602"/>
      <c r="G2579" s="419"/>
      <c r="H2579" s="419"/>
      <c r="I2579" s="608"/>
      <c r="J2579" s="62"/>
      <c r="K2579" s="62"/>
      <c r="L2579" s="608">
        <v>2011</v>
      </c>
      <c r="M2579" s="62"/>
      <c r="N2579" s="357">
        <v>6.0088000000000003E-2</v>
      </c>
      <c r="O2579" s="603"/>
      <c r="P2579" s="62"/>
      <c r="Q2579" s="357"/>
      <c r="R2579" s="603"/>
      <c r="S2579" s="62"/>
      <c r="T2579" s="357"/>
      <c r="U2579" s="62"/>
      <c r="V2579" s="62"/>
      <c r="W2579" s="699">
        <f t="shared" si="2236"/>
        <v>4.2061600000000004E-5</v>
      </c>
      <c r="X2579" s="779">
        <f t="shared" si="2237"/>
        <v>4.2061600000000004E-5</v>
      </c>
      <c r="Y2579" s="50">
        <v>2011</v>
      </c>
      <c r="Z2579" s="50"/>
      <c r="AA2579" s="773">
        <f t="shared" si="2238"/>
        <v>6.0088000000000005E-5</v>
      </c>
      <c r="AB2579" s="395">
        <v>-0.3</v>
      </c>
      <c r="AC2579" s="443">
        <f t="shared" si="2239"/>
        <v>-0.3</v>
      </c>
      <c r="AD2579" s="16"/>
      <c r="AE2579" s="16"/>
      <c r="AF2579" s="170"/>
      <c r="AG2579" s="86"/>
      <c r="AH2579" s="272"/>
      <c r="AI2579" s="50"/>
      <c r="AJ2579" s="31"/>
      <c r="AK2579" s="156"/>
      <c r="AL2579" s="284"/>
      <c r="AM2579" s="208"/>
      <c r="AN2579" s="16"/>
      <c r="AO2579" s="388"/>
      <c r="AP2579" s="389"/>
      <c r="AQ2579" s="390"/>
      <c r="AR2579" s="392"/>
      <c r="AS2579" s="31"/>
      <c r="AT2579" s="156"/>
      <c r="AU2579" s="284"/>
      <c r="AV2579" s="16"/>
      <c r="AW2579" s="16"/>
      <c r="AX2579" s="170"/>
      <c r="AY2579" s="86"/>
      <c r="AZ2579" s="272"/>
      <c r="BA2579" s="50"/>
      <c r="BB2579" s="31"/>
      <c r="BC2579" s="156"/>
      <c r="BD2579" s="341"/>
      <c r="BE2579" s="208"/>
      <c r="BF2579" s="16"/>
      <c r="BG2579" s="170"/>
      <c r="BH2579" s="86"/>
      <c r="BI2579" s="272"/>
      <c r="BJ2579" s="50"/>
      <c r="BK2579" s="31"/>
      <c r="BL2579" s="156"/>
      <c r="BM2579" s="341"/>
      <c r="BN2579" s="208"/>
      <c r="BO2579" s="16"/>
      <c r="BP2579" s="170"/>
      <c r="BQ2579" s="86"/>
      <c r="BR2579" s="50"/>
      <c r="BS2579" s="50"/>
      <c r="BT2579" s="31"/>
      <c r="BU2579" s="43"/>
      <c r="BV2579" s="209"/>
      <c r="BW2579" s="141"/>
      <c r="BX2579" s="311"/>
      <c r="BY2579" s="137"/>
    </row>
    <row r="2580" spans="1:77" ht="15" customHeight="1" x14ac:dyDescent="0.2">
      <c r="A2580" s="56" t="s">
        <v>12</v>
      </c>
      <c r="B2580" s="56"/>
      <c r="C2580" s="107" t="s">
        <v>2362</v>
      </c>
      <c r="D2580" s="544">
        <v>13.7</v>
      </c>
      <c r="E2580" s="107" t="s">
        <v>631</v>
      </c>
      <c r="F2580" s="602"/>
      <c r="G2580" s="419"/>
      <c r="H2580" s="419"/>
      <c r="I2580" s="608"/>
      <c r="J2580" s="62"/>
      <c r="K2580" s="62"/>
      <c r="L2580" s="608"/>
      <c r="M2580" s="62"/>
      <c r="N2580" s="357"/>
      <c r="O2580" s="603">
        <v>2012</v>
      </c>
      <c r="P2580" s="62"/>
      <c r="Q2580" s="357">
        <v>0.51188</v>
      </c>
      <c r="R2580" s="603"/>
      <c r="S2580" s="62"/>
      <c r="T2580" s="357"/>
      <c r="U2580" s="62"/>
      <c r="V2580" s="62"/>
      <c r="W2580" s="699">
        <f t="shared" ref="W2580" si="2270">AA2580*(1+AB2580)</f>
        <v>4.0950400000000004E-4</v>
      </c>
      <c r="X2580" s="779">
        <f t="shared" ref="X2580" si="2271">AA2580*(1+AC2580)</f>
        <v>4.0950400000000004E-4</v>
      </c>
      <c r="Y2580" s="50">
        <v>2012</v>
      </c>
      <c r="Z2580" s="50"/>
      <c r="AA2580" s="773">
        <f>+Q2580/1000</f>
        <v>5.1188000000000004E-4</v>
      </c>
      <c r="AB2580" s="395">
        <v>-0.2</v>
      </c>
      <c r="AC2580" s="443">
        <f t="shared" ref="AC2580" si="2272">AB2580</f>
        <v>-0.2</v>
      </c>
      <c r="AD2580" s="16"/>
      <c r="AE2580" s="16"/>
      <c r="AF2580" s="170"/>
      <c r="AG2580" s="86"/>
      <c r="AH2580" s="272"/>
      <c r="AI2580" s="50"/>
      <c r="AJ2580" s="31"/>
      <c r="AK2580" s="156"/>
      <c r="AL2580" s="284"/>
      <c r="AM2580" s="208"/>
      <c r="AN2580" s="16"/>
      <c r="AO2580" s="388"/>
      <c r="AP2580" s="389"/>
      <c r="AQ2580" s="390"/>
      <c r="AR2580" s="392"/>
      <c r="AS2580" s="31"/>
      <c r="AT2580" s="156"/>
      <c r="AU2580" s="284"/>
      <c r="AV2580" s="16"/>
      <c r="AW2580" s="16"/>
      <c r="AX2580" s="170"/>
      <c r="AY2580" s="86"/>
      <c r="AZ2580" s="272"/>
      <c r="BA2580" s="50"/>
      <c r="BB2580" s="31"/>
      <c r="BC2580" s="156"/>
      <c r="BD2580" s="341"/>
      <c r="BE2580" s="208"/>
      <c r="BF2580" s="16"/>
      <c r="BG2580" s="170"/>
      <c r="BH2580" s="86"/>
      <c r="BI2580" s="272"/>
      <c r="BJ2580" s="50"/>
      <c r="BK2580" s="31"/>
      <c r="BL2580" s="156"/>
      <c r="BM2580" s="341"/>
      <c r="BN2580" s="208"/>
      <c r="BO2580" s="16"/>
      <c r="BP2580" s="170"/>
      <c r="BQ2580" s="86"/>
      <c r="BR2580" s="50"/>
      <c r="BS2580" s="50"/>
      <c r="BT2580" s="31"/>
      <c r="BU2580" s="43"/>
      <c r="BV2580" s="209"/>
      <c r="BW2580" s="141"/>
      <c r="BX2580" s="311"/>
      <c r="BY2580" s="137"/>
    </row>
    <row r="2581" spans="1:77" ht="15" customHeight="1" x14ac:dyDescent="0.2">
      <c r="A2581" s="56" t="s">
        <v>12</v>
      </c>
      <c r="B2581" s="56"/>
      <c r="C2581" s="107" t="s">
        <v>711</v>
      </c>
      <c r="D2581" s="544">
        <v>240</v>
      </c>
      <c r="E2581" s="107" t="s">
        <v>631</v>
      </c>
      <c r="F2581" s="602"/>
      <c r="G2581" s="419"/>
      <c r="H2581" s="419"/>
      <c r="I2581" s="608"/>
      <c r="J2581" s="62"/>
      <c r="K2581" s="62"/>
      <c r="L2581" s="608"/>
      <c r="M2581" s="62"/>
      <c r="N2581" s="355">
        <v>0.82472900000000005</v>
      </c>
      <c r="O2581" s="603"/>
      <c r="P2581" s="62"/>
      <c r="Q2581" s="355"/>
      <c r="R2581" s="603"/>
      <c r="S2581" s="62"/>
      <c r="T2581" s="355"/>
      <c r="U2581" s="62"/>
      <c r="V2581" s="62"/>
      <c r="W2581" s="699">
        <f t="shared" si="2236"/>
        <v>6.5978320000000012E-4</v>
      </c>
      <c r="X2581" s="779">
        <f t="shared" si="2237"/>
        <v>6.5978320000000012E-4</v>
      </c>
      <c r="Y2581" s="50">
        <v>2010</v>
      </c>
      <c r="Z2581" s="50"/>
      <c r="AA2581" s="773">
        <f t="shared" si="2238"/>
        <v>8.2472900000000007E-4</v>
      </c>
      <c r="AB2581" s="395">
        <v>-0.2</v>
      </c>
      <c r="AC2581" s="443">
        <f t="shared" si="2239"/>
        <v>-0.2</v>
      </c>
      <c r="AD2581" s="16"/>
      <c r="AE2581" s="16"/>
      <c r="AF2581" s="170"/>
      <c r="AG2581" s="86"/>
      <c r="AH2581" s="272"/>
      <c r="AI2581" s="50"/>
      <c r="AJ2581" s="31"/>
      <c r="AK2581" s="156"/>
      <c r="AL2581" s="284"/>
      <c r="AM2581" s="208"/>
      <c r="AN2581" s="16"/>
      <c r="AO2581" s="388"/>
      <c r="AP2581" s="389"/>
      <c r="AQ2581" s="390"/>
      <c r="AR2581" s="392"/>
      <c r="AS2581" s="31"/>
      <c r="AT2581" s="156"/>
      <c r="AU2581" s="284"/>
      <c r="AV2581" s="16"/>
      <c r="AW2581" s="16"/>
      <c r="AX2581" s="170"/>
      <c r="AY2581" s="86"/>
      <c r="AZ2581" s="272"/>
      <c r="BA2581" s="50"/>
      <c r="BB2581" s="31"/>
      <c r="BC2581" s="156"/>
      <c r="BD2581" s="341"/>
      <c r="BE2581" s="208"/>
      <c r="BF2581" s="16"/>
      <c r="BG2581" s="170"/>
      <c r="BH2581" s="86"/>
      <c r="BI2581" s="272"/>
      <c r="BJ2581" s="50"/>
      <c r="BK2581" s="31"/>
      <c r="BL2581" s="156"/>
      <c r="BM2581" s="341"/>
      <c r="BN2581" s="208"/>
      <c r="BO2581" s="16"/>
      <c r="BP2581" s="170"/>
      <c r="BQ2581" s="86"/>
      <c r="BR2581" s="50"/>
      <c r="BS2581" s="50"/>
      <c r="BT2581" s="31"/>
      <c r="BU2581" s="43"/>
      <c r="BV2581" s="209"/>
      <c r="BW2581" s="141"/>
      <c r="BX2581" s="311"/>
      <c r="BY2581" s="137"/>
    </row>
    <row r="2582" spans="1:77" ht="15" customHeight="1" x14ac:dyDescent="0.2">
      <c r="A2582" s="56" t="s">
        <v>12</v>
      </c>
      <c r="B2582" s="56"/>
      <c r="C2582" s="107" t="s">
        <v>2639</v>
      </c>
      <c r="D2582" s="544">
        <v>72.471000000000004</v>
      </c>
      <c r="E2582" s="107" t="s">
        <v>631</v>
      </c>
      <c r="F2582" s="602"/>
      <c r="G2582" s="419"/>
      <c r="H2582" s="419"/>
      <c r="I2582" s="608"/>
      <c r="J2582" s="62"/>
      <c r="K2582" s="62"/>
      <c r="L2582" s="608"/>
      <c r="M2582" s="62"/>
      <c r="N2582" s="355"/>
      <c r="O2582" s="603"/>
      <c r="P2582" s="62"/>
      <c r="Q2582" s="357">
        <v>0.23766799999999999</v>
      </c>
      <c r="R2582" s="603"/>
      <c r="S2582" s="62"/>
      <c r="T2582" s="357"/>
      <c r="U2582" s="62"/>
      <c r="V2582" s="62"/>
      <c r="W2582" s="699"/>
      <c r="X2582" s="779"/>
      <c r="Y2582" s="50"/>
      <c r="Z2582" s="50"/>
      <c r="AA2582" s="773"/>
      <c r="AB2582" s="395"/>
      <c r="AC2582" s="443"/>
      <c r="AD2582" s="16"/>
      <c r="AE2582" s="16"/>
      <c r="AF2582" s="170"/>
      <c r="AG2582" s="86"/>
      <c r="AH2582" s="272"/>
      <c r="AI2582" s="50"/>
      <c r="AJ2582" s="31"/>
      <c r="AK2582" s="156"/>
      <c r="AL2582" s="284"/>
      <c r="AM2582" s="208"/>
      <c r="AN2582" s="16"/>
      <c r="AO2582" s="766">
        <f t="shared" ref="AO2582" si="2273">AS2582*(1+AT2582)</f>
        <v>1.5686087999999997E-4</v>
      </c>
      <c r="AP2582" s="548">
        <f t="shared" ref="AP2582" si="2274">AS2582*(1+AU2582)</f>
        <v>1.5686087999999997E-4</v>
      </c>
      <c r="AQ2582" s="50">
        <v>2015</v>
      </c>
      <c r="AR2582" s="50"/>
      <c r="AS2582" s="780">
        <f>+Q2582/1000</f>
        <v>2.3766799999999999E-4</v>
      </c>
      <c r="AT2582" s="395">
        <v>-0.34</v>
      </c>
      <c r="AU2582" s="443">
        <f t="shared" ref="AU2582" si="2275">AT2582</f>
        <v>-0.34</v>
      </c>
      <c r="AV2582" s="16"/>
      <c r="AW2582" s="16"/>
      <c r="AX2582" s="170"/>
      <c r="AY2582" s="86"/>
      <c r="AZ2582" s="272"/>
      <c r="BA2582" s="50"/>
      <c r="BB2582" s="31"/>
      <c r="BC2582" s="156"/>
      <c r="BD2582" s="341"/>
      <c r="BE2582" s="208"/>
      <c r="BF2582" s="16"/>
      <c r="BG2582" s="170"/>
      <c r="BH2582" s="86"/>
      <c r="BI2582" s="272"/>
      <c r="BJ2582" s="50"/>
      <c r="BK2582" s="31"/>
      <c r="BL2582" s="156"/>
      <c r="BM2582" s="341"/>
      <c r="BN2582" s="208"/>
      <c r="BO2582" s="16"/>
      <c r="BP2582" s="170"/>
      <c r="BQ2582" s="86"/>
      <c r="BR2582" s="50"/>
      <c r="BS2582" s="50"/>
      <c r="BT2582" s="31"/>
      <c r="BU2582" s="43"/>
      <c r="BV2582" s="209"/>
      <c r="BW2582" s="141"/>
      <c r="BX2582" s="311"/>
      <c r="BY2582" s="137"/>
    </row>
    <row r="2583" spans="1:77" ht="15" customHeight="1" x14ac:dyDescent="0.2">
      <c r="A2583" s="56" t="s">
        <v>12</v>
      </c>
      <c r="B2583" s="56"/>
      <c r="C2583" s="107" t="s">
        <v>700</v>
      </c>
      <c r="D2583" s="544">
        <v>11.7</v>
      </c>
      <c r="E2583" s="107" t="s">
        <v>631</v>
      </c>
      <c r="F2583" s="602"/>
      <c r="G2583" s="419"/>
      <c r="H2583" s="419"/>
      <c r="I2583" s="608"/>
      <c r="J2583" s="62"/>
      <c r="K2583" s="62"/>
      <c r="L2583" s="608">
        <v>2012</v>
      </c>
      <c r="M2583" s="62"/>
      <c r="N2583" s="357">
        <v>6.5671999999999994E-2</v>
      </c>
      <c r="O2583" s="603"/>
      <c r="P2583" s="62"/>
      <c r="Q2583" s="357"/>
      <c r="R2583" s="603"/>
      <c r="S2583" s="62"/>
      <c r="T2583" s="357"/>
      <c r="U2583" s="62"/>
      <c r="V2583" s="62"/>
      <c r="W2583" s="699">
        <f t="shared" si="2236"/>
        <v>5.1880879999999992E-5</v>
      </c>
      <c r="X2583" s="779">
        <f t="shared" si="2237"/>
        <v>5.1880879999999992E-5</v>
      </c>
      <c r="Y2583" s="50">
        <v>2012</v>
      </c>
      <c r="Z2583" s="50"/>
      <c r="AA2583" s="773">
        <f t="shared" si="2238"/>
        <v>6.5671999999999991E-5</v>
      </c>
      <c r="AB2583" s="395">
        <v>-0.21</v>
      </c>
      <c r="AC2583" s="443">
        <f t="shared" si="2239"/>
        <v>-0.21</v>
      </c>
      <c r="AD2583" s="16"/>
      <c r="AE2583" s="16"/>
      <c r="AF2583" s="170"/>
      <c r="AG2583" s="86"/>
      <c r="AH2583" s="272"/>
      <c r="AI2583" s="50"/>
      <c r="AJ2583" s="31"/>
      <c r="AK2583" s="156"/>
      <c r="AL2583" s="284"/>
      <c r="AM2583" s="208"/>
      <c r="AN2583" s="16"/>
      <c r="AO2583" s="388"/>
      <c r="AP2583" s="389"/>
      <c r="AQ2583" s="390"/>
      <c r="AR2583" s="392"/>
      <c r="AS2583" s="31"/>
      <c r="AT2583" s="156"/>
      <c r="AU2583" s="284"/>
      <c r="AV2583" s="16"/>
      <c r="AW2583" s="16"/>
      <c r="AX2583" s="170"/>
      <c r="AY2583" s="86"/>
      <c r="AZ2583" s="272"/>
      <c r="BA2583" s="50"/>
      <c r="BB2583" s="31"/>
      <c r="BC2583" s="156"/>
      <c r="BD2583" s="341"/>
      <c r="BE2583" s="208"/>
      <c r="BF2583" s="16"/>
      <c r="BG2583" s="170"/>
      <c r="BH2583" s="86"/>
      <c r="BI2583" s="272"/>
      <c r="BJ2583" s="50"/>
      <c r="BK2583" s="31"/>
      <c r="BL2583" s="156"/>
      <c r="BM2583" s="341"/>
      <c r="BN2583" s="208"/>
      <c r="BO2583" s="16"/>
      <c r="BP2583" s="170"/>
      <c r="BQ2583" s="86"/>
      <c r="BR2583" s="50"/>
      <c r="BS2583" s="50"/>
      <c r="BT2583" s="31"/>
      <c r="BU2583" s="43"/>
      <c r="BV2583" s="209"/>
      <c r="BW2583" s="141"/>
      <c r="BX2583" s="311"/>
      <c r="BY2583" s="137"/>
    </row>
    <row r="2584" spans="1:77" ht="15" customHeight="1" x14ac:dyDescent="0.2">
      <c r="A2584" s="56" t="s">
        <v>12</v>
      </c>
      <c r="B2584" s="56"/>
      <c r="C2584" s="159" t="s">
        <v>724</v>
      </c>
      <c r="D2584" s="544">
        <v>98.953000000000003</v>
      </c>
      <c r="E2584" s="107" t="s">
        <v>631</v>
      </c>
      <c r="F2584" s="602"/>
      <c r="G2584" s="419"/>
      <c r="H2584" s="419"/>
      <c r="I2584" s="608"/>
      <c r="J2584" s="62"/>
      <c r="K2584" s="62">
        <v>0.52907899999999997</v>
      </c>
      <c r="L2584" s="608"/>
      <c r="M2584" s="62"/>
      <c r="N2584" s="355"/>
      <c r="O2584" s="603"/>
      <c r="P2584" s="62"/>
      <c r="Q2584" s="355"/>
      <c r="R2584" s="603"/>
      <c r="S2584" s="62"/>
      <c r="T2584" s="355"/>
      <c r="U2584" s="62"/>
      <c r="V2584" s="62"/>
      <c r="W2584" s="699">
        <f t="shared" si="2236"/>
        <v>3.3331977000000001E-4</v>
      </c>
      <c r="X2584" s="779">
        <f t="shared" si="2237"/>
        <v>3.3331977000000001E-4</v>
      </c>
      <c r="Y2584" s="50">
        <v>2005</v>
      </c>
      <c r="Z2584" s="50"/>
      <c r="AA2584" s="773">
        <f>+K2584/1000</f>
        <v>5.2907900000000001E-4</v>
      </c>
      <c r="AB2584" s="395">
        <v>-0.37</v>
      </c>
      <c r="AC2584" s="443">
        <f t="shared" si="2239"/>
        <v>-0.37</v>
      </c>
      <c r="AD2584" s="16"/>
      <c r="AE2584" s="16"/>
      <c r="AF2584" s="170"/>
      <c r="AG2584" s="86"/>
      <c r="AH2584" s="272"/>
      <c r="AI2584" s="50"/>
      <c r="AJ2584" s="31"/>
      <c r="AK2584" s="156"/>
      <c r="AL2584" s="284"/>
      <c r="AM2584" s="208"/>
      <c r="AN2584" s="16"/>
      <c r="AO2584" s="388"/>
      <c r="AP2584" s="389"/>
      <c r="AQ2584" s="390"/>
      <c r="AR2584" s="392"/>
      <c r="AS2584" s="31"/>
      <c r="AT2584" s="156"/>
      <c r="AU2584" s="284"/>
      <c r="AV2584" s="16"/>
      <c r="AW2584" s="16"/>
      <c r="AX2584" s="170"/>
      <c r="AY2584" s="86"/>
      <c r="AZ2584" s="272"/>
      <c r="BA2584" s="50"/>
      <c r="BB2584" s="31"/>
      <c r="BC2584" s="156"/>
      <c r="BD2584" s="341"/>
      <c r="BE2584" s="208"/>
      <c r="BF2584" s="16"/>
      <c r="BG2584" s="170"/>
      <c r="BH2584" s="86"/>
      <c r="BI2584" s="272"/>
      <c r="BJ2584" s="50"/>
      <c r="BK2584" s="31"/>
      <c r="BL2584" s="156"/>
      <c r="BM2584" s="341"/>
      <c r="BN2584" s="208"/>
      <c r="BO2584" s="16"/>
      <c r="BP2584" s="170"/>
      <c r="BQ2584" s="86"/>
      <c r="BR2584" s="50"/>
      <c r="BS2584" s="50"/>
      <c r="BT2584" s="31"/>
      <c r="BU2584" s="43"/>
      <c r="BV2584" s="209"/>
      <c r="BW2584" s="141"/>
      <c r="BX2584" s="311"/>
      <c r="BY2584" s="137"/>
    </row>
    <row r="2585" spans="1:77" ht="15" customHeight="1" x14ac:dyDescent="0.2">
      <c r="A2585" s="56" t="s">
        <v>12</v>
      </c>
      <c r="B2585" s="56"/>
      <c r="C2585" s="107" t="s">
        <v>2645</v>
      </c>
      <c r="D2585" s="544">
        <v>244.20099999999999</v>
      </c>
      <c r="E2585" s="107" t="s">
        <v>631</v>
      </c>
      <c r="F2585" s="602"/>
      <c r="G2585" s="419"/>
      <c r="H2585" s="419"/>
      <c r="I2585" s="608"/>
      <c r="J2585" s="62"/>
      <c r="K2585" s="62"/>
      <c r="L2585" s="608"/>
      <c r="M2585" s="62"/>
      <c r="N2585" s="355"/>
      <c r="O2585" s="603">
        <v>2013</v>
      </c>
      <c r="P2585" s="62"/>
      <c r="Q2585" s="357">
        <v>0.70994599999999997</v>
      </c>
      <c r="R2585" s="603"/>
      <c r="S2585" s="62"/>
      <c r="T2585" s="357"/>
      <c r="U2585" s="62"/>
      <c r="V2585" s="62"/>
      <c r="W2585" s="699">
        <f t="shared" ref="W2585" si="2276">AA2585*(1+AB2585)</f>
        <v>5.6085733999999994E-4</v>
      </c>
      <c r="X2585" s="779">
        <f t="shared" ref="X2585" si="2277">AA2585*(1+AC2585)</f>
        <v>5.6085733999999994E-4</v>
      </c>
      <c r="Y2585" s="50">
        <v>2005</v>
      </c>
      <c r="Z2585" s="50"/>
      <c r="AA2585" s="773">
        <f>+Q2585/1000</f>
        <v>7.0994599999999993E-4</v>
      </c>
      <c r="AB2585" s="395">
        <v>-0.21</v>
      </c>
      <c r="AC2585" s="443">
        <f t="shared" ref="AC2585" si="2278">AB2585</f>
        <v>-0.21</v>
      </c>
      <c r="AD2585" s="16"/>
      <c r="AE2585" s="16"/>
      <c r="AF2585" s="170"/>
      <c r="AG2585" s="86"/>
      <c r="AH2585" s="272"/>
      <c r="AI2585" s="50"/>
      <c r="AJ2585" s="31"/>
      <c r="AK2585" s="156"/>
      <c r="AL2585" s="284"/>
      <c r="AM2585" s="208"/>
      <c r="AN2585" s="16"/>
      <c r="AO2585" s="388"/>
      <c r="AP2585" s="389"/>
      <c r="AQ2585" s="390"/>
      <c r="AR2585" s="392"/>
      <c r="AS2585" s="31"/>
      <c r="AT2585" s="156"/>
      <c r="AU2585" s="284"/>
      <c r="AV2585" s="16"/>
      <c r="AW2585" s="16"/>
      <c r="AX2585" s="170"/>
      <c r="AY2585" s="86"/>
      <c r="AZ2585" s="272"/>
      <c r="BA2585" s="50"/>
      <c r="BB2585" s="31"/>
      <c r="BC2585" s="156"/>
      <c r="BD2585" s="341"/>
      <c r="BE2585" s="208"/>
      <c r="BF2585" s="16"/>
      <c r="BG2585" s="170"/>
      <c r="BH2585" s="86"/>
      <c r="BI2585" s="272"/>
      <c r="BJ2585" s="50"/>
      <c r="BK2585" s="31"/>
      <c r="BL2585" s="156"/>
      <c r="BM2585" s="341"/>
      <c r="BN2585" s="208"/>
      <c r="BO2585" s="16"/>
      <c r="BP2585" s="170"/>
      <c r="BQ2585" s="86"/>
      <c r="BR2585" s="50"/>
      <c r="BS2585" s="50"/>
      <c r="BT2585" s="31"/>
      <c r="BU2585" s="43"/>
      <c r="BV2585" s="209"/>
      <c r="BW2585" s="141"/>
      <c r="BX2585" s="311"/>
      <c r="BY2585" s="137"/>
    </row>
    <row r="2586" spans="1:77" ht="15" customHeight="1" x14ac:dyDescent="0.2">
      <c r="A2586" s="56" t="s">
        <v>12</v>
      </c>
      <c r="B2586" s="56"/>
      <c r="C2586" s="107" t="s">
        <v>2632</v>
      </c>
      <c r="D2586" s="544">
        <v>25.2</v>
      </c>
      <c r="E2586" s="107" t="s">
        <v>631</v>
      </c>
      <c r="F2586" s="602"/>
      <c r="G2586" s="419"/>
      <c r="H2586" s="419"/>
      <c r="I2586" s="608"/>
      <c r="J2586" s="62"/>
      <c r="K2586" s="62"/>
      <c r="L2586" s="608"/>
      <c r="M2586" s="62"/>
      <c r="N2586" s="355">
        <v>8.8390999999999997E-2</v>
      </c>
      <c r="O2586" s="603"/>
      <c r="P2586" s="62"/>
      <c r="Q2586" s="355"/>
      <c r="R2586" s="603"/>
      <c r="S2586" s="62"/>
      <c r="T2586" s="355"/>
      <c r="U2586" s="62"/>
      <c r="V2586" s="62"/>
      <c r="W2586" s="699">
        <f t="shared" ref="W2586" si="2279">AA2586*(1+AB2586)</f>
        <v>7.0712799999999998E-5</v>
      </c>
      <c r="X2586" s="779">
        <f t="shared" ref="X2586" si="2280">AA2586*(1+AC2586)</f>
        <v>7.0712799999999998E-5</v>
      </c>
      <c r="Y2586" s="50">
        <v>2005</v>
      </c>
      <c r="Z2586" s="50"/>
      <c r="AA2586" s="773">
        <f>+N2586/1000</f>
        <v>8.8391000000000001E-5</v>
      </c>
      <c r="AB2586" s="395">
        <v>-0.2</v>
      </c>
      <c r="AC2586" s="443">
        <f t="shared" ref="AC2586" si="2281">AB2586</f>
        <v>-0.2</v>
      </c>
      <c r="AD2586" s="16"/>
      <c r="AE2586" s="16"/>
      <c r="AF2586" s="170"/>
      <c r="AG2586" s="86"/>
      <c r="AH2586" s="272"/>
      <c r="AI2586" s="50"/>
      <c r="AJ2586" s="31"/>
      <c r="AK2586" s="156"/>
      <c r="AL2586" s="284"/>
      <c r="AM2586" s="208"/>
      <c r="AN2586" s="16"/>
      <c r="AO2586" s="388"/>
      <c r="AP2586" s="389"/>
      <c r="AQ2586" s="390"/>
      <c r="AR2586" s="392"/>
      <c r="AS2586" s="31"/>
      <c r="AT2586" s="156"/>
      <c r="AU2586" s="284"/>
      <c r="AV2586" s="16"/>
      <c r="AW2586" s="16"/>
      <c r="AX2586" s="170"/>
      <c r="AY2586" s="86"/>
      <c r="AZ2586" s="272"/>
      <c r="BA2586" s="50"/>
      <c r="BB2586" s="31"/>
      <c r="BC2586" s="156"/>
      <c r="BD2586" s="341"/>
      <c r="BE2586" s="208"/>
      <c r="BF2586" s="16"/>
      <c r="BG2586" s="170"/>
      <c r="BH2586" s="86"/>
      <c r="BI2586" s="272"/>
      <c r="BJ2586" s="50"/>
      <c r="BK2586" s="31"/>
      <c r="BL2586" s="156"/>
      <c r="BM2586" s="341"/>
      <c r="BN2586" s="208"/>
      <c r="BO2586" s="16"/>
      <c r="BP2586" s="170"/>
      <c r="BQ2586" s="86"/>
      <c r="BR2586" s="50"/>
      <c r="BS2586" s="50"/>
      <c r="BT2586" s="31"/>
      <c r="BU2586" s="43"/>
      <c r="BV2586" s="209"/>
      <c r="BW2586" s="141"/>
      <c r="BX2586" s="311"/>
      <c r="BY2586" s="137"/>
    </row>
    <row r="2587" spans="1:77" ht="15" customHeight="1" x14ac:dyDescent="0.2">
      <c r="A2587" s="56" t="s">
        <v>12</v>
      </c>
      <c r="B2587" s="56"/>
      <c r="C2587" s="107" t="s">
        <v>697</v>
      </c>
      <c r="D2587" s="544">
        <v>324.25599999999997</v>
      </c>
      <c r="E2587" s="107" t="s">
        <v>631</v>
      </c>
      <c r="F2587" s="602"/>
      <c r="G2587" s="419"/>
      <c r="H2587" s="419"/>
      <c r="I2587" s="608"/>
      <c r="J2587" s="62"/>
      <c r="K2587" s="62"/>
      <c r="L2587" s="608">
        <v>2013</v>
      </c>
      <c r="M2587" s="62"/>
      <c r="N2587" s="355">
        <v>0.95482400000000001</v>
      </c>
      <c r="O2587" s="603">
        <v>2013</v>
      </c>
      <c r="P2587" s="62"/>
      <c r="Q2587" s="355">
        <v>0.95482400000000001</v>
      </c>
      <c r="R2587" s="603"/>
      <c r="S2587" s="62"/>
      <c r="T2587" s="355"/>
      <c r="U2587" s="62"/>
      <c r="V2587" s="62">
        <v>0.89359999999999995</v>
      </c>
      <c r="W2587" s="21">
        <f t="shared" si="2236"/>
        <v>7.6385920000000005E-4</v>
      </c>
      <c r="X2587" s="22">
        <f t="shared" si="2237"/>
        <v>7.6385920000000005E-4</v>
      </c>
      <c r="Y2587" s="50">
        <v>2013</v>
      </c>
      <c r="Z2587" s="50"/>
      <c r="AA2587" s="33">
        <f t="shared" ref="AA2587:AA2597" si="2282">+N2587/1000</f>
        <v>9.5482400000000006E-4</v>
      </c>
      <c r="AB2587" s="395">
        <v>-0.2</v>
      </c>
      <c r="AC2587" s="443">
        <f t="shared" si="2239"/>
        <v>-0.2</v>
      </c>
      <c r="AD2587" s="16"/>
      <c r="AE2587" s="16"/>
      <c r="AF2587" s="170"/>
      <c r="AG2587" s="86"/>
      <c r="AH2587" s="272"/>
      <c r="AI2587" s="50"/>
      <c r="AJ2587" s="31"/>
      <c r="AK2587" s="156"/>
      <c r="AL2587" s="284"/>
      <c r="AM2587" s="208"/>
      <c r="AN2587" s="16"/>
      <c r="AO2587" s="388"/>
      <c r="AP2587" s="389"/>
      <c r="AQ2587" s="390"/>
      <c r="AR2587" s="392"/>
      <c r="AS2587" s="31"/>
      <c r="AT2587" s="156"/>
      <c r="AU2587" s="284"/>
      <c r="AV2587" s="16"/>
      <c r="AW2587" s="16"/>
      <c r="AX2587" s="170"/>
      <c r="AY2587" s="86"/>
      <c r="AZ2587" s="272"/>
      <c r="BA2587" s="50"/>
      <c r="BB2587" s="31"/>
      <c r="BC2587" s="156"/>
      <c r="BD2587" s="341"/>
      <c r="BE2587" s="208"/>
      <c r="BF2587" s="16"/>
      <c r="BG2587" s="170"/>
      <c r="BH2587" s="86"/>
      <c r="BI2587" s="272"/>
      <c r="BJ2587" s="50"/>
      <c r="BK2587" s="31"/>
      <c r="BL2587" s="156"/>
      <c r="BM2587" s="341"/>
      <c r="BN2587" s="208"/>
      <c r="BO2587" s="16"/>
      <c r="BP2587" s="170"/>
      <c r="BQ2587" s="86"/>
      <c r="BR2587" s="50"/>
      <c r="BS2587" s="50"/>
      <c r="BT2587" s="31"/>
      <c r="BU2587" s="43"/>
      <c r="BV2587" s="209"/>
      <c r="BW2587" s="141"/>
      <c r="BX2587" s="311"/>
      <c r="BY2587" s="137"/>
    </row>
    <row r="2588" spans="1:77" ht="15" customHeight="1" x14ac:dyDescent="0.2">
      <c r="A2588" s="56" t="s">
        <v>12</v>
      </c>
      <c r="B2588" s="56"/>
      <c r="C2588" s="107" t="s">
        <v>2360</v>
      </c>
      <c r="D2588" s="544">
        <v>267.73500000000001</v>
      </c>
      <c r="E2588" s="107" t="s">
        <v>631</v>
      </c>
      <c r="F2588" s="602"/>
      <c r="G2588" s="419"/>
      <c r="H2588" s="419"/>
      <c r="I2588" s="608"/>
      <c r="J2588" s="62"/>
      <c r="K2588" s="62"/>
      <c r="L2588" s="608"/>
      <c r="M2588" s="62"/>
      <c r="N2588" s="355">
        <v>0.92749499999999996</v>
      </c>
      <c r="O2588" s="603"/>
      <c r="P2588" s="62"/>
      <c r="Q2588" s="355"/>
      <c r="R2588" s="603"/>
      <c r="S2588" s="62"/>
      <c r="T2588" s="355"/>
      <c r="U2588" s="62"/>
      <c r="V2588" s="62"/>
      <c r="W2588" s="699">
        <f t="shared" ref="W2588" si="2283">AA2588*(1+AB2588)</f>
        <v>7.3272105E-4</v>
      </c>
      <c r="X2588" s="779">
        <f t="shared" ref="X2588" si="2284">AA2588*(1+AC2588)</f>
        <v>7.3272105E-4</v>
      </c>
      <c r="Y2588" s="50">
        <v>2010</v>
      </c>
      <c r="Z2588" s="50"/>
      <c r="AA2588" s="773">
        <f t="shared" ref="AA2588" si="2285">+N2588/1000</f>
        <v>9.2749499999999997E-4</v>
      </c>
      <c r="AB2588" s="395">
        <v>-0.21</v>
      </c>
      <c r="AC2588" s="443">
        <f t="shared" ref="AC2588" si="2286">AB2588</f>
        <v>-0.21</v>
      </c>
      <c r="AD2588" s="16"/>
      <c r="AE2588" s="16"/>
      <c r="AF2588" s="170"/>
      <c r="AG2588" s="86"/>
      <c r="AH2588" s="272"/>
      <c r="AI2588" s="50"/>
      <c r="AJ2588" s="31"/>
      <c r="AK2588" s="156"/>
      <c r="AL2588" s="284"/>
      <c r="AM2588" s="208"/>
      <c r="AN2588" s="16"/>
      <c r="AO2588" s="388"/>
      <c r="AP2588" s="389"/>
      <c r="AQ2588" s="390"/>
      <c r="AR2588" s="392"/>
      <c r="AS2588" s="31"/>
      <c r="AT2588" s="156"/>
      <c r="AU2588" s="284"/>
      <c r="AV2588" s="16"/>
      <c r="AW2588" s="16"/>
      <c r="AX2588" s="170"/>
      <c r="AY2588" s="86"/>
      <c r="AZ2588" s="272"/>
      <c r="BA2588" s="50"/>
      <c r="BB2588" s="31"/>
      <c r="BC2588" s="156"/>
      <c r="BD2588" s="341"/>
      <c r="BE2588" s="208"/>
      <c r="BF2588" s="16"/>
      <c r="BG2588" s="170"/>
      <c r="BH2588" s="86"/>
      <c r="BI2588" s="272"/>
      <c r="BJ2588" s="50"/>
      <c r="BK2588" s="31"/>
      <c r="BL2588" s="156"/>
      <c r="BM2588" s="341"/>
      <c r="BN2588" s="208"/>
      <c r="BO2588" s="16"/>
      <c r="BP2588" s="170"/>
      <c r="BQ2588" s="86"/>
      <c r="BR2588" s="50"/>
      <c r="BS2588" s="50"/>
      <c r="BT2588" s="31"/>
      <c r="BU2588" s="43"/>
      <c r="BV2588" s="209"/>
      <c r="BW2588" s="141"/>
      <c r="BX2588" s="311"/>
      <c r="BY2588" s="137"/>
    </row>
    <row r="2589" spans="1:77" ht="15" customHeight="1" x14ac:dyDescent="0.2">
      <c r="A2589" s="56" t="s">
        <v>12</v>
      </c>
      <c r="B2589" s="56"/>
      <c r="C2589" s="107" t="s">
        <v>2629</v>
      </c>
      <c r="D2589" s="544">
        <v>9.4220000000000006</v>
      </c>
      <c r="E2589" s="107" t="s">
        <v>631</v>
      </c>
      <c r="F2589" s="602"/>
      <c r="G2589" s="419"/>
      <c r="H2589" s="419"/>
      <c r="I2589" s="608"/>
      <c r="J2589" s="62"/>
      <c r="K2589" s="62"/>
      <c r="L2589" s="608">
        <v>2012</v>
      </c>
      <c r="M2589" s="62"/>
      <c r="N2589" s="781">
        <v>3.7198000000000002E-2</v>
      </c>
      <c r="O2589" s="603"/>
      <c r="P2589" s="62"/>
      <c r="Q2589" s="355"/>
      <c r="R2589" s="603"/>
      <c r="S2589" s="62"/>
      <c r="T2589" s="355"/>
      <c r="U2589" s="62"/>
      <c r="V2589" s="62"/>
      <c r="W2589" s="699"/>
      <c r="X2589" s="779"/>
      <c r="Y2589" s="50"/>
      <c r="Z2589" s="50"/>
      <c r="AA2589" s="773"/>
      <c r="AB2589" s="395"/>
      <c r="AC2589" s="443"/>
      <c r="AD2589" s="16"/>
      <c r="AE2589" s="16"/>
      <c r="AF2589" s="170"/>
      <c r="AG2589" s="86"/>
      <c r="AH2589" s="272"/>
      <c r="AI2589" s="50"/>
      <c r="AJ2589" s="31"/>
      <c r="AK2589" s="156"/>
      <c r="AL2589" s="284"/>
      <c r="AM2589" s="208"/>
      <c r="AN2589" s="16"/>
      <c r="AO2589" s="766">
        <f t="shared" ref="AO2589" si="2287">AS2589*(1+AT2589)</f>
        <v>2.6038599999999998E-5</v>
      </c>
      <c r="AP2589" s="548">
        <f t="shared" ref="AP2589" si="2288">AS2589*(1+AU2589)</f>
        <v>2.6038599999999998E-5</v>
      </c>
      <c r="AQ2589" s="50">
        <v>2012</v>
      </c>
      <c r="AR2589" s="50"/>
      <c r="AS2589" s="780">
        <f>+N2589/1000</f>
        <v>3.7197999999999999E-5</v>
      </c>
      <c r="AT2589" s="395">
        <v>-0.3</v>
      </c>
      <c r="AU2589" s="443">
        <f t="shared" ref="AU2589" si="2289">AT2589</f>
        <v>-0.3</v>
      </c>
      <c r="AV2589" s="16"/>
      <c r="AW2589" s="16"/>
      <c r="AX2589" s="170"/>
      <c r="AY2589" s="86"/>
      <c r="AZ2589" s="272"/>
      <c r="BA2589" s="50"/>
      <c r="BB2589" s="31"/>
      <c r="BC2589" s="156"/>
      <c r="BD2589" s="341"/>
      <c r="BE2589" s="208"/>
      <c r="BF2589" s="16"/>
      <c r="BG2589" s="170"/>
      <c r="BH2589" s="86"/>
      <c r="BI2589" s="272"/>
      <c r="BJ2589" s="50"/>
      <c r="BK2589" s="31"/>
      <c r="BL2589" s="156"/>
      <c r="BM2589" s="341"/>
      <c r="BN2589" s="208"/>
      <c r="BO2589" s="16"/>
      <c r="BP2589" s="170"/>
      <c r="BQ2589" s="86"/>
      <c r="BR2589" s="50"/>
      <c r="BS2589" s="50"/>
      <c r="BT2589" s="31"/>
      <c r="BU2589" s="43"/>
      <c r="BV2589" s="209"/>
      <c r="BW2589" s="141"/>
      <c r="BX2589" s="311"/>
      <c r="BY2589" s="137"/>
    </row>
    <row r="2590" spans="1:77" ht="15" customHeight="1" x14ac:dyDescent="0.2">
      <c r="A2590" s="56" t="s">
        <v>12</v>
      </c>
      <c r="B2590" s="56"/>
      <c r="C2590" s="107" t="s">
        <v>2861</v>
      </c>
      <c r="D2590" s="544">
        <v>2.1680000000000001</v>
      </c>
      <c r="E2590" s="107" t="s">
        <v>631</v>
      </c>
      <c r="F2590" s="602"/>
      <c r="G2590" s="419"/>
      <c r="H2590" s="419"/>
      <c r="I2590" s="608"/>
      <c r="J2590" s="62"/>
      <c r="K2590" s="62"/>
      <c r="L2590" s="608">
        <v>2013</v>
      </c>
      <c r="M2590" s="62"/>
      <c r="N2590" s="781">
        <v>2.5325E-2</v>
      </c>
      <c r="O2590" s="603"/>
      <c r="P2590" s="62"/>
      <c r="Q2590" s="355"/>
      <c r="R2590" s="603"/>
      <c r="S2590" s="62"/>
      <c r="T2590" s="355"/>
      <c r="U2590" s="62"/>
      <c r="V2590" s="62"/>
      <c r="W2590" s="699"/>
      <c r="X2590" s="779"/>
      <c r="Y2590" s="50"/>
      <c r="Z2590" s="50"/>
      <c r="AA2590" s="773"/>
      <c r="AB2590" s="395"/>
      <c r="AC2590" s="443"/>
      <c r="AD2590" s="16"/>
      <c r="AE2590" s="16"/>
      <c r="AF2590" s="170"/>
      <c r="AG2590" s="86"/>
      <c r="AH2590" s="272"/>
      <c r="AI2590" s="50"/>
      <c r="AJ2590" s="31"/>
      <c r="AK2590" s="156"/>
      <c r="AL2590" s="284"/>
      <c r="AM2590" s="208"/>
      <c r="AN2590" s="16"/>
      <c r="AO2590" s="766">
        <f t="shared" ref="AO2590" si="2290">AS2590*(1+AT2590)</f>
        <v>1.6967749999999997E-5</v>
      </c>
      <c r="AP2590" s="548">
        <f t="shared" ref="AP2590" si="2291">AS2590*(1+AU2590)</f>
        <v>1.6967749999999997E-5</v>
      </c>
      <c r="AQ2590" s="50">
        <v>2012</v>
      </c>
      <c r="AR2590" s="50"/>
      <c r="AS2590" s="780">
        <f>+N2590/1000</f>
        <v>2.5324999999999999E-5</v>
      </c>
      <c r="AT2590" s="395">
        <v>-0.33</v>
      </c>
      <c r="AU2590" s="443">
        <f t="shared" ref="AU2590" si="2292">AT2590</f>
        <v>-0.33</v>
      </c>
      <c r="AV2590" s="16"/>
      <c r="AW2590" s="16"/>
      <c r="AX2590" s="170"/>
      <c r="AY2590" s="86"/>
      <c r="AZ2590" s="272"/>
      <c r="BA2590" s="50"/>
      <c r="BB2590" s="31"/>
      <c r="BC2590" s="156"/>
      <c r="BD2590" s="341"/>
      <c r="BE2590" s="208"/>
      <c r="BF2590" s="16"/>
      <c r="BG2590" s="170"/>
      <c r="BH2590" s="86"/>
      <c r="BI2590" s="272"/>
      <c r="BJ2590" s="50"/>
      <c r="BK2590" s="31"/>
      <c r="BL2590" s="156"/>
      <c r="BM2590" s="341"/>
      <c r="BN2590" s="208"/>
      <c r="BO2590" s="16"/>
      <c r="BP2590" s="170"/>
      <c r="BQ2590" s="86"/>
      <c r="BR2590" s="50"/>
      <c r="BS2590" s="50"/>
      <c r="BT2590" s="31"/>
      <c r="BU2590" s="43"/>
      <c r="BV2590" s="209"/>
      <c r="BW2590" s="141"/>
      <c r="BX2590" s="311"/>
      <c r="BY2590" s="137"/>
    </row>
    <row r="2591" spans="1:77" ht="15" customHeight="1" x14ac:dyDescent="0.2">
      <c r="A2591" s="56" t="s">
        <v>12</v>
      </c>
      <c r="B2591" s="56"/>
      <c r="C2591" s="107" t="s">
        <v>730</v>
      </c>
      <c r="D2591" s="544">
        <v>51.8</v>
      </c>
      <c r="E2591" s="107" t="s">
        <v>631</v>
      </c>
      <c r="F2591" s="602"/>
      <c r="G2591" s="419"/>
      <c r="H2591" s="419"/>
      <c r="I2591" s="608"/>
      <c r="J2591" s="62"/>
      <c r="K2591" s="62"/>
      <c r="L2591" s="608"/>
      <c r="M2591" s="62"/>
      <c r="N2591" s="357">
        <v>0.12825300000000001</v>
      </c>
      <c r="O2591" s="603"/>
      <c r="P2591" s="62"/>
      <c r="Q2591" s="357"/>
      <c r="R2591" s="603"/>
      <c r="S2591" s="62"/>
      <c r="T2591" s="357"/>
      <c r="U2591" s="62"/>
      <c r="V2591" s="62"/>
      <c r="W2591" s="699">
        <f t="shared" si="2236"/>
        <v>1.0131987E-4</v>
      </c>
      <c r="X2591" s="779">
        <f t="shared" si="2237"/>
        <v>1.0131987E-4</v>
      </c>
      <c r="Y2591" s="50">
        <v>2010</v>
      </c>
      <c r="Z2591" s="50"/>
      <c r="AA2591" s="773">
        <f t="shared" si="2282"/>
        <v>1.2825299999999999E-4</v>
      </c>
      <c r="AB2591" s="395">
        <v>-0.21</v>
      </c>
      <c r="AC2591" s="443">
        <f t="shared" si="2239"/>
        <v>-0.21</v>
      </c>
      <c r="AD2591" s="16"/>
      <c r="AE2591" s="16"/>
      <c r="AF2591" s="170"/>
      <c r="AG2591" s="86"/>
      <c r="AH2591" s="272"/>
      <c r="AI2591" s="50"/>
      <c r="AJ2591" s="31"/>
      <c r="AK2591" s="156"/>
      <c r="AL2591" s="284"/>
      <c r="AM2591" s="208"/>
      <c r="AN2591" s="16"/>
      <c r="AO2591" s="388"/>
      <c r="AP2591" s="389"/>
      <c r="AQ2591" s="390"/>
      <c r="AR2591" s="392"/>
      <c r="AS2591" s="31"/>
      <c r="AT2591" s="156"/>
      <c r="AU2591" s="284"/>
      <c r="AV2591" s="16"/>
      <c r="AW2591" s="16"/>
      <c r="AX2591" s="170"/>
      <c r="AY2591" s="86"/>
      <c r="AZ2591" s="272"/>
      <c r="BA2591" s="50"/>
      <c r="BB2591" s="31"/>
      <c r="BC2591" s="156"/>
      <c r="BD2591" s="341"/>
      <c r="BE2591" s="208"/>
      <c r="BF2591" s="16"/>
      <c r="BG2591" s="170"/>
      <c r="BH2591" s="86"/>
      <c r="BI2591" s="272"/>
      <c r="BJ2591" s="50"/>
      <c r="BK2591" s="31"/>
      <c r="BL2591" s="156"/>
      <c r="BM2591" s="341"/>
      <c r="BN2591" s="208"/>
      <c r="BO2591" s="16"/>
      <c r="BP2591" s="170"/>
      <c r="BQ2591" s="86"/>
      <c r="BR2591" s="50"/>
      <c r="BS2591" s="50"/>
      <c r="BT2591" s="31"/>
      <c r="BU2591" s="43"/>
      <c r="BV2591" s="209"/>
      <c r="BW2591" s="141"/>
      <c r="BX2591" s="311"/>
      <c r="BY2591" s="137"/>
    </row>
    <row r="2592" spans="1:77" ht="15" customHeight="1" x14ac:dyDescent="0.2">
      <c r="A2592" s="56" t="s">
        <v>12</v>
      </c>
      <c r="B2592" s="56"/>
      <c r="C2592" s="107" t="s">
        <v>709</v>
      </c>
      <c r="D2592" s="544">
        <v>93.5</v>
      </c>
      <c r="E2592" s="107" t="s">
        <v>631</v>
      </c>
      <c r="F2592" s="602"/>
      <c r="G2592" s="419"/>
      <c r="H2592" s="419"/>
      <c r="I2592" s="608"/>
      <c r="J2592" s="62"/>
      <c r="K2592" s="62"/>
      <c r="L2592" s="608"/>
      <c r="M2592" s="62"/>
      <c r="N2592" s="355">
        <v>0.31250600000000001</v>
      </c>
      <c r="O2592" s="603"/>
      <c r="P2592" s="62"/>
      <c r="Q2592" s="355"/>
      <c r="R2592" s="603"/>
      <c r="S2592" s="62"/>
      <c r="T2592" s="355"/>
      <c r="U2592" s="62"/>
      <c r="V2592" s="62"/>
      <c r="W2592" s="699">
        <f t="shared" si="2236"/>
        <v>2.5000480000000002E-4</v>
      </c>
      <c r="X2592" s="779">
        <f t="shared" si="2237"/>
        <v>2.5000480000000002E-4</v>
      </c>
      <c r="Y2592" s="50">
        <v>2010</v>
      </c>
      <c r="Z2592" s="50"/>
      <c r="AA2592" s="773">
        <f t="shared" si="2282"/>
        <v>3.1250599999999999E-4</v>
      </c>
      <c r="AB2592" s="395">
        <v>-0.2</v>
      </c>
      <c r="AC2592" s="443">
        <f t="shared" si="2239"/>
        <v>-0.2</v>
      </c>
      <c r="AD2592" s="16"/>
      <c r="AE2592" s="16"/>
      <c r="AF2592" s="170"/>
      <c r="AG2592" s="86"/>
      <c r="AH2592" s="272"/>
      <c r="AI2592" s="50"/>
      <c r="AJ2592" s="31"/>
      <c r="AK2592" s="156"/>
      <c r="AL2592" s="284"/>
      <c r="AM2592" s="208"/>
      <c r="AN2592" s="16"/>
      <c r="AO2592" s="388"/>
      <c r="AP2592" s="389"/>
      <c r="AQ2592" s="390"/>
      <c r="AR2592" s="392"/>
      <c r="AS2592" s="31"/>
      <c r="AT2592" s="156"/>
      <c r="AU2592" s="284"/>
      <c r="AV2592" s="16"/>
      <c r="AW2592" s="16"/>
      <c r="AX2592" s="170"/>
      <c r="AY2592" s="86"/>
      <c r="AZ2592" s="272"/>
      <c r="BA2592" s="50"/>
      <c r="BB2592" s="31"/>
      <c r="BC2592" s="156"/>
      <c r="BD2592" s="341"/>
      <c r="BE2592" s="208"/>
      <c r="BF2592" s="16"/>
      <c r="BG2592" s="170"/>
      <c r="BH2592" s="86"/>
      <c r="BI2592" s="272"/>
      <c r="BJ2592" s="50"/>
      <c r="BK2592" s="31"/>
      <c r="BL2592" s="156"/>
      <c r="BM2592" s="341"/>
      <c r="BN2592" s="208"/>
      <c r="BO2592" s="16"/>
      <c r="BP2592" s="170"/>
      <c r="BQ2592" s="86"/>
      <c r="BR2592" s="50"/>
      <c r="BS2592" s="50"/>
      <c r="BT2592" s="31"/>
      <c r="BU2592" s="43"/>
      <c r="BV2592" s="209"/>
      <c r="BW2592" s="141"/>
      <c r="BX2592" s="311"/>
      <c r="BY2592" s="137"/>
    </row>
    <row r="2593" spans="1:77" ht="15" customHeight="1" x14ac:dyDescent="0.2">
      <c r="A2593" s="56" t="s">
        <v>12</v>
      </c>
      <c r="B2593" s="56"/>
      <c r="C2593" s="107" t="s">
        <v>702</v>
      </c>
      <c r="D2593" s="544">
        <v>5.5049999999999999</v>
      </c>
      <c r="E2593" s="107" t="s">
        <v>631</v>
      </c>
      <c r="F2593" s="602"/>
      <c r="G2593" s="419"/>
      <c r="H2593" s="419"/>
      <c r="I2593" s="608"/>
      <c r="J2593" s="62"/>
      <c r="K2593" s="62"/>
      <c r="L2593" s="608">
        <v>2012</v>
      </c>
      <c r="M2593" s="62"/>
      <c r="N2593" s="357">
        <v>1.5291000000000001E-2</v>
      </c>
      <c r="O2593" s="603"/>
      <c r="P2593" s="62"/>
      <c r="Q2593" s="357"/>
      <c r="R2593" s="603"/>
      <c r="S2593" s="62"/>
      <c r="T2593" s="357"/>
      <c r="U2593" s="62"/>
      <c r="V2593" s="62"/>
      <c r="W2593" s="699">
        <f t="shared" si="2236"/>
        <v>1.207989E-5</v>
      </c>
      <c r="X2593" s="779">
        <f t="shared" si="2237"/>
        <v>1.207989E-5</v>
      </c>
      <c r="Y2593" s="50">
        <v>2012</v>
      </c>
      <c r="Z2593" s="50"/>
      <c r="AA2593" s="773">
        <f t="shared" si="2282"/>
        <v>1.5291E-5</v>
      </c>
      <c r="AB2593" s="395">
        <v>-0.21</v>
      </c>
      <c r="AC2593" s="443">
        <f t="shared" si="2239"/>
        <v>-0.21</v>
      </c>
      <c r="AD2593" s="16"/>
      <c r="AE2593" s="16"/>
      <c r="AF2593" s="170"/>
      <c r="AG2593" s="86"/>
      <c r="AH2593" s="272"/>
      <c r="AI2593" s="50"/>
      <c r="AJ2593" s="31"/>
      <c r="AK2593" s="156"/>
      <c r="AL2593" s="284"/>
      <c r="AM2593" s="208"/>
      <c r="AN2593" s="16"/>
      <c r="AO2593" s="388"/>
      <c r="AP2593" s="389"/>
      <c r="AQ2593" s="390"/>
      <c r="AR2593" s="392"/>
      <c r="AS2593" s="31"/>
      <c r="AT2593" s="156"/>
      <c r="AU2593" s="284"/>
      <c r="AV2593" s="16"/>
      <c r="AW2593" s="16"/>
      <c r="AX2593" s="170"/>
      <c r="AY2593" s="86"/>
      <c r="AZ2593" s="272"/>
      <c r="BA2593" s="50"/>
      <c r="BB2593" s="31"/>
      <c r="BC2593" s="156"/>
      <c r="BD2593" s="341"/>
      <c r="BE2593" s="208"/>
      <c r="BF2593" s="16"/>
      <c r="BG2593" s="170"/>
      <c r="BH2593" s="86"/>
      <c r="BI2593" s="272"/>
      <c r="BJ2593" s="50"/>
      <c r="BK2593" s="31"/>
      <c r="BL2593" s="156"/>
      <c r="BM2593" s="341"/>
      <c r="BN2593" s="208"/>
      <c r="BO2593" s="16"/>
      <c r="BP2593" s="170"/>
      <c r="BQ2593" s="86"/>
      <c r="BR2593" s="50"/>
      <c r="BS2593" s="50"/>
      <c r="BT2593" s="31"/>
      <c r="BU2593" s="43"/>
      <c r="BV2593" s="209"/>
      <c r="BW2593" s="141"/>
      <c r="BX2593" s="311"/>
      <c r="BY2593" s="137"/>
    </row>
    <row r="2594" spans="1:77" ht="15" customHeight="1" x14ac:dyDescent="0.2">
      <c r="A2594" s="56" t="s">
        <v>12</v>
      </c>
      <c r="B2594" s="56"/>
      <c r="C2594" s="107" t="s">
        <v>728</v>
      </c>
      <c r="D2594" s="544">
        <v>65</v>
      </c>
      <c r="E2594" s="107" t="s">
        <v>631</v>
      </c>
      <c r="F2594" s="602"/>
      <c r="G2594" s="419"/>
      <c r="H2594" s="419"/>
      <c r="I2594" s="608"/>
      <c r="J2594" s="62"/>
      <c r="K2594" s="62"/>
      <c r="L2594" s="608">
        <v>2012</v>
      </c>
      <c r="M2594" s="62"/>
      <c r="N2594" s="357">
        <v>0.14835200000000001</v>
      </c>
      <c r="O2594" s="603"/>
      <c r="P2594" s="62"/>
      <c r="Q2594" s="357"/>
      <c r="R2594" s="603"/>
      <c r="S2594" s="62"/>
      <c r="T2594" s="357"/>
      <c r="U2594" s="62"/>
      <c r="V2594" s="62"/>
      <c r="W2594" s="699">
        <f t="shared" si="2236"/>
        <v>1.1868160000000001E-4</v>
      </c>
      <c r="X2594" s="779">
        <f t="shared" si="2237"/>
        <v>1.1868160000000001E-4</v>
      </c>
      <c r="Y2594" s="50">
        <v>2012</v>
      </c>
      <c r="Z2594" s="50"/>
      <c r="AA2594" s="773">
        <f t="shared" si="2282"/>
        <v>1.4835200000000001E-4</v>
      </c>
      <c r="AB2594" s="395">
        <v>-0.2</v>
      </c>
      <c r="AC2594" s="443">
        <f t="shared" si="2239"/>
        <v>-0.2</v>
      </c>
      <c r="AD2594" s="16"/>
      <c r="AE2594" s="16"/>
      <c r="AF2594" s="170"/>
      <c r="AG2594" s="86"/>
      <c r="AH2594" s="272"/>
      <c r="AI2594" s="50"/>
      <c r="AJ2594" s="31"/>
      <c r="AK2594" s="156"/>
      <c r="AL2594" s="284"/>
      <c r="AM2594" s="208"/>
      <c r="AN2594" s="16"/>
      <c r="AO2594" s="388"/>
      <c r="AP2594" s="389"/>
      <c r="AQ2594" s="390"/>
      <c r="AR2594" s="392"/>
      <c r="AS2594" s="31"/>
      <c r="AT2594" s="156"/>
      <c r="AU2594" s="284"/>
      <c r="AV2594" s="16"/>
      <c r="AW2594" s="16"/>
      <c r="AX2594" s="170"/>
      <c r="AY2594" s="86"/>
      <c r="AZ2594" s="272"/>
      <c r="BA2594" s="50"/>
      <c r="BB2594" s="31"/>
      <c r="BC2594" s="156"/>
      <c r="BD2594" s="341"/>
      <c r="BE2594" s="208"/>
      <c r="BF2594" s="16"/>
      <c r="BG2594" s="170"/>
      <c r="BH2594" s="86"/>
      <c r="BI2594" s="272"/>
      <c r="BJ2594" s="50"/>
      <c r="BK2594" s="31"/>
      <c r="BL2594" s="156"/>
      <c r="BM2594" s="341"/>
      <c r="BN2594" s="208"/>
      <c r="BO2594" s="16"/>
      <c r="BP2594" s="170"/>
      <c r="BQ2594" s="86"/>
      <c r="BR2594" s="50"/>
      <c r="BS2594" s="50"/>
      <c r="BT2594" s="31"/>
      <c r="BU2594" s="43"/>
      <c r="BV2594" s="209"/>
      <c r="BW2594" s="141"/>
      <c r="BX2594" s="311"/>
      <c r="BY2594" s="137"/>
    </row>
    <row r="2595" spans="1:77" ht="15" customHeight="1" x14ac:dyDescent="0.2">
      <c r="A2595" s="56" t="s">
        <v>12</v>
      </c>
      <c r="B2595" s="56"/>
      <c r="C2595" s="107" t="s">
        <v>2862</v>
      </c>
      <c r="D2595" s="544">
        <v>12.999000000000001</v>
      </c>
      <c r="E2595" s="107" t="s">
        <v>631</v>
      </c>
      <c r="F2595" s="602"/>
      <c r="G2595" s="419"/>
      <c r="H2595" s="419"/>
      <c r="I2595" s="608"/>
      <c r="J2595" s="62"/>
      <c r="K2595" s="62"/>
      <c r="L2595" s="608"/>
      <c r="M2595" s="62"/>
      <c r="N2595" s="357"/>
      <c r="O2595" s="603">
        <v>2016</v>
      </c>
      <c r="P2595" s="62"/>
      <c r="Q2595" s="357">
        <v>4.9279000000000003E-2</v>
      </c>
      <c r="R2595" s="603">
        <v>2016</v>
      </c>
      <c r="S2595" s="62"/>
      <c r="T2595" s="357">
        <v>4.9279000000000003E-2</v>
      </c>
      <c r="U2595" s="62"/>
      <c r="V2595" s="62"/>
      <c r="W2595" s="699"/>
      <c r="X2595" s="779"/>
      <c r="Y2595" s="50"/>
      <c r="Z2595" s="50"/>
      <c r="AA2595" s="773"/>
      <c r="AB2595" s="395"/>
      <c r="AC2595" s="443"/>
      <c r="AD2595" s="16"/>
      <c r="AE2595" s="16"/>
      <c r="AF2595" s="170"/>
      <c r="AG2595" s="86"/>
      <c r="AH2595" s="272"/>
      <c r="AI2595" s="50"/>
      <c r="AJ2595" s="31"/>
      <c r="AK2595" s="156"/>
      <c r="AL2595" s="284"/>
      <c r="AM2595" s="208"/>
      <c r="AN2595" s="16"/>
      <c r="AO2595" s="766">
        <f t="shared" ref="AO2595" si="2293">AS2595*(1+AT2595)</f>
        <v>3.4495299999999995E-5</v>
      </c>
      <c r="AP2595" s="548">
        <f t="shared" ref="AP2595" si="2294">AS2595*(1+AU2595)</f>
        <v>3.4495299999999995E-5</v>
      </c>
      <c r="AQ2595" s="50">
        <v>2012</v>
      </c>
      <c r="AR2595" s="50"/>
      <c r="AS2595" s="780">
        <f>+Q2595/1000</f>
        <v>4.9279E-5</v>
      </c>
      <c r="AT2595" s="395">
        <v>-0.3</v>
      </c>
      <c r="AU2595" s="443">
        <f t="shared" ref="AU2595" si="2295">AT2595</f>
        <v>-0.3</v>
      </c>
      <c r="AV2595" s="16"/>
      <c r="AW2595" s="16"/>
      <c r="AX2595" s="170"/>
      <c r="AY2595" s="86"/>
      <c r="AZ2595" s="272"/>
      <c r="BA2595" s="50"/>
      <c r="BB2595" s="31"/>
      <c r="BC2595" s="156"/>
      <c r="BD2595" s="341"/>
      <c r="BE2595" s="208"/>
      <c r="BF2595" s="16"/>
      <c r="BG2595" s="170"/>
      <c r="BH2595" s="86"/>
      <c r="BI2595" s="272"/>
      <c r="BJ2595" s="50"/>
      <c r="BK2595" s="31"/>
      <c r="BL2595" s="156"/>
      <c r="BM2595" s="341"/>
      <c r="BN2595" s="208"/>
      <c r="BO2595" s="16"/>
      <c r="BP2595" s="170"/>
      <c r="BQ2595" s="86"/>
      <c r="BR2595" s="50"/>
      <c r="BS2595" s="50"/>
      <c r="BT2595" s="31"/>
      <c r="BU2595" s="43"/>
      <c r="BV2595" s="209"/>
      <c r="BW2595" s="141"/>
      <c r="BX2595" s="311"/>
      <c r="BY2595" s="137"/>
    </row>
    <row r="2596" spans="1:77" ht="15" customHeight="1" x14ac:dyDescent="0.2">
      <c r="A2596" s="56" t="s">
        <v>12</v>
      </c>
      <c r="B2596" s="56"/>
      <c r="C2596" s="107" t="s">
        <v>718</v>
      </c>
      <c r="D2596" s="544">
        <v>68.278999999999996</v>
      </c>
      <c r="E2596" s="107" t="s">
        <v>631</v>
      </c>
      <c r="F2596" s="602"/>
      <c r="G2596" s="419"/>
      <c r="H2596" s="419"/>
      <c r="I2596" s="608"/>
      <c r="J2596" s="62"/>
      <c r="K2596" s="62"/>
      <c r="L2596" s="608"/>
      <c r="M2596" s="62"/>
      <c r="N2596" s="355">
        <v>0.19223000000000001</v>
      </c>
      <c r="O2596" s="603"/>
      <c r="P2596" s="62"/>
      <c r="Q2596" s="355"/>
      <c r="R2596" s="603"/>
      <c r="S2596" s="62"/>
      <c r="T2596" s="355"/>
      <c r="U2596" s="62"/>
      <c r="V2596" s="62"/>
      <c r="W2596" s="699">
        <f t="shared" si="2236"/>
        <v>1.5378400000000002E-4</v>
      </c>
      <c r="X2596" s="779">
        <f t="shared" si="2237"/>
        <v>1.5378400000000002E-4</v>
      </c>
      <c r="Y2596" s="50">
        <v>2010</v>
      </c>
      <c r="Z2596" s="50"/>
      <c r="AA2596" s="773">
        <f t="shared" si="2282"/>
        <v>1.9223000000000002E-4</v>
      </c>
      <c r="AB2596" s="395">
        <v>-0.2</v>
      </c>
      <c r="AC2596" s="443">
        <f t="shared" si="2239"/>
        <v>-0.2</v>
      </c>
      <c r="AD2596" s="16"/>
      <c r="AE2596" s="16"/>
      <c r="AF2596" s="170"/>
      <c r="AG2596" s="86"/>
      <c r="AH2596" s="272"/>
      <c r="AI2596" s="50"/>
      <c r="AJ2596" s="31"/>
      <c r="AK2596" s="156"/>
      <c r="AL2596" s="284"/>
      <c r="AM2596" s="208"/>
      <c r="AN2596" s="16"/>
      <c r="AO2596" s="388"/>
      <c r="AP2596" s="389"/>
      <c r="AQ2596" s="390"/>
      <c r="AR2596" s="392"/>
      <c r="AS2596" s="31"/>
      <c r="AT2596" s="156"/>
      <c r="AU2596" s="284"/>
      <c r="AV2596" s="16"/>
      <c r="AW2596" s="16"/>
      <c r="AX2596" s="170"/>
      <c r="AY2596" s="86"/>
      <c r="AZ2596" s="272"/>
      <c r="BA2596" s="50"/>
      <c r="BB2596" s="31"/>
      <c r="BC2596" s="156"/>
      <c r="BD2596" s="341"/>
      <c r="BE2596" s="208"/>
      <c r="BF2596" s="16"/>
      <c r="BG2596" s="170"/>
      <c r="BH2596" s="86"/>
      <c r="BI2596" s="272"/>
      <c r="BJ2596" s="50"/>
      <c r="BK2596" s="31"/>
      <c r="BL2596" s="156"/>
      <c r="BM2596" s="341"/>
      <c r="BN2596" s="208"/>
      <c r="BO2596" s="16"/>
      <c r="BP2596" s="170"/>
      <c r="BQ2596" s="86"/>
      <c r="BR2596" s="50"/>
      <c r="BS2596" s="50"/>
      <c r="BT2596" s="31"/>
      <c r="BU2596" s="43"/>
      <c r="BV2596" s="209"/>
      <c r="BW2596" s="141"/>
      <c r="BX2596" s="311"/>
      <c r="BY2596" s="137"/>
    </row>
    <row r="2597" spans="1:77" ht="15" customHeight="1" x14ac:dyDescent="0.2">
      <c r="A2597" s="56" t="s">
        <v>12</v>
      </c>
      <c r="B2597" s="56"/>
      <c r="C2597" s="107" t="s">
        <v>695</v>
      </c>
      <c r="D2597" s="544">
        <v>166.28399999999999</v>
      </c>
      <c r="E2597" s="107" t="s">
        <v>631</v>
      </c>
      <c r="F2597" s="602"/>
      <c r="G2597" s="419"/>
      <c r="H2597" s="419"/>
      <c r="I2597" s="608"/>
      <c r="J2597" s="62"/>
      <c r="K2597" s="62"/>
      <c r="L2597" s="608">
        <v>2012</v>
      </c>
      <c r="M2597" s="62"/>
      <c r="N2597" s="355">
        <v>0.76681299999999997</v>
      </c>
      <c r="O2597" s="603"/>
      <c r="P2597" s="62"/>
      <c r="Q2597" s="355"/>
      <c r="R2597" s="603"/>
      <c r="S2597" s="62"/>
      <c r="T2597" s="355"/>
      <c r="U2597" s="62"/>
      <c r="V2597" s="62"/>
      <c r="W2597" s="21">
        <f t="shared" si="2236"/>
        <v>4.6775592999999995E-4</v>
      </c>
      <c r="X2597" s="22">
        <f t="shared" si="2237"/>
        <v>4.6775592999999995E-4</v>
      </c>
      <c r="Y2597" s="50">
        <v>1990</v>
      </c>
      <c r="Z2597" s="50"/>
      <c r="AA2597" s="33">
        <f t="shared" si="2282"/>
        <v>7.6681299999999998E-4</v>
      </c>
      <c r="AB2597" s="395">
        <v>-0.39</v>
      </c>
      <c r="AC2597" s="443">
        <f t="shared" si="2239"/>
        <v>-0.39</v>
      </c>
      <c r="AD2597" s="16"/>
      <c r="AE2597" s="16"/>
      <c r="AF2597" s="170"/>
      <c r="AG2597" s="86"/>
      <c r="AH2597" s="272"/>
      <c r="AI2597" s="50"/>
      <c r="AJ2597" s="31"/>
      <c r="AK2597" s="156"/>
      <c r="AL2597" s="284"/>
      <c r="AM2597" s="208"/>
      <c r="AN2597" s="16"/>
      <c r="AO2597" s="388"/>
      <c r="AP2597" s="389"/>
      <c r="AQ2597" s="390"/>
      <c r="AR2597" s="392"/>
      <c r="AS2597" s="31"/>
      <c r="AT2597" s="156"/>
      <c r="AU2597" s="284"/>
      <c r="AV2597" s="16"/>
      <c r="AW2597" s="16"/>
      <c r="AX2597" s="170"/>
      <c r="AY2597" s="86"/>
      <c r="AZ2597" s="272"/>
      <c r="BA2597" s="50"/>
      <c r="BB2597" s="31"/>
      <c r="BC2597" s="156"/>
      <c r="BD2597" s="341"/>
      <c r="BE2597" s="208"/>
      <c r="BF2597" s="16"/>
      <c r="BG2597" s="170"/>
      <c r="BH2597" s="86"/>
      <c r="BI2597" s="272"/>
      <c r="BJ2597" s="50"/>
      <c r="BK2597" s="31"/>
      <c r="BL2597" s="156"/>
      <c r="BM2597" s="341"/>
      <c r="BN2597" s="208"/>
      <c r="BO2597" s="16"/>
      <c r="BP2597" s="170"/>
      <c r="BQ2597" s="86"/>
      <c r="BR2597" s="50"/>
      <c r="BS2597" s="50"/>
      <c r="BT2597" s="31"/>
      <c r="BU2597" s="43"/>
      <c r="BV2597" s="209"/>
      <c r="BW2597" s="141"/>
      <c r="BX2597" s="311"/>
      <c r="BY2597" s="137"/>
    </row>
    <row r="2598" spans="1:77" ht="15" customHeight="1" x14ac:dyDescent="0.2">
      <c r="A2598" s="56" t="s">
        <v>12</v>
      </c>
      <c r="B2598" s="56"/>
      <c r="C2598" s="107" t="s">
        <v>2644</v>
      </c>
      <c r="D2598" s="544">
        <v>225.828</v>
      </c>
      <c r="E2598" s="107" t="s">
        <v>631</v>
      </c>
      <c r="F2598" s="602"/>
      <c r="G2598" s="419"/>
      <c r="H2598" s="419"/>
      <c r="I2598" s="608"/>
      <c r="J2598" s="62"/>
      <c r="K2598" s="62"/>
      <c r="L2598" s="608"/>
      <c r="M2598" s="62"/>
      <c r="N2598" s="355"/>
      <c r="O2598" s="603">
        <v>2013</v>
      </c>
      <c r="P2598" s="62"/>
      <c r="Q2598" s="357">
        <v>0.39344499999999999</v>
      </c>
      <c r="R2598" s="603"/>
      <c r="S2598" s="62"/>
      <c r="T2598" s="357"/>
      <c r="U2598" s="62"/>
      <c r="V2598" s="62"/>
      <c r="W2598" s="699">
        <f t="shared" ref="W2598" si="2296">AA2598*(1+AB2598)</f>
        <v>2.9901819999999998E-4</v>
      </c>
      <c r="X2598" s="779">
        <f t="shared" ref="X2598" si="2297">AA2598*(1+AC2598)</f>
        <v>2.9901819999999998E-4</v>
      </c>
      <c r="Y2598" s="50">
        <v>1990</v>
      </c>
      <c r="Z2598" s="50"/>
      <c r="AA2598" s="773">
        <f>+Q2598/1000</f>
        <v>3.9344499999999997E-4</v>
      </c>
      <c r="AB2598" s="395">
        <v>-0.24</v>
      </c>
      <c r="AC2598" s="443">
        <f t="shared" ref="AC2598" si="2298">AB2598</f>
        <v>-0.24</v>
      </c>
      <c r="AD2598" s="16"/>
      <c r="AE2598" s="16"/>
      <c r="AF2598" s="170"/>
      <c r="AG2598" s="86"/>
      <c r="AH2598" s="272"/>
      <c r="AI2598" s="50"/>
      <c r="AJ2598" s="31"/>
      <c r="AK2598" s="156"/>
      <c r="AL2598" s="284"/>
      <c r="AM2598" s="208"/>
      <c r="AN2598" s="16"/>
      <c r="AO2598" s="388"/>
      <c r="AP2598" s="389"/>
      <c r="AQ2598" s="390"/>
      <c r="AR2598" s="392"/>
      <c r="AS2598" s="31"/>
      <c r="AT2598" s="156"/>
      <c r="AU2598" s="284"/>
      <c r="AV2598" s="16"/>
      <c r="AW2598" s="16"/>
      <c r="AX2598" s="170"/>
      <c r="AY2598" s="86"/>
      <c r="AZ2598" s="272"/>
      <c r="BA2598" s="50"/>
      <c r="BB2598" s="31"/>
      <c r="BC2598" s="156"/>
      <c r="BD2598" s="341"/>
      <c r="BE2598" s="208"/>
      <c r="BF2598" s="16"/>
      <c r="BG2598" s="170"/>
      <c r="BH2598" s="86"/>
      <c r="BI2598" s="272"/>
      <c r="BJ2598" s="50"/>
      <c r="BK2598" s="31"/>
      <c r="BL2598" s="156"/>
      <c r="BM2598" s="341"/>
      <c r="BN2598" s="208"/>
      <c r="BO2598" s="16"/>
      <c r="BP2598" s="170"/>
      <c r="BQ2598" s="86"/>
      <c r="BR2598" s="50"/>
      <c r="BS2598" s="50"/>
      <c r="BT2598" s="31"/>
      <c r="BU2598" s="43"/>
      <c r="BV2598" s="209"/>
      <c r="BW2598" s="141"/>
      <c r="BX2598" s="311"/>
      <c r="BY2598" s="137"/>
    </row>
    <row r="2599" spans="1:77" ht="15" customHeight="1" x14ac:dyDescent="0.2">
      <c r="A2599" s="56" t="s">
        <v>12</v>
      </c>
      <c r="B2599" s="56"/>
      <c r="C2599" s="107" t="s">
        <v>2638</v>
      </c>
      <c r="D2599" s="544">
        <v>667.9</v>
      </c>
      <c r="E2599" s="107" t="s">
        <v>631</v>
      </c>
      <c r="F2599" s="602"/>
      <c r="G2599" s="419"/>
      <c r="H2599" s="419"/>
      <c r="I2599" s="608"/>
      <c r="J2599" s="62"/>
      <c r="K2599" s="62"/>
      <c r="L2599" s="608"/>
      <c r="M2599" s="62"/>
      <c r="N2599" s="355">
        <v>1.3327830000000001</v>
      </c>
      <c r="O2599" s="603"/>
      <c r="P2599" s="62"/>
      <c r="Q2599" s="355"/>
      <c r="R2599" s="603"/>
      <c r="S2599" s="62"/>
      <c r="T2599" s="355"/>
      <c r="U2599" s="62"/>
      <c r="V2599" s="62"/>
      <c r="W2599" s="21">
        <f t="shared" si="2236"/>
        <v>1.0662264000000001E-3</v>
      </c>
      <c r="X2599" s="22">
        <f t="shared" si="2237"/>
        <v>1.0662264000000001E-3</v>
      </c>
      <c r="Y2599" s="50">
        <v>2010</v>
      </c>
      <c r="Z2599" s="50"/>
      <c r="AA2599" s="33">
        <f>+N2599/1000</f>
        <v>1.3327830000000001E-3</v>
      </c>
      <c r="AB2599" s="395">
        <v>-0.2</v>
      </c>
      <c r="AC2599" s="443">
        <f t="shared" si="2239"/>
        <v>-0.2</v>
      </c>
      <c r="AD2599" s="16"/>
      <c r="AE2599" s="16"/>
      <c r="AF2599" s="170"/>
      <c r="AG2599" s="86"/>
      <c r="AH2599" s="272"/>
      <c r="AI2599" s="50"/>
      <c r="AJ2599" s="31"/>
      <c r="AK2599" s="156"/>
      <c r="AL2599" s="284"/>
      <c r="AM2599" s="208"/>
      <c r="AN2599" s="16"/>
      <c r="AO2599" s="388"/>
      <c r="AP2599" s="389"/>
      <c r="AQ2599" s="390"/>
      <c r="AR2599" s="392"/>
      <c r="AS2599" s="31"/>
      <c r="AT2599" s="156"/>
      <c r="AU2599" s="284"/>
      <c r="AV2599" s="16"/>
      <c r="AW2599" s="16"/>
      <c r="AX2599" s="170"/>
      <c r="AY2599" s="86"/>
      <c r="AZ2599" s="272"/>
      <c r="BA2599" s="50"/>
      <c r="BB2599" s="31"/>
      <c r="BC2599" s="156"/>
      <c r="BD2599" s="341"/>
      <c r="BE2599" s="208"/>
      <c r="BF2599" s="16"/>
      <c r="BG2599" s="170"/>
      <c r="BH2599" s="86"/>
      <c r="BI2599" s="272"/>
      <c r="BJ2599" s="50"/>
      <c r="BK2599" s="31"/>
      <c r="BL2599" s="156"/>
      <c r="BM2599" s="341"/>
      <c r="BN2599" s="208"/>
      <c r="BO2599" s="16"/>
      <c r="BP2599" s="170"/>
      <c r="BQ2599" s="86"/>
      <c r="BR2599" s="50"/>
      <c r="BS2599" s="50"/>
      <c r="BT2599" s="31"/>
      <c r="BU2599" s="43"/>
      <c r="BV2599" s="209"/>
      <c r="BW2599" s="141"/>
      <c r="BX2599" s="311"/>
      <c r="BY2599" s="137"/>
    </row>
    <row r="2600" spans="1:77" ht="15" customHeight="1" x14ac:dyDescent="0.2">
      <c r="A2600" s="56" t="s">
        <v>12</v>
      </c>
      <c r="B2600" s="56"/>
      <c r="C2600" s="107" t="s">
        <v>2633</v>
      </c>
      <c r="D2600" s="544">
        <v>42</v>
      </c>
      <c r="E2600" s="107" t="s">
        <v>631</v>
      </c>
      <c r="F2600" s="602"/>
      <c r="G2600" s="419"/>
      <c r="H2600" s="419"/>
      <c r="I2600" s="608"/>
      <c r="J2600" s="62"/>
      <c r="K2600" s="62"/>
      <c r="L2600" s="608"/>
      <c r="M2600" s="62"/>
      <c r="N2600" s="357">
        <v>0.118136</v>
      </c>
      <c r="O2600" s="603"/>
      <c r="P2600" s="62"/>
      <c r="Q2600" s="355"/>
      <c r="R2600" s="603"/>
      <c r="S2600" s="62"/>
      <c r="T2600" s="355"/>
      <c r="U2600" s="62"/>
      <c r="V2600" s="62"/>
      <c r="W2600" s="699">
        <f t="shared" ref="W2600" si="2299">AA2600*(1+AB2600)</f>
        <v>9.4508800000000012E-5</v>
      </c>
      <c r="X2600" s="779">
        <f t="shared" ref="X2600" si="2300">AA2600*(1+AC2600)</f>
        <v>9.4508800000000012E-5</v>
      </c>
      <c r="Y2600" s="50">
        <v>2007</v>
      </c>
      <c r="Z2600" s="50"/>
      <c r="AA2600" s="773">
        <f>+N2600/1000</f>
        <v>1.1813600000000001E-4</v>
      </c>
      <c r="AB2600" s="395">
        <v>-0.2</v>
      </c>
      <c r="AC2600" s="443">
        <f t="shared" ref="AC2600" si="2301">AB2600</f>
        <v>-0.2</v>
      </c>
      <c r="AD2600" s="16"/>
      <c r="AE2600" s="16"/>
      <c r="AF2600" s="170"/>
      <c r="AG2600" s="86"/>
      <c r="AH2600" s="272"/>
      <c r="AI2600" s="50"/>
      <c r="AJ2600" s="31"/>
      <c r="AK2600" s="156"/>
      <c r="AL2600" s="284"/>
      <c r="AM2600" s="208"/>
      <c r="AN2600" s="16"/>
      <c r="AO2600" s="388"/>
      <c r="AP2600" s="389"/>
      <c r="AQ2600" s="390"/>
      <c r="AR2600" s="392"/>
      <c r="AS2600" s="31"/>
      <c r="AT2600" s="156"/>
      <c r="AU2600" s="284"/>
      <c r="AV2600" s="16"/>
      <c r="AW2600" s="16"/>
      <c r="AX2600" s="170"/>
      <c r="AY2600" s="86"/>
      <c r="AZ2600" s="272"/>
      <c r="BA2600" s="50"/>
      <c r="BB2600" s="31"/>
      <c r="BC2600" s="156"/>
      <c r="BD2600" s="341"/>
      <c r="BE2600" s="208"/>
      <c r="BF2600" s="16"/>
      <c r="BG2600" s="170"/>
      <c r="BH2600" s="86"/>
      <c r="BI2600" s="272"/>
      <c r="BJ2600" s="50"/>
      <c r="BK2600" s="31"/>
      <c r="BL2600" s="156"/>
      <c r="BM2600" s="341"/>
      <c r="BN2600" s="208"/>
      <c r="BO2600" s="16"/>
      <c r="BP2600" s="170"/>
      <c r="BQ2600" s="86"/>
      <c r="BR2600" s="50"/>
      <c r="BS2600" s="50"/>
      <c r="BT2600" s="31"/>
      <c r="BU2600" s="43"/>
      <c r="BV2600" s="209"/>
      <c r="BW2600" s="141"/>
      <c r="BX2600" s="311"/>
      <c r="BY2600" s="137"/>
    </row>
    <row r="2601" spans="1:77" ht="15" customHeight="1" x14ac:dyDescent="0.2">
      <c r="A2601" s="56" t="s">
        <v>12</v>
      </c>
      <c r="B2601" s="56"/>
      <c r="C2601" s="107" t="s">
        <v>2864</v>
      </c>
      <c r="D2601" s="544">
        <v>23</v>
      </c>
      <c r="E2601" s="107" t="s">
        <v>631</v>
      </c>
      <c r="F2601" s="602"/>
      <c r="G2601" s="419"/>
      <c r="H2601" s="419"/>
      <c r="I2601" s="608"/>
      <c r="J2601" s="62"/>
      <c r="K2601" s="62"/>
      <c r="L2601" s="608"/>
      <c r="M2601" s="62"/>
      <c r="N2601" s="357"/>
      <c r="O2601" s="603"/>
      <c r="P2601" s="62"/>
      <c r="Q2601" s="781">
        <v>4.4359999999999997E-2</v>
      </c>
      <c r="R2601" s="603"/>
      <c r="S2601" s="62"/>
      <c r="T2601" s="781"/>
      <c r="U2601" s="62"/>
      <c r="V2601" s="62"/>
      <c r="W2601" s="699"/>
      <c r="X2601" s="779"/>
      <c r="Y2601" s="50"/>
      <c r="Z2601" s="50"/>
      <c r="AA2601" s="773"/>
      <c r="AB2601" s="395"/>
      <c r="AC2601" s="443"/>
      <c r="AD2601" s="16"/>
      <c r="AE2601" s="16"/>
      <c r="AF2601" s="170"/>
      <c r="AG2601" s="86"/>
      <c r="AH2601" s="272"/>
      <c r="AI2601" s="50"/>
      <c r="AJ2601" s="31"/>
      <c r="AK2601" s="156"/>
      <c r="AL2601" s="284"/>
      <c r="AM2601" s="208"/>
      <c r="AN2601" s="16"/>
      <c r="AO2601" s="766">
        <f t="shared" ref="AO2601" si="2302">AS2601*(1+AT2601)</f>
        <v>3.0697119999999996E-5</v>
      </c>
      <c r="AP2601" s="548">
        <f t="shared" ref="AP2601" si="2303">AS2601*(1+AU2601)</f>
        <v>3.0697119999999996E-5</v>
      </c>
      <c r="AQ2601" s="50">
        <v>2012</v>
      </c>
      <c r="AR2601" s="50"/>
      <c r="AS2601" s="780">
        <f>+Q2601/1000</f>
        <v>4.4359999999999995E-5</v>
      </c>
      <c r="AT2601" s="396">
        <v>-0.308</v>
      </c>
      <c r="AU2601" s="693">
        <f t="shared" ref="AU2601" si="2304">AT2601</f>
        <v>-0.308</v>
      </c>
      <c r="AV2601" s="16"/>
      <c r="AW2601" s="16"/>
      <c r="AX2601" s="170"/>
      <c r="AY2601" s="86"/>
      <c r="AZ2601" s="272"/>
      <c r="BA2601" s="50"/>
      <c r="BB2601" s="31"/>
      <c r="BC2601" s="156"/>
      <c r="BD2601" s="341"/>
      <c r="BE2601" s="208"/>
      <c r="BF2601" s="16"/>
      <c r="BG2601" s="170"/>
      <c r="BH2601" s="86"/>
      <c r="BI2601" s="272"/>
      <c r="BJ2601" s="50"/>
      <c r="BK2601" s="31"/>
      <c r="BL2601" s="156"/>
      <c r="BM2601" s="341"/>
      <c r="BN2601" s="208"/>
      <c r="BO2601" s="16"/>
      <c r="BP2601" s="170"/>
      <c r="BQ2601" s="86"/>
      <c r="BR2601" s="50"/>
      <c r="BS2601" s="50"/>
      <c r="BT2601" s="31"/>
      <c r="BU2601" s="43"/>
      <c r="BV2601" s="209"/>
      <c r="BW2601" s="141"/>
      <c r="BX2601" s="311"/>
      <c r="BY2601" s="137"/>
    </row>
    <row r="2602" spans="1:77" ht="15" customHeight="1" x14ac:dyDescent="0.2">
      <c r="A2602" s="56" t="s">
        <v>12</v>
      </c>
      <c r="B2602" s="56"/>
      <c r="C2602" s="107" t="s">
        <v>2641</v>
      </c>
      <c r="D2602" s="544">
        <v>47.826999999999998</v>
      </c>
      <c r="E2602" s="107" t="s">
        <v>631</v>
      </c>
      <c r="F2602" s="602"/>
      <c r="G2602" s="419"/>
      <c r="H2602" s="419"/>
      <c r="I2602" s="608"/>
      <c r="J2602" s="62"/>
      <c r="K2602" s="62"/>
      <c r="L2602" s="608">
        <v>2012</v>
      </c>
      <c r="M2602" s="62"/>
      <c r="N2602" s="357">
        <v>0.12911600000000001</v>
      </c>
      <c r="O2602" s="603"/>
      <c r="P2602" s="62"/>
      <c r="Q2602" s="355"/>
      <c r="R2602" s="603"/>
      <c r="S2602" s="62"/>
      <c r="T2602" s="355"/>
      <c r="U2602" s="62"/>
      <c r="V2602" s="62"/>
      <c r="W2602" s="699">
        <f t="shared" ref="W2602" si="2305">AA2602*(1+AB2602)</f>
        <v>1.032928E-4</v>
      </c>
      <c r="X2602" s="779">
        <f t="shared" ref="X2602" si="2306">AA2602*(1+AC2602)</f>
        <v>1.032928E-4</v>
      </c>
      <c r="Y2602" s="50">
        <v>2012</v>
      </c>
      <c r="Z2602" s="50"/>
      <c r="AA2602" s="773">
        <f>+N2602/1000</f>
        <v>1.29116E-4</v>
      </c>
      <c r="AB2602" s="395">
        <v>-0.2</v>
      </c>
      <c r="AC2602" s="443">
        <f t="shared" ref="AC2602" si="2307">AB2602</f>
        <v>-0.2</v>
      </c>
      <c r="AD2602" s="16"/>
      <c r="AE2602" s="16"/>
      <c r="AF2602" s="170"/>
      <c r="AG2602" s="86"/>
      <c r="AH2602" s="272"/>
      <c r="AI2602" s="50"/>
      <c r="AJ2602" s="31"/>
      <c r="AK2602" s="156"/>
      <c r="AL2602" s="284"/>
      <c r="AM2602" s="208"/>
      <c r="AN2602" s="16"/>
      <c r="AO2602" s="388"/>
      <c r="AP2602" s="389"/>
      <c r="AQ2602" s="390"/>
      <c r="AR2602" s="392"/>
      <c r="AS2602" s="31"/>
      <c r="AT2602" s="156"/>
      <c r="AU2602" s="284"/>
      <c r="AV2602" s="16"/>
      <c r="AW2602" s="16"/>
      <c r="AX2602" s="170"/>
      <c r="AY2602" s="86"/>
      <c r="AZ2602" s="272"/>
      <c r="BA2602" s="50"/>
      <c r="BB2602" s="31"/>
      <c r="BC2602" s="156"/>
      <c r="BD2602" s="341"/>
      <c r="BE2602" s="208"/>
      <c r="BF2602" s="16"/>
      <c r="BG2602" s="170"/>
      <c r="BH2602" s="86"/>
      <c r="BI2602" s="272"/>
      <c r="BJ2602" s="50"/>
      <c r="BK2602" s="31"/>
      <c r="BL2602" s="156"/>
      <c r="BM2602" s="341"/>
      <c r="BN2602" s="208"/>
      <c r="BO2602" s="16"/>
      <c r="BP2602" s="170"/>
      <c r="BQ2602" s="86"/>
      <c r="BR2602" s="50"/>
      <c r="BS2602" s="50"/>
      <c r="BT2602" s="31"/>
      <c r="BU2602" s="43"/>
      <c r="BV2602" s="209"/>
      <c r="BW2602" s="141"/>
      <c r="BX2602" s="311"/>
      <c r="BY2602" s="137"/>
    </row>
    <row r="2603" spans="1:77" ht="15" customHeight="1" x14ac:dyDescent="0.2">
      <c r="A2603" s="56" t="s">
        <v>12</v>
      </c>
      <c r="B2603" s="56"/>
      <c r="C2603" s="107" t="s">
        <v>739</v>
      </c>
      <c r="D2603" s="544">
        <v>212</v>
      </c>
      <c r="E2603" s="107" t="s">
        <v>631</v>
      </c>
      <c r="F2603" s="602"/>
      <c r="G2603" s="419"/>
      <c r="H2603" s="419"/>
      <c r="I2603" s="608">
        <v>2007</v>
      </c>
      <c r="J2603" s="62"/>
      <c r="K2603" s="62">
        <v>0.53493199999999996</v>
      </c>
      <c r="L2603" s="608"/>
      <c r="M2603" s="62"/>
      <c r="N2603" s="355"/>
      <c r="O2603" s="603"/>
      <c r="P2603" s="62"/>
      <c r="Q2603" s="355"/>
      <c r="R2603" s="603"/>
      <c r="S2603" s="62"/>
      <c r="T2603" s="355"/>
      <c r="U2603" s="62"/>
      <c r="V2603" s="62">
        <v>0.79686900000000005</v>
      </c>
      <c r="W2603" s="699">
        <f t="shared" si="2236"/>
        <v>4.2794560000000004E-4</v>
      </c>
      <c r="X2603" s="779">
        <f t="shared" si="2237"/>
        <v>4.2794560000000004E-4</v>
      </c>
      <c r="Y2603" s="50">
        <v>2007</v>
      </c>
      <c r="Z2603" s="50"/>
      <c r="AA2603" s="773">
        <f>+K2603/1000</f>
        <v>5.3493200000000001E-4</v>
      </c>
      <c r="AB2603" s="395">
        <v>-0.2</v>
      </c>
      <c r="AC2603" s="443">
        <f t="shared" si="2239"/>
        <v>-0.2</v>
      </c>
      <c r="AD2603" s="16"/>
      <c r="AE2603" s="16"/>
      <c r="AF2603" s="170"/>
      <c r="AG2603" s="86"/>
      <c r="AH2603" s="272"/>
      <c r="AI2603" s="50"/>
      <c r="AJ2603" s="31"/>
      <c r="AK2603" s="156"/>
      <c r="AL2603" s="284"/>
      <c r="AM2603" s="208"/>
      <c r="AN2603" s="16"/>
      <c r="AO2603" s="388"/>
      <c r="AP2603" s="389"/>
      <c r="AQ2603" s="390"/>
      <c r="AR2603" s="392"/>
      <c r="AS2603" s="31"/>
      <c r="AT2603" s="156"/>
      <c r="AU2603" s="284"/>
      <c r="AV2603" s="16"/>
      <c r="AW2603" s="16"/>
      <c r="AX2603" s="170"/>
      <c r="AY2603" s="86"/>
      <c r="AZ2603" s="272"/>
      <c r="BA2603" s="50"/>
      <c r="BB2603" s="31"/>
      <c r="BC2603" s="156"/>
      <c r="BD2603" s="341"/>
      <c r="BE2603" s="208"/>
      <c r="BF2603" s="16"/>
      <c r="BG2603" s="170"/>
      <c r="BH2603" s="86"/>
      <c r="BI2603" s="272"/>
      <c r="BJ2603" s="50"/>
      <c r="BK2603" s="31"/>
      <c r="BL2603" s="156"/>
      <c r="BM2603" s="341"/>
      <c r="BN2603" s="208"/>
      <c r="BO2603" s="16"/>
      <c r="BP2603" s="170"/>
      <c r="BQ2603" s="86"/>
      <c r="BR2603" s="50"/>
      <c r="BS2603" s="50"/>
      <c r="BT2603" s="31"/>
      <c r="BU2603" s="43"/>
      <c r="BV2603" s="209"/>
      <c r="BW2603" s="141"/>
      <c r="BX2603" s="311"/>
      <c r="BY2603" s="137"/>
    </row>
    <row r="2604" spans="1:77" ht="15" customHeight="1" x14ac:dyDescent="0.2">
      <c r="A2604" s="56" t="s">
        <v>12</v>
      </c>
      <c r="B2604" s="56"/>
      <c r="C2604" s="107" t="s">
        <v>721</v>
      </c>
      <c r="D2604" s="544">
        <v>758.351</v>
      </c>
      <c r="E2604" s="107" t="s">
        <v>631</v>
      </c>
      <c r="F2604" s="602"/>
      <c r="G2604" s="419"/>
      <c r="H2604" s="419"/>
      <c r="I2604" s="608"/>
      <c r="J2604" s="62"/>
      <c r="K2604" s="62"/>
      <c r="L2604" s="608">
        <v>2008</v>
      </c>
      <c r="M2604" s="62"/>
      <c r="N2604" s="355">
        <v>4.0609999999999999</v>
      </c>
      <c r="O2604" s="603"/>
      <c r="P2604" s="62"/>
      <c r="Q2604" s="355"/>
      <c r="R2604" s="603"/>
      <c r="S2604" s="62"/>
      <c r="T2604" s="355"/>
      <c r="U2604" s="62"/>
      <c r="V2604" s="62"/>
      <c r="W2604" s="699">
        <f t="shared" si="2236"/>
        <v>3.2081900000000005E-3</v>
      </c>
      <c r="X2604" s="779">
        <f t="shared" si="2237"/>
        <v>3.2081900000000005E-3</v>
      </c>
      <c r="Y2604" s="50">
        <v>2008</v>
      </c>
      <c r="Z2604" s="50"/>
      <c r="AA2604" s="773">
        <f>+N2604/1000</f>
        <v>4.0610000000000004E-3</v>
      </c>
      <c r="AB2604" s="395">
        <v>-0.21</v>
      </c>
      <c r="AC2604" s="443">
        <f t="shared" si="2239"/>
        <v>-0.21</v>
      </c>
      <c r="AD2604" s="16"/>
      <c r="AE2604" s="16"/>
      <c r="AF2604" s="170"/>
      <c r="AG2604" s="86"/>
      <c r="AH2604" s="272"/>
      <c r="AI2604" s="50"/>
      <c r="AJ2604" s="31"/>
      <c r="AK2604" s="156"/>
      <c r="AL2604" s="284"/>
      <c r="AM2604" s="208"/>
      <c r="AN2604" s="16"/>
      <c r="AO2604" s="388"/>
      <c r="AP2604" s="389"/>
      <c r="AQ2604" s="390"/>
      <c r="AR2604" s="392"/>
      <c r="AS2604" s="31"/>
      <c r="AT2604" s="156"/>
      <c r="AU2604" s="284"/>
      <c r="AV2604" s="16"/>
      <c r="AW2604" s="16"/>
      <c r="AX2604" s="170"/>
      <c r="AY2604" s="86"/>
      <c r="AZ2604" s="272"/>
      <c r="BA2604" s="50"/>
      <c r="BB2604" s="31"/>
      <c r="BC2604" s="156"/>
      <c r="BD2604" s="341"/>
      <c r="BE2604" s="208"/>
      <c r="BF2604" s="16"/>
      <c r="BG2604" s="170"/>
      <c r="BH2604" s="86"/>
      <c r="BI2604" s="272"/>
      <c r="BJ2604" s="50"/>
      <c r="BK2604" s="31"/>
      <c r="BL2604" s="156"/>
      <c r="BM2604" s="341"/>
      <c r="BN2604" s="208"/>
      <c r="BO2604" s="16"/>
      <c r="BP2604" s="170"/>
      <c r="BQ2604" s="86"/>
      <c r="BR2604" s="50"/>
      <c r="BS2604" s="50"/>
      <c r="BT2604" s="31"/>
      <c r="BU2604" s="43"/>
      <c r="BV2604" s="209"/>
      <c r="BW2604" s="141"/>
      <c r="BX2604" s="311"/>
      <c r="BY2604" s="137"/>
    </row>
    <row r="2605" spans="1:77" ht="15" customHeight="1" x14ac:dyDescent="0.2">
      <c r="A2605" s="56" t="s">
        <v>12</v>
      </c>
      <c r="B2605" s="56"/>
      <c r="C2605" s="107" t="s">
        <v>2131</v>
      </c>
      <c r="D2605" s="544">
        <v>461.81</v>
      </c>
      <c r="E2605" s="107" t="s">
        <v>631</v>
      </c>
      <c r="F2605" s="602"/>
      <c r="G2605" s="419"/>
      <c r="H2605" s="419"/>
      <c r="I2605" s="608"/>
      <c r="J2605" s="62"/>
      <c r="K2605" s="62"/>
      <c r="L2605" s="608"/>
      <c r="M2605" s="62"/>
      <c r="N2605" s="357">
        <v>3.1185999999999998E-2</v>
      </c>
      <c r="O2605" s="603"/>
      <c r="P2605" s="62"/>
      <c r="Q2605" s="357"/>
      <c r="R2605" s="603"/>
      <c r="S2605" s="62"/>
      <c r="T2605" s="357"/>
      <c r="U2605" s="62"/>
      <c r="V2605" s="62"/>
      <c r="W2605" s="699">
        <f t="shared" ref="W2605" si="2308">AA2605*(1+AB2605)</f>
        <v>2.4948799999999997E-5</v>
      </c>
      <c r="X2605" s="779">
        <f t="shared" ref="X2605" si="2309">AA2605*(1+AC2605)</f>
        <v>2.4948799999999997E-5</v>
      </c>
      <c r="Y2605" s="50">
        <v>2011</v>
      </c>
      <c r="Z2605" s="50"/>
      <c r="AA2605" s="773">
        <f>+N2605/1000</f>
        <v>3.1185999999999996E-5</v>
      </c>
      <c r="AB2605" s="395">
        <v>-0.2</v>
      </c>
      <c r="AC2605" s="443">
        <f t="shared" ref="AC2605" si="2310">AB2605</f>
        <v>-0.2</v>
      </c>
      <c r="AD2605" s="16"/>
      <c r="AE2605" s="16"/>
      <c r="AF2605" s="170"/>
      <c r="AG2605" s="86"/>
      <c r="AH2605" s="272"/>
      <c r="AI2605" s="50"/>
      <c r="AJ2605" s="31"/>
      <c r="AK2605" s="156"/>
      <c r="AL2605" s="284"/>
      <c r="AM2605" s="208"/>
      <c r="AN2605" s="16"/>
      <c r="AO2605" s="388"/>
      <c r="AP2605" s="389"/>
      <c r="AQ2605" s="390"/>
      <c r="AR2605" s="392"/>
      <c r="AS2605" s="31"/>
      <c r="AT2605" s="156"/>
      <c r="AU2605" s="284"/>
      <c r="AV2605" s="16"/>
      <c r="AW2605" s="16"/>
      <c r="AX2605" s="170"/>
      <c r="AY2605" s="86"/>
      <c r="AZ2605" s="272"/>
      <c r="BA2605" s="50"/>
      <c r="BB2605" s="31"/>
      <c r="BC2605" s="156"/>
      <c r="BD2605" s="341"/>
      <c r="BE2605" s="208"/>
      <c r="BF2605" s="16"/>
      <c r="BG2605" s="170"/>
      <c r="BH2605" s="86"/>
      <c r="BI2605" s="272"/>
      <c r="BJ2605" s="50"/>
      <c r="BK2605" s="31"/>
      <c r="BL2605" s="156"/>
      <c r="BM2605" s="341"/>
      <c r="BN2605" s="208"/>
      <c r="BO2605" s="16"/>
      <c r="BP2605" s="170"/>
      <c r="BQ2605" s="86"/>
      <c r="BR2605" s="50"/>
      <c r="BS2605" s="50"/>
      <c r="BT2605" s="31"/>
      <c r="BU2605" s="43"/>
      <c r="BV2605" s="209"/>
      <c r="BW2605" s="141"/>
      <c r="BX2605" s="311"/>
      <c r="BY2605" s="137"/>
    </row>
    <row r="2606" spans="1:77" ht="15" customHeight="1" x14ac:dyDescent="0.2">
      <c r="A2606" s="56" t="s">
        <v>12</v>
      </c>
      <c r="B2606" s="56"/>
      <c r="C2606" s="107" t="s">
        <v>732</v>
      </c>
      <c r="D2606" s="544">
        <v>156.71899999999999</v>
      </c>
      <c r="E2606" s="107" t="s">
        <v>631</v>
      </c>
      <c r="F2606" s="602"/>
      <c r="G2606" s="419"/>
      <c r="H2606" s="419"/>
      <c r="I2606" s="608"/>
      <c r="J2606" s="62"/>
      <c r="K2606" s="62"/>
      <c r="L2606" s="608">
        <v>2011</v>
      </c>
      <c r="M2606" s="62"/>
      <c r="N2606" s="355">
        <v>0.39797100000000002</v>
      </c>
      <c r="O2606" s="603"/>
      <c r="P2606" s="62"/>
      <c r="Q2606" s="355"/>
      <c r="R2606" s="603"/>
      <c r="S2606" s="62"/>
      <c r="T2606" s="355"/>
      <c r="U2606" s="62"/>
      <c r="V2606" s="62"/>
      <c r="W2606" s="699">
        <f t="shared" si="2236"/>
        <v>3.1837680000000004E-4</v>
      </c>
      <c r="X2606" s="779">
        <f t="shared" si="2237"/>
        <v>3.1837680000000004E-4</v>
      </c>
      <c r="Y2606" s="50">
        <v>2011</v>
      </c>
      <c r="Z2606" s="50"/>
      <c r="AA2606" s="773">
        <f>+N2606/1000</f>
        <v>3.97971E-4</v>
      </c>
      <c r="AB2606" s="395">
        <v>-0.2</v>
      </c>
      <c r="AC2606" s="443">
        <f t="shared" si="2239"/>
        <v>-0.2</v>
      </c>
      <c r="AD2606" s="16"/>
      <c r="AE2606" s="16"/>
      <c r="AF2606" s="170"/>
      <c r="AG2606" s="86"/>
      <c r="AH2606" s="272"/>
      <c r="AI2606" s="50"/>
      <c r="AJ2606" s="31"/>
      <c r="AK2606" s="156"/>
      <c r="AL2606" s="284"/>
      <c r="AM2606" s="208"/>
      <c r="AN2606" s="16"/>
      <c r="AO2606" s="388"/>
      <c r="AP2606" s="389"/>
      <c r="AQ2606" s="390"/>
      <c r="AR2606" s="392"/>
      <c r="AS2606" s="31"/>
      <c r="AT2606" s="156"/>
      <c r="AU2606" s="284"/>
      <c r="AV2606" s="16"/>
      <c r="AW2606" s="16"/>
      <c r="AX2606" s="170"/>
      <c r="AY2606" s="86"/>
      <c r="AZ2606" s="272"/>
      <c r="BA2606" s="50"/>
      <c r="BB2606" s="31"/>
      <c r="BC2606" s="156"/>
      <c r="BD2606" s="341"/>
      <c r="BE2606" s="208"/>
      <c r="BF2606" s="16"/>
      <c r="BG2606" s="170"/>
      <c r="BH2606" s="86"/>
      <c r="BI2606" s="272"/>
      <c r="BJ2606" s="50"/>
      <c r="BK2606" s="31"/>
      <c r="BL2606" s="156"/>
      <c r="BM2606" s="341"/>
      <c r="BN2606" s="208"/>
      <c r="BO2606" s="16"/>
      <c r="BP2606" s="170"/>
      <c r="BQ2606" s="86"/>
      <c r="BR2606" s="50"/>
      <c r="BS2606" s="50"/>
      <c r="BT2606" s="31"/>
      <c r="BU2606" s="43"/>
      <c r="BV2606" s="209"/>
      <c r="BW2606" s="141"/>
      <c r="BX2606" s="311"/>
      <c r="BY2606" s="137"/>
    </row>
    <row r="2607" spans="1:77" ht="15" customHeight="1" x14ac:dyDescent="0.2">
      <c r="A2607" s="56" t="s">
        <v>12</v>
      </c>
      <c r="B2607" s="56"/>
      <c r="C2607" s="107" t="s">
        <v>706</v>
      </c>
      <c r="D2607" s="544">
        <v>12.231</v>
      </c>
      <c r="E2607" s="107" t="s">
        <v>631</v>
      </c>
      <c r="F2607" s="602"/>
      <c r="G2607" s="419"/>
      <c r="H2607" s="419"/>
      <c r="I2607" s="608">
        <v>2007</v>
      </c>
      <c r="J2607" s="62"/>
      <c r="K2607" s="63">
        <v>5.5643999999999999E-2</v>
      </c>
      <c r="L2607" s="608"/>
      <c r="M2607" s="62"/>
      <c r="N2607" s="355"/>
      <c r="O2607" s="603"/>
      <c r="P2607" s="62"/>
      <c r="Q2607" s="355"/>
      <c r="R2607" s="603"/>
      <c r="S2607" s="62"/>
      <c r="T2607" s="355"/>
      <c r="U2607" s="62"/>
      <c r="V2607" s="62"/>
      <c r="W2607" s="699">
        <f t="shared" si="2236"/>
        <v>4.4515200000000004E-5</v>
      </c>
      <c r="X2607" s="779">
        <f t="shared" si="2237"/>
        <v>4.4515200000000004E-5</v>
      </c>
      <c r="Y2607" s="50">
        <v>2007</v>
      </c>
      <c r="Z2607" s="50"/>
      <c r="AA2607" s="773">
        <f>+K2607/1000</f>
        <v>5.5643999999999998E-5</v>
      </c>
      <c r="AB2607" s="395">
        <v>-0.2</v>
      </c>
      <c r="AC2607" s="443">
        <f t="shared" si="2239"/>
        <v>-0.2</v>
      </c>
      <c r="AD2607" s="16"/>
      <c r="AE2607" s="16"/>
      <c r="AF2607" s="170"/>
      <c r="AG2607" s="86"/>
      <c r="AH2607" s="272"/>
      <c r="AI2607" s="50"/>
      <c r="AJ2607" s="31"/>
      <c r="AK2607" s="156"/>
      <c r="AL2607" s="284"/>
      <c r="AM2607" s="208"/>
      <c r="AN2607" s="16"/>
      <c r="AO2607" s="388"/>
      <c r="AP2607" s="389"/>
      <c r="AQ2607" s="390"/>
      <c r="AR2607" s="392"/>
      <c r="AS2607" s="31"/>
      <c r="AT2607" s="156"/>
      <c r="AU2607" s="284"/>
      <c r="AV2607" s="16"/>
      <c r="AW2607" s="16"/>
      <c r="AX2607" s="170"/>
      <c r="AY2607" s="86"/>
      <c r="AZ2607" s="272"/>
      <c r="BA2607" s="50"/>
      <c r="BB2607" s="31"/>
      <c r="BC2607" s="156"/>
      <c r="BD2607" s="341"/>
      <c r="BE2607" s="208"/>
      <c r="BF2607" s="16"/>
      <c r="BG2607" s="170"/>
      <c r="BH2607" s="86"/>
      <c r="BI2607" s="272"/>
      <c r="BJ2607" s="50"/>
      <c r="BK2607" s="31"/>
      <c r="BL2607" s="156"/>
      <c r="BM2607" s="341"/>
      <c r="BN2607" s="208"/>
      <c r="BO2607" s="16"/>
      <c r="BP2607" s="170"/>
      <c r="BQ2607" s="86"/>
      <c r="BR2607" s="50"/>
      <c r="BS2607" s="50"/>
      <c r="BT2607" s="31"/>
      <c r="BU2607" s="43"/>
      <c r="BV2607" s="209"/>
      <c r="BW2607" s="141"/>
      <c r="BX2607" s="311"/>
      <c r="BY2607" s="137"/>
    </row>
    <row r="2608" spans="1:77" ht="15" customHeight="1" x14ac:dyDescent="0.2">
      <c r="A2608" s="56" t="s">
        <v>12</v>
      </c>
      <c r="B2608" s="56"/>
      <c r="C2608" s="107" t="s">
        <v>2365</v>
      </c>
      <c r="D2608" s="544">
        <v>5.992</v>
      </c>
      <c r="E2608" s="107" t="s">
        <v>631</v>
      </c>
      <c r="F2608" s="602"/>
      <c r="G2608" s="419"/>
      <c r="H2608" s="419"/>
      <c r="I2608" s="608"/>
      <c r="J2608" s="62"/>
      <c r="K2608" s="63"/>
      <c r="L2608" s="608"/>
      <c r="M2608" s="62"/>
      <c r="N2608" s="355"/>
      <c r="O2608" s="603">
        <v>2012</v>
      </c>
      <c r="P2608" s="62"/>
      <c r="Q2608" s="355">
        <v>5.5162000000000003E-2</v>
      </c>
      <c r="R2608" s="603"/>
      <c r="S2608" s="62"/>
      <c r="T2608" s="355"/>
      <c r="U2608" s="62"/>
      <c r="V2608" s="62"/>
      <c r="W2608" s="699">
        <f t="shared" ref="W2608" si="2311">AA2608*(1+AB2608)</f>
        <v>4.4129600000000005E-5</v>
      </c>
      <c r="X2608" s="779">
        <f t="shared" ref="X2608" si="2312">AA2608*(1+AC2608)</f>
        <v>4.4129600000000005E-5</v>
      </c>
      <c r="Y2608" s="50">
        <v>2012</v>
      </c>
      <c r="Z2608" s="50"/>
      <c r="AA2608" s="773">
        <f>+Q2608/1000</f>
        <v>5.5162000000000005E-5</v>
      </c>
      <c r="AB2608" s="395">
        <v>-0.2</v>
      </c>
      <c r="AC2608" s="443">
        <f t="shared" ref="AC2608" si="2313">AB2608</f>
        <v>-0.2</v>
      </c>
      <c r="AD2608" s="16"/>
      <c r="AE2608" s="16"/>
      <c r="AF2608" s="170"/>
      <c r="AG2608" s="86"/>
      <c r="AH2608" s="272"/>
      <c r="AI2608" s="50"/>
      <c r="AJ2608" s="31"/>
      <c r="AK2608" s="156"/>
      <c r="AL2608" s="284"/>
      <c r="AM2608" s="208"/>
      <c r="AN2608" s="16"/>
      <c r="AO2608" s="388"/>
      <c r="AP2608" s="389"/>
      <c r="AQ2608" s="390"/>
      <c r="AR2608" s="392"/>
      <c r="AS2608" s="31"/>
      <c r="AT2608" s="156"/>
      <c r="AU2608" s="284"/>
      <c r="AV2608" s="16"/>
      <c r="AW2608" s="16"/>
      <c r="AX2608" s="170"/>
      <c r="AY2608" s="86"/>
      <c r="AZ2608" s="272"/>
      <c r="BA2608" s="50"/>
      <c r="BB2608" s="31"/>
      <c r="BC2608" s="156"/>
      <c r="BD2608" s="341"/>
      <c r="BE2608" s="208"/>
      <c r="BF2608" s="16"/>
      <c r="BG2608" s="170"/>
      <c r="BH2608" s="86"/>
      <c r="BI2608" s="272"/>
      <c r="BJ2608" s="50"/>
      <c r="BK2608" s="31"/>
      <c r="BL2608" s="156"/>
      <c r="BM2608" s="341"/>
      <c r="BN2608" s="208"/>
      <c r="BO2608" s="16"/>
      <c r="BP2608" s="170"/>
      <c r="BQ2608" s="86"/>
      <c r="BR2608" s="50"/>
      <c r="BS2608" s="50"/>
      <c r="BT2608" s="31"/>
      <c r="BU2608" s="43"/>
      <c r="BV2608" s="209"/>
      <c r="BW2608" s="141"/>
      <c r="BX2608" s="311"/>
      <c r="BY2608" s="137"/>
    </row>
    <row r="2609" spans="1:77" ht="15" customHeight="1" x14ac:dyDescent="0.2">
      <c r="A2609" s="56" t="s">
        <v>12</v>
      </c>
      <c r="B2609" s="56"/>
      <c r="C2609" s="107" t="s">
        <v>2129</v>
      </c>
      <c r="D2609" s="544">
        <v>2.6720000000000002</v>
      </c>
      <c r="E2609" s="107" t="s">
        <v>631</v>
      </c>
      <c r="F2609" s="602"/>
      <c r="G2609" s="419"/>
      <c r="H2609" s="419"/>
      <c r="I2609" s="608"/>
      <c r="J2609" s="62"/>
      <c r="K2609" s="63"/>
      <c r="L2609" s="608"/>
      <c r="M2609" s="62"/>
      <c r="N2609" s="355"/>
      <c r="O2609" s="603">
        <v>2013</v>
      </c>
      <c r="P2609" s="62"/>
      <c r="Q2609" s="781">
        <v>1.1346999999999999E-2</v>
      </c>
      <c r="R2609" s="603"/>
      <c r="S2609" s="62"/>
      <c r="T2609" s="781"/>
      <c r="U2609" s="62"/>
      <c r="V2609" s="62"/>
      <c r="W2609" s="766">
        <f t="shared" ref="W2609" si="2314">AA2609*(1+AB2609)</f>
        <v>9.077600000000001E-6</v>
      </c>
      <c r="X2609" s="548">
        <f t="shared" ref="X2609" si="2315">AA2609*(1+AC2609)</f>
        <v>9.077600000000001E-6</v>
      </c>
      <c r="Y2609" s="50">
        <v>2007</v>
      </c>
      <c r="Z2609" s="50"/>
      <c r="AA2609" s="780">
        <f>+Q2609/1000</f>
        <v>1.1347E-5</v>
      </c>
      <c r="AB2609" s="395">
        <v>-0.2</v>
      </c>
      <c r="AC2609" s="443">
        <f t="shared" ref="AC2609" si="2316">AB2609</f>
        <v>-0.2</v>
      </c>
      <c r="AD2609" s="16"/>
      <c r="AE2609" s="16"/>
      <c r="AF2609" s="170"/>
      <c r="AG2609" s="86"/>
      <c r="AH2609" s="272"/>
      <c r="AI2609" s="50"/>
      <c r="AJ2609" s="31"/>
      <c r="AK2609" s="156"/>
      <c r="AL2609" s="284"/>
      <c r="AM2609" s="208"/>
      <c r="AN2609" s="16"/>
      <c r="AO2609" s="388"/>
      <c r="AP2609" s="389"/>
      <c r="AQ2609" s="390"/>
      <c r="AR2609" s="392"/>
      <c r="AS2609" s="31"/>
      <c r="AT2609" s="156"/>
      <c r="AU2609" s="284"/>
      <c r="AV2609" s="16"/>
      <c r="AW2609" s="16"/>
      <c r="AX2609" s="170"/>
      <c r="AY2609" s="86"/>
      <c r="AZ2609" s="272"/>
      <c r="BA2609" s="50"/>
      <c r="BB2609" s="31"/>
      <c r="BC2609" s="156"/>
      <c r="BD2609" s="341"/>
      <c r="BE2609" s="208"/>
      <c r="BF2609" s="16"/>
      <c r="BG2609" s="170"/>
      <c r="BH2609" s="86"/>
      <c r="BI2609" s="272"/>
      <c r="BJ2609" s="50"/>
      <c r="BK2609" s="31"/>
      <c r="BL2609" s="156"/>
      <c r="BM2609" s="341"/>
      <c r="BN2609" s="208"/>
      <c r="BO2609" s="16"/>
      <c r="BP2609" s="170"/>
      <c r="BQ2609" s="86"/>
      <c r="BR2609" s="50"/>
      <c r="BS2609" s="50"/>
      <c r="BT2609" s="31"/>
      <c r="BU2609" s="43"/>
      <c r="BV2609" s="209"/>
      <c r="BW2609" s="141"/>
      <c r="BX2609" s="311"/>
      <c r="BY2609" s="137"/>
    </row>
    <row r="2610" spans="1:77" ht="15" customHeight="1" x14ac:dyDescent="0.2">
      <c r="A2610" s="56" t="s">
        <v>12</v>
      </c>
      <c r="B2610" s="56"/>
      <c r="C2610" s="163" t="s">
        <v>714</v>
      </c>
      <c r="D2610" s="544">
        <v>41.3</v>
      </c>
      <c r="E2610" s="107" t="s">
        <v>631</v>
      </c>
      <c r="F2610" s="602"/>
      <c r="G2610" s="419"/>
      <c r="H2610" s="419"/>
      <c r="I2610" s="608">
        <v>2007</v>
      </c>
      <c r="J2610" s="62"/>
      <c r="K2610" s="63">
        <v>4.1300000000000003E-2</v>
      </c>
      <c r="L2610" s="608"/>
      <c r="M2610" s="62"/>
      <c r="N2610" s="355"/>
      <c r="O2610" s="603"/>
      <c r="P2610" s="62"/>
      <c r="Q2610" s="355"/>
      <c r="R2610" s="603"/>
      <c r="S2610" s="62"/>
      <c r="T2610" s="355"/>
      <c r="U2610" s="62"/>
      <c r="V2610" s="62"/>
      <c r="W2610" s="699">
        <f t="shared" si="2236"/>
        <v>3.0562000000000003E-5</v>
      </c>
      <c r="X2610" s="779">
        <f t="shared" si="2237"/>
        <v>3.0562000000000003E-5</v>
      </c>
      <c r="Y2610" s="50">
        <v>2007</v>
      </c>
      <c r="Z2610" s="50"/>
      <c r="AA2610" s="773">
        <f>+K2610/1000</f>
        <v>4.1300000000000001E-5</v>
      </c>
      <c r="AB2610" s="395">
        <v>-0.26</v>
      </c>
      <c r="AC2610" s="443">
        <f t="shared" si="2239"/>
        <v>-0.26</v>
      </c>
      <c r="AD2610" s="16"/>
      <c r="AE2610" s="16"/>
      <c r="AF2610" s="170"/>
      <c r="AG2610" s="86"/>
      <c r="AH2610" s="272"/>
      <c r="AI2610" s="50"/>
      <c r="AJ2610" s="31"/>
      <c r="AK2610" s="156"/>
      <c r="AL2610" s="284"/>
      <c r="AM2610" s="208"/>
      <c r="AN2610" s="16"/>
      <c r="AO2610" s="388"/>
      <c r="AP2610" s="389"/>
      <c r="AQ2610" s="390"/>
      <c r="AR2610" s="392"/>
      <c r="AS2610" s="31"/>
      <c r="AT2610" s="156"/>
      <c r="AU2610" s="284"/>
      <c r="AV2610" s="16"/>
      <c r="AW2610" s="16"/>
      <c r="AX2610" s="170"/>
      <c r="AY2610" s="86"/>
      <c r="AZ2610" s="272"/>
      <c r="BA2610" s="50"/>
      <c r="BB2610" s="31"/>
      <c r="BC2610" s="156"/>
      <c r="BD2610" s="341"/>
      <c r="BE2610" s="208"/>
      <c r="BF2610" s="16"/>
      <c r="BG2610" s="170"/>
      <c r="BH2610" s="86"/>
      <c r="BI2610" s="272"/>
      <c r="BJ2610" s="50"/>
      <c r="BK2610" s="31"/>
      <c r="BL2610" s="156"/>
      <c r="BM2610" s="341"/>
      <c r="BN2610" s="208"/>
      <c r="BO2610" s="16"/>
      <c r="BP2610" s="170"/>
      <c r="BQ2610" s="86"/>
      <c r="BR2610" s="50"/>
      <c r="BS2610" s="50"/>
      <c r="BT2610" s="31"/>
      <c r="BU2610" s="43"/>
      <c r="BV2610" s="209"/>
      <c r="BW2610" s="141"/>
      <c r="BX2610" s="311"/>
      <c r="BY2610" s="137"/>
    </row>
    <row r="2611" spans="1:77" ht="15" customHeight="1" x14ac:dyDescent="0.2">
      <c r="A2611" s="56" t="s">
        <v>12</v>
      </c>
      <c r="B2611" s="56"/>
      <c r="C2611" s="785" t="s">
        <v>2627</v>
      </c>
      <c r="D2611" s="544">
        <v>71.816999999999993</v>
      </c>
      <c r="E2611" s="107" t="s">
        <v>631</v>
      </c>
      <c r="F2611" s="602"/>
      <c r="G2611" s="419"/>
      <c r="H2611" s="419"/>
      <c r="I2611" s="608">
        <v>2006</v>
      </c>
      <c r="J2611" s="62"/>
      <c r="K2611" s="63">
        <v>0.38356099999999999</v>
      </c>
      <c r="L2611" s="608"/>
      <c r="M2611" s="62"/>
      <c r="N2611" s="355"/>
      <c r="O2611" s="603"/>
      <c r="P2611" s="62"/>
      <c r="Q2611" s="355"/>
      <c r="R2611" s="603"/>
      <c r="S2611" s="62"/>
      <c r="T2611" s="355"/>
      <c r="U2611" s="62"/>
      <c r="V2611" s="62"/>
      <c r="W2611" s="699">
        <f t="shared" ref="W2611" si="2317">AA2611*(1+AB2611)</f>
        <v>3.0684880000000003E-4</v>
      </c>
      <c r="X2611" s="779">
        <f t="shared" ref="X2611" si="2318">AA2611*(1+AC2611)</f>
        <v>3.0684880000000003E-4</v>
      </c>
      <c r="Y2611" s="50">
        <v>2006</v>
      </c>
      <c r="Z2611" s="50"/>
      <c r="AA2611" s="773">
        <f>+K2611/1000</f>
        <v>3.8356099999999998E-4</v>
      </c>
      <c r="AB2611" s="395">
        <v>-0.2</v>
      </c>
      <c r="AC2611" s="443">
        <f t="shared" ref="AC2611" si="2319">AB2611</f>
        <v>-0.2</v>
      </c>
      <c r="AD2611" s="16"/>
      <c r="AE2611" s="16"/>
      <c r="AF2611" s="170"/>
      <c r="AG2611" s="86"/>
      <c r="AH2611" s="272"/>
      <c r="AI2611" s="50"/>
      <c r="AJ2611" s="31"/>
      <c r="AK2611" s="156"/>
      <c r="AL2611" s="284"/>
      <c r="AM2611" s="208"/>
      <c r="AN2611" s="16"/>
      <c r="AO2611" s="388"/>
      <c r="AP2611" s="389"/>
      <c r="AQ2611" s="390"/>
      <c r="AR2611" s="392"/>
      <c r="AS2611" s="31"/>
      <c r="AT2611" s="156"/>
      <c r="AU2611" s="284"/>
      <c r="AV2611" s="16"/>
      <c r="AW2611" s="16"/>
      <c r="AX2611" s="170"/>
      <c r="AY2611" s="86"/>
      <c r="AZ2611" s="272"/>
      <c r="BA2611" s="50"/>
      <c r="BB2611" s="31"/>
      <c r="BC2611" s="156"/>
      <c r="BD2611" s="341"/>
      <c r="BE2611" s="208"/>
      <c r="BF2611" s="16"/>
      <c r="BG2611" s="170"/>
      <c r="BH2611" s="86"/>
      <c r="BI2611" s="272"/>
      <c r="BJ2611" s="50"/>
      <c r="BK2611" s="31"/>
      <c r="BL2611" s="156"/>
      <c r="BM2611" s="341"/>
      <c r="BN2611" s="208"/>
      <c r="BO2611" s="16"/>
      <c r="BP2611" s="170"/>
      <c r="BQ2611" s="86"/>
      <c r="BR2611" s="50"/>
      <c r="BS2611" s="50"/>
      <c r="BT2611" s="31"/>
      <c r="BU2611" s="43"/>
      <c r="BV2611" s="209"/>
      <c r="BW2611" s="141"/>
      <c r="BX2611" s="311"/>
      <c r="BY2611" s="137"/>
    </row>
    <row r="2612" spans="1:77" ht="15" customHeight="1" x14ac:dyDescent="0.2">
      <c r="A2612" s="56" t="s">
        <v>12</v>
      </c>
      <c r="B2612" s="56"/>
      <c r="C2612" s="107" t="s">
        <v>719</v>
      </c>
      <c r="D2612" s="544">
        <v>56</v>
      </c>
      <c r="E2612" s="107" t="s">
        <v>631</v>
      </c>
      <c r="F2612" s="602"/>
      <c r="G2612" s="419"/>
      <c r="H2612" s="419"/>
      <c r="I2612" s="608"/>
      <c r="J2612" s="62"/>
      <c r="K2612" s="62"/>
      <c r="L2612" s="608"/>
      <c r="M2612" s="62"/>
      <c r="N2612" s="355">
        <v>0.33882299999999999</v>
      </c>
      <c r="O2612" s="603"/>
      <c r="P2612" s="62"/>
      <c r="Q2612" s="355"/>
      <c r="R2612" s="603"/>
      <c r="S2612" s="62"/>
      <c r="T2612" s="355"/>
      <c r="U2612" s="62"/>
      <c r="V2612" s="62"/>
      <c r="W2612" s="699">
        <f t="shared" si="2236"/>
        <v>2.7105839999999999E-4</v>
      </c>
      <c r="X2612" s="779">
        <f t="shared" si="2237"/>
        <v>2.7105839999999999E-4</v>
      </c>
      <c r="Y2612" s="50">
        <v>2010</v>
      </c>
      <c r="Z2612" s="50"/>
      <c r="AA2612" s="773">
        <f t="shared" ref="AA2612:AA2617" si="2320">+N2612/1000</f>
        <v>3.3882299999999998E-4</v>
      </c>
      <c r="AB2612" s="395">
        <v>-0.2</v>
      </c>
      <c r="AC2612" s="443">
        <f t="shared" si="2239"/>
        <v>-0.2</v>
      </c>
      <c r="AD2612" s="16"/>
      <c r="AE2612" s="16"/>
      <c r="AF2612" s="170"/>
      <c r="AG2612" s="86"/>
      <c r="AH2612" s="272"/>
      <c r="AI2612" s="50"/>
      <c r="AJ2612" s="31"/>
      <c r="AK2612" s="156"/>
      <c r="AL2612" s="284"/>
      <c r="AM2612" s="208"/>
      <c r="AN2612" s="16"/>
      <c r="AO2612" s="388"/>
      <c r="AP2612" s="389"/>
      <c r="AQ2612" s="390"/>
      <c r="AR2612" s="392"/>
      <c r="AS2612" s="31"/>
      <c r="AT2612" s="156"/>
      <c r="AU2612" s="284"/>
      <c r="AV2612" s="16"/>
      <c r="AW2612" s="16"/>
      <c r="AX2612" s="170"/>
      <c r="AY2612" s="86"/>
      <c r="AZ2612" s="272"/>
      <c r="BA2612" s="50"/>
      <c r="BB2612" s="31"/>
      <c r="BC2612" s="156"/>
      <c r="BD2612" s="341"/>
      <c r="BE2612" s="208"/>
      <c r="BF2612" s="16"/>
      <c r="BG2612" s="170"/>
      <c r="BH2612" s="86"/>
      <c r="BI2612" s="272"/>
      <c r="BJ2612" s="50"/>
      <c r="BK2612" s="31"/>
      <c r="BL2612" s="156"/>
      <c r="BM2612" s="341"/>
      <c r="BN2612" s="208"/>
      <c r="BO2612" s="16"/>
      <c r="BP2612" s="170"/>
      <c r="BQ2612" s="86"/>
      <c r="BR2612" s="50"/>
      <c r="BS2612" s="50"/>
      <c r="BT2612" s="31"/>
      <c r="BU2612" s="43"/>
      <c r="BV2612" s="209"/>
      <c r="BW2612" s="141"/>
      <c r="BX2612" s="311"/>
      <c r="BY2612" s="137"/>
    </row>
    <row r="2613" spans="1:77" ht="15" customHeight="1" x14ac:dyDescent="0.2">
      <c r="A2613" s="56" t="s">
        <v>12</v>
      </c>
      <c r="B2613" s="56"/>
      <c r="C2613" s="107" t="s">
        <v>703</v>
      </c>
      <c r="D2613" s="544">
        <v>58.04</v>
      </c>
      <c r="E2613" s="107" t="s">
        <v>631</v>
      </c>
      <c r="F2613" s="602"/>
      <c r="G2613" s="419"/>
      <c r="H2613" s="419"/>
      <c r="I2613" s="608"/>
      <c r="J2613" s="62"/>
      <c r="K2613" s="62"/>
      <c r="L2613" s="608">
        <v>2008</v>
      </c>
      <c r="M2613" s="62"/>
      <c r="N2613" s="355">
        <v>0.31803399999999998</v>
      </c>
      <c r="O2613" s="603"/>
      <c r="P2613" s="62"/>
      <c r="Q2613" s="355"/>
      <c r="R2613" s="603"/>
      <c r="S2613" s="62"/>
      <c r="T2613" s="355"/>
      <c r="U2613" s="62"/>
      <c r="V2613" s="62"/>
      <c r="W2613" s="699">
        <f t="shared" si="2236"/>
        <v>2.1308277999999996E-4</v>
      </c>
      <c r="X2613" s="779">
        <f t="shared" si="2237"/>
        <v>2.1308277999999996E-4</v>
      </c>
      <c r="Y2613" s="50">
        <v>2008</v>
      </c>
      <c r="Z2613" s="50"/>
      <c r="AA2613" s="773">
        <f t="shared" si="2320"/>
        <v>3.1803399999999997E-4</v>
      </c>
      <c r="AB2613" s="395">
        <v>-0.33</v>
      </c>
      <c r="AC2613" s="443">
        <f t="shared" si="2239"/>
        <v>-0.33</v>
      </c>
      <c r="AD2613" s="16"/>
      <c r="AE2613" s="16"/>
      <c r="AF2613" s="170"/>
      <c r="AG2613" s="86"/>
      <c r="AH2613" s="272"/>
      <c r="AI2613" s="50"/>
      <c r="AJ2613" s="31"/>
      <c r="AK2613" s="156"/>
      <c r="AL2613" s="284"/>
      <c r="AM2613" s="208"/>
      <c r="AN2613" s="16"/>
      <c r="AO2613" s="388"/>
      <c r="AP2613" s="389"/>
      <c r="AQ2613" s="390"/>
      <c r="AR2613" s="392"/>
      <c r="AS2613" s="31"/>
      <c r="AT2613" s="156"/>
      <c r="AU2613" s="284"/>
      <c r="AV2613" s="16"/>
      <c r="AW2613" s="16"/>
      <c r="AX2613" s="170"/>
      <c r="AY2613" s="86"/>
      <c r="AZ2613" s="272"/>
      <c r="BA2613" s="50"/>
      <c r="BB2613" s="31"/>
      <c r="BC2613" s="156"/>
      <c r="BD2613" s="341"/>
      <c r="BE2613" s="208"/>
      <c r="BF2613" s="16"/>
      <c r="BG2613" s="170"/>
      <c r="BH2613" s="86"/>
      <c r="BI2613" s="272"/>
      <c r="BJ2613" s="50"/>
      <c r="BK2613" s="31"/>
      <c r="BL2613" s="156"/>
      <c r="BM2613" s="341"/>
      <c r="BN2613" s="208"/>
      <c r="BO2613" s="16"/>
      <c r="BP2613" s="170"/>
      <c r="BQ2613" s="86"/>
      <c r="BR2613" s="50"/>
      <c r="BS2613" s="50"/>
      <c r="BT2613" s="31"/>
      <c r="BU2613" s="43"/>
      <c r="BV2613" s="209"/>
      <c r="BW2613" s="141"/>
      <c r="BX2613" s="311"/>
      <c r="BY2613" s="137"/>
    </row>
    <row r="2614" spans="1:77" ht="15" customHeight="1" x14ac:dyDescent="0.2">
      <c r="A2614" s="56" t="s">
        <v>12</v>
      </c>
      <c r="B2614" s="56"/>
      <c r="C2614" s="785" t="s">
        <v>701</v>
      </c>
      <c r="D2614" s="544">
        <v>28.806999999999999</v>
      </c>
      <c r="E2614" s="107" t="s">
        <v>631</v>
      </c>
      <c r="F2614" s="602"/>
      <c r="G2614" s="419"/>
      <c r="H2614" s="419"/>
      <c r="I2614" s="608"/>
      <c r="J2614" s="62"/>
      <c r="K2614" s="62"/>
      <c r="L2614" s="608"/>
      <c r="M2614" s="62"/>
      <c r="N2614" s="357">
        <v>7.4251999999999999E-2</v>
      </c>
      <c r="O2614" s="603"/>
      <c r="P2614" s="62"/>
      <c r="Q2614" s="357"/>
      <c r="R2614" s="603"/>
      <c r="S2614" s="62"/>
      <c r="T2614" s="357"/>
      <c r="U2614" s="62"/>
      <c r="V2614" s="63">
        <v>6.9933999999999996E-2</v>
      </c>
      <c r="W2614" s="699">
        <f t="shared" si="2236"/>
        <v>5.9401599999999997E-5</v>
      </c>
      <c r="X2614" s="779">
        <f t="shared" si="2237"/>
        <v>5.9401599999999997E-5</v>
      </c>
      <c r="Y2614" s="50">
        <v>2012</v>
      </c>
      <c r="Z2614" s="50"/>
      <c r="AA2614" s="773">
        <f t="shared" si="2320"/>
        <v>7.4251999999999993E-5</v>
      </c>
      <c r="AB2614" s="395">
        <v>-0.2</v>
      </c>
      <c r="AC2614" s="443">
        <f t="shared" si="2239"/>
        <v>-0.2</v>
      </c>
      <c r="AD2614" s="16"/>
      <c r="AE2614" s="16"/>
      <c r="AF2614" s="170"/>
      <c r="AG2614" s="86"/>
      <c r="AH2614" s="272"/>
      <c r="AI2614" s="50"/>
      <c r="AJ2614" s="31"/>
      <c r="AK2614" s="156"/>
      <c r="AL2614" s="284"/>
      <c r="AM2614" s="208"/>
      <c r="AN2614" s="16"/>
      <c r="AO2614" s="388"/>
      <c r="AP2614" s="389"/>
      <c r="AQ2614" s="390"/>
      <c r="AR2614" s="392"/>
      <c r="AS2614" s="31"/>
      <c r="AT2614" s="156"/>
      <c r="AU2614" s="284"/>
      <c r="AV2614" s="16"/>
      <c r="AW2614" s="16"/>
      <c r="AX2614" s="170"/>
      <c r="AY2614" s="86"/>
      <c r="AZ2614" s="272"/>
      <c r="BA2614" s="50"/>
      <c r="BB2614" s="31"/>
      <c r="BC2614" s="156"/>
      <c r="BD2614" s="341"/>
      <c r="BE2614" s="208"/>
      <c r="BF2614" s="16"/>
      <c r="BG2614" s="170"/>
      <c r="BH2614" s="86"/>
      <c r="BI2614" s="272"/>
      <c r="BJ2614" s="50"/>
      <c r="BK2614" s="31"/>
      <c r="BL2614" s="156"/>
      <c r="BM2614" s="341"/>
      <c r="BN2614" s="208"/>
      <c r="BO2614" s="16"/>
      <c r="BP2614" s="170"/>
      <c r="BQ2614" s="86"/>
      <c r="BR2614" s="50"/>
      <c r="BS2614" s="50"/>
      <c r="BT2614" s="31"/>
      <c r="BU2614" s="43"/>
      <c r="BV2614" s="209"/>
      <c r="BW2614" s="141"/>
      <c r="BX2614" s="311"/>
      <c r="BY2614" s="137"/>
    </row>
    <row r="2615" spans="1:77" ht="15" customHeight="1" x14ac:dyDescent="0.2">
      <c r="A2615" s="56" t="s">
        <v>12</v>
      </c>
      <c r="B2615" s="56"/>
      <c r="C2615" s="785" t="s">
        <v>2646</v>
      </c>
      <c r="D2615" s="544">
        <v>1012.277</v>
      </c>
      <c r="E2615" s="107" t="s">
        <v>631</v>
      </c>
      <c r="F2615" s="602"/>
      <c r="G2615" s="419"/>
      <c r="H2615" s="419"/>
      <c r="I2615" s="608"/>
      <c r="J2615" s="62"/>
      <c r="K2615" s="62"/>
      <c r="L2615" s="608">
        <v>2008</v>
      </c>
      <c r="M2615" s="62"/>
      <c r="N2615" s="357">
        <v>3.871</v>
      </c>
      <c r="O2615" s="603"/>
      <c r="P2615" s="62"/>
      <c r="Q2615" s="357"/>
      <c r="R2615" s="603"/>
      <c r="S2615" s="62"/>
      <c r="T2615" s="357"/>
      <c r="U2615" s="62"/>
      <c r="V2615" s="63"/>
      <c r="W2615" s="21">
        <f t="shared" ref="W2615" si="2321">AA2615*(1+AB2615)</f>
        <v>3.0968000000000002E-3</v>
      </c>
      <c r="X2615" s="22">
        <f t="shared" ref="X2615" si="2322">AA2615*(1+AC2615)</f>
        <v>3.0968000000000002E-3</v>
      </c>
      <c r="Y2615" s="50">
        <v>2008</v>
      </c>
      <c r="Z2615" s="50"/>
      <c r="AA2615" s="33">
        <f t="shared" si="2320"/>
        <v>3.8709999999999999E-3</v>
      </c>
      <c r="AB2615" s="395">
        <v>-0.2</v>
      </c>
      <c r="AC2615" s="443">
        <f t="shared" ref="AC2615" si="2323">AB2615</f>
        <v>-0.2</v>
      </c>
      <c r="AD2615" s="16"/>
      <c r="AE2615" s="16"/>
      <c r="AF2615" s="170"/>
      <c r="AG2615" s="86"/>
      <c r="AH2615" s="272"/>
      <c r="AI2615" s="50"/>
      <c r="AJ2615" s="31"/>
      <c r="AK2615" s="156"/>
      <c r="AL2615" s="284"/>
      <c r="AM2615" s="208"/>
      <c r="AN2615" s="16"/>
      <c r="AO2615" s="388"/>
      <c r="AP2615" s="389"/>
      <c r="AQ2615" s="390"/>
      <c r="AR2615" s="392"/>
      <c r="AS2615" s="31"/>
      <c r="AT2615" s="156"/>
      <c r="AU2615" s="284"/>
      <c r="AV2615" s="16"/>
      <c r="AW2615" s="16"/>
      <c r="AX2615" s="170"/>
      <c r="AY2615" s="86"/>
      <c r="AZ2615" s="272"/>
      <c r="BA2615" s="50"/>
      <c r="BB2615" s="31"/>
      <c r="BC2615" s="156"/>
      <c r="BD2615" s="341"/>
      <c r="BE2615" s="208"/>
      <c r="BF2615" s="16"/>
      <c r="BG2615" s="170"/>
      <c r="BH2615" s="86"/>
      <c r="BI2615" s="272"/>
      <c r="BJ2615" s="50"/>
      <c r="BK2615" s="31"/>
      <c r="BL2615" s="156"/>
      <c r="BM2615" s="341"/>
      <c r="BN2615" s="208"/>
      <c r="BO2615" s="16"/>
      <c r="BP2615" s="170"/>
      <c r="BQ2615" s="86"/>
      <c r="BR2615" s="50"/>
      <c r="BS2615" s="50"/>
      <c r="BT2615" s="31"/>
      <c r="BU2615" s="43"/>
      <c r="BV2615" s="209"/>
      <c r="BW2615" s="141"/>
      <c r="BX2615" s="311"/>
      <c r="BY2615" s="137"/>
    </row>
    <row r="2616" spans="1:77" ht="15" customHeight="1" x14ac:dyDescent="0.2">
      <c r="A2616" s="56" t="s">
        <v>12</v>
      </c>
      <c r="B2616" s="56"/>
      <c r="C2616" s="107" t="s">
        <v>726</v>
      </c>
      <c r="D2616" s="544">
        <v>2.1259999999999999</v>
      </c>
      <c r="E2616" s="107" t="s">
        <v>631</v>
      </c>
      <c r="F2616" s="602"/>
      <c r="G2616" s="419"/>
      <c r="H2616" s="419"/>
      <c r="I2616" s="608"/>
      <c r="J2616" s="62"/>
      <c r="K2616" s="62"/>
      <c r="L2616" s="608"/>
      <c r="M2616" s="62"/>
      <c r="N2616" s="781">
        <v>3.4970000000000001E-3</v>
      </c>
      <c r="O2616" s="603"/>
      <c r="P2616" s="62"/>
      <c r="Q2616" s="781"/>
      <c r="R2616" s="603"/>
      <c r="S2616" s="62"/>
      <c r="T2616" s="781"/>
      <c r="U2616" s="62"/>
      <c r="V2616" s="62"/>
      <c r="W2616" s="766">
        <f t="shared" si="2236"/>
        <v>2.7976000000000001E-6</v>
      </c>
      <c r="X2616" s="548">
        <f t="shared" si="2237"/>
        <v>2.7976000000000001E-6</v>
      </c>
      <c r="Y2616" s="50">
        <v>2010</v>
      </c>
      <c r="Z2616" s="50"/>
      <c r="AA2616" s="780">
        <f t="shared" si="2320"/>
        <v>3.4970000000000001E-6</v>
      </c>
      <c r="AB2616" s="395">
        <v>-0.2</v>
      </c>
      <c r="AC2616" s="443">
        <f t="shared" si="2239"/>
        <v>-0.2</v>
      </c>
      <c r="AD2616" s="16"/>
      <c r="AE2616" s="16"/>
      <c r="AF2616" s="170"/>
      <c r="AG2616" s="86"/>
      <c r="AH2616" s="272"/>
      <c r="AI2616" s="50"/>
      <c r="AJ2616" s="31"/>
      <c r="AK2616" s="156"/>
      <c r="AL2616" s="284"/>
      <c r="AM2616" s="208"/>
      <c r="AN2616" s="16"/>
      <c r="AO2616" s="388"/>
      <c r="AP2616" s="389"/>
      <c r="AQ2616" s="390"/>
      <c r="AR2616" s="392"/>
      <c r="AS2616" s="31"/>
      <c r="AT2616" s="156"/>
      <c r="AU2616" s="284"/>
      <c r="AV2616" s="16"/>
      <c r="AW2616" s="16"/>
      <c r="AX2616" s="170"/>
      <c r="AY2616" s="86"/>
      <c r="AZ2616" s="272"/>
      <c r="BA2616" s="50"/>
      <c r="BB2616" s="31"/>
      <c r="BC2616" s="156"/>
      <c r="BD2616" s="341"/>
      <c r="BE2616" s="208"/>
      <c r="BF2616" s="16"/>
      <c r="BG2616" s="170"/>
      <c r="BH2616" s="86"/>
      <c r="BI2616" s="272"/>
      <c r="BJ2616" s="50"/>
      <c r="BK2616" s="31"/>
      <c r="BL2616" s="156"/>
      <c r="BM2616" s="341"/>
      <c r="BN2616" s="208"/>
      <c r="BO2616" s="16"/>
      <c r="BP2616" s="170"/>
      <c r="BQ2616" s="86"/>
      <c r="BR2616" s="50"/>
      <c r="BS2616" s="50"/>
      <c r="BT2616" s="31"/>
      <c r="BU2616" s="43"/>
      <c r="BV2616" s="209"/>
      <c r="BW2616" s="141"/>
      <c r="BX2616" s="311"/>
      <c r="BY2616" s="137"/>
    </row>
    <row r="2617" spans="1:77" ht="15" customHeight="1" x14ac:dyDescent="0.2">
      <c r="A2617" s="56" t="s">
        <v>12</v>
      </c>
      <c r="B2617" s="56"/>
      <c r="C2617" s="107" t="s">
        <v>723</v>
      </c>
      <c r="D2617" s="544">
        <v>67.8</v>
      </c>
      <c r="E2617" s="107" t="s">
        <v>631</v>
      </c>
      <c r="F2617" s="602"/>
      <c r="G2617" s="419"/>
      <c r="H2617" s="419"/>
      <c r="I2617" s="608"/>
      <c r="J2617" s="62"/>
      <c r="K2617" s="62"/>
      <c r="L2617" s="608"/>
      <c r="M2617" s="62"/>
      <c r="N2617" s="357">
        <v>2.8729000000000001E-2</v>
      </c>
      <c r="O2617" s="603"/>
      <c r="P2617" s="62"/>
      <c r="Q2617" s="357"/>
      <c r="R2617" s="603"/>
      <c r="S2617" s="62"/>
      <c r="T2617" s="357"/>
      <c r="U2617" s="62"/>
      <c r="V2617" s="62"/>
      <c r="W2617" s="699">
        <f t="shared" si="2236"/>
        <v>2.2408620000000002E-5</v>
      </c>
      <c r="X2617" s="779">
        <f t="shared" si="2237"/>
        <v>2.2408620000000002E-5</v>
      </c>
      <c r="Y2617" s="50">
        <v>2010</v>
      </c>
      <c r="Z2617" s="50"/>
      <c r="AA2617" s="773">
        <f t="shared" si="2320"/>
        <v>2.8729000000000002E-5</v>
      </c>
      <c r="AB2617" s="395">
        <v>-0.22</v>
      </c>
      <c r="AC2617" s="443">
        <f t="shared" si="2239"/>
        <v>-0.22</v>
      </c>
      <c r="AD2617" s="16"/>
      <c r="AE2617" s="16"/>
      <c r="AF2617" s="170"/>
      <c r="AG2617" s="86"/>
      <c r="AH2617" s="272"/>
      <c r="AI2617" s="50"/>
      <c r="AJ2617" s="31"/>
      <c r="AK2617" s="156"/>
      <c r="AL2617" s="284"/>
      <c r="AM2617" s="208"/>
      <c r="AN2617" s="16"/>
      <c r="AO2617" s="388"/>
      <c r="AP2617" s="389"/>
      <c r="AQ2617" s="390"/>
      <c r="AR2617" s="392"/>
      <c r="AS2617" s="31"/>
      <c r="AT2617" s="156"/>
      <c r="AU2617" s="284"/>
      <c r="AV2617" s="16"/>
      <c r="AW2617" s="16"/>
      <c r="AX2617" s="170"/>
      <c r="AY2617" s="86"/>
      <c r="AZ2617" s="272"/>
      <c r="BA2617" s="50"/>
      <c r="BB2617" s="31"/>
      <c r="BC2617" s="156"/>
      <c r="BD2617" s="341"/>
      <c r="BE2617" s="208"/>
      <c r="BF2617" s="16"/>
      <c r="BG2617" s="170"/>
      <c r="BH2617" s="86"/>
      <c r="BI2617" s="272"/>
      <c r="BJ2617" s="50"/>
      <c r="BK2617" s="31"/>
      <c r="BL2617" s="156"/>
      <c r="BM2617" s="341"/>
      <c r="BN2617" s="208"/>
      <c r="BO2617" s="16"/>
      <c r="BP2617" s="170"/>
      <c r="BQ2617" s="86"/>
      <c r="BR2617" s="50"/>
      <c r="BS2617" s="50"/>
      <c r="BT2617" s="31"/>
      <c r="BU2617" s="43"/>
      <c r="BV2617" s="209"/>
      <c r="BW2617" s="141"/>
      <c r="BX2617" s="311"/>
      <c r="BY2617" s="137"/>
    </row>
    <row r="2618" spans="1:77" ht="15" customHeight="1" x14ac:dyDescent="0.2">
      <c r="A2618" s="56" t="s">
        <v>12</v>
      </c>
      <c r="B2618" s="56"/>
      <c r="C2618" s="107" t="s">
        <v>2619</v>
      </c>
      <c r="D2618" s="544">
        <v>19.248000000000001</v>
      </c>
      <c r="E2618" s="107" t="s">
        <v>631</v>
      </c>
      <c r="F2618" s="602"/>
      <c r="G2618" s="419"/>
      <c r="H2618" s="419"/>
      <c r="I2618" s="608"/>
      <c r="J2618" s="62"/>
      <c r="K2618" s="62"/>
      <c r="L2618" s="608"/>
      <c r="M2618" s="62"/>
      <c r="N2618" s="357"/>
      <c r="O2618" s="603">
        <v>2013</v>
      </c>
      <c r="P2618" s="62"/>
      <c r="Q2618" s="357">
        <v>5.2953E-2</v>
      </c>
      <c r="R2618" s="603"/>
      <c r="S2618" s="62"/>
      <c r="T2618" s="357"/>
      <c r="U2618" s="62"/>
      <c r="V2618" s="62"/>
      <c r="W2618" s="699">
        <f t="shared" si="2236"/>
        <v>3.4948979999999992E-5</v>
      </c>
      <c r="X2618" s="779">
        <f t="shared" si="2237"/>
        <v>3.4948979999999992E-5</v>
      </c>
      <c r="Y2618" s="50">
        <v>2013</v>
      </c>
      <c r="Z2618" s="50"/>
      <c r="AA2618" s="773">
        <f>+Q2618/1000</f>
        <v>5.2952999999999999E-5</v>
      </c>
      <c r="AB2618" s="395">
        <v>-0.34</v>
      </c>
      <c r="AC2618" s="443">
        <f t="shared" si="2239"/>
        <v>-0.34</v>
      </c>
      <c r="AD2618" s="16"/>
      <c r="AE2618" s="16"/>
      <c r="AF2618" s="170"/>
      <c r="AG2618" s="86"/>
      <c r="AH2618" s="272"/>
      <c r="AI2618" s="50"/>
      <c r="AJ2618" s="31"/>
      <c r="AK2618" s="156"/>
      <c r="AL2618" s="284"/>
      <c r="AM2618" s="208"/>
      <c r="AN2618" s="16"/>
      <c r="AO2618" s="388"/>
      <c r="AP2618" s="389"/>
      <c r="AQ2618" s="390"/>
      <c r="AR2618" s="392"/>
      <c r="AS2618" s="31"/>
      <c r="AT2618" s="156"/>
      <c r="AU2618" s="284"/>
      <c r="AV2618" s="16"/>
      <c r="AW2618" s="16"/>
      <c r="AX2618" s="170"/>
      <c r="AY2618" s="86"/>
      <c r="AZ2618" s="272"/>
      <c r="BA2618" s="50"/>
      <c r="BB2618" s="31"/>
      <c r="BC2618" s="156"/>
      <c r="BD2618" s="341"/>
      <c r="BE2618" s="208"/>
      <c r="BF2618" s="16"/>
      <c r="BG2618" s="170"/>
      <c r="BH2618" s="86"/>
      <c r="BI2618" s="272"/>
      <c r="BJ2618" s="50"/>
      <c r="BK2618" s="31"/>
      <c r="BL2618" s="156"/>
      <c r="BM2618" s="341"/>
      <c r="BN2618" s="208"/>
      <c r="BO2618" s="16"/>
      <c r="BP2618" s="170"/>
      <c r="BQ2618" s="86"/>
      <c r="BR2618" s="50"/>
      <c r="BS2618" s="50"/>
      <c r="BT2618" s="31"/>
      <c r="BU2618" s="43"/>
      <c r="BV2618" s="209"/>
      <c r="BW2618" s="141"/>
      <c r="BX2618" s="311"/>
      <c r="BY2618" s="137"/>
    </row>
    <row r="2619" spans="1:77" ht="15" customHeight="1" x14ac:dyDescent="0.2">
      <c r="A2619" s="56" t="s">
        <v>12</v>
      </c>
      <c r="B2619" s="56"/>
      <c r="C2619" s="107" t="s">
        <v>2628</v>
      </c>
      <c r="D2619" s="544">
        <v>295.95</v>
      </c>
      <c r="E2619" s="107" t="s">
        <v>631</v>
      </c>
      <c r="F2619" s="602"/>
      <c r="G2619" s="419"/>
      <c r="H2619" s="419"/>
      <c r="I2619" s="608"/>
      <c r="J2619" s="62"/>
      <c r="K2619" s="62"/>
      <c r="L2619" s="608"/>
      <c r="M2619" s="62"/>
      <c r="N2619" s="357">
        <v>0.64391699999999996</v>
      </c>
      <c r="O2619" s="603"/>
      <c r="P2619" s="62"/>
      <c r="Q2619" s="357"/>
      <c r="R2619" s="603"/>
      <c r="S2619" s="62"/>
      <c r="T2619" s="357"/>
      <c r="U2619" s="62"/>
      <c r="V2619" s="62"/>
      <c r="W2619" s="699">
        <f t="shared" ref="W2619" si="2324">AA2619*(1+AB2619)</f>
        <v>5.1513359999999996E-4</v>
      </c>
      <c r="X2619" s="779">
        <f t="shared" ref="X2619" si="2325">AA2619*(1+AC2619)</f>
        <v>5.1513359999999996E-4</v>
      </c>
      <c r="Y2619" s="50">
        <v>2010</v>
      </c>
      <c r="Z2619" s="50"/>
      <c r="AA2619" s="773">
        <f>+N2619/1000</f>
        <v>6.4391699999999993E-4</v>
      </c>
      <c r="AB2619" s="395">
        <v>-0.2</v>
      </c>
      <c r="AC2619" s="443">
        <f t="shared" ref="AC2619" si="2326">AB2619</f>
        <v>-0.2</v>
      </c>
      <c r="AD2619" s="16"/>
      <c r="AE2619" s="16"/>
      <c r="AF2619" s="170"/>
      <c r="AG2619" s="86"/>
      <c r="AH2619" s="272"/>
      <c r="AI2619" s="50"/>
      <c r="AJ2619" s="31"/>
      <c r="AK2619" s="156"/>
      <c r="AL2619" s="284"/>
      <c r="AM2619" s="208"/>
      <c r="AN2619" s="16"/>
      <c r="AO2619" s="388"/>
      <c r="AP2619" s="389"/>
      <c r="AQ2619" s="390"/>
      <c r="AR2619" s="392"/>
      <c r="AS2619" s="31"/>
      <c r="AT2619" s="156"/>
      <c r="AU2619" s="284"/>
      <c r="AV2619" s="16"/>
      <c r="AW2619" s="16"/>
      <c r="AX2619" s="170"/>
      <c r="AY2619" s="86"/>
      <c r="AZ2619" s="272"/>
      <c r="BA2619" s="50"/>
      <c r="BB2619" s="31"/>
      <c r="BC2619" s="156"/>
      <c r="BD2619" s="341"/>
      <c r="BE2619" s="208"/>
      <c r="BF2619" s="16"/>
      <c r="BG2619" s="170"/>
      <c r="BH2619" s="86"/>
      <c r="BI2619" s="272"/>
      <c r="BJ2619" s="50"/>
      <c r="BK2619" s="31"/>
      <c r="BL2619" s="156"/>
      <c r="BM2619" s="341"/>
      <c r="BN2619" s="208"/>
      <c r="BO2619" s="16"/>
      <c r="BP2619" s="170"/>
      <c r="BQ2619" s="86"/>
      <c r="BR2619" s="50"/>
      <c r="BS2619" s="50"/>
      <c r="BT2619" s="31"/>
      <c r="BU2619" s="43"/>
      <c r="BV2619" s="209"/>
      <c r="BW2619" s="141"/>
      <c r="BX2619" s="311"/>
      <c r="BY2619" s="137"/>
    </row>
    <row r="2620" spans="1:77" ht="15" customHeight="1" x14ac:dyDescent="0.2">
      <c r="A2620" s="56" t="s">
        <v>12</v>
      </c>
      <c r="B2620" s="56"/>
      <c r="C2620" s="107" t="s">
        <v>704</v>
      </c>
      <c r="D2620" s="544">
        <v>64.900000000000006</v>
      </c>
      <c r="E2620" s="107" t="s">
        <v>631</v>
      </c>
      <c r="F2620" s="602"/>
      <c r="G2620" s="419"/>
      <c r="H2620" s="419"/>
      <c r="I2620" s="608">
        <v>2006</v>
      </c>
      <c r="J2620" s="62"/>
      <c r="K2620" s="62">
        <v>0.50314499999999995</v>
      </c>
      <c r="L2620" s="608"/>
      <c r="M2620" s="62"/>
      <c r="N2620" s="355"/>
      <c r="O2620" s="603"/>
      <c r="P2620" s="62"/>
      <c r="Q2620" s="355"/>
      <c r="R2620" s="603"/>
      <c r="S2620" s="62"/>
      <c r="T2620" s="355"/>
      <c r="U2620" s="62"/>
      <c r="V2620" s="62"/>
      <c r="W2620" s="699">
        <f t="shared" si="2236"/>
        <v>4.0251600000000001E-4</v>
      </c>
      <c r="X2620" s="779">
        <f t="shared" si="2237"/>
        <v>4.0251600000000001E-4</v>
      </c>
      <c r="Y2620" s="50">
        <v>2008</v>
      </c>
      <c r="Z2620" s="50"/>
      <c r="AA2620" s="773">
        <f>+K2620/1000</f>
        <v>5.0314499999999998E-4</v>
      </c>
      <c r="AB2620" s="395">
        <v>-0.2</v>
      </c>
      <c r="AC2620" s="443">
        <f t="shared" si="2239"/>
        <v>-0.2</v>
      </c>
      <c r="AD2620" s="16"/>
      <c r="AE2620" s="16"/>
      <c r="AF2620" s="170"/>
      <c r="AG2620" s="86"/>
      <c r="AH2620" s="272"/>
      <c r="AI2620" s="50"/>
      <c r="AJ2620" s="31"/>
      <c r="AK2620" s="156"/>
      <c r="AL2620" s="284"/>
      <c r="AM2620" s="208"/>
      <c r="AN2620" s="16"/>
      <c r="AO2620" s="388"/>
      <c r="AP2620" s="389"/>
      <c r="AQ2620" s="390"/>
      <c r="AR2620" s="392"/>
      <c r="AS2620" s="31"/>
      <c r="AT2620" s="156"/>
      <c r="AU2620" s="284"/>
      <c r="AV2620" s="16"/>
      <c r="AW2620" s="16"/>
      <c r="AX2620" s="170"/>
      <c r="AY2620" s="86"/>
      <c r="AZ2620" s="272"/>
      <c r="BA2620" s="50"/>
      <c r="BB2620" s="31"/>
      <c r="BC2620" s="156"/>
      <c r="BD2620" s="341"/>
      <c r="BE2620" s="208"/>
      <c r="BF2620" s="16"/>
      <c r="BG2620" s="170"/>
      <c r="BH2620" s="86"/>
      <c r="BI2620" s="272"/>
      <c r="BJ2620" s="50"/>
      <c r="BK2620" s="31"/>
      <c r="BL2620" s="156"/>
      <c r="BM2620" s="341"/>
      <c r="BN2620" s="208"/>
      <c r="BO2620" s="16"/>
      <c r="BP2620" s="170"/>
      <c r="BQ2620" s="86"/>
      <c r="BR2620" s="50"/>
      <c r="BS2620" s="50"/>
      <c r="BT2620" s="31"/>
      <c r="BU2620" s="43"/>
      <c r="BV2620" s="209"/>
      <c r="BW2620" s="141"/>
      <c r="BX2620" s="311"/>
      <c r="BY2620" s="137"/>
    </row>
    <row r="2621" spans="1:77" ht="15" customHeight="1" x14ac:dyDescent="0.2">
      <c r="A2621" s="56" t="s">
        <v>12</v>
      </c>
      <c r="B2621" s="56"/>
      <c r="C2621" s="107" t="s">
        <v>2624</v>
      </c>
      <c r="D2621" s="544">
        <v>17.620999999999999</v>
      </c>
      <c r="E2621" s="107" t="s">
        <v>631</v>
      </c>
      <c r="F2621" s="602"/>
      <c r="G2621" s="419"/>
      <c r="H2621" s="419"/>
      <c r="I2621" s="608"/>
      <c r="J2621" s="62"/>
      <c r="K2621" s="62"/>
      <c r="L2621" s="608">
        <v>2011</v>
      </c>
      <c r="M2621" s="62"/>
      <c r="N2621" s="355">
        <v>0.32690999999999998</v>
      </c>
      <c r="O2621" s="603"/>
      <c r="P2621" s="62"/>
      <c r="Q2621" s="355"/>
      <c r="R2621" s="603"/>
      <c r="S2621" s="62"/>
      <c r="T2621" s="355"/>
      <c r="U2621" s="62"/>
      <c r="V2621" s="62"/>
      <c r="W2621" s="699">
        <f t="shared" ref="W2621" si="2327">AA2621*(1+AB2621)</f>
        <v>2.5825890000000002E-4</v>
      </c>
      <c r="X2621" s="779">
        <f t="shared" ref="X2621" si="2328">AA2621*(1+AC2621)</f>
        <v>2.5825890000000002E-4</v>
      </c>
      <c r="Y2621" s="50">
        <v>2008</v>
      </c>
      <c r="Z2621" s="50"/>
      <c r="AA2621" s="773">
        <f>+N2621/1000</f>
        <v>3.2690999999999997E-4</v>
      </c>
      <c r="AB2621" s="395">
        <v>-0.21</v>
      </c>
      <c r="AC2621" s="443">
        <f t="shared" ref="AC2621" si="2329">AB2621</f>
        <v>-0.21</v>
      </c>
      <c r="AD2621" s="16"/>
      <c r="AE2621" s="16"/>
      <c r="AF2621" s="170"/>
      <c r="AG2621" s="86"/>
      <c r="AH2621" s="272"/>
      <c r="AI2621" s="50"/>
      <c r="AJ2621" s="31"/>
      <c r="AK2621" s="156"/>
      <c r="AL2621" s="284"/>
      <c r="AM2621" s="208"/>
      <c r="AN2621" s="16"/>
      <c r="AO2621" s="388"/>
      <c r="AP2621" s="389"/>
      <c r="AQ2621" s="390"/>
      <c r="AR2621" s="392"/>
      <c r="AS2621" s="31"/>
      <c r="AT2621" s="156"/>
      <c r="AU2621" s="284"/>
      <c r="AV2621" s="16"/>
      <c r="AW2621" s="16"/>
      <c r="AX2621" s="170"/>
      <c r="AY2621" s="86"/>
      <c r="AZ2621" s="272"/>
      <c r="BA2621" s="50"/>
      <c r="BB2621" s="31"/>
      <c r="BC2621" s="156"/>
      <c r="BD2621" s="341"/>
      <c r="BE2621" s="208"/>
      <c r="BF2621" s="16"/>
      <c r="BG2621" s="170"/>
      <c r="BH2621" s="86"/>
      <c r="BI2621" s="272"/>
      <c r="BJ2621" s="50"/>
      <c r="BK2621" s="31"/>
      <c r="BL2621" s="156"/>
      <c r="BM2621" s="341"/>
      <c r="BN2621" s="208"/>
      <c r="BO2621" s="16"/>
      <c r="BP2621" s="170"/>
      <c r="BQ2621" s="86"/>
      <c r="BR2621" s="50"/>
      <c r="BS2621" s="50"/>
      <c r="BT2621" s="31"/>
      <c r="BU2621" s="43"/>
      <c r="BV2621" s="209"/>
      <c r="BW2621" s="141"/>
      <c r="BX2621" s="311"/>
      <c r="BY2621" s="137"/>
    </row>
    <row r="2622" spans="1:77" ht="15" customHeight="1" x14ac:dyDescent="0.2">
      <c r="A2622" s="56" t="s">
        <v>12</v>
      </c>
      <c r="B2622" s="56"/>
      <c r="C2622" s="107" t="s">
        <v>737</v>
      </c>
      <c r="D2622" s="544">
        <v>250.20500000000001</v>
      </c>
      <c r="E2622" s="107" t="s">
        <v>631</v>
      </c>
      <c r="F2622" s="602"/>
      <c r="G2622" s="419"/>
      <c r="H2622" s="419"/>
      <c r="I2622" s="608"/>
      <c r="J2622" s="62"/>
      <c r="K2622" s="62"/>
      <c r="L2622" s="608"/>
      <c r="M2622" s="62"/>
      <c r="N2622" s="355">
        <v>0.52</v>
      </c>
      <c r="O2622" s="603"/>
      <c r="P2622" s="62"/>
      <c r="Q2622" s="355"/>
      <c r="R2622" s="603"/>
      <c r="S2622" s="62"/>
      <c r="T2622" s="355"/>
      <c r="U2622" s="62"/>
      <c r="V2622" s="62"/>
      <c r="W2622" s="699">
        <f t="shared" si="2236"/>
        <v>4.1600000000000008E-4</v>
      </c>
      <c r="X2622" s="779">
        <f t="shared" si="2237"/>
        <v>4.1600000000000008E-4</v>
      </c>
      <c r="Y2622" s="50">
        <v>2011</v>
      </c>
      <c r="Z2622" s="50"/>
      <c r="AA2622" s="773">
        <f>+N2622/1000</f>
        <v>5.2000000000000006E-4</v>
      </c>
      <c r="AB2622" s="395">
        <v>-0.2</v>
      </c>
      <c r="AC2622" s="443">
        <f t="shared" si="2239"/>
        <v>-0.2</v>
      </c>
      <c r="AD2622" s="16"/>
      <c r="AE2622" s="16"/>
      <c r="AF2622" s="170"/>
      <c r="AG2622" s="86"/>
      <c r="AH2622" s="272"/>
      <c r="AI2622" s="50"/>
      <c r="AJ2622" s="31"/>
      <c r="AK2622" s="156"/>
      <c r="AL2622" s="284"/>
      <c r="AM2622" s="208"/>
      <c r="AN2622" s="16"/>
      <c r="AO2622" s="388"/>
      <c r="AP2622" s="389"/>
      <c r="AQ2622" s="390"/>
      <c r="AR2622" s="392"/>
      <c r="AS2622" s="31"/>
      <c r="AT2622" s="156"/>
      <c r="AU2622" s="284"/>
      <c r="AV2622" s="16"/>
      <c r="AW2622" s="16"/>
      <c r="AX2622" s="170"/>
      <c r="AY2622" s="86"/>
      <c r="AZ2622" s="272"/>
      <c r="BA2622" s="50"/>
      <c r="BB2622" s="31"/>
      <c r="BC2622" s="156"/>
      <c r="BD2622" s="341"/>
      <c r="BE2622" s="208"/>
      <c r="BF2622" s="16"/>
      <c r="BG2622" s="170"/>
      <c r="BH2622" s="86"/>
      <c r="BI2622" s="272"/>
      <c r="BJ2622" s="50"/>
      <c r="BK2622" s="31"/>
      <c r="BL2622" s="156"/>
      <c r="BM2622" s="341"/>
      <c r="BN2622" s="208"/>
      <c r="BO2622" s="16"/>
      <c r="BP2622" s="170"/>
      <c r="BQ2622" s="86"/>
      <c r="BR2622" s="50"/>
      <c r="BS2622" s="50"/>
      <c r="BT2622" s="31"/>
      <c r="BU2622" s="43"/>
      <c r="BV2622" s="209"/>
      <c r="BW2622" s="141"/>
      <c r="BX2622" s="311"/>
      <c r="BY2622" s="137"/>
    </row>
    <row r="2623" spans="1:77" ht="15" customHeight="1" x14ac:dyDescent="0.2">
      <c r="A2623" s="56" t="s">
        <v>12</v>
      </c>
      <c r="B2623" s="56"/>
      <c r="C2623" s="107" t="s">
        <v>716</v>
      </c>
      <c r="D2623" s="544">
        <v>35.054000000000002</v>
      </c>
      <c r="E2623" s="107" t="s">
        <v>631</v>
      </c>
      <c r="F2623" s="602"/>
      <c r="G2623" s="419"/>
      <c r="H2623" s="419"/>
      <c r="I2623" s="608"/>
      <c r="J2623" s="62"/>
      <c r="K2623" s="62"/>
      <c r="L2623" s="608">
        <v>2009</v>
      </c>
      <c r="M2623" s="62"/>
      <c r="N2623" s="357">
        <v>7.8100000000000003E-2</v>
      </c>
      <c r="O2623" s="603"/>
      <c r="P2623" s="62"/>
      <c r="Q2623" s="357"/>
      <c r="R2623" s="603"/>
      <c r="S2623" s="62"/>
      <c r="T2623" s="357"/>
      <c r="U2623" s="62"/>
      <c r="V2623" s="62"/>
      <c r="W2623" s="699">
        <f t="shared" si="2236"/>
        <v>6.2479999999999998E-5</v>
      </c>
      <c r="X2623" s="779">
        <f t="shared" si="2237"/>
        <v>6.2479999999999998E-5</v>
      </c>
      <c r="Y2623" s="50">
        <v>2007</v>
      </c>
      <c r="Z2623" s="50"/>
      <c r="AA2623" s="773">
        <f>+N2623/1000</f>
        <v>7.8100000000000001E-5</v>
      </c>
      <c r="AB2623" s="395">
        <v>-0.2</v>
      </c>
      <c r="AC2623" s="443">
        <f t="shared" si="2239"/>
        <v>-0.2</v>
      </c>
      <c r="AD2623" s="16"/>
      <c r="AE2623" s="16"/>
      <c r="AF2623" s="170"/>
      <c r="AG2623" s="86"/>
      <c r="AH2623" s="272"/>
      <c r="AI2623" s="50"/>
      <c r="AJ2623" s="31"/>
      <c r="AK2623" s="156"/>
      <c r="AL2623" s="284"/>
      <c r="AM2623" s="208"/>
      <c r="AN2623" s="16"/>
      <c r="AO2623" s="388"/>
      <c r="AP2623" s="389"/>
      <c r="AQ2623" s="390"/>
      <c r="AR2623" s="392"/>
      <c r="AS2623" s="31"/>
      <c r="AT2623" s="156"/>
      <c r="AU2623" s="284"/>
      <c r="AV2623" s="16"/>
      <c r="AW2623" s="16"/>
      <c r="AX2623" s="170"/>
      <c r="AY2623" s="86"/>
      <c r="AZ2623" s="272"/>
      <c r="BA2623" s="50"/>
      <c r="BB2623" s="31"/>
      <c r="BC2623" s="156"/>
      <c r="BD2623" s="341"/>
      <c r="BE2623" s="208"/>
      <c r="BF2623" s="16"/>
      <c r="BG2623" s="170"/>
      <c r="BH2623" s="86"/>
      <c r="BI2623" s="272"/>
      <c r="BJ2623" s="50"/>
      <c r="BK2623" s="31"/>
      <c r="BL2623" s="156"/>
      <c r="BM2623" s="341"/>
      <c r="BN2623" s="208"/>
      <c r="BO2623" s="16"/>
      <c r="BP2623" s="170"/>
      <c r="BQ2623" s="86"/>
      <c r="BR2623" s="50"/>
      <c r="BS2623" s="50"/>
      <c r="BT2623" s="31"/>
      <c r="BU2623" s="43"/>
      <c r="BV2623" s="209"/>
      <c r="BW2623" s="141"/>
      <c r="BX2623" s="311"/>
      <c r="BY2623" s="137"/>
    </row>
    <row r="2624" spans="1:77" ht="15" customHeight="1" x14ac:dyDescent="0.2">
      <c r="A2624" s="56" t="s">
        <v>12</v>
      </c>
      <c r="B2624" s="56"/>
      <c r="C2624" s="107" t="s">
        <v>2625</v>
      </c>
      <c r="D2624" s="544">
        <v>1.4610000000000001</v>
      </c>
      <c r="E2624" s="107" t="s">
        <v>631</v>
      </c>
      <c r="F2624" s="602"/>
      <c r="G2624" s="419"/>
      <c r="H2624" s="419"/>
      <c r="I2624" s="608"/>
      <c r="J2624" s="62"/>
      <c r="K2624" s="62"/>
      <c r="L2624" s="608"/>
      <c r="M2624" s="62"/>
      <c r="N2624" s="357"/>
      <c r="O2624" s="603"/>
      <c r="P2624" s="62"/>
      <c r="Q2624" s="781">
        <v>4.4000000000000003E-3</v>
      </c>
      <c r="R2624" s="603"/>
      <c r="S2624" s="62"/>
      <c r="T2624" s="781"/>
      <c r="U2624" s="62"/>
      <c r="V2624" s="62"/>
      <c r="W2624" s="766">
        <f t="shared" ref="W2624" si="2330">AA2624*(1+AB2624)</f>
        <v>3.0800000000000002E-6</v>
      </c>
      <c r="X2624" s="548">
        <f t="shared" ref="X2624" si="2331">AA2624*(1+AC2624)</f>
        <v>3.0800000000000002E-6</v>
      </c>
      <c r="Y2624" s="50">
        <v>2015</v>
      </c>
      <c r="Z2624" s="50"/>
      <c r="AA2624" s="780">
        <f>+Q2624/1000</f>
        <v>4.4000000000000002E-6</v>
      </c>
      <c r="AB2624" s="395">
        <v>-0.3</v>
      </c>
      <c r="AC2624" s="443">
        <f t="shared" ref="AC2624" si="2332">AB2624</f>
        <v>-0.3</v>
      </c>
      <c r="AD2624" s="16"/>
      <c r="AE2624" s="16"/>
      <c r="AF2624" s="170"/>
      <c r="AG2624" s="86"/>
      <c r="AH2624" s="272"/>
      <c r="AI2624" s="50"/>
      <c r="AJ2624" s="31"/>
      <c r="AK2624" s="156"/>
      <c r="AL2624" s="284"/>
      <c r="AM2624" s="208"/>
      <c r="AN2624" s="16"/>
      <c r="AO2624" s="388"/>
      <c r="AP2624" s="389"/>
      <c r="AQ2624" s="390"/>
      <c r="AR2624" s="392"/>
      <c r="AS2624" s="31"/>
      <c r="AT2624" s="156"/>
      <c r="AU2624" s="284"/>
      <c r="AV2624" s="16"/>
      <c r="AW2624" s="16"/>
      <c r="AX2624" s="170"/>
      <c r="AY2624" s="86"/>
      <c r="AZ2624" s="272"/>
      <c r="BA2624" s="50"/>
      <c r="BB2624" s="31"/>
      <c r="BC2624" s="156"/>
      <c r="BD2624" s="341"/>
      <c r="BE2624" s="208"/>
      <c r="BF2624" s="16"/>
      <c r="BG2624" s="170"/>
      <c r="BH2624" s="86"/>
      <c r="BI2624" s="272"/>
      <c r="BJ2624" s="50"/>
      <c r="BK2624" s="31"/>
      <c r="BL2624" s="156"/>
      <c r="BM2624" s="341"/>
      <c r="BN2624" s="208"/>
      <c r="BO2624" s="16"/>
      <c r="BP2624" s="170"/>
      <c r="BQ2624" s="86"/>
      <c r="BR2624" s="50"/>
      <c r="BS2624" s="50"/>
      <c r="BT2624" s="31"/>
      <c r="BU2624" s="43"/>
      <c r="BV2624" s="209"/>
      <c r="BW2624" s="141"/>
      <c r="BX2624" s="311"/>
      <c r="BY2624" s="137"/>
    </row>
    <row r="2625" spans="1:77" ht="15" customHeight="1" x14ac:dyDescent="0.2">
      <c r="A2625" s="56" t="s">
        <v>12</v>
      </c>
      <c r="B2625" s="56"/>
      <c r="C2625" s="107" t="s">
        <v>698</v>
      </c>
      <c r="D2625" s="544">
        <v>11.393000000000001</v>
      </c>
      <c r="E2625" s="107" t="s">
        <v>631</v>
      </c>
      <c r="F2625" s="602"/>
      <c r="G2625" s="419"/>
      <c r="H2625" s="419"/>
      <c r="I2625" s="608"/>
      <c r="J2625" s="62"/>
      <c r="K2625" s="62"/>
      <c r="L2625" s="608">
        <v>2011</v>
      </c>
      <c r="M2625" s="62"/>
      <c r="N2625" s="357">
        <v>4.5372000000000003E-2</v>
      </c>
      <c r="O2625" s="603"/>
      <c r="P2625" s="62"/>
      <c r="Q2625" s="357"/>
      <c r="R2625" s="603"/>
      <c r="S2625" s="62"/>
      <c r="T2625" s="357"/>
      <c r="U2625" s="62"/>
      <c r="V2625" s="62"/>
      <c r="W2625" s="699">
        <f t="shared" si="2236"/>
        <v>3.6297600000000003E-5</v>
      </c>
      <c r="X2625" s="779">
        <f t="shared" si="2237"/>
        <v>3.6297600000000003E-5</v>
      </c>
      <c r="Y2625" s="50">
        <v>2011</v>
      </c>
      <c r="Z2625" s="50"/>
      <c r="AA2625" s="773">
        <f>+N2625/1000</f>
        <v>4.5372000000000005E-5</v>
      </c>
      <c r="AB2625" s="395">
        <v>-0.2</v>
      </c>
      <c r="AC2625" s="443">
        <f t="shared" si="2239"/>
        <v>-0.2</v>
      </c>
      <c r="AD2625" s="16"/>
      <c r="AE2625" s="16"/>
      <c r="AF2625" s="170"/>
      <c r="AG2625" s="86"/>
      <c r="AH2625" s="272"/>
      <c r="AI2625" s="50"/>
      <c r="AJ2625" s="31"/>
      <c r="AK2625" s="156"/>
      <c r="AL2625" s="284"/>
      <c r="AM2625" s="208"/>
      <c r="AN2625" s="16"/>
      <c r="AO2625" s="388"/>
      <c r="AP2625" s="389"/>
      <c r="AQ2625" s="390"/>
      <c r="AR2625" s="392"/>
      <c r="AS2625" s="31"/>
      <c r="AT2625" s="156"/>
      <c r="AU2625" s="284"/>
      <c r="AV2625" s="16"/>
      <c r="AW2625" s="16"/>
      <c r="AX2625" s="170"/>
      <c r="AY2625" s="86"/>
      <c r="AZ2625" s="272"/>
      <c r="BA2625" s="50"/>
      <c r="BB2625" s="31"/>
      <c r="BC2625" s="156"/>
      <c r="BD2625" s="341"/>
      <c r="BE2625" s="208"/>
      <c r="BF2625" s="16"/>
      <c r="BG2625" s="170"/>
      <c r="BH2625" s="86"/>
      <c r="BI2625" s="272"/>
      <c r="BJ2625" s="50"/>
      <c r="BK2625" s="31"/>
      <c r="BL2625" s="156"/>
      <c r="BM2625" s="341"/>
      <c r="BN2625" s="208"/>
      <c r="BO2625" s="16"/>
      <c r="BP2625" s="170"/>
      <c r="BQ2625" s="86"/>
      <c r="BR2625" s="50"/>
      <c r="BS2625" s="50"/>
      <c r="BT2625" s="31"/>
      <c r="BU2625" s="43"/>
      <c r="BV2625" s="209"/>
      <c r="BW2625" s="141"/>
      <c r="BX2625" s="311"/>
      <c r="BY2625" s="137"/>
    </row>
    <row r="2626" spans="1:77" ht="15" customHeight="1" x14ac:dyDescent="0.2">
      <c r="A2626" s="56" t="s">
        <v>12</v>
      </c>
      <c r="B2626" s="56"/>
      <c r="C2626" s="107" t="s">
        <v>2630</v>
      </c>
      <c r="D2626" s="544">
        <v>120</v>
      </c>
      <c r="E2626" s="107" t="s">
        <v>631</v>
      </c>
      <c r="F2626" s="602"/>
      <c r="G2626" s="419"/>
      <c r="H2626" s="419"/>
      <c r="I2626" s="608"/>
      <c r="J2626" s="62"/>
      <c r="K2626" s="62"/>
      <c r="L2626" s="608">
        <v>2012</v>
      </c>
      <c r="M2626" s="62"/>
      <c r="N2626" s="357">
        <v>0.29048400000000002</v>
      </c>
      <c r="O2626" s="603"/>
      <c r="P2626" s="62"/>
      <c r="Q2626" s="357"/>
      <c r="R2626" s="603"/>
      <c r="S2626" s="62"/>
      <c r="T2626" s="357"/>
      <c r="U2626" s="62"/>
      <c r="V2626" s="62"/>
      <c r="W2626" s="699">
        <f t="shared" ref="W2626" si="2333">AA2626*(1+AB2626)</f>
        <v>2.3238720000000004E-4</v>
      </c>
      <c r="X2626" s="779">
        <f t="shared" ref="X2626" si="2334">AA2626*(1+AC2626)</f>
        <v>2.3238720000000004E-4</v>
      </c>
      <c r="Y2626" s="50">
        <v>2012</v>
      </c>
      <c r="Z2626" s="50"/>
      <c r="AA2626" s="773">
        <f>+N2626/1000</f>
        <v>2.9048400000000003E-4</v>
      </c>
      <c r="AB2626" s="395">
        <v>-0.2</v>
      </c>
      <c r="AC2626" s="443">
        <f t="shared" ref="AC2626" si="2335">AB2626</f>
        <v>-0.2</v>
      </c>
      <c r="AD2626" s="16"/>
      <c r="AE2626" s="16"/>
      <c r="AF2626" s="170"/>
      <c r="AG2626" s="86"/>
      <c r="AH2626" s="272"/>
      <c r="AI2626" s="50"/>
      <c r="AJ2626" s="31"/>
      <c r="AK2626" s="156"/>
      <c r="AL2626" s="284"/>
      <c r="AM2626" s="208"/>
      <c r="AN2626" s="16"/>
      <c r="AO2626" s="388"/>
      <c r="AP2626" s="389"/>
      <c r="AQ2626" s="390"/>
      <c r="AR2626" s="392"/>
      <c r="AS2626" s="31"/>
      <c r="AT2626" s="156"/>
      <c r="AU2626" s="284"/>
      <c r="AV2626" s="16"/>
      <c r="AW2626" s="16"/>
      <c r="AX2626" s="170"/>
      <c r="AY2626" s="86"/>
      <c r="AZ2626" s="272"/>
      <c r="BA2626" s="50"/>
      <c r="BB2626" s="31"/>
      <c r="BC2626" s="156"/>
      <c r="BD2626" s="341"/>
      <c r="BE2626" s="208"/>
      <c r="BF2626" s="16"/>
      <c r="BG2626" s="170"/>
      <c r="BH2626" s="86"/>
      <c r="BI2626" s="272"/>
      <c r="BJ2626" s="50"/>
      <c r="BK2626" s="31"/>
      <c r="BL2626" s="156"/>
      <c r="BM2626" s="341"/>
      <c r="BN2626" s="208"/>
      <c r="BO2626" s="16"/>
      <c r="BP2626" s="170"/>
      <c r="BQ2626" s="86"/>
      <c r="BR2626" s="50"/>
      <c r="BS2626" s="50"/>
      <c r="BT2626" s="31"/>
      <c r="BU2626" s="43"/>
      <c r="BV2626" s="209"/>
      <c r="BW2626" s="141"/>
      <c r="BX2626" s="311"/>
      <c r="BY2626" s="137"/>
    </row>
    <row r="2627" spans="1:77" ht="15" customHeight="1" x14ac:dyDescent="0.2">
      <c r="A2627" s="56" t="s">
        <v>12</v>
      </c>
      <c r="B2627" s="56"/>
      <c r="C2627" s="107" t="s">
        <v>2642</v>
      </c>
      <c r="D2627" s="544">
        <v>22.286999999999999</v>
      </c>
      <c r="E2627" s="107" t="s">
        <v>631</v>
      </c>
      <c r="F2627" s="602"/>
      <c r="G2627" s="419"/>
      <c r="H2627" s="419"/>
      <c r="I2627" s="608"/>
      <c r="J2627" s="62"/>
      <c r="K2627" s="62"/>
      <c r="L2627" s="608"/>
      <c r="M2627" s="62"/>
      <c r="N2627" s="357"/>
      <c r="O2627" s="603">
        <v>2014</v>
      </c>
      <c r="P2627" s="62"/>
      <c r="Q2627" s="781">
        <v>5.6834999999999997E-2</v>
      </c>
      <c r="R2627" s="603"/>
      <c r="S2627" s="62"/>
      <c r="T2627" s="781"/>
      <c r="U2627" s="62"/>
      <c r="V2627" s="62"/>
      <c r="W2627" s="766">
        <f t="shared" ref="W2627" si="2336">AA2627*(1+AB2627)</f>
        <v>4.5467999999999999E-5</v>
      </c>
      <c r="X2627" s="779">
        <f t="shared" ref="X2627" si="2337">AA2627*(1+AC2627)</f>
        <v>4.5467999999999999E-5</v>
      </c>
      <c r="Y2627" s="50">
        <v>2012</v>
      </c>
      <c r="Z2627" s="50"/>
      <c r="AA2627" s="780">
        <f>+Q2627/1000</f>
        <v>5.6834999999999994E-5</v>
      </c>
      <c r="AB2627" s="395">
        <v>-0.2</v>
      </c>
      <c r="AC2627" s="443">
        <f t="shared" ref="AC2627" si="2338">AB2627</f>
        <v>-0.2</v>
      </c>
      <c r="AD2627" s="16"/>
      <c r="AE2627" s="16"/>
      <c r="AF2627" s="170"/>
      <c r="AG2627" s="86"/>
      <c r="AH2627" s="272"/>
      <c r="AI2627" s="50"/>
      <c r="AJ2627" s="31"/>
      <c r="AK2627" s="156"/>
      <c r="AL2627" s="284"/>
      <c r="AM2627" s="208"/>
      <c r="AN2627" s="16"/>
      <c r="AO2627" s="388"/>
      <c r="AP2627" s="389"/>
      <c r="AQ2627" s="390"/>
      <c r="AR2627" s="392"/>
      <c r="AS2627" s="31"/>
      <c r="AT2627" s="156"/>
      <c r="AU2627" s="284"/>
      <c r="AV2627" s="16"/>
      <c r="AW2627" s="16"/>
      <c r="AX2627" s="170"/>
      <c r="AY2627" s="86"/>
      <c r="AZ2627" s="272"/>
      <c r="BA2627" s="50"/>
      <c r="BB2627" s="31"/>
      <c r="BC2627" s="156"/>
      <c r="BD2627" s="341"/>
      <c r="BE2627" s="208"/>
      <c r="BF2627" s="16"/>
      <c r="BG2627" s="170"/>
      <c r="BH2627" s="86"/>
      <c r="BI2627" s="272"/>
      <c r="BJ2627" s="50"/>
      <c r="BK2627" s="31"/>
      <c r="BL2627" s="156"/>
      <c r="BM2627" s="341"/>
      <c r="BN2627" s="208"/>
      <c r="BO2627" s="16"/>
      <c r="BP2627" s="170"/>
      <c r="BQ2627" s="86"/>
      <c r="BR2627" s="50"/>
      <c r="BS2627" s="50"/>
      <c r="BT2627" s="31"/>
      <c r="BU2627" s="43"/>
      <c r="BV2627" s="209"/>
      <c r="BW2627" s="141"/>
      <c r="BX2627" s="311"/>
      <c r="BY2627" s="137"/>
    </row>
    <row r="2628" spans="1:77" ht="15" customHeight="1" x14ac:dyDescent="0.2">
      <c r="A2628" s="56" t="s">
        <v>12</v>
      </c>
      <c r="B2628" s="56"/>
      <c r="C2628" s="107" t="s">
        <v>720</v>
      </c>
      <c r="D2628" s="544">
        <v>35.442</v>
      </c>
      <c r="E2628" s="107" t="s">
        <v>631</v>
      </c>
      <c r="F2628" s="602"/>
      <c r="G2628" s="419"/>
      <c r="H2628" s="419"/>
      <c r="I2628" s="608"/>
      <c r="J2628" s="62"/>
      <c r="K2628" s="62"/>
      <c r="L2628" s="608"/>
      <c r="M2628" s="62"/>
      <c r="N2628" s="355">
        <v>0.179872</v>
      </c>
      <c r="O2628" s="603"/>
      <c r="P2628" s="62"/>
      <c r="Q2628" s="355"/>
      <c r="R2628" s="603"/>
      <c r="S2628" s="62"/>
      <c r="T2628" s="355"/>
      <c r="U2628" s="62"/>
      <c r="V2628" s="62"/>
      <c r="W2628" s="699">
        <f t="shared" si="2236"/>
        <v>1.1871551999999999E-4</v>
      </c>
      <c r="X2628" s="779">
        <f t="shared" si="2237"/>
        <v>1.1871551999999999E-4</v>
      </c>
      <c r="Y2628" s="50">
        <v>2010</v>
      </c>
      <c r="Z2628" s="50"/>
      <c r="AA2628" s="773">
        <f>+N2628/1000</f>
        <v>1.79872E-4</v>
      </c>
      <c r="AB2628" s="395">
        <v>-0.34</v>
      </c>
      <c r="AC2628" s="443">
        <f t="shared" si="2239"/>
        <v>-0.34</v>
      </c>
      <c r="AD2628" s="16"/>
      <c r="AE2628" s="16"/>
      <c r="AF2628" s="170"/>
      <c r="AG2628" s="86"/>
      <c r="AH2628" s="272"/>
      <c r="AI2628" s="50"/>
      <c r="AJ2628" s="31"/>
      <c r="AK2628" s="156"/>
      <c r="AL2628" s="284"/>
      <c r="AM2628" s="208"/>
      <c r="AN2628" s="16"/>
      <c r="AO2628" s="388"/>
      <c r="AP2628" s="389"/>
      <c r="AQ2628" s="390"/>
      <c r="AR2628" s="392"/>
      <c r="AS2628" s="31"/>
      <c r="AT2628" s="156"/>
      <c r="AU2628" s="284"/>
      <c r="AV2628" s="16"/>
      <c r="AW2628" s="16"/>
      <c r="AX2628" s="170"/>
      <c r="AY2628" s="86"/>
      <c r="AZ2628" s="272"/>
      <c r="BA2628" s="50"/>
      <c r="BB2628" s="31"/>
      <c r="BC2628" s="156"/>
      <c r="BD2628" s="341"/>
      <c r="BE2628" s="208"/>
      <c r="BF2628" s="16"/>
      <c r="BG2628" s="170"/>
      <c r="BH2628" s="86"/>
      <c r="BI2628" s="272"/>
      <c r="BJ2628" s="50"/>
      <c r="BK2628" s="31"/>
      <c r="BL2628" s="156"/>
      <c r="BM2628" s="341"/>
      <c r="BN2628" s="208"/>
      <c r="BO2628" s="16"/>
      <c r="BP2628" s="170"/>
      <c r="BQ2628" s="86"/>
      <c r="BR2628" s="50"/>
      <c r="BS2628" s="50"/>
      <c r="BT2628" s="31"/>
      <c r="BU2628" s="43"/>
      <c r="BV2628" s="209"/>
      <c r="BW2628" s="141"/>
      <c r="BX2628" s="311"/>
      <c r="BY2628" s="137"/>
    </row>
    <row r="2629" spans="1:77" ht="15" customHeight="1" x14ac:dyDescent="0.2">
      <c r="A2629" s="56" t="s">
        <v>12</v>
      </c>
      <c r="B2629" s="56"/>
      <c r="C2629" s="107" t="s">
        <v>738</v>
      </c>
      <c r="D2629" s="544">
        <v>24.986999999999998</v>
      </c>
      <c r="E2629" s="107" t="s">
        <v>631</v>
      </c>
      <c r="F2629" s="602"/>
      <c r="G2629" s="419"/>
      <c r="H2629" s="419"/>
      <c r="I2629" s="608">
        <v>2000</v>
      </c>
      <c r="J2629" s="62"/>
      <c r="K2629" s="782">
        <v>9.7141000000000005E-2</v>
      </c>
      <c r="L2629" s="608"/>
      <c r="M2629" s="62"/>
      <c r="N2629" s="355"/>
      <c r="O2629" s="603"/>
      <c r="P2629" s="62"/>
      <c r="Q2629" s="355"/>
      <c r="R2629" s="603"/>
      <c r="S2629" s="62"/>
      <c r="T2629" s="355"/>
      <c r="U2629" s="62"/>
      <c r="V2629" s="62"/>
      <c r="W2629" s="699">
        <f t="shared" si="2236"/>
        <v>7.0912930000000012E-5</v>
      </c>
      <c r="X2629" s="779">
        <f t="shared" si="2237"/>
        <v>7.0912930000000012E-5</v>
      </c>
      <c r="Y2629" s="50">
        <v>2000</v>
      </c>
      <c r="Z2629" s="50"/>
      <c r="AA2629" s="773">
        <f>+K2629/1000</f>
        <v>9.7141000000000011E-5</v>
      </c>
      <c r="AB2629" s="395">
        <v>-0.27</v>
      </c>
      <c r="AC2629" s="443">
        <f t="shared" si="2239"/>
        <v>-0.27</v>
      </c>
      <c r="AD2629" s="16"/>
      <c r="AE2629" s="16"/>
      <c r="AF2629" s="170"/>
      <c r="AG2629" s="86"/>
      <c r="AH2629" s="272"/>
      <c r="AI2629" s="50"/>
      <c r="AJ2629" s="31"/>
      <c r="AK2629" s="156"/>
      <c r="AL2629" s="284"/>
      <c r="AM2629" s="208"/>
      <c r="AN2629" s="16"/>
      <c r="AO2629" s="388"/>
      <c r="AP2629" s="389"/>
      <c r="AQ2629" s="390"/>
      <c r="AR2629" s="392"/>
      <c r="AS2629" s="31"/>
      <c r="AT2629" s="156"/>
      <c r="AU2629" s="284"/>
      <c r="AV2629" s="16"/>
      <c r="AW2629" s="16"/>
      <c r="AX2629" s="170"/>
      <c r="AY2629" s="86"/>
      <c r="AZ2629" s="272"/>
      <c r="BA2629" s="50"/>
      <c r="BB2629" s="31"/>
      <c r="BC2629" s="156"/>
      <c r="BD2629" s="341"/>
      <c r="BE2629" s="208"/>
      <c r="BF2629" s="16"/>
      <c r="BG2629" s="170"/>
      <c r="BH2629" s="86"/>
      <c r="BI2629" s="272"/>
      <c r="BJ2629" s="50"/>
      <c r="BK2629" s="31"/>
      <c r="BL2629" s="156"/>
      <c r="BM2629" s="341"/>
      <c r="BN2629" s="208"/>
      <c r="BO2629" s="16"/>
      <c r="BP2629" s="170"/>
      <c r="BQ2629" s="86"/>
      <c r="BR2629" s="50"/>
      <c r="BS2629" s="50"/>
      <c r="BT2629" s="31"/>
      <c r="BU2629" s="43"/>
      <c r="BV2629" s="209"/>
      <c r="BW2629" s="141"/>
      <c r="BX2629" s="311"/>
      <c r="BY2629" s="137"/>
    </row>
    <row r="2630" spans="1:77" ht="15" customHeight="1" x14ac:dyDescent="0.2">
      <c r="A2630" s="56" t="s">
        <v>12</v>
      </c>
      <c r="B2630" s="56"/>
      <c r="C2630" s="107" t="s">
        <v>2635</v>
      </c>
      <c r="D2630" s="544">
        <v>115.42100000000001</v>
      </c>
      <c r="E2630" s="107" t="s">
        <v>631</v>
      </c>
      <c r="F2630" s="602"/>
      <c r="G2630" s="419"/>
      <c r="H2630" s="419"/>
      <c r="I2630" s="608"/>
      <c r="J2630" s="62"/>
      <c r="K2630" s="782"/>
      <c r="L2630" s="608">
        <v>2011</v>
      </c>
      <c r="M2630" s="62"/>
      <c r="N2630" s="357">
        <v>0.44511000000000001</v>
      </c>
      <c r="O2630" s="603"/>
      <c r="P2630" s="62"/>
      <c r="Q2630" s="355"/>
      <c r="R2630" s="603"/>
      <c r="S2630" s="62"/>
      <c r="T2630" s="355"/>
      <c r="U2630" s="62"/>
      <c r="V2630" s="62"/>
      <c r="W2630" s="699">
        <f t="shared" ref="W2630" si="2339">AA2630*(1+AB2630)</f>
        <v>3.5608800000000006E-4</v>
      </c>
      <c r="X2630" s="779">
        <f t="shared" ref="X2630" si="2340">AA2630*(1+AC2630)</f>
        <v>3.5608800000000006E-4</v>
      </c>
      <c r="Y2630" s="50">
        <v>2000</v>
      </c>
      <c r="Z2630" s="50"/>
      <c r="AA2630" s="773">
        <f>+N2630/1000</f>
        <v>4.4511000000000003E-4</v>
      </c>
      <c r="AB2630" s="395">
        <v>-0.2</v>
      </c>
      <c r="AC2630" s="443">
        <f t="shared" ref="AC2630" si="2341">AB2630</f>
        <v>-0.2</v>
      </c>
      <c r="AD2630" s="16"/>
      <c r="AE2630" s="16"/>
      <c r="AF2630" s="170"/>
      <c r="AG2630" s="86"/>
      <c r="AH2630" s="272"/>
      <c r="AI2630" s="50"/>
      <c r="AJ2630" s="31"/>
      <c r="AK2630" s="156"/>
      <c r="AL2630" s="284"/>
      <c r="AM2630" s="208"/>
      <c r="AN2630" s="16"/>
      <c r="AO2630" s="388"/>
      <c r="AP2630" s="389"/>
      <c r="AQ2630" s="390"/>
      <c r="AR2630" s="392"/>
      <c r="AS2630" s="31"/>
      <c r="AT2630" s="156"/>
      <c r="AU2630" s="284"/>
      <c r="AV2630" s="16"/>
      <c r="AW2630" s="16"/>
      <c r="AX2630" s="170"/>
      <c r="AY2630" s="86"/>
      <c r="AZ2630" s="272"/>
      <c r="BA2630" s="50"/>
      <c r="BB2630" s="31"/>
      <c r="BC2630" s="156"/>
      <c r="BD2630" s="341"/>
      <c r="BE2630" s="208"/>
      <c r="BF2630" s="16"/>
      <c r="BG2630" s="170"/>
      <c r="BH2630" s="86"/>
      <c r="BI2630" s="272"/>
      <c r="BJ2630" s="50"/>
      <c r="BK2630" s="31"/>
      <c r="BL2630" s="156"/>
      <c r="BM2630" s="341"/>
      <c r="BN2630" s="208"/>
      <c r="BO2630" s="16"/>
      <c r="BP2630" s="170"/>
      <c r="BQ2630" s="86"/>
      <c r="BR2630" s="50"/>
      <c r="BS2630" s="50"/>
      <c r="BT2630" s="31"/>
      <c r="BU2630" s="43"/>
      <c r="BV2630" s="209"/>
      <c r="BW2630" s="141"/>
      <c r="BX2630" s="311"/>
      <c r="BY2630" s="137"/>
    </row>
    <row r="2631" spans="1:77" ht="15" customHeight="1" x14ac:dyDescent="0.2">
      <c r="A2631" s="56" t="s">
        <v>12</v>
      </c>
      <c r="B2631" s="56"/>
      <c r="C2631" s="107" t="s">
        <v>2363</v>
      </c>
      <c r="D2631" s="544">
        <v>266.20999999999998</v>
      </c>
      <c r="E2631" s="107" t="s">
        <v>631</v>
      </c>
      <c r="F2631" s="602"/>
      <c r="G2631" s="419"/>
      <c r="H2631" s="419"/>
      <c r="I2631" s="608"/>
      <c r="J2631" s="62"/>
      <c r="K2631" s="782"/>
      <c r="L2631" s="608"/>
      <c r="M2631" s="62"/>
      <c r="N2631" s="355"/>
      <c r="O2631" s="603">
        <v>2013</v>
      </c>
      <c r="P2631" s="62"/>
      <c r="Q2631" s="355">
        <v>0.51249</v>
      </c>
      <c r="R2631" s="603"/>
      <c r="S2631" s="62"/>
      <c r="T2631" s="355"/>
      <c r="U2631" s="62"/>
      <c r="V2631" s="62"/>
      <c r="W2631" s="699">
        <f t="shared" ref="W2631" si="2342">AA2631*(1+AB2631)</f>
        <v>4.0999200000000003E-4</v>
      </c>
      <c r="X2631" s="779">
        <f t="shared" ref="X2631" si="2343">AA2631*(1+AC2631)</f>
        <v>4.0999200000000003E-4</v>
      </c>
      <c r="Y2631" s="50">
        <v>2013</v>
      </c>
      <c r="Z2631" s="50"/>
      <c r="AA2631" s="773">
        <f>+Q2631/1000</f>
        <v>5.1248999999999999E-4</v>
      </c>
      <c r="AB2631" s="395">
        <v>-0.2</v>
      </c>
      <c r="AC2631" s="443">
        <f t="shared" ref="AC2631" si="2344">AB2631</f>
        <v>-0.2</v>
      </c>
      <c r="AD2631" s="16"/>
      <c r="AE2631" s="16"/>
      <c r="AF2631" s="170"/>
      <c r="AG2631" s="86"/>
      <c r="AH2631" s="272"/>
      <c r="AI2631" s="50"/>
      <c r="AJ2631" s="31"/>
      <c r="AK2631" s="156"/>
      <c r="AL2631" s="284"/>
      <c r="AM2631" s="208"/>
      <c r="AN2631" s="16"/>
      <c r="AO2631" s="388"/>
      <c r="AP2631" s="389"/>
      <c r="AQ2631" s="390"/>
      <c r="AR2631" s="392"/>
      <c r="AS2631" s="31"/>
      <c r="AT2631" s="156"/>
      <c r="AU2631" s="284"/>
      <c r="AV2631" s="16"/>
      <c r="AW2631" s="16"/>
      <c r="AX2631" s="170"/>
      <c r="AY2631" s="86"/>
      <c r="AZ2631" s="272"/>
      <c r="BA2631" s="50"/>
      <c r="BB2631" s="31"/>
      <c r="BC2631" s="156"/>
      <c r="BD2631" s="341"/>
      <c r="BE2631" s="208"/>
      <c r="BF2631" s="16"/>
      <c r="BG2631" s="170"/>
      <c r="BH2631" s="86"/>
      <c r="BI2631" s="272"/>
      <c r="BJ2631" s="50"/>
      <c r="BK2631" s="31"/>
      <c r="BL2631" s="156"/>
      <c r="BM2631" s="341"/>
      <c r="BN2631" s="208"/>
      <c r="BO2631" s="16"/>
      <c r="BP2631" s="170"/>
      <c r="BQ2631" s="86"/>
      <c r="BR2631" s="50"/>
      <c r="BS2631" s="50"/>
      <c r="BT2631" s="31"/>
      <c r="BU2631" s="43"/>
      <c r="BV2631" s="209"/>
      <c r="BW2631" s="141"/>
      <c r="BX2631" s="311"/>
      <c r="BY2631" s="137"/>
    </row>
    <row r="2632" spans="1:77" ht="15" customHeight="1" x14ac:dyDescent="0.2">
      <c r="A2632" s="56" t="s">
        <v>12</v>
      </c>
      <c r="B2632" s="56"/>
      <c r="C2632" s="107" t="s">
        <v>2366</v>
      </c>
      <c r="D2632" s="544">
        <v>18.241</v>
      </c>
      <c r="E2632" s="107" t="s">
        <v>631</v>
      </c>
      <c r="F2632" s="602"/>
      <c r="G2632" s="419"/>
      <c r="H2632" s="419"/>
      <c r="I2632" s="608"/>
      <c r="J2632" s="62"/>
      <c r="K2632" s="782"/>
      <c r="L2632" s="608"/>
      <c r="M2632" s="62"/>
      <c r="N2632" s="355"/>
      <c r="O2632" s="603">
        <v>2014</v>
      </c>
      <c r="P2632" s="62"/>
      <c r="Q2632" s="355">
        <v>0.12175</v>
      </c>
      <c r="R2632" s="603"/>
      <c r="S2632" s="62"/>
      <c r="T2632" s="355"/>
      <c r="U2632" s="62"/>
      <c r="V2632" s="62"/>
      <c r="W2632" s="699">
        <f t="shared" ref="W2632" si="2345">AA2632*(1+AB2632)</f>
        <v>9.6182500000000003E-5</v>
      </c>
      <c r="X2632" s="779">
        <f t="shared" ref="X2632" si="2346">AA2632*(1+AC2632)</f>
        <v>9.6182500000000003E-5</v>
      </c>
      <c r="Y2632" s="50">
        <v>2014</v>
      </c>
      <c r="Z2632" s="50"/>
      <c r="AA2632" s="773">
        <f>+Q2632/1000</f>
        <v>1.2174999999999999E-4</v>
      </c>
      <c r="AB2632" s="395">
        <v>-0.21</v>
      </c>
      <c r="AC2632" s="443">
        <f t="shared" ref="AC2632" si="2347">AB2632</f>
        <v>-0.21</v>
      </c>
      <c r="AD2632" s="16"/>
      <c r="AE2632" s="16"/>
      <c r="AF2632" s="170"/>
      <c r="AG2632" s="86"/>
      <c r="AH2632" s="272"/>
      <c r="AI2632" s="50"/>
      <c r="AJ2632" s="31"/>
      <c r="AK2632" s="156"/>
      <c r="AL2632" s="284"/>
      <c r="AM2632" s="208"/>
      <c r="AN2632" s="16"/>
      <c r="AO2632" s="388"/>
      <c r="AP2632" s="389"/>
      <c r="AQ2632" s="390"/>
      <c r="AR2632" s="392"/>
      <c r="AS2632" s="31"/>
      <c r="AT2632" s="156"/>
      <c r="AU2632" s="284"/>
      <c r="AV2632" s="16"/>
      <c r="AW2632" s="16"/>
      <c r="AX2632" s="170"/>
      <c r="AY2632" s="86"/>
      <c r="AZ2632" s="272"/>
      <c r="BA2632" s="50"/>
      <c r="BB2632" s="31"/>
      <c r="BC2632" s="156"/>
      <c r="BD2632" s="341"/>
      <c r="BE2632" s="208"/>
      <c r="BF2632" s="16"/>
      <c r="BG2632" s="170"/>
      <c r="BH2632" s="86"/>
      <c r="BI2632" s="272"/>
      <c r="BJ2632" s="50"/>
      <c r="BK2632" s="31"/>
      <c r="BL2632" s="156"/>
      <c r="BM2632" s="341"/>
      <c r="BN2632" s="208"/>
      <c r="BO2632" s="16"/>
      <c r="BP2632" s="170"/>
      <c r="BQ2632" s="86"/>
      <c r="BR2632" s="50"/>
      <c r="BS2632" s="50"/>
      <c r="BT2632" s="31"/>
      <c r="BU2632" s="43"/>
      <c r="BV2632" s="209"/>
      <c r="BW2632" s="141"/>
      <c r="BX2632" s="311"/>
      <c r="BY2632" s="137"/>
    </row>
    <row r="2633" spans="1:77" ht="15" customHeight="1" x14ac:dyDescent="0.2">
      <c r="A2633" s="56" t="s">
        <v>12</v>
      </c>
      <c r="B2633" s="56"/>
      <c r="C2633" s="107" t="s">
        <v>713</v>
      </c>
      <c r="D2633" s="544">
        <v>216.50200000000001</v>
      </c>
      <c r="E2633" s="107" t="s">
        <v>631</v>
      </c>
      <c r="F2633" s="602"/>
      <c r="G2633" s="419"/>
      <c r="H2633" s="419"/>
      <c r="I2633" s="608">
        <v>2007</v>
      </c>
      <c r="J2633" s="62"/>
      <c r="K2633" s="62">
        <v>0.952071</v>
      </c>
      <c r="L2633" s="608"/>
      <c r="M2633" s="62"/>
      <c r="N2633" s="355"/>
      <c r="O2633" s="603"/>
      <c r="P2633" s="62"/>
      <c r="Q2633" s="355"/>
      <c r="R2633" s="603"/>
      <c r="S2633" s="62"/>
      <c r="T2633" s="355"/>
      <c r="U2633" s="62"/>
      <c r="V2633" s="62"/>
      <c r="W2633" s="699">
        <f t="shared" si="2236"/>
        <v>7.6165680000000004E-4</v>
      </c>
      <c r="X2633" s="779">
        <f t="shared" si="2237"/>
        <v>7.6165680000000004E-4</v>
      </c>
      <c r="Y2633" s="50">
        <v>2007</v>
      </c>
      <c r="Z2633" s="50"/>
      <c r="AA2633" s="773">
        <f>+K2633/1000</f>
        <v>9.5207099999999997E-4</v>
      </c>
      <c r="AB2633" s="395">
        <v>-0.2</v>
      </c>
      <c r="AC2633" s="443">
        <f t="shared" si="2239"/>
        <v>-0.2</v>
      </c>
      <c r="AD2633" s="16"/>
      <c r="AE2633" s="16"/>
      <c r="AF2633" s="170"/>
      <c r="AG2633" s="86"/>
      <c r="AH2633" s="272"/>
      <c r="AI2633" s="50"/>
      <c r="AJ2633" s="31"/>
      <c r="AK2633" s="156"/>
      <c r="AL2633" s="284"/>
      <c r="AM2633" s="208"/>
      <c r="AN2633" s="16"/>
      <c r="AO2633" s="388"/>
      <c r="AP2633" s="389"/>
      <c r="AQ2633" s="390"/>
      <c r="AR2633" s="392"/>
      <c r="AS2633" s="31"/>
      <c r="AT2633" s="156"/>
      <c r="AU2633" s="284"/>
      <c r="AV2633" s="16"/>
      <c r="AW2633" s="16"/>
      <c r="AX2633" s="170"/>
      <c r="AY2633" s="86"/>
      <c r="AZ2633" s="272"/>
      <c r="BA2633" s="50"/>
      <c r="BB2633" s="31"/>
      <c r="BC2633" s="156"/>
      <c r="BD2633" s="341"/>
      <c r="BE2633" s="208"/>
      <c r="BF2633" s="16"/>
      <c r="BG2633" s="170"/>
      <c r="BH2633" s="86"/>
      <c r="BI2633" s="272"/>
      <c r="BJ2633" s="50"/>
      <c r="BK2633" s="31"/>
      <c r="BL2633" s="156"/>
      <c r="BM2633" s="341"/>
      <c r="BN2633" s="208"/>
      <c r="BO2633" s="16"/>
      <c r="BP2633" s="170"/>
      <c r="BQ2633" s="86"/>
      <c r="BR2633" s="50"/>
      <c r="BS2633" s="50"/>
      <c r="BT2633" s="31"/>
      <c r="BU2633" s="43"/>
      <c r="BV2633" s="209"/>
      <c r="BW2633" s="141"/>
      <c r="BX2633" s="311"/>
      <c r="BY2633" s="137"/>
    </row>
    <row r="2634" spans="1:77" ht="15" customHeight="1" x14ac:dyDescent="0.2">
      <c r="A2634" s="56" t="s">
        <v>12</v>
      </c>
      <c r="B2634" s="56"/>
      <c r="C2634" s="107" t="s">
        <v>2130</v>
      </c>
      <c r="D2634" s="544">
        <v>29.582999999999998</v>
      </c>
      <c r="E2634" s="107" t="s">
        <v>631</v>
      </c>
      <c r="F2634" s="602"/>
      <c r="G2634" s="419"/>
      <c r="H2634" s="419"/>
      <c r="I2634" s="608"/>
      <c r="J2634" s="62"/>
      <c r="K2634" s="62"/>
      <c r="L2634" s="608"/>
      <c r="M2634" s="62"/>
      <c r="N2634" s="355"/>
      <c r="O2634" s="603">
        <v>2012</v>
      </c>
      <c r="P2634" s="62"/>
      <c r="Q2634" s="355">
        <v>0.16117999999999999</v>
      </c>
      <c r="R2634" s="603"/>
      <c r="S2634" s="62"/>
      <c r="T2634" s="355"/>
      <c r="U2634" s="62"/>
      <c r="V2634" s="62"/>
      <c r="W2634" s="699">
        <f t="shared" ref="W2634" si="2348">AA2634*(1+AB2634)</f>
        <v>1.28944E-4</v>
      </c>
      <c r="X2634" s="779">
        <f t="shared" ref="X2634" si="2349">AA2634*(1+AC2634)</f>
        <v>1.28944E-4</v>
      </c>
      <c r="Y2634" s="50">
        <v>2007</v>
      </c>
      <c r="Z2634" s="50"/>
      <c r="AA2634" s="773">
        <f>+Q2634/1000</f>
        <v>1.6118E-4</v>
      </c>
      <c r="AB2634" s="395">
        <v>-0.2</v>
      </c>
      <c r="AC2634" s="443">
        <f t="shared" ref="AC2634" si="2350">AB2634</f>
        <v>-0.2</v>
      </c>
      <c r="AD2634" s="16"/>
      <c r="AE2634" s="16"/>
      <c r="AF2634" s="170"/>
      <c r="AG2634" s="86"/>
      <c r="AH2634" s="272"/>
      <c r="AI2634" s="50"/>
      <c r="AJ2634" s="31"/>
      <c r="AK2634" s="156"/>
      <c r="AL2634" s="284"/>
      <c r="AM2634" s="208"/>
      <c r="AN2634" s="16"/>
      <c r="AO2634" s="388"/>
      <c r="AP2634" s="389"/>
      <c r="AQ2634" s="390"/>
      <c r="AR2634" s="392"/>
      <c r="AS2634" s="31"/>
      <c r="AT2634" s="156"/>
      <c r="AU2634" s="284"/>
      <c r="AV2634" s="16"/>
      <c r="AW2634" s="16"/>
      <c r="AX2634" s="170"/>
      <c r="AY2634" s="86"/>
      <c r="AZ2634" s="272"/>
      <c r="BA2634" s="50"/>
      <c r="BB2634" s="31"/>
      <c r="BC2634" s="156"/>
      <c r="BD2634" s="341"/>
      <c r="BE2634" s="208"/>
      <c r="BF2634" s="16"/>
      <c r="BG2634" s="170"/>
      <c r="BH2634" s="86"/>
      <c r="BI2634" s="272"/>
      <c r="BJ2634" s="50"/>
      <c r="BK2634" s="31"/>
      <c r="BL2634" s="156"/>
      <c r="BM2634" s="341"/>
      <c r="BN2634" s="208"/>
      <c r="BO2634" s="16"/>
      <c r="BP2634" s="170"/>
      <c r="BQ2634" s="86"/>
      <c r="BR2634" s="50"/>
      <c r="BS2634" s="50"/>
      <c r="BT2634" s="31"/>
      <c r="BU2634" s="43"/>
      <c r="BV2634" s="209"/>
      <c r="BW2634" s="141"/>
      <c r="BX2634" s="311"/>
      <c r="BY2634" s="137"/>
    </row>
    <row r="2635" spans="1:77" ht="15" customHeight="1" x14ac:dyDescent="0.2">
      <c r="A2635" s="56" t="s">
        <v>12</v>
      </c>
      <c r="B2635" s="56"/>
      <c r="C2635" s="107" t="s">
        <v>707</v>
      </c>
      <c r="D2635" s="544">
        <v>15.458</v>
      </c>
      <c r="E2635" s="107" t="s">
        <v>631</v>
      </c>
      <c r="F2635" s="602"/>
      <c r="G2635" s="419"/>
      <c r="H2635" s="419"/>
      <c r="I2635" s="608"/>
      <c r="J2635" s="62"/>
      <c r="K2635" s="62"/>
      <c r="L2635" s="608"/>
      <c r="M2635" s="62"/>
      <c r="N2635" s="357">
        <v>3.9181000000000001E-2</v>
      </c>
      <c r="O2635" s="603"/>
      <c r="P2635" s="62"/>
      <c r="Q2635" s="357"/>
      <c r="R2635" s="603"/>
      <c r="S2635" s="62"/>
      <c r="T2635" s="357"/>
      <c r="U2635" s="62"/>
      <c r="V2635" s="62"/>
      <c r="W2635" s="699">
        <f t="shared" si="2236"/>
        <v>2.8602130000000001E-5</v>
      </c>
      <c r="X2635" s="779">
        <f t="shared" si="2237"/>
        <v>2.8602130000000001E-5</v>
      </c>
      <c r="Y2635" s="50">
        <v>2010</v>
      </c>
      <c r="Z2635" s="50"/>
      <c r="AA2635" s="773">
        <f>+N2635/1000</f>
        <v>3.9181000000000003E-5</v>
      </c>
      <c r="AB2635" s="395">
        <v>-0.27</v>
      </c>
      <c r="AC2635" s="443">
        <f t="shared" si="2239"/>
        <v>-0.27</v>
      </c>
      <c r="AD2635" s="16"/>
      <c r="AE2635" s="16"/>
      <c r="AF2635" s="170"/>
      <c r="AG2635" s="86"/>
      <c r="AH2635" s="272"/>
      <c r="AI2635" s="50"/>
      <c r="AJ2635" s="31"/>
      <c r="AK2635" s="156"/>
      <c r="AL2635" s="284"/>
      <c r="AM2635" s="208"/>
      <c r="AN2635" s="16"/>
      <c r="AO2635" s="388"/>
      <c r="AP2635" s="389"/>
      <c r="AQ2635" s="390"/>
      <c r="AR2635" s="392"/>
      <c r="AS2635" s="31"/>
      <c r="AT2635" s="156"/>
      <c r="AU2635" s="284"/>
      <c r="AV2635" s="16"/>
      <c r="AW2635" s="16"/>
      <c r="AX2635" s="170"/>
      <c r="AY2635" s="86"/>
      <c r="AZ2635" s="272"/>
      <c r="BA2635" s="50"/>
      <c r="BB2635" s="31"/>
      <c r="BC2635" s="156"/>
      <c r="BD2635" s="341"/>
      <c r="BE2635" s="208"/>
      <c r="BF2635" s="16"/>
      <c r="BG2635" s="170"/>
      <c r="BH2635" s="86"/>
      <c r="BI2635" s="272"/>
      <c r="BJ2635" s="50"/>
      <c r="BK2635" s="31"/>
      <c r="BL2635" s="156"/>
      <c r="BM2635" s="341"/>
      <c r="BN2635" s="208"/>
      <c r="BO2635" s="16"/>
      <c r="BP2635" s="170"/>
      <c r="BQ2635" s="86"/>
      <c r="BR2635" s="50"/>
      <c r="BS2635" s="50"/>
      <c r="BT2635" s="31"/>
      <c r="BU2635" s="43"/>
      <c r="BV2635" s="209"/>
      <c r="BW2635" s="141"/>
      <c r="BX2635" s="311"/>
      <c r="BY2635" s="137"/>
    </row>
    <row r="2636" spans="1:77" ht="15" customHeight="1" x14ac:dyDescent="0.2">
      <c r="A2636" s="56" t="s">
        <v>12</v>
      </c>
      <c r="B2636" s="56"/>
      <c r="C2636" s="107" t="s">
        <v>727</v>
      </c>
      <c r="D2636" s="544">
        <v>12.193</v>
      </c>
      <c r="E2636" s="107" t="s">
        <v>631</v>
      </c>
      <c r="F2636" s="602"/>
      <c r="G2636" s="419"/>
      <c r="H2636" s="419"/>
      <c r="I2636" s="608"/>
      <c r="J2636" s="62"/>
      <c r="K2636" s="62"/>
      <c r="L2636" s="608">
        <v>2012</v>
      </c>
      <c r="M2636" s="62"/>
      <c r="N2636" s="357">
        <v>4.3027999999999997E-2</v>
      </c>
      <c r="O2636" s="603"/>
      <c r="P2636" s="62"/>
      <c r="Q2636" s="357"/>
      <c r="R2636" s="603"/>
      <c r="S2636" s="62"/>
      <c r="T2636" s="357"/>
      <c r="U2636" s="62"/>
      <c r="V2636" s="62"/>
      <c r="W2636" s="699">
        <f t="shared" si="2236"/>
        <v>3.4422399999999998E-5</v>
      </c>
      <c r="X2636" s="779">
        <f t="shared" si="2237"/>
        <v>3.4422399999999998E-5</v>
      </c>
      <c r="Y2636" s="50">
        <v>2012</v>
      </c>
      <c r="Z2636" s="50"/>
      <c r="AA2636" s="773">
        <f>+N2636/1000</f>
        <v>4.3027999999999995E-5</v>
      </c>
      <c r="AB2636" s="395">
        <v>-0.2</v>
      </c>
      <c r="AC2636" s="443">
        <f t="shared" si="2239"/>
        <v>-0.2</v>
      </c>
      <c r="AD2636" s="16"/>
      <c r="AE2636" s="16"/>
      <c r="AF2636" s="170"/>
      <c r="AG2636" s="86"/>
      <c r="AH2636" s="272"/>
      <c r="AI2636" s="50"/>
      <c r="AJ2636" s="31"/>
      <c r="AK2636" s="156"/>
      <c r="AL2636" s="284"/>
      <c r="AM2636" s="208"/>
      <c r="AN2636" s="16"/>
      <c r="AO2636" s="388"/>
      <c r="AP2636" s="389"/>
      <c r="AQ2636" s="390"/>
      <c r="AR2636" s="392"/>
      <c r="AS2636" s="31"/>
      <c r="AT2636" s="156"/>
      <c r="AU2636" s="284"/>
      <c r="AV2636" s="16"/>
      <c r="AW2636" s="16"/>
      <c r="AX2636" s="170"/>
      <c r="AY2636" s="86"/>
      <c r="AZ2636" s="272"/>
      <c r="BA2636" s="50"/>
      <c r="BB2636" s="31"/>
      <c r="BC2636" s="156"/>
      <c r="BD2636" s="341"/>
      <c r="BE2636" s="208"/>
      <c r="BF2636" s="16"/>
      <c r="BG2636" s="170"/>
      <c r="BH2636" s="86"/>
      <c r="BI2636" s="272"/>
      <c r="BJ2636" s="50"/>
      <c r="BK2636" s="31"/>
      <c r="BL2636" s="156"/>
      <c r="BM2636" s="341"/>
      <c r="BN2636" s="208"/>
      <c r="BO2636" s="16"/>
      <c r="BP2636" s="170"/>
      <c r="BQ2636" s="86"/>
      <c r="BR2636" s="50"/>
      <c r="BS2636" s="50"/>
      <c r="BT2636" s="31"/>
      <c r="BU2636" s="43"/>
      <c r="BV2636" s="209"/>
      <c r="BW2636" s="141"/>
      <c r="BX2636" s="311"/>
      <c r="BY2636" s="137"/>
    </row>
    <row r="2637" spans="1:77" ht="15" customHeight="1" x14ac:dyDescent="0.2">
      <c r="A2637" s="56" t="s">
        <v>12</v>
      </c>
      <c r="B2637" s="56"/>
      <c r="C2637" s="107" t="s">
        <v>708</v>
      </c>
      <c r="D2637" s="544">
        <v>6.0369999999999999</v>
      </c>
      <c r="E2637" s="107" t="s">
        <v>631</v>
      </c>
      <c r="F2637" s="602"/>
      <c r="G2637" s="419"/>
      <c r="H2637" s="419"/>
      <c r="I2637" s="608"/>
      <c r="J2637" s="62"/>
      <c r="K2637" s="62"/>
      <c r="L2637" s="608"/>
      <c r="M2637" s="62"/>
      <c r="N2637" s="357"/>
      <c r="O2637" s="603">
        <v>2013</v>
      </c>
      <c r="P2637" s="62"/>
      <c r="Q2637" s="357">
        <v>1.7572000000000001E-2</v>
      </c>
      <c r="R2637" s="603"/>
      <c r="S2637" s="62"/>
      <c r="T2637" s="357"/>
      <c r="U2637" s="62"/>
      <c r="V2637" s="62"/>
      <c r="W2637" s="699">
        <f t="shared" si="2236"/>
        <v>1.3706160000000002E-5</v>
      </c>
      <c r="X2637" s="779">
        <f t="shared" si="2237"/>
        <v>1.3706160000000002E-5</v>
      </c>
      <c r="Y2637" s="50">
        <v>2013</v>
      </c>
      <c r="Z2637" s="50"/>
      <c r="AA2637" s="773">
        <f>Q2637/1000</f>
        <v>1.7572E-5</v>
      </c>
      <c r="AB2637" s="395">
        <v>-0.22</v>
      </c>
      <c r="AC2637" s="443">
        <f t="shared" si="2239"/>
        <v>-0.22</v>
      </c>
      <c r="AD2637" s="16"/>
      <c r="AE2637" s="16"/>
      <c r="AF2637" s="170"/>
      <c r="AG2637" s="86"/>
      <c r="AH2637" s="272"/>
      <c r="AI2637" s="50"/>
      <c r="AJ2637" s="31"/>
      <c r="AK2637" s="156"/>
      <c r="AL2637" s="284"/>
      <c r="AM2637" s="208"/>
      <c r="AN2637" s="16"/>
      <c r="AO2637" s="388"/>
      <c r="AP2637" s="389"/>
      <c r="AQ2637" s="390"/>
      <c r="AR2637" s="392"/>
      <c r="AS2637" s="31"/>
      <c r="AT2637" s="156"/>
      <c r="AU2637" s="284"/>
      <c r="AV2637" s="16"/>
      <c r="AW2637" s="16"/>
      <c r="AX2637" s="170"/>
      <c r="AY2637" s="86"/>
      <c r="AZ2637" s="272"/>
      <c r="BA2637" s="50"/>
      <c r="BB2637" s="31"/>
      <c r="BC2637" s="156"/>
      <c r="BD2637" s="341"/>
      <c r="BE2637" s="208"/>
      <c r="BF2637" s="16"/>
      <c r="BG2637" s="170"/>
      <c r="BH2637" s="86"/>
      <c r="BI2637" s="272"/>
      <c r="BJ2637" s="50"/>
      <c r="BK2637" s="31"/>
      <c r="BL2637" s="156"/>
      <c r="BM2637" s="341"/>
      <c r="BN2637" s="208"/>
      <c r="BO2637" s="16"/>
      <c r="BP2637" s="170"/>
      <c r="BQ2637" s="86"/>
      <c r="BR2637" s="50"/>
      <c r="BS2637" s="50"/>
      <c r="BT2637" s="31"/>
      <c r="BU2637" s="43"/>
      <c r="BV2637" s="209"/>
      <c r="BW2637" s="141"/>
      <c r="BX2637" s="311"/>
      <c r="BY2637" s="137"/>
    </row>
    <row r="2638" spans="1:77" ht="15" customHeight="1" x14ac:dyDescent="0.2">
      <c r="A2638" s="56" t="s">
        <v>12</v>
      </c>
      <c r="B2638" s="56"/>
      <c r="C2638" s="107" t="s">
        <v>2623</v>
      </c>
      <c r="D2638" s="544">
        <v>16.975999999999999</v>
      </c>
      <c r="E2638" s="107" t="s">
        <v>631</v>
      </c>
      <c r="F2638" s="602"/>
      <c r="G2638" s="419"/>
      <c r="H2638" s="419"/>
      <c r="I2638" s="608"/>
      <c r="J2638" s="62"/>
      <c r="K2638" s="62"/>
      <c r="L2638" s="608"/>
      <c r="M2638" s="62"/>
      <c r="N2638" s="357"/>
      <c r="O2638" s="603">
        <v>2013</v>
      </c>
      <c r="P2638" s="62"/>
      <c r="Q2638" s="357">
        <v>0.15817600000000001</v>
      </c>
      <c r="R2638" s="603"/>
      <c r="S2638" s="62"/>
      <c r="T2638" s="357"/>
      <c r="U2638" s="62"/>
      <c r="V2638" s="62"/>
      <c r="W2638" s="699">
        <f t="shared" ref="W2638" si="2351">AA2638*(1+AB2638)</f>
        <v>1.2495904000000001E-4</v>
      </c>
      <c r="X2638" s="779">
        <f t="shared" ref="X2638" si="2352">AA2638*(1+AC2638)</f>
        <v>1.2495904000000001E-4</v>
      </c>
      <c r="Y2638" s="50">
        <v>2013</v>
      </c>
      <c r="Z2638" s="50"/>
      <c r="AA2638" s="773">
        <f>+Q2638/1000</f>
        <v>1.58176E-4</v>
      </c>
      <c r="AB2638" s="395">
        <v>-0.21</v>
      </c>
      <c r="AC2638" s="443">
        <f t="shared" ref="AC2638" si="2353">AB2638</f>
        <v>-0.21</v>
      </c>
      <c r="AD2638" s="16"/>
      <c r="AE2638" s="16"/>
      <c r="AF2638" s="170"/>
      <c r="AG2638" s="86"/>
      <c r="AH2638" s="272"/>
      <c r="AI2638" s="50"/>
      <c r="AJ2638" s="31"/>
      <c r="AK2638" s="156"/>
      <c r="AL2638" s="284"/>
      <c r="AM2638" s="208"/>
      <c r="AN2638" s="16"/>
      <c r="AO2638" s="388"/>
      <c r="AP2638" s="389"/>
      <c r="AQ2638" s="390"/>
      <c r="AR2638" s="392"/>
      <c r="AS2638" s="31"/>
      <c r="AT2638" s="156"/>
      <c r="AU2638" s="284"/>
      <c r="AV2638" s="16"/>
      <c r="AW2638" s="16"/>
      <c r="AX2638" s="170"/>
      <c r="AY2638" s="86"/>
      <c r="AZ2638" s="272"/>
      <c r="BA2638" s="50"/>
      <c r="BB2638" s="31"/>
      <c r="BC2638" s="156"/>
      <c r="BD2638" s="341"/>
      <c r="BE2638" s="208"/>
      <c r="BF2638" s="16"/>
      <c r="BG2638" s="170"/>
      <c r="BH2638" s="86"/>
      <c r="BI2638" s="272"/>
      <c r="BJ2638" s="50"/>
      <c r="BK2638" s="31"/>
      <c r="BL2638" s="156"/>
      <c r="BM2638" s="341"/>
      <c r="BN2638" s="208"/>
      <c r="BO2638" s="16"/>
      <c r="BP2638" s="170"/>
      <c r="BQ2638" s="86"/>
      <c r="BR2638" s="50"/>
      <c r="BS2638" s="50"/>
      <c r="BT2638" s="31"/>
      <c r="BU2638" s="43"/>
      <c r="BV2638" s="209"/>
      <c r="BW2638" s="141"/>
      <c r="BX2638" s="311"/>
      <c r="BY2638" s="137"/>
    </row>
    <row r="2639" spans="1:77" ht="15" customHeight="1" x14ac:dyDescent="0.2">
      <c r="A2639" s="56" t="s">
        <v>12</v>
      </c>
      <c r="B2639" s="56"/>
      <c r="C2639" s="107" t="s">
        <v>2358</v>
      </c>
      <c r="D2639" s="544">
        <v>370.1</v>
      </c>
      <c r="E2639" s="107" t="s">
        <v>631</v>
      </c>
      <c r="F2639" s="602"/>
      <c r="G2639" s="419"/>
      <c r="H2639" s="419"/>
      <c r="I2639" s="608"/>
      <c r="J2639" s="62"/>
      <c r="K2639" s="62"/>
      <c r="L2639" s="608"/>
      <c r="M2639" s="62"/>
      <c r="N2639" s="355">
        <v>2.4119999999999999</v>
      </c>
      <c r="O2639" s="603"/>
      <c r="P2639" s="62"/>
      <c r="Q2639" s="355"/>
      <c r="R2639" s="603"/>
      <c r="S2639" s="62"/>
      <c r="T2639" s="355"/>
      <c r="U2639" s="62"/>
      <c r="V2639" s="62"/>
      <c r="W2639" s="699">
        <f t="shared" si="2236"/>
        <v>1.8331200000000001E-3</v>
      </c>
      <c r="X2639" s="779">
        <f t="shared" si="2237"/>
        <v>1.8331200000000001E-3</v>
      </c>
      <c r="Y2639" s="50">
        <v>2010</v>
      </c>
      <c r="Z2639" s="50"/>
      <c r="AA2639" s="773">
        <f>+N2639/1000</f>
        <v>2.4120000000000001E-3</v>
      </c>
      <c r="AB2639" s="395">
        <v>-0.24</v>
      </c>
      <c r="AC2639" s="443">
        <f t="shared" si="2239"/>
        <v>-0.24</v>
      </c>
      <c r="AD2639" s="16"/>
      <c r="AE2639" s="16"/>
      <c r="AF2639" s="170"/>
      <c r="AG2639" s="86"/>
      <c r="AH2639" s="272"/>
      <c r="AI2639" s="50"/>
      <c r="AJ2639" s="31"/>
      <c r="AK2639" s="156"/>
      <c r="AL2639" s="284"/>
      <c r="AM2639" s="208"/>
      <c r="AN2639" s="16"/>
      <c r="AO2639" s="388"/>
      <c r="AP2639" s="389"/>
      <c r="AQ2639" s="390"/>
      <c r="AR2639" s="392"/>
      <c r="AS2639" s="31"/>
      <c r="AT2639" s="156"/>
      <c r="AU2639" s="284"/>
      <c r="AV2639" s="16"/>
      <c r="AW2639" s="16"/>
      <c r="AX2639" s="170"/>
      <c r="AY2639" s="86"/>
      <c r="AZ2639" s="272"/>
      <c r="BA2639" s="50"/>
      <c r="BB2639" s="31"/>
      <c r="BC2639" s="156"/>
      <c r="BD2639" s="341"/>
      <c r="BE2639" s="208"/>
      <c r="BF2639" s="16"/>
      <c r="BG2639" s="170"/>
      <c r="BH2639" s="86"/>
      <c r="BI2639" s="272"/>
      <c r="BJ2639" s="50"/>
      <c r="BK2639" s="31"/>
      <c r="BL2639" s="156"/>
      <c r="BM2639" s="341"/>
      <c r="BN2639" s="208"/>
      <c r="BO2639" s="16"/>
      <c r="BP2639" s="170"/>
      <c r="BQ2639" s="86"/>
      <c r="BR2639" s="50"/>
      <c r="BS2639" s="50"/>
      <c r="BT2639" s="31"/>
      <c r="BU2639" s="43"/>
      <c r="BV2639" s="209"/>
      <c r="BW2639" s="141"/>
      <c r="BX2639" s="311"/>
      <c r="BY2639" s="137"/>
    </row>
    <row r="2640" spans="1:77" ht="15" customHeight="1" x14ac:dyDescent="0.2">
      <c r="A2640" s="56" t="s">
        <v>12</v>
      </c>
      <c r="B2640" s="56"/>
      <c r="C2640" s="107" t="s">
        <v>725</v>
      </c>
      <c r="D2640" s="544">
        <v>42.634</v>
      </c>
      <c r="E2640" s="107" t="s">
        <v>631</v>
      </c>
      <c r="F2640" s="602"/>
      <c r="G2640" s="419"/>
      <c r="H2640" s="419"/>
      <c r="I2640" s="608">
        <v>2007</v>
      </c>
      <c r="J2640" s="62"/>
      <c r="K2640" s="62">
        <v>0.26762900000000001</v>
      </c>
      <c r="L2640" s="608"/>
      <c r="M2640" s="62"/>
      <c r="N2640" s="355"/>
      <c r="O2640" s="603"/>
      <c r="P2640" s="62"/>
      <c r="Q2640" s="355"/>
      <c r="R2640" s="603"/>
      <c r="S2640" s="62"/>
      <c r="T2640" s="355"/>
      <c r="U2640" s="62"/>
      <c r="V2640" s="62"/>
      <c r="W2640" s="699">
        <f t="shared" si="2236"/>
        <v>1.7931142999999999E-4</v>
      </c>
      <c r="X2640" s="779">
        <f t="shared" si="2237"/>
        <v>1.7931142999999999E-4</v>
      </c>
      <c r="Y2640" s="50">
        <v>2007</v>
      </c>
      <c r="Z2640" s="50"/>
      <c r="AA2640" s="773">
        <f>+K2640/1000</f>
        <v>2.6762900000000002E-4</v>
      </c>
      <c r="AB2640" s="395">
        <v>-0.33</v>
      </c>
      <c r="AC2640" s="443">
        <f t="shared" si="2239"/>
        <v>-0.33</v>
      </c>
      <c r="AD2640" s="16"/>
      <c r="AE2640" s="16"/>
      <c r="AF2640" s="170"/>
      <c r="AG2640" s="86"/>
      <c r="AH2640" s="272"/>
      <c r="AI2640" s="50"/>
      <c r="AJ2640" s="31"/>
      <c r="AK2640" s="156"/>
      <c r="AL2640" s="284"/>
      <c r="AM2640" s="208"/>
      <c r="AN2640" s="16"/>
      <c r="AO2640" s="388"/>
      <c r="AP2640" s="389"/>
      <c r="AQ2640" s="390"/>
      <c r="AR2640" s="392"/>
      <c r="AS2640" s="31"/>
      <c r="AT2640" s="156"/>
      <c r="AU2640" s="284"/>
      <c r="AV2640" s="16"/>
      <c r="AW2640" s="16"/>
      <c r="AX2640" s="170"/>
      <c r="AY2640" s="86"/>
      <c r="AZ2640" s="272"/>
      <c r="BA2640" s="50"/>
      <c r="BB2640" s="31"/>
      <c r="BC2640" s="156"/>
      <c r="BD2640" s="341"/>
      <c r="BE2640" s="208"/>
      <c r="BF2640" s="16"/>
      <c r="BG2640" s="170"/>
      <c r="BH2640" s="86"/>
      <c r="BI2640" s="272"/>
      <c r="BJ2640" s="50"/>
      <c r="BK2640" s="31"/>
      <c r="BL2640" s="156"/>
      <c r="BM2640" s="341"/>
      <c r="BN2640" s="208"/>
      <c r="BO2640" s="16"/>
      <c r="BP2640" s="170"/>
      <c r="BQ2640" s="86"/>
      <c r="BR2640" s="50"/>
      <c r="BS2640" s="50"/>
      <c r="BT2640" s="31"/>
      <c r="BU2640" s="43"/>
      <c r="BV2640" s="209"/>
      <c r="BW2640" s="141"/>
      <c r="BX2640" s="311"/>
      <c r="BY2640" s="137"/>
    </row>
    <row r="2641" spans="1:77" ht="15" customHeight="1" x14ac:dyDescent="0.2">
      <c r="A2641" s="56" t="s">
        <v>12</v>
      </c>
      <c r="B2641" s="56"/>
      <c r="C2641" s="107" t="s">
        <v>2620</v>
      </c>
      <c r="D2641" s="544">
        <v>15.292999999999999</v>
      </c>
      <c r="E2641" s="107" t="s">
        <v>631</v>
      </c>
      <c r="F2641" s="602"/>
      <c r="G2641" s="419"/>
      <c r="H2641" s="419"/>
      <c r="I2641" s="608"/>
      <c r="J2641" s="62"/>
      <c r="K2641" s="62"/>
      <c r="L2641" s="608"/>
      <c r="M2641" s="62"/>
      <c r="N2641" s="355"/>
      <c r="O2641" s="603">
        <v>2016</v>
      </c>
      <c r="P2641" s="62"/>
      <c r="Q2641" s="781">
        <v>3.5735999999999997E-2</v>
      </c>
      <c r="R2641" s="603">
        <v>2016</v>
      </c>
      <c r="S2641" s="62"/>
      <c r="T2641" s="781">
        <v>3.5735999999999997E-2</v>
      </c>
      <c r="U2641" s="62"/>
      <c r="V2641" s="62"/>
      <c r="W2641" s="699">
        <f t="shared" ref="W2641" si="2354">AA2641*(1+AB2641)</f>
        <v>2.5015199999999997E-5</v>
      </c>
      <c r="X2641" s="779">
        <f t="shared" ref="X2641" si="2355">AA2641*(1+AC2641)</f>
        <v>2.5015199999999997E-5</v>
      </c>
      <c r="Y2641" s="50">
        <v>2013</v>
      </c>
      <c r="Z2641" s="50"/>
      <c r="AA2641" s="773">
        <f>+Q2641/1000</f>
        <v>3.5735999999999998E-5</v>
      </c>
      <c r="AB2641" s="395">
        <v>-0.3</v>
      </c>
      <c r="AC2641" s="443">
        <f t="shared" ref="AC2641" si="2356">AB2641</f>
        <v>-0.3</v>
      </c>
      <c r="AD2641" s="16"/>
      <c r="AE2641" s="16"/>
      <c r="AF2641" s="170"/>
      <c r="AG2641" s="86"/>
      <c r="AH2641" s="272"/>
      <c r="AI2641" s="50"/>
      <c r="AJ2641" s="31"/>
      <c r="AK2641" s="156"/>
      <c r="AL2641" s="284"/>
      <c r="AM2641" s="208"/>
      <c r="AN2641" s="16"/>
      <c r="AO2641" s="388"/>
      <c r="AP2641" s="389"/>
      <c r="AQ2641" s="390"/>
      <c r="AR2641" s="392"/>
      <c r="AS2641" s="31"/>
      <c r="AT2641" s="156"/>
      <c r="AU2641" s="284"/>
      <c r="AV2641" s="16"/>
      <c r="AW2641" s="16"/>
      <c r="AX2641" s="170"/>
      <c r="AY2641" s="86"/>
      <c r="AZ2641" s="272"/>
      <c r="BA2641" s="50"/>
      <c r="BB2641" s="31"/>
      <c r="BC2641" s="156"/>
      <c r="BD2641" s="341"/>
      <c r="BE2641" s="208"/>
      <c r="BF2641" s="16"/>
      <c r="BG2641" s="170"/>
      <c r="BH2641" s="86"/>
      <c r="BI2641" s="272"/>
      <c r="BJ2641" s="50"/>
      <c r="BK2641" s="31"/>
      <c r="BL2641" s="156"/>
      <c r="BM2641" s="341"/>
      <c r="BN2641" s="208"/>
      <c r="BO2641" s="16"/>
      <c r="BP2641" s="170"/>
      <c r="BQ2641" s="86"/>
      <c r="BR2641" s="50"/>
      <c r="BS2641" s="50"/>
      <c r="BT2641" s="31"/>
      <c r="BU2641" s="43"/>
      <c r="BV2641" s="209"/>
      <c r="BW2641" s="141"/>
      <c r="BX2641" s="311"/>
      <c r="BY2641" s="137"/>
    </row>
    <row r="2642" spans="1:77" ht="15" customHeight="1" x14ac:dyDescent="0.2">
      <c r="A2642" s="56" t="s">
        <v>12</v>
      </c>
      <c r="B2642" s="56"/>
      <c r="C2642" s="107" t="s">
        <v>2359</v>
      </c>
      <c r="D2642" s="544">
        <v>16.5</v>
      </c>
      <c r="E2642" s="107" t="s">
        <v>631</v>
      </c>
      <c r="F2642" s="602"/>
      <c r="G2642" s="419"/>
      <c r="H2642" s="419"/>
      <c r="I2642" s="608"/>
      <c r="J2642" s="62"/>
      <c r="K2642" s="62"/>
      <c r="L2642" s="608"/>
      <c r="M2642" s="62"/>
      <c r="N2642" s="355"/>
      <c r="O2642" s="603"/>
      <c r="P2642" s="62"/>
      <c r="Q2642" s="357">
        <f>D2642*2.6/1000</f>
        <v>4.2900000000000001E-2</v>
      </c>
      <c r="R2642" s="603"/>
      <c r="S2642" s="62"/>
      <c r="T2642" s="357"/>
      <c r="U2642" s="62"/>
      <c r="V2642" s="62"/>
      <c r="W2642" s="699">
        <f t="shared" ref="W2642" si="2357">AA2642*(1+AB2642)</f>
        <v>3.4320000000000003E-5</v>
      </c>
      <c r="X2642" s="779">
        <f t="shared" ref="X2642" si="2358">AA2642*(1+AC2642)</f>
        <v>3.4320000000000003E-5</v>
      </c>
      <c r="Y2642" s="50">
        <v>2015</v>
      </c>
      <c r="Z2642" s="50"/>
      <c r="AA2642" s="773">
        <f>+Q2642/1000</f>
        <v>4.2899999999999999E-5</v>
      </c>
      <c r="AB2642" s="395">
        <v>-0.2</v>
      </c>
      <c r="AC2642" s="443">
        <f t="shared" ref="AC2642" si="2359">AB2642</f>
        <v>-0.2</v>
      </c>
      <c r="AD2642" s="16"/>
      <c r="AE2642" s="16"/>
      <c r="AF2642" s="170"/>
      <c r="AG2642" s="86"/>
      <c r="AH2642" s="272"/>
      <c r="AI2642" s="50"/>
      <c r="AJ2642" s="31"/>
      <c r="AK2642" s="156"/>
      <c r="AL2642" s="284"/>
      <c r="AM2642" s="208"/>
      <c r="AN2642" s="16"/>
      <c r="AO2642" s="388"/>
      <c r="AP2642" s="389"/>
      <c r="AQ2642" s="390"/>
      <c r="AR2642" s="392"/>
      <c r="AS2642" s="31"/>
      <c r="AT2642" s="156"/>
      <c r="AU2642" s="284"/>
      <c r="AV2642" s="16"/>
      <c r="AW2642" s="16"/>
      <c r="AX2642" s="170"/>
      <c r="AY2642" s="86"/>
      <c r="AZ2642" s="272"/>
      <c r="BA2642" s="50"/>
      <c r="BB2642" s="31"/>
      <c r="BC2642" s="156"/>
      <c r="BD2642" s="341"/>
      <c r="BE2642" s="208"/>
      <c r="BF2642" s="16"/>
      <c r="BG2642" s="170"/>
      <c r="BH2642" s="86"/>
      <c r="BI2642" s="272"/>
      <c r="BJ2642" s="50"/>
      <c r="BK2642" s="31"/>
      <c r="BL2642" s="156"/>
      <c r="BM2642" s="341"/>
      <c r="BN2642" s="208"/>
      <c r="BO2642" s="16"/>
      <c r="BP2642" s="170"/>
      <c r="BQ2642" s="86"/>
      <c r="BR2642" s="50"/>
      <c r="BS2642" s="50"/>
      <c r="BT2642" s="31"/>
      <c r="BU2642" s="43"/>
      <c r="BV2642" s="209"/>
      <c r="BW2642" s="141"/>
      <c r="BX2642" s="311"/>
      <c r="BY2642" s="137"/>
    </row>
    <row r="2643" spans="1:77" ht="15" customHeight="1" x14ac:dyDescent="0.2">
      <c r="A2643" s="56" t="s">
        <v>12</v>
      </c>
      <c r="B2643" s="56"/>
      <c r="C2643" s="107" t="s">
        <v>717</v>
      </c>
      <c r="D2643" s="544">
        <v>123.456</v>
      </c>
      <c r="E2643" s="107" t="s">
        <v>631</v>
      </c>
      <c r="F2643" s="602"/>
      <c r="G2643" s="419"/>
      <c r="H2643" s="419"/>
      <c r="I2643" s="608"/>
      <c r="J2643" s="62"/>
      <c r="K2643" s="62"/>
      <c r="L2643" s="608"/>
      <c r="M2643" s="62"/>
      <c r="N2643" s="355">
        <v>0.26428800000000002</v>
      </c>
      <c r="O2643" s="603"/>
      <c r="P2643" s="62"/>
      <c r="Q2643" s="355"/>
      <c r="R2643" s="603"/>
      <c r="S2643" s="62"/>
      <c r="T2643" s="355"/>
      <c r="U2643" s="62"/>
      <c r="V2643" s="62"/>
      <c r="W2643" s="699">
        <f t="shared" si="2236"/>
        <v>2.114304E-4</v>
      </c>
      <c r="X2643" s="779">
        <f t="shared" si="2237"/>
        <v>2.114304E-4</v>
      </c>
      <c r="Y2643" s="50">
        <v>2007</v>
      </c>
      <c r="Z2643" s="50"/>
      <c r="AA2643" s="773">
        <f>+N2643/1000</f>
        <v>2.64288E-4</v>
      </c>
      <c r="AB2643" s="395">
        <v>-0.2</v>
      </c>
      <c r="AC2643" s="443">
        <f t="shared" si="2239"/>
        <v>-0.2</v>
      </c>
      <c r="AD2643" s="16"/>
      <c r="AE2643" s="16"/>
      <c r="AF2643" s="170"/>
      <c r="AG2643" s="86"/>
      <c r="AH2643" s="272"/>
      <c r="AI2643" s="50"/>
      <c r="AJ2643" s="31"/>
      <c r="AK2643" s="156"/>
      <c r="AL2643" s="284"/>
      <c r="AM2643" s="208"/>
      <c r="AN2643" s="16"/>
      <c r="AO2643" s="388"/>
      <c r="AP2643" s="389"/>
      <c r="AQ2643" s="390"/>
      <c r="AR2643" s="392"/>
      <c r="AS2643" s="31"/>
      <c r="AT2643" s="156"/>
      <c r="AU2643" s="284"/>
      <c r="AV2643" s="16"/>
      <c r="AW2643" s="16"/>
      <c r="AX2643" s="170"/>
      <c r="AY2643" s="86"/>
      <c r="AZ2643" s="272"/>
      <c r="BA2643" s="50"/>
      <c r="BB2643" s="31"/>
      <c r="BC2643" s="156"/>
      <c r="BD2643" s="341"/>
      <c r="BE2643" s="208"/>
      <c r="BF2643" s="16"/>
      <c r="BG2643" s="170"/>
      <c r="BH2643" s="86"/>
      <c r="BI2643" s="272"/>
      <c r="BJ2643" s="50"/>
      <c r="BK2643" s="31"/>
      <c r="BL2643" s="156"/>
      <c r="BM2643" s="341"/>
      <c r="BN2643" s="208"/>
      <c r="BO2643" s="16"/>
      <c r="BP2643" s="170"/>
      <c r="BQ2643" s="86"/>
      <c r="BR2643" s="50"/>
      <c r="BS2643" s="50"/>
      <c r="BT2643" s="31"/>
      <c r="BU2643" s="43"/>
      <c r="BV2643" s="209"/>
      <c r="BW2643" s="141"/>
      <c r="BX2643" s="311"/>
      <c r="BY2643" s="137"/>
    </row>
    <row r="2644" spans="1:77" ht="15" customHeight="1" x14ac:dyDescent="0.2">
      <c r="A2644" s="56" t="s">
        <v>12</v>
      </c>
      <c r="B2644" s="56"/>
      <c r="C2644" s="107" t="s">
        <v>2637</v>
      </c>
      <c r="D2644" s="544">
        <v>766.66200000000003</v>
      </c>
      <c r="E2644" s="107" t="s">
        <v>631</v>
      </c>
      <c r="F2644" s="602"/>
      <c r="G2644" s="419"/>
      <c r="H2644" s="419"/>
      <c r="I2644" s="608"/>
      <c r="J2644" s="62"/>
      <c r="K2644" s="62"/>
      <c r="L2644" s="608">
        <v>2012</v>
      </c>
      <c r="M2644" s="62"/>
      <c r="N2644" s="355">
        <v>0.84833199999999997</v>
      </c>
      <c r="O2644" s="603"/>
      <c r="P2644" s="62"/>
      <c r="Q2644" s="355"/>
      <c r="R2644" s="603"/>
      <c r="S2644" s="62"/>
      <c r="T2644" s="355"/>
      <c r="U2644" s="62"/>
      <c r="V2644" s="62"/>
      <c r="W2644" s="699">
        <f t="shared" ref="W2644" si="2360">AA2644*(1+AB2644)</f>
        <v>6.5321564E-4</v>
      </c>
      <c r="X2644" s="779">
        <f t="shared" ref="X2644" si="2361">AA2644*(1+AC2644)</f>
        <v>6.5321564E-4</v>
      </c>
      <c r="Y2644" s="50">
        <v>2007</v>
      </c>
      <c r="Z2644" s="50"/>
      <c r="AA2644" s="773">
        <f>+N2644/1000</f>
        <v>8.4833199999999993E-4</v>
      </c>
      <c r="AB2644" s="395">
        <v>-0.23</v>
      </c>
      <c r="AC2644" s="443">
        <f t="shared" ref="AC2644" si="2362">AB2644</f>
        <v>-0.23</v>
      </c>
      <c r="AD2644" s="16"/>
      <c r="AE2644" s="16"/>
      <c r="AF2644" s="170"/>
      <c r="AG2644" s="86"/>
      <c r="AH2644" s="272"/>
      <c r="AI2644" s="50"/>
      <c r="AJ2644" s="31"/>
      <c r="AK2644" s="156"/>
      <c r="AL2644" s="284"/>
      <c r="AM2644" s="208"/>
      <c r="AN2644" s="16"/>
      <c r="AO2644" s="388"/>
      <c r="AP2644" s="389"/>
      <c r="AQ2644" s="390"/>
      <c r="AR2644" s="392"/>
      <c r="AS2644" s="31"/>
      <c r="AT2644" s="156"/>
      <c r="AU2644" s="284"/>
      <c r="AV2644" s="16"/>
      <c r="AW2644" s="16"/>
      <c r="AX2644" s="170"/>
      <c r="AY2644" s="86"/>
      <c r="AZ2644" s="272"/>
      <c r="BA2644" s="50"/>
      <c r="BB2644" s="31"/>
      <c r="BC2644" s="156"/>
      <c r="BD2644" s="341"/>
      <c r="BE2644" s="208"/>
      <c r="BF2644" s="16"/>
      <c r="BG2644" s="170"/>
      <c r="BH2644" s="86"/>
      <c r="BI2644" s="272"/>
      <c r="BJ2644" s="50"/>
      <c r="BK2644" s="31"/>
      <c r="BL2644" s="156"/>
      <c r="BM2644" s="341"/>
      <c r="BN2644" s="208"/>
      <c r="BO2644" s="16"/>
      <c r="BP2644" s="170"/>
      <c r="BQ2644" s="86"/>
      <c r="BR2644" s="50"/>
      <c r="BS2644" s="50"/>
      <c r="BT2644" s="31"/>
      <c r="BU2644" s="43"/>
      <c r="BV2644" s="209"/>
      <c r="BW2644" s="141"/>
      <c r="BX2644" s="311"/>
      <c r="BY2644" s="137"/>
    </row>
    <row r="2645" spans="1:77" ht="15" customHeight="1" x14ac:dyDescent="0.2">
      <c r="A2645" s="56" t="s">
        <v>12</v>
      </c>
      <c r="B2645" s="56"/>
      <c r="C2645" s="107" t="s">
        <v>712</v>
      </c>
      <c r="D2645" s="544">
        <v>35.5</v>
      </c>
      <c r="E2645" s="107" t="s">
        <v>631</v>
      </c>
      <c r="F2645" s="602"/>
      <c r="G2645" s="419"/>
      <c r="H2645" s="419"/>
      <c r="I2645" s="608"/>
      <c r="J2645" s="62"/>
      <c r="K2645" s="62"/>
      <c r="L2645" s="608">
        <v>2011</v>
      </c>
      <c r="M2645" s="62"/>
      <c r="N2645" s="357">
        <v>8.4725999999999996E-2</v>
      </c>
      <c r="O2645" s="603"/>
      <c r="P2645" s="62"/>
      <c r="Q2645" s="357"/>
      <c r="R2645" s="603"/>
      <c r="S2645" s="62"/>
      <c r="T2645" s="357"/>
      <c r="U2645" s="62"/>
      <c r="V2645" s="62"/>
      <c r="W2645" s="699">
        <f t="shared" si="2236"/>
        <v>6.6933540000000002E-5</v>
      </c>
      <c r="X2645" s="779">
        <f t="shared" si="2237"/>
        <v>6.6933540000000002E-5</v>
      </c>
      <c r="Y2645" s="50">
        <v>2011</v>
      </c>
      <c r="Z2645" s="50"/>
      <c r="AA2645" s="773">
        <f>+N2645/1000</f>
        <v>8.4726000000000002E-5</v>
      </c>
      <c r="AB2645" s="395">
        <v>-0.21</v>
      </c>
      <c r="AC2645" s="443">
        <f t="shared" si="2239"/>
        <v>-0.21</v>
      </c>
      <c r="AD2645" s="16"/>
      <c r="AE2645" s="16"/>
      <c r="AF2645" s="170"/>
      <c r="AG2645" s="86"/>
      <c r="AH2645" s="272"/>
      <c r="AI2645" s="50"/>
      <c r="AJ2645" s="31"/>
      <c r="AK2645" s="156"/>
      <c r="AL2645" s="284"/>
      <c r="AM2645" s="208"/>
      <c r="AN2645" s="16"/>
      <c r="AO2645" s="388"/>
      <c r="AP2645" s="389"/>
      <c r="AQ2645" s="390"/>
      <c r="AR2645" s="392"/>
      <c r="AS2645" s="31"/>
      <c r="AT2645" s="156"/>
      <c r="AU2645" s="284"/>
      <c r="AV2645" s="16"/>
      <c r="AW2645" s="16"/>
      <c r="AX2645" s="170"/>
      <c r="AY2645" s="86"/>
      <c r="AZ2645" s="272"/>
      <c r="BA2645" s="50"/>
      <c r="BB2645" s="31"/>
      <c r="BC2645" s="156"/>
      <c r="BD2645" s="341"/>
      <c r="BE2645" s="208"/>
      <c r="BF2645" s="16"/>
      <c r="BG2645" s="170"/>
      <c r="BH2645" s="86"/>
      <c r="BI2645" s="272"/>
      <c r="BJ2645" s="50"/>
      <c r="BK2645" s="31"/>
      <c r="BL2645" s="156"/>
      <c r="BM2645" s="341"/>
      <c r="BN2645" s="208"/>
      <c r="BO2645" s="16"/>
      <c r="BP2645" s="170"/>
      <c r="BQ2645" s="86"/>
      <c r="BR2645" s="50"/>
      <c r="BS2645" s="50"/>
      <c r="BT2645" s="31"/>
      <c r="BU2645" s="43"/>
      <c r="BV2645" s="209"/>
      <c r="BW2645" s="141"/>
      <c r="BX2645" s="311"/>
      <c r="BY2645" s="137"/>
    </row>
    <row r="2646" spans="1:77" ht="15" customHeight="1" x14ac:dyDescent="0.2">
      <c r="A2646" s="56" t="s">
        <v>12</v>
      </c>
      <c r="B2646" s="56"/>
      <c r="C2646" s="107" t="s">
        <v>710</v>
      </c>
      <c r="D2646" s="544">
        <v>13.316000000000001</v>
      </c>
      <c r="E2646" s="107" t="s">
        <v>631</v>
      </c>
      <c r="F2646" s="602"/>
      <c r="G2646" s="419"/>
      <c r="H2646" s="419"/>
      <c r="I2646" s="608"/>
      <c r="J2646" s="62"/>
      <c r="K2646" s="62"/>
      <c r="L2646" s="608">
        <v>2012</v>
      </c>
      <c r="M2646" s="62"/>
      <c r="N2646" s="357">
        <v>7.2299000000000002E-2</v>
      </c>
      <c r="O2646" s="603"/>
      <c r="P2646" s="62"/>
      <c r="Q2646" s="357"/>
      <c r="R2646" s="603"/>
      <c r="S2646" s="62"/>
      <c r="T2646" s="357"/>
      <c r="U2646" s="62"/>
      <c r="V2646" s="62"/>
      <c r="W2646" s="699">
        <f t="shared" si="2236"/>
        <v>5.6393220000000009E-5</v>
      </c>
      <c r="X2646" s="779">
        <f t="shared" si="2237"/>
        <v>5.6393220000000009E-5</v>
      </c>
      <c r="Y2646" s="50">
        <v>2012</v>
      </c>
      <c r="Z2646" s="50"/>
      <c r="AA2646" s="773">
        <f>+N2646/1000</f>
        <v>7.2299000000000007E-5</v>
      </c>
      <c r="AB2646" s="395">
        <v>-0.22</v>
      </c>
      <c r="AC2646" s="443">
        <f t="shared" si="2239"/>
        <v>-0.22</v>
      </c>
      <c r="AD2646" s="16"/>
      <c r="AE2646" s="16"/>
      <c r="AF2646" s="170"/>
      <c r="AG2646" s="86"/>
      <c r="AH2646" s="272"/>
      <c r="AI2646" s="50"/>
      <c r="AJ2646" s="31"/>
      <c r="AK2646" s="156"/>
      <c r="AL2646" s="284"/>
      <c r="AM2646" s="208"/>
      <c r="AN2646" s="16"/>
      <c r="AO2646" s="388"/>
      <c r="AP2646" s="389"/>
      <c r="AQ2646" s="390"/>
      <c r="AR2646" s="392"/>
      <c r="AS2646" s="31"/>
      <c r="AT2646" s="156"/>
      <c r="AU2646" s="284"/>
      <c r="AV2646" s="16"/>
      <c r="AW2646" s="16"/>
      <c r="AX2646" s="170"/>
      <c r="AY2646" s="86"/>
      <c r="AZ2646" s="272"/>
      <c r="BA2646" s="50"/>
      <c r="BB2646" s="31"/>
      <c r="BC2646" s="156"/>
      <c r="BD2646" s="341"/>
      <c r="BE2646" s="208"/>
      <c r="BF2646" s="16"/>
      <c r="BG2646" s="170"/>
      <c r="BH2646" s="86"/>
      <c r="BI2646" s="272"/>
      <c r="BJ2646" s="50"/>
      <c r="BK2646" s="31"/>
      <c r="BL2646" s="156"/>
      <c r="BM2646" s="341"/>
      <c r="BN2646" s="208"/>
      <c r="BO2646" s="16"/>
      <c r="BP2646" s="170"/>
      <c r="BQ2646" s="86"/>
      <c r="BR2646" s="50"/>
      <c r="BS2646" s="50"/>
      <c r="BT2646" s="31"/>
      <c r="BU2646" s="43"/>
      <c r="BV2646" s="209"/>
      <c r="BW2646" s="141"/>
      <c r="BX2646" s="311"/>
      <c r="BY2646" s="137"/>
    </row>
    <row r="2647" spans="1:77" ht="15" customHeight="1" x14ac:dyDescent="0.2">
      <c r="A2647" s="56" t="s">
        <v>12</v>
      </c>
      <c r="B2647" s="56"/>
      <c r="C2647" s="107" t="s">
        <v>696</v>
      </c>
      <c r="D2647" s="544">
        <v>272</v>
      </c>
      <c r="E2647" s="107" t="s">
        <v>631</v>
      </c>
      <c r="F2647" s="602"/>
      <c r="G2647" s="419"/>
      <c r="H2647" s="419"/>
      <c r="I2647" s="608"/>
      <c r="J2647" s="62"/>
      <c r="K2647" s="62"/>
      <c r="L2647" s="608"/>
      <c r="M2647" s="62"/>
      <c r="N2647" s="355">
        <v>0.74027299999999996</v>
      </c>
      <c r="O2647" s="603"/>
      <c r="P2647" s="62"/>
      <c r="Q2647" s="355"/>
      <c r="R2647" s="603"/>
      <c r="S2647" s="62"/>
      <c r="T2647" s="355"/>
      <c r="U2647" s="62"/>
      <c r="V2647" s="62">
        <v>0.65414899999999998</v>
      </c>
      <c r="W2647" s="21">
        <f t="shared" si="2236"/>
        <v>5.8481566999999996E-4</v>
      </c>
      <c r="X2647" s="22">
        <f t="shared" si="2237"/>
        <v>5.8481566999999996E-4</v>
      </c>
      <c r="Y2647" s="50">
        <v>2010</v>
      </c>
      <c r="Z2647" s="50"/>
      <c r="AA2647" s="33">
        <f>+N2647/1000</f>
        <v>7.4027299999999995E-4</v>
      </c>
      <c r="AB2647" s="395">
        <v>-0.21</v>
      </c>
      <c r="AC2647" s="443">
        <f t="shared" si="2239"/>
        <v>-0.21</v>
      </c>
      <c r="AD2647" s="16"/>
      <c r="AE2647" s="16"/>
      <c r="AF2647" s="170"/>
      <c r="AG2647" s="86"/>
      <c r="AH2647" s="272"/>
      <c r="AI2647" s="50"/>
      <c r="AJ2647" s="31"/>
      <c r="AK2647" s="156"/>
      <c r="AL2647" s="284"/>
      <c r="AM2647" s="208"/>
      <c r="AN2647" s="16"/>
      <c r="AO2647" s="388"/>
      <c r="AP2647" s="389"/>
      <c r="AQ2647" s="390"/>
      <c r="AR2647" s="392"/>
      <c r="AS2647" s="31"/>
      <c r="AT2647" s="156"/>
      <c r="AU2647" s="284"/>
      <c r="AV2647" s="16"/>
      <c r="AW2647" s="16"/>
      <c r="AX2647" s="170"/>
      <c r="AY2647" s="86"/>
      <c r="AZ2647" s="272"/>
      <c r="BA2647" s="50"/>
      <c r="BB2647" s="31"/>
      <c r="BC2647" s="156"/>
      <c r="BD2647" s="341"/>
      <c r="BE2647" s="208"/>
      <c r="BF2647" s="16"/>
      <c r="BG2647" s="170"/>
      <c r="BH2647" s="86"/>
      <c r="BI2647" s="272"/>
      <c r="BJ2647" s="50"/>
      <c r="BK2647" s="31"/>
      <c r="BL2647" s="156"/>
      <c r="BM2647" s="341"/>
      <c r="BN2647" s="208"/>
      <c r="BO2647" s="16"/>
      <c r="BP2647" s="170"/>
      <c r="BQ2647" s="86"/>
      <c r="BR2647" s="50"/>
      <c r="BS2647" s="50"/>
      <c r="BT2647" s="31"/>
      <c r="BU2647" s="43"/>
      <c r="BV2647" s="209"/>
      <c r="BW2647" s="141"/>
      <c r="BX2647" s="311"/>
      <c r="BY2647" s="137"/>
    </row>
    <row r="2648" spans="1:77" ht="15" customHeight="1" x14ac:dyDescent="0.2">
      <c r="A2648" s="107" t="s">
        <v>2621</v>
      </c>
      <c r="B2648" s="56"/>
      <c r="C2648" s="107" t="s">
        <v>2622</v>
      </c>
      <c r="D2648" s="544">
        <v>24.074000000000002</v>
      </c>
      <c r="E2648" s="107" t="s">
        <v>631</v>
      </c>
      <c r="F2648" s="602"/>
      <c r="G2648" s="419"/>
      <c r="H2648" s="419"/>
      <c r="I2648" s="608"/>
      <c r="J2648" s="62"/>
      <c r="K2648" s="62"/>
      <c r="L2648" s="608"/>
      <c r="M2648" s="62"/>
      <c r="N2648" s="781"/>
      <c r="O2648" s="603"/>
      <c r="P2648" s="62"/>
      <c r="Q2648" s="357">
        <v>5.5108999999999998E-2</v>
      </c>
      <c r="R2648" s="603"/>
      <c r="S2648" s="62"/>
      <c r="T2648" s="357"/>
      <c r="U2648" s="62"/>
      <c r="V2648" s="62"/>
      <c r="W2648" s="699">
        <f t="shared" ref="W2648" si="2363">AA2648*(1+AB2648)</f>
        <v>4.40872E-5</v>
      </c>
      <c r="X2648" s="779">
        <f t="shared" ref="X2648" si="2364">AA2648*(1+AC2648)</f>
        <v>4.40872E-5</v>
      </c>
      <c r="Y2648" s="50">
        <v>2015</v>
      </c>
      <c r="Z2648" s="50"/>
      <c r="AA2648" s="773">
        <f>+Q2648/1000</f>
        <v>5.5108999999999997E-5</v>
      </c>
      <c r="AB2648" s="395">
        <v>-0.2</v>
      </c>
      <c r="AC2648" s="443">
        <f t="shared" ref="AC2648" si="2365">AB2648</f>
        <v>-0.2</v>
      </c>
      <c r="AD2648" s="16"/>
      <c r="AE2648" s="16"/>
      <c r="AF2648" s="170"/>
      <c r="AG2648" s="86"/>
      <c r="AH2648" s="272"/>
      <c r="AI2648" s="50"/>
      <c r="AJ2648" s="31"/>
      <c r="AK2648" s="156"/>
      <c r="AL2648" s="284"/>
      <c r="AM2648" s="208"/>
      <c r="AN2648" s="16"/>
      <c r="AO2648" s="697">
        <f>AS2648*(1+AT2648)</f>
        <v>3.3065399999999997E-5</v>
      </c>
      <c r="AP2648" s="698">
        <f>AS2648*(1+AU2648)</f>
        <v>3.3065399999999997E-5</v>
      </c>
      <c r="AQ2648" s="1050">
        <v>2014</v>
      </c>
      <c r="AR2648" s="679"/>
      <c r="AS2648" s="696">
        <f>+Q2648/1000</f>
        <v>5.5108999999999997E-5</v>
      </c>
      <c r="AT2648" s="399">
        <v>-0.4</v>
      </c>
      <c r="AU2648" s="618">
        <f>+AT2648</f>
        <v>-0.4</v>
      </c>
      <c r="AV2648" s="16"/>
      <c r="AW2648" s="16"/>
      <c r="AX2648" s="170"/>
      <c r="AY2648" s="86"/>
      <c r="AZ2648" s="272"/>
      <c r="BA2648" s="50"/>
      <c r="BB2648" s="31"/>
      <c r="BC2648" s="156"/>
      <c r="BD2648" s="341"/>
      <c r="BE2648" s="208"/>
      <c r="BF2648" s="16"/>
      <c r="BG2648" s="170"/>
      <c r="BH2648" s="86"/>
      <c r="BI2648" s="272"/>
      <c r="BJ2648" s="50"/>
      <c r="BK2648" s="31"/>
      <c r="BL2648" s="156"/>
      <c r="BM2648" s="341"/>
      <c r="BN2648" s="208"/>
      <c r="BO2648" s="16"/>
      <c r="BP2648" s="170"/>
      <c r="BQ2648" s="86"/>
      <c r="BR2648" s="50"/>
      <c r="BS2648" s="50"/>
      <c r="BT2648" s="31"/>
      <c r="BU2648" s="43"/>
      <c r="BV2648" s="209"/>
      <c r="BW2648" s="141"/>
      <c r="BX2648" s="311"/>
      <c r="BY2648" s="137"/>
    </row>
    <row r="2649" spans="1:77" ht="15" customHeight="1" x14ac:dyDescent="0.2">
      <c r="A2649" s="543" t="s">
        <v>123</v>
      </c>
      <c r="B2649" s="543" t="s">
        <v>1606</v>
      </c>
      <c r="C2649" s="543"/>
      <c r="D2649" s="544">
        <v>27769.27</v>
      </c>
      <c r="E2649" s="1104" t="s">
        <v>3251</v>
      </c>
      <c r="F2649" s="1461"/>
      <c r="G2649" s="1181">
        <v>163.30000000000001</v>
      </c>
      <c r="H2649" s="1181">
        <v>177.4</v>
      </c>
      <c r="I2649" s="1462"/>
      <c r="J2649" s="1105">
        <v>196.6</v>
      </c>
      <c r="K2649" s="983">
        <v>196.2</v>
      </c>
      <c r="L2649" s="1463"/>
      <c r="M2649" s="1105">
        <v>187.1</v>
      </c>
      <c r="N2649" s="1105">
        <v>200.1</v>
      </c>
      <c r="O2649" s="1464"/>
      <c r="P2649" s="1105">
        <v>185.3</v>
      </c>
      <c r="Q2649" s="1465">
        <v>173.1</v>
      </c>
      <c r="R2649" s="1464">
        <v>2017</v>
      </c>
      <c r="S2649" s="1105">
        <v>189.2</v>
      </c>
      <c r="T2649" s="1465">
        <v>180.6</v>
      </c>
      <c r="U2649" s="101"/>
      <c r="V2649" s="101"/>
      <c r="W2649" s="29"/>
      <c r="X2649" s="30"/>
      <c r="Y2649" s="146"/>
      <c r="Z2649" s="42"/>
      <c r="AA2649" s="146"/>
      <c r="AB2649" s="81"/>
      <c r="AC2649" s="689"/>
      <c r="AD2649" s="282"/>
      <c r="AE2649" s="1466">
        <v>0.2374</v>
      </c>
      <c r="AF2649" s="1467">
        <v>0.22570000000000001</v>
      </c>
      <c r="AG2649" s="1466">
        <v>0.2185</v>
      </c>
      <c r="AH2649" s="260"/>
      <c r="AI2649" s="42"/>
      <c r="AJ2649" s="146"/>
      <c r="AK2649" s="81"/>
      <c r="AL2649" s="224"/>
      <c r="AM2649" s="223"/>
      <c r="AN2649" s="1466">
        <v>0.26960000000000001</v>
      </c>
      <c r="AO2649" s="1467">
        <v>0.24809999999999999</v>
      </c>
      <c r="AP2649" s="1466">
        <v>0.22309999999999999</v>
      </c>
      <c r="AQ2649" s="260"/>
      <c r="AR2649" s="42"/>
      <c r="AS2649" s="146"/>
      <c r="AT2649" s="81"/>
      <c r="AU2649" s="224"/>
      <c r="AV2649" s="169"/>
      <c r="AW2649" s="169"/>
      <c r="AX2649" s="410"/>
      <c r="AY2649" s="165"/>
      <c r="AZ2649" s="260"/>
      <c r="BA2649" s="42"/>
      <c r="BB2649" s="146"/>
      <c r="BC2649" s="81"/>
      <c r="BD2649" s="235"/>
      <c r="BE2649" s="223"/>
      <c r="BF2649" s="169"/>
      <c r="BG2649" s="410"/>
      <c r="BH2649" s="165"/>
      <c r="BI2649" s="260"/>
      <c r="BJ2649" s="42"/>
      <c r="BK2649" s="146"/>
      <c r="BL2649" s="81"/>
      <c r="BM2649" s="235"/>
      <c r="BN2649" s="223"/>
      <c r="BO2649" s="169"/>
      <c r="BP2649" s="410"/>
      <c r="BQ2649" s="165"/>
      <c r="BR2649" s="37"/>
      <c r="BS2649" s="42"/>
      <c r="BT2649" s="146"/>
      <c r="BU2649" s="81"/>
      <c r="BV2649" s="224"/>
      <c r="BW2649" s="282"/>
      <c r="BX2649" s="828"/>
      <c r="BY2649" s="42"/>
    </row>
    <row r="2650" spans="1:77" ht="15" customHeight="1" x14ac:dyDescent="0.2">
      <c r="A2650" s="106" t="s">
        <v>338</v>
      </c>
      <c r="B2650" s="106"/>
      <c r="C2650" s="664"/>
      <c r="D2650" s="106"/>
      <c r="E2650" s="183"/>
      <c r="F2650" s="380"/>
      <c r="G2650" s="110">
        <f>SUM(G2651:G2680)</f>
        <v>977.72206500000027</v>
      </c>
      <c r="H2650" s="111">
        <f>SUM(H2651:H2680)</f>
        <v>980.24639500000001</v>
      </c>
      <c r="I2650" s="112"/>
      <c r="J2650" s="110">
        <f t="shared" ref="J2650:K2650" si="2366">SUM(J2651:J2680)</f>
        <v>1397.3852650000001</v>
      </c>
      <c r="K2650" s="111">
        <f t="shared" si="2366"/>
        <v>1421.0422250000001</v>
      </c>
      <c r="L2650" s="112"/>
      <c r="M2650" s="110">
        <f t="shared" ref="M2650:N2650" si="2367">SUM(M2651:M2680)</f>
        <v>1766.6490200000001</v>
      </c>
      <c r="N2650" s="367">
        <f t="shared" si="2367"/>
        <v>1804.1934759999999</v>
      </c>
      <c r="O2650" s="1036"/>
      <c r="P2650" s="110"/>
      <c r="Q2650" s="367"/>
      <c r="R2650" s="1036"/>
      <c r="S2650" s="110"/>
      <c r="T2650" s="367"/>
      <c r="U2650" s="110">
        <f t="shared" ref="U2650:X2650" si="2368">SUM(U2651:U2680)</f>
        <v>388.88100000000003</v>
      </c>
      <c r="V2650" s="72">
        <f t="shared" si="2368"/>
        <v>240</v>
      </c>
      <c r="W2650" s="46">
        <f t="shared" si="2368"/>
        <v>0.36257524007999997</v>
      </c>
      <c r="X2650" s="47">
        <f t="shared" si="2368"/>
        <v>0.36257524007999997</v>
      </c>
      <c r="Y2650" s="145"/>
      <c r="Z2650" s="38"/>
      <c r="AA2650" s="145"/>
      <c r="AB2650" s="80"/>
      <c r="AC2650" s="209"/>
      <c r="AD2650" s="78">
        <f t="shared" ref="AD2650:AG2650" si="2369">SUM(AD2651:AD2680)</f>
        <v>2.0323350000000002</v>
      </c>
      <c r="AE2650" s="78">
        <f t="shared" si="2369"/>
        <v>0.35500000000000004</v>
      </c>
      <c r="AF2650" s="414">
        <f t="shared" si="2369"/>
        <v>1.8084804615000003</v>
      </c>
      <c r="AG2650" s="47">
        <f t="shared" si="2369"/>
        <v>1.7857204615000002</v>
      </c>
      <c r="AH2650" s="77"/>
      <c r="AI2650" s="38"/>
      <c r="AJ2650" s="145"/>
      <c r="AK2650" s="80"/>
      <c r="AL2650" s="215"/>
      <c r="AM2650" s="207">
        <f t="shared" ref="AM2650:AP2650" si="2370">SUM(AM2651:AM2680)</f>
        <v>1.4711147</v>
      </c>
      <c r="AN2650" s="78">
        <f t="shared" si="2370"/>
        <v>1.0533771719999998</v>
      </c>
      <c r="AO2650" s="46">
        <f t="shared" si="2370"/>
        <v>1.1443099511999999</v>
      </c>
      <c r="AP2650" s="47">
        <f t="shared" si="2370"/>
        <v>1.0493304111999999</v>
      </c>
      <c r="AQ2650" s="77"/>
      <c r="AR2650" s="38"/>
      <c r="AS2650" s="145"/>
      <c r="AT2650" s="80"/>
      <c r="AU2650" s="215"/>
      <c r="AV2650" s="78">
        <f t="shared" ref="AV2650:AY2650" si="2371">SUM(AV2651:AV2680)</f>
        <v>0</v>
      </c>
      <c r="AW2650" s="78">
        <f t="shared" si="2371"/>
        <v>0</v>
      </c>
      <c r="AX2650" s="46">
        <f t="shared" si="2371"/>
        <v>0</v>
      </c>
      <c r="AY2650" s="47">
        <f t="shared" si="2371"/>
        <v>0</v>
      </c>
      <c r="AZ2650" s="77"/>
      <c r="BA2650" s="38"/>
      <c r="BB2650" s="145"/>
      <c r="BC2650" s="80"/>
      <c r="BD2650" s="75"/>
      <c r="BE2650" s="207">
        <f t="shared" ref="BE2650:BH2650" si="2372">SUM(BE2651:BE2680)</f>
        <v>0</v>
      </c>
      <c r="BF2650" s="78">
        <f t="shared" si="2372"/>
        <v>0</v>
      </c>
      <c r="BG2650" s="46">
        <f t="shared" si="2372"/>
        <v>1.0692500000000001E-2</v>
      </c>
      <c r="BH2650" s="47">
        <f t="shared" si="2372"/>
        <v>2.2914600000000004E-2</v>
      </c>
      <c r="BI2650" s="77"/>
      <c r="BJ2650" s="38"/>
      <c r="BK2650" s="145"/>
      <c r="BL2650" s="80"/>
      <c r="BM2650" s="75"/>
      <c r="BN2650" s="207">
        <f t="shared" ref="BN2650:BQ2650" si="2373">SUM(BN2651:BN2680)</f>
        <v>0</v>
      </c>
      <c r="BO2650" s="78">
        <f t="shared" si="2373"/>
        <v>0</v>
      </c>
      <c r="BP2650" s="46">
        <f t="shared" si="2373"/>
        <v>0</v>
      </c>
      <c r="BQ2650" s="47">
        <f t="shared" si="2373"/>
        <v>0</v>
      </c>
      <c r="BR2650" s="32"/>
      <c r="BS2650" s="38"/>
      <c r="BT2650" s="145"/>
      <c r="BU2650" s="80"/>
      <c r="BV2650" s="215"/>
      <c r="BX2650" s="321"/>
      <c r="BY2650" s="38"/>
    </row>
    <row r="2651" spans="1:77" ht="15" customHeight="1" x14ac:dyDescent="0.2">
      <c r="A2651" s="56" t="s">
        <v>45</v>
      </c>
      <c r="B2651" s="56" t="s">
        <v>1606</v>
      </c>
      <c r="C2651" s="637"/>
      <c r="D2651" s="544">
        <v>1251.5129999999999</v>
      </c>
      <c r="E2651" s="107" t="s">
        <v>304</v>
      </c>
      <c r="F2651" s="362">
        <v>1994</v>
      </c>
      <c r="G2651" s="62">
        <v>19.468</v>
      </c>
      <c r="H2651" s="69">
        <f>G2651</f>
        <v>19.468</v>
      </c>
      <c r="I2651" s="74">
        <v>2000</v>
      </c>
      <c r="J2651" s="68">
        <v>22.373999999999999</v>
      </c>
      <c r="K2651" s="69">
        <f>J2651</f>
        <v>22.373999999999999</v>
      </c>
      <c r="L2651" s="74"/>
      <c r="M2651" s="68"/>
      <c r="N2651" s="356"/>
      <c r="O2651" s="923"/>
      <c r="P2651" s="68"/>
      <c r="Q2651" s="356"/>
      <c r="R2651" s="923"/>
      <c r="S2651" s="68"/>
      <c r="T2651" s="356"/>
      <c r="U2651" s="68"/>
      <c r="V2651" s="68"/>
      <c r="W2651" s="27"/>
      <c r="X2651" s="28"/>
      <c r="Y2651" s="145"/>
      <c r="Z2651" s="38"/>
      <c r="AA2651" s="145"/>
      <c r="AB2651" s="80"/>
      <c r="AC2651" s="209"/>
      <c r="AD2651" s="16"/>
      <c r="AE2651" s="16"/>
      <c r="AF2651" s="19"/>
      <c r="AG2651" s="20"/>
      <c r="AH2651" s="77"/>
      <c r="AI2651" s="38"/>
      <c r="AJ2651" s="145"/>
      <c r="AK2651" s="80"/>
      <c r="AL2651" s="215"/>
      <c r="AM2651" s="208"/>
      <c r="AN2651" s="16"/>
      <c r="AO2651" s="1533" t="s">
        <v>311</v>
      </c>
      <c r="AP2651" s="1534"/>
      <c r="AQ2651" s="77"/>
      <c r="AR2651" s="38"/>
      <c r="AS2651" s="145"/>
      <c r="AT2651" s="80"/>
      <c r="AU2651" s="215"/>
      <c r="AV2651" s="16"/>
      <c r="AW2651" s="16"/>
      <c r="AX2651" s="19"/>
      <c r="AY2651" s="20"/>
      <c r="AZ2651" s="77"/>
      <c r="BA2651" s="38"/>
      <c r="BB2651" s="145"/>
      <c r="BC2651" s="80"/>
      <c r="BD2651" s="75"/>
      <c r="BE2651" s="208"/>
      <c r="BF2651" s="16"/>
      <c r="BG2651" s="19"/>
      <c r="BH2651" s="20"/>
      <c r="BI2651" s="77"/>
      <c r="BJ2651" s="38"/>
      <c r="BK2651" s="145"/>
      <c r="BL2651" s="80"/>
      <c r="BM2651" s="75"/>
      <c r="BN2651" s="208"/>
      <c r="BO2651" s="16"/>
      <c r="BP2651" s="19"/>
      <c r="BQ2651" s="20"/>
      <c r="BR2651" s="32"/>
      <c r="BS2651" s="38"/>
      <c r="BT2651" s="145"/>
      <c r="BU2651" s="80"/>
      <c r="BV2651" s="215"/>
      <c r="BX2651" s="321"/>
      <c r="BY2651" s="38"/>
    </row>
    <row r="2652" spans="1:77" ht="15" customHeight="1" x14ac:dyDescent="0.2">
      <c r="A2652" s="56" t="s">
        <v>76</v>
      </c>
      <c r="B2652" s="56" t="s">
        <v>1606</v>
      </c>
      <c r="C2652" s="637"/>
      <c r="D2652" s="544">
        <v>74462.313999999998</v>
      </c>
      <c r="E2652" s="95" t="s">
        <v>2964</v>
      </c>
      <c r="F2652" s="373">
        <v>1994</v>
      </c>
      <c r="G2652" s="121">
        <v>417</v>
      </c>
      <c r="H2652" s="346">
        <v>385.4</v>
      </c>
      <c r="I2652" s="114">
        <v>2000</v>
      </c>
      <c r="J2652" s="93">
        <v>491.05200000000002</v>
      </c>
      <c r="K2652" s="346">
        <f>J2652-9.27828</f>
        <v>481.77372000000003</v>
      </c>
      <c r="L2652" s="114"/>
      <c r="M2652" s="93">
        <v>832.04300000000001</v>
      </c>
      <c r="N2652" s="93">
        <f>M2652-21.5286</f>
        <v>810.51440000000002</v>
      </c>
      <c r="O2652" s="923"/>
      <c r="P2652" s="68"/>
      <c r="Q2652" s="356"/>
      <c r="R2652" s="923"/>
      <c r="S2652" s="68"/>
      <c r="T2652" s="356"/>
      <c r="U2652" s="68"/>
      <c r="V2652" s="68"/>
      <c r="W2652" s="27"/>
      <c r="X2652" s="28"/>
      <c r="Y2652" s="145"/>
      <c r="Z2652" s="38"/>
      <c r="AA2652" s="145"/>
      <c r="AB2652" s="80"/>
      <c r="AC2652" s="209"/>
      <c r="AD2652" s="919">
        <v>1.6</v>
      </c>
      <c r="AE2652" s="713"/>
      <c r="AF2652" s="920">
        <f>AI2652*(1+AK2652)</f>
        <v>1.4240000000000002</v>
      </c>
      <c r="AG2652" s="713">
        <f>+AI2652*(1+AL2652)</f>
        <v>1.4240000000000002</v>
      </c>
      <c r="AH2652" s="640">
        <v>2025</v>
      </c>
      <c r="AI2652" s="158">
        <f>+AD2652</f>
        <v>1.6</v>
      </c>
      <c r="AJ2652" s="541"/>
      <c r="AK2652" s="406">
        <v>-0.11</v>
      </c>
      <c r="AL2652" s="407">
        <v>-0.11</v>
      </c>
      <c r="AM2652" s="208"/>
      <c r="AN2652" s="16"/>
      <c r="AO2652" s="1533" t="s">
        <v>160</v>
      </c>
      <c r="AP2652" s="1534"/>
      <c r="AQ2652" s="440">
        <v>2030</v>
      </c>
      <c r="AR2652" s="38"/>
      <c r="AS2652" s="145"/>
      <c r="AT2652" s="292">
        <v>-0.04</v>
      </c>
      <c r="AU2652" s="293">
        <v>-0.12</v>
      </c>
      <c r="AV2652" s="16"/>
      <c r="AW2652" s="16"/>
      <c r="AX2652" s="19"/>
      <c r="AY2652" s="20"/>
      <c r="AZ2652" s="77"/>
      <c r="BA2652" s="38"/>
      <c r="BB2652" s="145"/>
      <c r="BC2652" s="80"/>
      <c r="BD2652" s="75"/>
      <c r="BE2652" s="208"/>
      <c r="BF2652" s="16"/>
      <c r="BG2652" s="19"/>
      <c r="BH2652" s="20"/>
      <c r="BI2652" s="77"/>
      <c r="BJ2652" s="38"/>
      <c r="BK2652" s="145"/>
      <c r="BL2652" s="80"/>
      <c r="BM2652" s="75"/>
      <c r="BN2652" s="208"/>
      <c r="BO2652" s="16"/>
      <c r="BP2652" s="19"/>
      <c r="BQ2652" s="20"/>
      <c r="BR2652" s="32"/>
      <c r="BS2652" s="38"/>
      <c r="BT2652" s="145"/>
      <c r="BU2652" s="80"/>
      <c r="BV2652" s="215"/>
      <c r="BX2652" s="321"/>
      <c r="BY2652" s="38"/>
    </row>
    <row r="2653" spans="1:77" ht="15" customHeight="1" x14ac:dyDescent="0.2">
      <c r="A2653" s="56" t="s">
        <v>77</v>
      </c>
      <c r="B2653" s="56" t="s">
        <v>1606</v>
      </c>
      <c r="C2653" s="637"/>
      <c r="D2653" s="544">
        <v>30962.38</v>
      </c>
      <c r="E2653" s="107" t="s">
        <v>324</v>
      </c>
      <c r="F2653" s="547"/>
      <c r="G2653" s="419">
        <v>50</v>
      </c>
      <c r="H2653" s="438">
        <v>50</v>
      </c>
      <c r="I2653" s="436"/>
      <c r="J2653" s="437">
        <v>110</v>
      </c>
      <c r="K2653" s="438">
        <v>110</v>
      </c>
      <c r="L2653" s="436"/>
      <c r="M2653" s="437">
        <v>130</v>
      </c>
      <c r="N2653" s="471">
        <v>130</v>
      </c>
      <c r="O2653" s="1037"/>
      <c r="P2653" s="437"/>
      <c r="Q2653" s="471"/>
      <c r="R2653" s="1037"/>
      <c r="S2653" s="437"/>
      <c r="T2653" s="471"/>
      <c r="U2653" s="437">
        <v>240</v>
      </c>
      <c r="V2653" s="437">
        <v>240</v>
      </c>
      <c r="W2653" s="489">
        <f>V2653/1000</f>
        <v>0.24</v>
      </c>
      <c r="X2653" s="490">
        <f>W2653</f>
        <v>0.24</v>
      </c>
      <c r="Y2653" s="453">
        <v>2020</v>
      </c>
      <c r="Z2653" s="441"/>
      <c r="AA2653" s="453"/>
      <c r="AB2653" s="292"/>
      <c r="AC2653" s="284"/>
      <c r="AD2653" s="387">
        <v>0.27</v>
      </c>
      <c r="AE2653" s="387">
        <f>AD2653</f>
        <v>0.27</v>
      </c>
      <c r="AF2653" s="454">
        <f>0.26</f>
        <v>0.26</v>
      </c>
      <c r="AG2653" s="439">
        <v>0.24</v>
      </c>
      <c r="AH2653" s="440"/>
      <c r="AI2653" s="441"/>
      <c r="AJ2653" s="453"/>
      <c r="AK2653" s="292"/>
      <c r="AL2653" s="293"/>
      <c r="AM2653" s="456">
        <v>0.28000000000000003</v>
      </c>
      <c r="AN2653" s="387">
        <v>0.28000000000000003</v>
      </c>
      <c r="AO2653" s="454">
        <f>AM2653*(1+AT2653)</f>
        <v>0.2772</v>
      </c>
      <c r="AP2653" s="439">
        <f>AR2653*(1+AU2653)</f>
        <v>0.24080000000000001</v>
      </c>
      <c r="AQ2653" s="440">
        <v>2030</v>
      </c>
      <c r="AR2653" s="424">
        <f>AN2653</f>
        <v>0.28000000000000003</v>
      </c>
      <c r="AS2653" s="453"/>
      <c r="AT2653" s="292">
        <v>-0.01</v>
      </c>
      <c r="AU2653" s="293">
        <v>-0.14000000000000001</v>
      </c>
      <c r="AV2653" s="16"/>
      <c r="AW2653" s="16"/>
      <c r="AX2653" s="19"/>
      <c r="AY2653" s="20"/>
      <c r="AZ2653" s="77"/>
      <c r="BA2653" s="38"/>
      <c r="BB2653" s="145"/>
      <c r="BC2653" s="80"/>
      <c r="BD2653" s="75"/>
      <c r="BE2653" s="208"/>
      <c r="BF2653" s="16"/>
      <c r="BG2653" s="19"/>
      <c r="BH2653" s="20"/>
      <c r="BI2653" s="77"/>
      <c r="BJ2653" s="38"/>
      <c r="BK2653" s="145"/>
      <c r="BL2653" s="80"/>
      <c r="BM2653" s="75"/>
      <c r="BN2653" s="208"/>
      <c r="BO2653" s="16"/>
      <c r="BP2653" s="19"/>
      <c r="BQ2653" s="20"/>
      <c r="BR2653" s="32"/>
      <c r="BS2653" s="38"/>
      <c r="BT2653" s="145"/>
      <c r="BU2653" s="80"/>
      <c r="BV2653" s="215"/>
      <c r="BX2653" s="321"/>
      <c r="BY2653" s="38"/>
    </row>
    <row r="2654" spans="1:77" ht="15" customHeight="1" x14ac:dyDescent="0.2">
      <c r="A2654" s="56" t="s">
        <v>78</v>
      </c>
      <c r="B2654" s="56" t="s">
        <v>1606</v>
      </c>
      <c r="C2654" s="637"/>
      <c r="D2654" s="544">
        <v>7624</v>
      </c>
      <c r="E2654" s="624" t="s">
        <v>3255</v>
      </c>
      <c r="F2654" s="373">
        <v>1996</v>
      </c>
      <c r="G2654" s="121">
        <v>62.705880000000001</v>
      </c>
      <c r="H2654" s="346">
        <v>63.075879999999998</v>
      </c>
      <c r="I2654" s="1316"/>
      <c r="J2654" s="93">
        <v>73.312200000000004</v>
      </c>
      <c r="K2654" s="93">
        <v>73.687790000000007</v>
      </c>
      <c r="L2654" s="1316"/>
      <c r="M2654" s="93">
        <v>76.869</v>
      </c>
      <c r="N2654" s="93">
        <f>M2654-0.38</f>
        <v>76.489000000000004</v>
      </c>
      <c r="O2654" s="373"/>
      <c r="P2654" s="72">
        <v>79</v>
      </c>
      <c r="Q2654" s="378">
        <f>P2654+0.19</f>
        <v>79.19</v>
      </c>
      <c r="R2654" s="362"/>
      <c r="S2654" s="68"/>
      <c r="T2654" s="356"/>
      <c r="U2654" s="68"/>
      <c r="V2654" s="69"/>
      <c r="W2654" s="23"/>
      <c r="X2654" s="24"/>
      <c r="Y2654" s="53"/>
      <c r="Z2654" s="83"/>
      <c r="AA2654" s="531"/>
      <c r="AB2654" s="399"/>
      <c r="AC2654" s="618"/>
      <c r="AD2654" s="168"/>
      <c r="AE2654" s="168"/>
      <c r="AF2654" s="263"/>
      <c r="AG2654" s="177"/>
      <c r="AH2654" s="274"/>
      <c r="AI2654" s="83"/>
      <c r="AJ2654" s="48"/>
      <c r="AK2654" s="294"/>
      <c r="AL2654" s="295"/>
      <c r="AM2654" s="1400">
        <f>+AR2654</f>
        <v>7.6489000000000001E-2</v>
      </c>
      <c r="AN2654" s="1411"/>
      <c r="AO2654" s="1468">
        <f>+AM2654*(1+AT2654)</f>
        <v>5.583697E-2</v>
      </c>
      <c r="AP2654" s="1469">
        <f>AM2654*(1+AU2654)</f>
        <v>1.1473350000000002E-2</v>
      </c>
      <c r="AQ2654" s="1470">
        <v>2015</v>
      </c>
      <c r="AR2654" s="1412">
        <f>+N2654/1000</f>
        <v>7.6489000000000001E-2</v>
      </c>
      <c r="AS2654" s="48"/>
      <c r="AT2654" s="1413">
        <v>-0.27</v>
      </c>
      <c r="AU2654" s="1342">
        <v>-0.85</v>
      </c>
      <c r="AV2654" s="168"/>
      <c r="AW2654" s="168"/>
      <c r="AX2654" s="263"/>
      <c r="AY2654" s="177"/>
      <c r="AZ2654" s="274"/>
      <c r="BA2654" s="83"/>
      <c r="BB2654" s="48"/>
      <c r="BC2654" s="82"/>
      <c r="BD2654" s="232"/>
      <c r="BE2654" s="210"/>
      <c r="BF2654" s="168"/>
      <c r="BG2654" s="263"/>
      <c r="BH2654" s="177"/>
      <c r="BI2654" s="274"/>
      <c r="BJ2654" s="83"/>
      <c r="BK2654" s="48"/>
      <c r="BL2654" s="82"/>
      <c r="BM2654" s="232"/>
      <c r="BN2654" s="210"/>
      <c r="BO2654" s="168"/>
      <c r="BP2654" s="23"/>
      <c r="BQ2654" s="24"/>
      <c r="BR2654" s="53"/>
      <c r="BS2654" s="83"/>
      <c r="BT2654" s="48"/>
      <c r="BU2654" s="82"/>
      <c r="BV2654" s="217"/>
      <c r="BW2654" s="140" t="s">
        <v>259</v>
      </c>
      <c r="BX2654" s="309"/>
      <c r="BY2654" s="139" t="s">
        <v>215</v>
      </c>
    </row>
    <row r="2655" spans="1:77" ht="15" customHeight="1" x14ac:dyDescent="0.2">
      <c r="A2655" s="56" t="s">
        <v>78</v>
      </c>
      <c r="B2655" s="107"/>
      <c r="C2655" s="637" t="s">
        <v>579</v>
      </c>
      <c r="D2655" s="544">
        <v>890</v>
      </c>
      <c r="E2655" s="161" t="s">
        <v>392</v>
      </c>
      <c r="F2655" s="362"/>
      <c r="G2655" s="62"/>
      <c r="H2655" s="69"/>
      <c r="I2655" s="67">
        <v>2007</v>
      </c>
      <c r="J2655" s="68"/>
      <c r="K2655" s="68">
        <v>2.3540000000000001</v>
      </c>
      <c r="L2655" s="67"/>
      <c r="M2655" s="68"/>
      <c r="N2655" s="356"/>
      <c r="O2655" s="362"/>
      <c r="P2655" s="68"/>
      <c r="Q2655" s="356"/>
      <c r="R2655" s="362"/>
      <c r="S2655" s="68"/>
      <c r="T2655" s="356"/>
      <c r="U2655" s="68"/>
      <c r="V2655" s="68"/>
      <c r="W2655" s="89">
        <f>AA2655*(1+AB2655)</f>
        <v>1.8832000000000002E-3</v>
      </c>
      <c r="X2655" s="87">
        <f>AA2655*(1+AC2655)</f>
        <v>1.8832000000000002E-3</v>
      </c>
      <c r="Y2655" s="53">
        <v>2007</v>
      </c>
      <c r="Z2655" s="83"/>
      <c r="AA2655" s="760">
        <f>+K2655/1000</f>
        <v>2.3540000000000002E-3</v>
      </c>
      <c r="AB2655" s="399">
        <v>-0.2</v>
      </c>
      <c r="AC2655" s="618">
        <v>-0.2</v>
      </c>
      <c r="AD2655" s="168"/>
      <c r="AE2655" s="168"/>
      <c r="AF2655" s="263"/>
      <c r="AG2655" s="177"/>
      <c r="AH2655" s="274"/>
      <c r="AI2655" s="83"/>
      <c r="AJ2655" s="48"/>
      <c r="AK2655" s="294"/>
      <c r="AL2655" s="295"/>
      <c r="AM2655" s="210"/>
      <c r="AN2655" s="422"/>
      <c r="AO2655" s="532"/>
      <c r="AP2655" s="533"/>
      <c r="AQ2655" s="514"/>
      <c r="AR2655" s="83"/>
      <c r="AS2655" s="48"/>
      <c r="AT2655" s="294"/>
      <c r="AU2655" s="295"/>
      <c r="AV2655" s="168"/>
      <c r="AW2655" s="168"/>
      <c r="AX2655" s="263"/>
      <c r="AY2655" s="177"/>
      <c r="AZ2655" s="274"/>
      <c r="BA2655" s="83"/>
      <c r="BB2655" s="48"/>
      <c r="BC2655" s="82"/>
      <c r="BD2655" s="232"/>
      <c r="BE2655" s="210"/>
      <c r="BF2655" s="168"/>
      <c r="BG2655" s="263"/>
      <c r="BH2655" s="177"/>
      <c r="BI2655" s="274"/>
      <c r="BJ2655" s="83"/>
      <c r="BK2655" s="48"/>
      <c r="BL2655" s="82"/>
      <c r="BM2655" s="232"/>
      <c r="BN2655" s="210"/>
      <c r="BO2655" s="168"/>
      <c r="BP2655" s="23"/>
      <c r="BQ2655" s="24"/>
      <c r="BR2655" s="53"/>
      <c r="BS2655" s="83"/>
      <c r="BT2655" s="48"/>
      <c r="BU2655" s="82"/>
      <c r="BV2655" s="217"/>
      <c r="BW2655" s="140"/>
      <c r="BX2655" s="309"/>
      <c r="BY2655" s="139"/>
    </row>
    <row r="2656" spans="1:77" ht="15" customHeight="1" x14ac:dyDescent="0.2">
      <c r="A2656" s="56" t="s">
        <v>78</v>
      </c>
      <c r="B2656" s="107"/>
      <c r="C2656" s="637" t="s">
        <v>2785</v>
      </c>
      <c r="D2656" s="544"/>
      <c r="E2656" s="107" t="s">
        <v>631</v>
      </c>
      <c r="F2656" s="362"/>
      <c r="G2656" s="62"/>
      <c r="H2656" s="69"/>
      <c r="I2656" s="67"/>
      <c r="J2656" s="68"/>
      <c r="K2656" s="68"/>
      <c r="L2656" s="67">
        <v>2011</v>
      </c>
      <c r="M2656" s="68"/>
      <c r="N2656" s="354">
        <v>0.91295000000000004</v>
      </c>
      <c r="O2656" s="362"/>
      <c r="P2656" s="68"/>
      <c r="Q2656" s="356"/>
      <c r="R2656" s="362"/>
      <c r="S2656" s="68"/>
      <c r="T2656" s="356"/>
      <c r="U2656" s="68"/>
      <c r="V2656" s="68"/>
      <c r="W2656" s="697">
        <f t="shared" ref="W2656:W2657" si="2374">+AA2656*(1+AB2656)</f>
        <v>7.303600000000001E-4</v>
      </c>
      <c r="X2656" s="698">
        <f t="shared" ref="X2656:X2657" si="2375">+AA2656*(1+AC2656)</f>
        <v>7.303600000000001E-4</v>
      </c>
      <c r="Y2656" s="617">
        <v>2011</v>
      </c>
      <c r="Z2656" s="650"/>
      <c r="AA2656" s="673">
        <f t="shared" ref="AA2656:AA2657" si="2376">+N2656/1000</f>
        <v>9.1295000000000005E-4</v>
      </c>
      <c r="AB2656" s="399">
        <v>-0.2</v>
      </c>
      <c r="AC2656" s="618">
        <f t="shared" ref="AC2656:AC2657" si="2377">AB2656</f>
        <v>-0.2</v>
      </c>
      <c r="AD2656" s="168"/>
      <c r="AE2656" s="168"/>
      <c r="AF2656" s="263"/>
      <c r="AG2656" s="177"/>
      <c r="AH2656" s="274"/>
      <c r="AI2656" s="83"/>
      <c r="AJ2656" s="48"/>
      <c r="AK2656" s="294"/>
      <c r="AL2656" s="295"/>
      <c r="AM2656" s="210"/>
      <c r="AN2656" s="422"/>
      <c r="AO2656" s="532"/>
      <c r="AP2656" s="533"/>
      <c r="AQ2656" s="514"/>
      <c r="AR2656" s="83"/>
      <c r="AS2656" s="48"/>
      <c r="AT2656" s="294"/>
      <c r="AU2656" s="295"/>
      <c r="AV2656" s="168"/>
      <c r="AW2656" s="168"/>
      <c r="AX2656" s="263"/>
      <c r="AY2656" s="177"/>
      <c r="AZ2656" s="274"/>
      <c r="BA2656" s="83"/>
      <c r="BB2656" s="48"/>
      <c r="BC2656" s="82"/>
      <c r="BD2656" s="232"/>
      <c r="BE2656" s="210"/>
      <c r="BF2656" s="168"/>
      <c r="BG2656" s="263"/>
      <c r="BH2656" s="177"/>
      <c r="BI2656" s="274"/>
      <c r="BJ2656" s="83"/>
      <c r="BK2656" s="48"/>
      <c r="BL2656" s="82"/>
      <c r="BM2656" s="232"/>
      <c r="BN2656" s="210"/>
      <c r="BO2656" s="168"/>
      <c r="BP2656" s="23"/>
      <c r="BQ2656" s="24"/>
      <c r="BR2656" s="53"/>
      <c r="BS2656" s="83"/>
      <c r="BT2656" s="48"/>
      <c r="BU2656" s="82"/>
      <c r="BV2656" s="217"/>
      <c r="BW2656" s="140"/>
      <c r="BX2656" s="309"/>
      <c r="BY2656" s="139"/>
    </row>
    <row r="2657" spans="1:77" ht="15" customHeight="1" x14ac:dyDescent="0.2">
      <c r="A2657" s="56" t="s">
        <v>78</v>
      </c>
      <c r="B2657" s="107"/>
      <c r="C2657" s="637" t="s">
        <v>2786</v>
      </c>
      <c r="D2657" s="544"/>
      <c r="E2657" s="107" t="s">
        <v>631</v>
      </c>
      <c r="F2657" s="362"/>
      <c r="G2657" s="62"/>
      <c r="H2657" s="69"/>
      <c r="I2657" s="67"/>
      <c r="J2657" s="68"/>
      <c r="K2657" s="68"/>
      <c r="L2657" s="67">
        <v>2011</v>
      </c>
      <c r="M2657" s="68"/>
      <c r="N2657" s="354">
        <v>9.9987999999999994E-2</v>
      </c>
      <c r="O2657" s="362"/>
      <c r="P2657" s="68"/>
      <c r="Q2657" s="356"/>
      <c r="R2657" s="362"/>
      <c r="S2657" s="68"/>
      <c r="T2657" s="356"/>
      <c r="U2657" s="68"/>
      <c r="V2657" s="68"/>
      <c r="W2657" s="697">
        <f t="shared" si="2374"/>
        <v>7.9990399999999999E-5</v>
      </c>
      <c r="X2657" s="698">
        <f t="shared" si="2375"/>
        <v>7.9990399999999999E-5</v>
      </c>
      <c r="Y2657" s="617">
        <v>2011</v>
      </c>
      <c r="Z2657" s="650"/>
      <c r="AA2657" s="673">
        <f t="shared" si="2376"/>
        <v>9.9987999999999992E-5</v>
      </c>
      <c r="AB2657" s="399">
        <v>-0.2</v>
      </c>
      <c r="AC2657" s="618">
        <f t="shared" si="2377"/>
        <v>-0.2</v>
      </c>
      <c r="AD2657" s="168"/>
      <c r="AE2657" s="168"/>
      <c r="AF2657" s="263"/>
      <c r="AG2657" s="177"/>
      <c r="AH2657" s="274"/>
      <c r="AI2657" s="83"/>
      <c r="AJ2657" s="48"/>
      <c r="AK2657" s="294"/>
      <c r="AL2657" s="295"/>
      <c r="AM2657" s="210"/>
      <c r="AN2657" s="422"/>
      <c r="AO2657" s="532"/>
      <c r="AP2657" s="533"/>
      <c r="AQ2657" s="514"/>
      <c r="AR2657" s="83"/>
      <c r="AS2657" s="48"/>
      <c r="AT2657" s="294"/>
      <c r="AU2657" s="295"/>
      <c r="AV2657" s="168"/>
      <c r="AW2657" s="168"/>
      <c r="AX2657" s="263"/>
      <c r="AY2657" s="177"/>
      <c r="AZ2657" s="274"/>
      <c r="BA2657" s="83"/>
      <c r="BB2657" s="48"/>
      <c r="BC2657" s="82"/>
      <c r="BD2657" s="232"/>
      <c r="BE2657" s="210"/>
      <c r="BF2657" s="168"/>
      <c r="BG2657" s="263"/>
      <c r="BH2657" s="177"/>
      <c r="BI2657" s="274"/>
      <c r="BJ2657" s="83"/>
      <c r="BK2657" s="48"/>
      <c r="BL2657" s="82"/>
      <c r="BM2657" s="232"/>
      <c r="BN2657" s="210"/>
      <c r="BO2657" s="168"/>
      <c r="BP2657" s="23"/>
      <c r="BQ2657" s="24"/>
      <c r="BR2657" s="53"/>
      <c r="BS2657" s="83"/>
      <c r="BT2657" s="48"/>
      <c r="BU2657" s="82"/>
      <c r="BV2657" s="217"/>
      <c r="BW2657" s="140"/>
      <c r="BX2657" s="309"/>
      <c r="BY2657" s="139"/>
    </row>
    <row r="2658" spans="1:77" ht="15" customHeight="1" x14ac:dyDescent="0.2">
      <c r="A2658" s="56" t="s">
        <v>78</v>
      </c>
      <c r="B2658" s="107"/>
      <c r="C2658" s="637" t="s">
        <v>2787</v>
      </c>
      <c r="D2658" s="544"/>
      <c r="E2658" s="107" t="s">
        <v>631</v>
      </c>
      <c r="F2658" s="362"/>
      <c r="G2658" s="62"/>
      <c r="H2658" s="69"/>
      <c r="I2658" s="67"/>
      <c r="J2658" s="68"/>
      <c r="K2658" s="68"/>
      <c r="L2658" s="67"/>
      <c r="M2658" s="68"/>
      <c r="N2658" s="375"/>
      <c r="O2658" s="362">
        <v>2013</v>
      </c>
      <c r="P2658" s="68"/>
      <c r="Q2658" s="354">
        <v>0.114061</v>
      </c>
      <c r="R2658" s="362"/>
      <c r="S2658" s="68"/>
      <c r="T2658" s="354"/>
      <c r="U2658" s="68"/>
      <c r="V2658" s="68"/>
      <c r="W2658" s="674">
        <f>AA2658*(1+AB2658)</f>
        <v>9.1248799999999993E-5</v>
      </c>
      <c r="X2658" s="675">
        <f>AA2658*(1+AC2658)</f>
        <v>9.1248799999999993E-5</v>
      </c>
      <c r="Y2658" s="53">
        <v>2013</v>
      </c>
      <c r="Z2658" s="83"/>
      <c r="AA2658" s="929">
        <f>+Q2658/1000</f>
        <v>1.1406099999999999E-4</v>
      </c>
      <c r="AB2658" s="399">
        <v>-0.2</v>
      </c>
      <c r="AC2658" s="618">
        <v>-0.2</v>
      </c>
      <c r="AD2658" s="168"/>
      <c r="AE2658" s="168"/>
      <c r="AF2658" s="263"/>
      <c r="AG2658" s="177"/>
      <c r="AH2658" s="274"/>
      <c r="AI2658" s="83"/>
      <c r="AJ2658" s="48"/>
      <c r="AK2658" s="294"/>
      <c r="AL2658" s="295"/>
      <c r="AM2658" s="210"/>
      <c r="AN2658" s="422"/>
      <c r="AO2658" s="532"/>
      <c r="AP2658" s="533"/>
      <c r="AQ2658" s="514"/>
      <c r="AR2658" s="83"/>
      <c r="AS2658" s="48"/>
      <c r="AT2658" s="294"/>
      <c r="AU2658" s="295"/>
      <c r="AV2658" s="168"/>
      <c r="AW2658" s="168"/>
      <c r="AX2658" s="263"/>
      <c r="AY2658" s="177"/>
      <c r="AZ2658" s="274"/>
      <c r="BA2658" s="83"/>
      <c r="BB2658" s="48"/>
      <c r="BC2658" s="82"/>
      <c r="BD2658" s="232"/>
      <c r="BE2658" s="210"/>
      <c r="BF2658" s="168"/>
      <c r="BG2658" s="263"/>
      <c r="BH2658" s="177"/>
      <c r="BI2658" s="274"/>
      <c r="BJ2658" s="83"/>
      <c r="BK2658" s="48"/>
      <c r="BL2658" s="82"/>
      <c r="BM2658" s="232"/>
      <c r="BN2658" s="210"/>
      <c r="BO2658" s="168"/>
      <c r="BP2658" s="23"/>
      <c r="BQ2658" s="24"/>
      <c r="BR2658" s="53"/>
      <c r="BS2658" s="83"/>
      <c r="BT2658" s="48"/>
      <c r="BU2658" s="82"/>
      <c r="BV2658" s="217"/>
      <c r="BW2658" s="140"/>
      <c r="BX2658" s="309"/>
      <c r="BY2658" s="139"/>
    </row>
    <row r="2659" spans="1:77" ht="15" customHeight="1" x14ac:dyDescent="0.2">
      <c r="A2659" s="107" t="s">
        <v>149</v>
      </c>
      <c r="B2659" s="56" t="s">
        <v>1606</v>
      </c>
      <c r="C2659" s="637"/>
      <c r="D2659" s="544">
        <v>6454.5540000000001</v>
      </c>
      <c r="E2659" s="95" t="s">
        <v>3292</v>
      </c>
      <c r="F2659" s="373">
        <v>1994</v>
      </c>
      <c r="G2659" s="121">
        <v>18.399999999999999</v>
      </c>
      <c r="H2659" s="346">
        <v>21.9</v>
      </c>
      <c r="I2659" s="114">
        <v>2006</v>
      </c>
      <c r="J2659" s="437">
        <v>19.779800000000002</v>
      </c>
      <c r="K2659" s="346">
        <f>J2659-0.866</f>
        <v>18.913800000000002</v>
      </c>
      <c r="L2659" s="114"/>
      <c r="M2659" s="93">
        <v>23.170940000000002</v>
      </c>
      <c r="N2659" s="93">
        <f>M2659+0.1805</f>
        <v>23.35144</v>
      </c>
      <c r="O2659" s="1038">
        <v>2012</v>
      </c>
      <c r="P2659" s="72">
        <v>27.998000000000001</v>
      </c>
      <c r="Q2659" s="378">
        <f>P2659+0.237</f>
        <v>28.234999999999999</v>
      </c>
      <c r="R2659" s="1038"/>
      <c r="S2659" s="72">
        <v>33.515999999999998</v>
      </c>
      <c r="T2659" s="378">
        <f>S2659+0.99254</f>
        <v>34.508539999999996</v>
      </c>
      <c r="U2659" s="72">
        <v>33.941000000000003</v>
      </c>
      <c r="V2659" s="93"/>
      <c r="W2659" s="27"/>
      <c r="X2659" s="28"/>
      <c r="Y2659" s="145"/>
      <c r="Z2659" s="38"/>
      <c r="AA2659" s="145"/>
      <c r="AB2659" s="80"/>
      <c r="AC2659" s="209"/>
      <c r="AD2659" s="207">
        <f>37.655/1000</f>
        <v>3.7655000000000001E-2</v>
      </c>
      <c r="AE2659" s="16"/>
      <c r="AF2659" s="19"/>
      <c r="AG2659" s="20"/>
      <c r="AH2659" s="77"/>
      <c r="AI2659" s="38"/>
      <c r="AJ2659" s="145"/>
      <c r="AK2659" s="80"/>
      <c r="AL2659" s="215"/>
      <c r="AM2659" s="207">
        <f>43.989/1000</f>
        <v>4.3989E-2</v>
      </c>
      <c r="AN2659" s="47"/>
      <c r="AO2659" s="78">
        <f>AM2659*(1+AT2659)</f>
        <v>3.0352409999999996E-2</v>
      </c>
      <c r="AP2659" s="47">
        <f>AR2659*(1+AU2659)</f>
        <v>3.0352409999999996E-2</v>
      </c>
      <c r="AQ2659" s="262">
        <v>2030</v>
      </c>
      <c r="AR2659" s="48">
        <f>+AM2659</f>
        <v>4.3989E-2</v>
      </c>
      <c r="AS2659" s="1340"/>
      <c r="AT2659" s="1325">
        <v>-0.31</v>
      </c>
      <c r="AU2659" s="1326">
        <v>-0.31</v>
      </c>
      <c r="AV2659" s="387"/>
      <c r="AW2659" s="16"/>
      <c r="AX2659" s="19"/>
      <c r="AY2659" s="20"/>
      <c r="AZ2659" s="77"/>
      <c r="BA2659" s="38"/>
      <c r="BB2659" s="145"/>
      <c r="BC2659" s="80"/>
      <c r="BD2659" s="75"/>
      <c r="BE2659" s="456"/>
      <c r="BF2659" s="16"/>
      <c r="BG2659" s="19"/>
      <c r="BH2659" s="20"/>
      <c r="BI2659" s="77"/>
      <c r="BJ2659" s="38"/>
      <c r="BK2659" s="145"/>
      <c r="BL2659" s="80"/>
      <c r="BM2659" s="75"/>
      <c r="BN2659" s="208"/>
      <c r="BO2659" s="16"/>
      <c r="BP2659" s="19"/>
      <c r="BQ2659" s="20"/>
      <c r="BR2659" s="32"/>
      <c r="BS2659" s="38"/>
      <c r="BT2659" s="145"/>
      <c r="BU2659" s="80"/>
      <c r="BV2659" s="215"/>
      <c r="BW2659" s="204" t="s">
        <v>288</v>
      </c>
      <c r="BX2659" s="321"/>
      <c r="BY2659" s="38"/>
    </row>
    <row r="2660" spans="1:77" ht="15" customHeight="1" x14ac:dyDescent="0.2">
      <c r="A2660" s="107" t="s">
        <v>149</v>
      </c>
      <c r="B2660" s="56"/>
      <c r="C2660" s="637" t="s">
        <v>2779</v>
      </c>
      <c r="D2660" s="544">
        <v>118</v>
      </c>
      <c r="E2660" s="107" t="s">
        <v>631</v>
      </c>
      <c r="F2660" s="373"/>
      <c r="G2660" s="62"/>
      <c r="H2660" s="69"/>
      <c r="I2660" s="74"/>
      <c r="J2660" s="437"/>
      <c r="K2660" s="69"/>
      <c r="L2660" s="74"/>
      <c r="M2660" s="68"/>
      <c r="N2660" s="356"/>
      <c r="O2660" s="923">
        <v>2012</v>
      </c>
      <c r="P2660" s="68"/>
      <c r="Q2660" s="354">
        <v>0.33956999999999998</v>
      </c>
      <c r="R2660" s="923"/>
      <c r="S2660" s="68"/>
      <c r="T2660" s="354"/>
      <c r="U2660" s="437"/>
      <c r="V2660" s="68"/>
      <c r="W2660" s="27"/>
      <c r="X2660" s="28"/>
      <c r="Y2660" s="145"/>
      <c r="Z2660" s="38"/>
      <c r="AA2660" s="145"/>
      <c r="AB2660" s="80"/>
      <c r="AC2660" s="209"/>
      <c r="AD2660" s="16"/>
      <c r="AE2660" s="16"/>
      <c r="AF2660" s="19"/>
      <c r="AG2660" s="20"/>
      <c r="AH2660" s="77"/>
      <c r="AI2660" s="38"/>
      <c r="AJ2660" s="145"/>
      <c r="AK2660" s="80"/>
      <c r="AL2660" s="215"/>
      <c r="AM2660" s="456"/>
      <c r="AN2660" s="387"/>
      <c r="AO2660" s="766">
        <f t="shared" ref="AO2660" si="2378">AS2660*(1+AT2660)</f>
        <v>2.0374199999999997E-4</v>
      </c>
      <c r="AP2660" s="548">
        <f t="shared" ref="AP2660" si="2379">AS2660*(1+AU2660)</f>
        <v>2.0374199999999997E-4</v>
      </c>
      <c r="AQ2660" s="50">
        <v>2012</v>
      </c>
      <c r="AR2660" s="50"/>
      <c r="AS2660" s="773">
        <f>+Q2660/1000</f>
        <v>3.3956999999999998E-4</v>
      </c>
      <c r="AT2660" s="395">
        <v>-0.4</v>
      </c>
      <c r="AU2660" s="443">
        <f t="shared" ref="AU2660" si="2380">AT2660</f>
        <v>-0.4</v>
      </c>
      <c r="AV2660" s="387"/>
      <c r="AW2660" s="16"/>
      <c r="AX2660" s="19"/>
      <c r="AY2660" s="20"/>
      <c r="AZ2660" s="77"/>
      <c r="BA2660" s="38"/>
      <c r="BB2660" s="145"/>
      <c r="BC2660" s="80"/>
      <c r="BD2660" s="75"/>
      <c r="BE2660" s="456"/>
      <c r="BF2660" s="16"/>
      <c r="BG2660" s="19"/>
      <c r="BH2660" s="20"/>
      <c r="BI2660" s="77"/>
      <c r="BJ2660" s="38"/>
      <c r="BK2660" s="145"/>
      <c r="BL2660" s="80"/>
      <c r="BM2660" s="75"/>
      <c r="BN2660" s="208"/>
      <c r="BO2660" s="16"/>
      <c r="BP2660" s="19"/>
      <c r="BQ2660" s="20"/>
      <c r="BR2660" s="32"/>
      <c r="BS2660" s="38"/>
      <c r="BT2660" s="145"/>
      <c r="BU2660" s="80"/>
      <c r="BV2660" s="215"/>
      <c r="BW2660" s="204"/>
      <c r="BX2660" s="321"/>
      <c r="BY2660" s="38"/>
    </row>
    <row r="2661" spans="1:77" ht="15" customHeight="1" x14ac:dyDescent="0.2">
      <c r="A2661" s="107" t="s">
        <v>149</v>
      </c>
      <c r="B2661" s="56"/>
      <c r="C2661" s="637" t="s">
        <v>3309</v>
      </c>
      <c r="D2661" s="544">
        <v>3800</v>
      </c>
      <c r="E2661" s="107" t="s">
        <v>387</v>
      </c>
      <c r="F2661" s="373"/>
      <c r="G2661" s="62"/>
      <c r="H2661" s="69"/>
      <c r="I2661" s="74"/>
      <c r="J2661" s="437"/>
      <c r="K2661" s="69"/>
      <c r="L2661" s="74"/>
      <c r="M2661" s="68"/>
      <c r="N2661" s="356"/>
      <c r="O2661" s="923">
        <v>2014</v>
      </c>
      <c r="P2661" s="68"/>
      <c r="Q2661" s="354">
        <v>0.74</v>
      </c>
      <c r="R2661" s="923"/>
      <c r="S2661" s="68"/>
      <c r="T2661" s="354"/>
      <c r="U2661" s="437"/>
      <c r="V2661" s="68"/>
      <c r="W2661" s="27"/>
      <c r="X2661" s="28"/>
      <c r="Y2661" s="145"/>
      <c r="Z2661" s="38"/>
      <c r="AA2661" s="145"/>
      <c r="AB2661" s="80"/>
      <c r="AC2661" s="209"/>
      <c r="AD2661" s="16"/>
      <c r="AE2661" s="16"/>
      <c r="AF2661" s="19"/>
      <c r="AG2661" s="20"/>
      <c r="AH2661" s="77"/>
      <c r="AI2661" s="38"/>
      <c r="AJ2661" s="145"/>
      <c r="AK2661" s="80"/>
      <c r="AL2661" s="215"/>
      <c r="AM2661" s="456"/>
      <c r="AN2661" s="387"/>
      <c r="AO2661" s="766"/>
      <c r="AP2661" s="548"/>
      <c r="AQ2661" s="50"/>
      <c r="AR2661" s="50"/>
      <c r="AS2661" s="773"/>
      <c r="AT2661" s="395"/>
      <c r="AU2661" s="443"/>
      <c r="AV2661" s="387"/>
      <c r="AW2661" s="16"/>
      <c r="AX2661" s="19"/>
      <c r="AY2661" s="20"/>
      <c r="AZ2661" s="77"/>
      <c r="BA2661" s="38"/>
      <c r="BB2661" s="145"/>
      <c r="BC2661" s="80"/>
      <c r="BD2661" s="75"/>
      <c r="BE2661" s="456"/>
      <c r="BF2661" s="16"/>
      <c r="BG2661" s="19"/>
      <c r="BH2661" s="20"/>
      <c r="BI2661" s="77"/>
      <c r="BJ2661" s="38"/>
      <c r="BK2661" s="145"/>
      <c r="BL2661" s="80"/>
      <c r="BM2661" s="75"/>
      <c r="BN2661" s="208"/>
      <c r="BO2661" s="16"/>
      <c r="BP2661" s="19">
        <v>0</v>
      </c>
      <c r="BQ2661" s="20">
        <v>0</v>
      </c>
      <c r="BR2661" s="32"/>
      <c r="BS2661" s="38"/>
      <c r="BT2661" s="145"/>
      <c r="BU2661" s="80">
        <v>-1</v>
      </c>
      <c r="BV2661" s="215">
        <v>-1</v>
      </c>
      <c r="BW2661" s="204"/>
      <c r="BX2661" s="321"/>
      <c r="BY2661" s="38"/>
    </row>
    <row r="2662" spans="1:77" ht="15" customHeight="1" x14ac:dyDescent="0.2">
      <c r="A2662" s="107" t="s">
        <v>149</v>
      </c>
      <c r="B2662" s="56"/>
      <c r="C2662" s="637" t="s">
        <v>2858</v>
      </c>
      <c r="D2662" s="544">
        <v>130</v>
      </c>
      <c r="E2662" s="107" t="s">
        <v>631</v>
      </c>
      <c r="F2662" s="373"/>
      <c r="G2662" s="62"/>
      <c r="H2662" s="69"/>
      <c r="I2662" s="74"/>
      <c r="J2662" s="437"/>
      <c r="K2662" s="69"/>
      <c r="L2662" s="74"/>
      <c r="M2662" s="68"/>
      <c r="N2662" s="356"/>
      <c r="O2662" s="923">
        <v>2014</v>
      </c>
      <c r="P2662" s="68"/>
      <c r="Q2662" s="354">
        <v>0.250892</v>
      </c>
      <c r="R2662" s="923"/>
      <c r="S2662" s="68"/>
      <c r="T2662" s="354"/>
      <c r="U2662" s="437"/>
      <c r="V2662" s="68"/>
      <c r="W2662" s="27"/>
      <c r="X2662" s="28"/>
      <c r="Y2662" s="145"/>
      <c r="Z2662" s="38"/>
      <c r="AA2662" s="4"/>
      <c r="AB2662" s="80"/>
      <c r="AC2662" s="209"/>
      <c r="AD2662" s="16"/>
      <c r="AE2662" s="16"/>
      <c r="AF2662" s="19"/>
      <c r="AG2662" s="20"/>
      <c r="AH2662" s="77"/>
      <c r="AI2662" s="38"/>
      <c r="AJ2662" s="145"/>
      <c r="AK2662" s="80"/>
      <c r="AL2662" s="215"/>
      <c r="AM2662" s="456"/>
      <c r="AN2662" s="387"/>
      <c r="AO2662" s="766">
        <f t="shared" ref="AO2662" si="2381">AS2662*(1+AT2662)</f>
        <v>1.5053519999999999E-4</v>
      </c>
      <c r="AP2662" s="548">
        <f t="shared" ref="AP2662" si="2382">AS2662*(1+AU2662)</f>
        <v>1.5053519999999999E-4</v>
      </c>
      <c r="AQ2662" s="50">
        <v>2012</v>
      </c>
      <c r="AR2662" s="50"/>
      <c r="AS2662" s="773">
        <f>+Q2662/1000</f>
        <v>2.5089200000000001E-4</v>
      </c>
      <c r="AT2662" s="395">
        <v>-0.4</v>
      </c>
      <c r="AU2662" s="443">
        <f t="shared" ref="AU2662" si="2383">AT2662</f>
        <v>-0.4</v>
      </c>
      <c r="AV2662" s="387"/>
      <c r="AW2662" s="16"/>
      <c r="AX2662" s="19"/>
      <c r="AY2662" s="20"/>
      <c r="AZ2662" s="77"/>
      <c r="BA2662" s="38"/>
      <c r="BB2662" s="145"/>
      <c r="BC2662" s="80"/>
      <c r="BD2662" s="75"/>
      <c r="BE2662" s="456"/>
      <c r="BF2662" s="16"/>
      <c r="BG2662" s="19"/>
      <c r="BH2662" s="20"/>
      <c r="BI2662" s="77"/>
      <c r="BJ2662" s="38"/>
      <c r="BK2662" s="145"/>
      <c r="BL2662" s="80"/>
      <c r="BM2662" s="75"/>
      <c r="BN2662" s="208"/>
      <c r="BO2662" s="16"/>
      <c r="BP2662" s="19"/>
      <c r="BQ2662" s="20"/>
      <c r="BR2662" s="32"/>
      <c r="BS2662" s="38"/>
      <c r="BT2662" s="145"/>
      <c r="BU2662" s="80"/>
      <c r="BV2662" s="215"/>
      <c r="BW2662" s="204"/>
      <c r="BX2662" s="321"/>
      <c r="BY2662" s="38"/>
    </row>
    <row r="2663" spans="1:77" ht="15" customHeight="1" x14ac:dyDescent="0.2">
      <c r="A2663" s="107" t="s">
        <v>149</v>
      </c>
      <c r="B2663" s="56"/>
      <c r="C2663" s="637" t="s">
        <v>2788</v>
      </c>
      <c r="D2663" s="544">
        <v>160</v>
      </c>
      <c r="E2663" s="107" t="s">
        <v>631</v>
      </c>
      <c r="F2663" s="373"/>
      <c r="G2663" s="62"/>
      <c r="H2663" s="69"/>
      <c r="I2663" s="74"/>
      <c r="J2663" s="437"/>
      <c r="K2663" s="69"/>
      <c r="L2663" s="74"/>
      <c r="M2663" s="68"/>
      <c r="N2663" s="356"/>
      <c r="O2663" s="923">
        <v>2014</v>
      </c>
      <c r="P2663" s="68"/>
      <c r="Q2663" s="354">
        <v>7.9563099999999998E-2</v>
      </c>
      <c r="R2663" s="923"/>
      <c r="S2663" s="68"/>
      <c r="T2663" s="354"/>
      <c r="U2663" s="437"/>
      <c r="V2663" s="68"/>
      <c r="W2663" s="674">
        <f>AA2663*(1+AB2663)</f>
        <v>6.3650480000000009E-5</v>
      </c>
      <c r="X2663" s="675">
        <f>AA2663*(1+AC2663)</f>
        <v>6.3650480000000009E-5</v>
      </c>
      <c r="Y2663" s="53">
        <v>2014</v>
      </c>
      <c r="Z2663" s="83"/>
      <c r="AA2663" s="929">
        <f>+Q2663/1000</f>
        <v>7.9563100000000004E-5</v>
      </c>
      <c r="AB2663" s="399">
        <v>-0.2</v>
      </c>
      <c r="AC2663" s="618">
        <v>-0.2</v>
      </c>
      <c r="AD2663" s="16"/>
      <c r="AE2663" s="16"/>
      <c r="AF2663" s="19"/>
      <c r="AG2663" s="20"/>
      <c r="AH2663" s="77"/>
      <c r="AI2663" s="38"/>
      <c r="AJ2663" s="145"/>
      <c r="AK2663" s="80"/>
      <c r="AL2663" s="215"/>
      <c r="AM2663" s="456"/>
      <c r="AN2663" s="387"/>
      <c r="AO2663" s="699"/>
      <c r="AP2663" s="779"/>
      <c r="AQ2663" s="272"/>
      <c r="AR2663" s="50"/>
      <c r="AS2663" s="773"/>
      <c r="AT2663" s="395"/>
      <c r="AU2663" s="443"/>
      <c r="AV2663" s="387"/>
      <c r="AW2663" s="16"/>
      <c r="AX2663" s="19"/>
      <c r="AY2663" s="20"/>
      <c r="AZ2663" s="77"/>
      <c r="BA2663" s="38"/>
      <c r="BB2663" s="145"/>
      <c r="BC2663" s="80"/>
      <c r="BD2663" s="75"/>
      <c r="BE2663" s="456"/>
      <c r="BF2663" s="16"/>
      <c r="BG2663" s="19"/>
      <c r="BH2663" s="20"/>
      <c r="BI2663" s="77"/>
      <c r="BJ2663" s="38"/>
      <c r="BK2663" s="145"/>
      <c r="BL2663" s="80"/>
      <c r="BM2663" s="75"/>
      <c r="BN2663" s="208"/>
      <c r="BO2663" s="16"/>
      <c r="BP2663" s="19"/>
      <c r="BQ2663" s="20"/>
      <c r="BR2663" s="32"/>
      <c r="BS2663" s="38"/>
      <c r="BT2663" s="145"/>
      <c r="BU2663" s="80"/>
      <c r="BV2663" s="215"/>
      <c r="BW2663" s="204"/>
      <c r="BX2663" s="321"/>
      <c r="BY2663" s="38"/>
    </row>
    <row r="2664" spans="1:77" ht="15" customHeight="1" x14ac:dyDescent="0.2">
      <c r="A2664" s="56" t="s">
        <v>82</v>
      </c>
      <c r="B2664" s="56" t="s">
        <v>1606</v>
      </c>
      <c r="C2664" s="637"/>
      <c r="D2664" s="544">
        <v>2991.58</v>
      </c>
      <c r="E2664" s="95" t="s">
        <v>2965</v>
      </c>
      <c r="F2664" s="373">
        <v>1994</v>
      </c>
      <c r="G2664" s="121">
        <v>36.2119</v>
      </c>
      <c r="H2664" s="346">
        <f>G2664+0.022</f>
        <v>36.233899999999998</v>
      </c>
      <c r="I2664" s="114">
        <v>2000</v>
      </c>
      <c r="J2664" s="93">
        <v>48.677999999999997</v>
      </c>
      <c r="K2664" s="346">
        <f>J2664</f>
        <v>48.677999999999997</v>
      </c>
      <c r="L2664" s="114"/>
      <c r="M2664" s="93"/>
      <c r="N2664" s="93"/>
      <c r="O2664" s="1038">
        <v>2016</v>
      </c>
      <c r="P2664" s="93">
        <v>86.336448000000004</v>
      </c>
      <c r="Q2664" s="378">
        <f>P2664-0.01319</f>
        <v>86.32325800000001</v>
      </c>
      <c r="R2664" s="1038">
        <v>2016</v>
      </c>
      <c r="S2664" s="93">
        <v>86.336448000000004</v>
      </c>
      <c r="T2664" s="378">
        <f>S2664-0.01319</f>
        <v>86.32325800000001</v>
      </c>
      <c r="U2664" s="68"/>
      <c r="V2664" s="68"/>
      <c r="W2664" s="27"/>
      <c r="X2664" s="28"/>
      <c r="Y2664" s="145"/>
      <c r="Z2664" s="38"/>
      <c r="AA2664" s="145"/>
      <c r="AB2664" s="80"/>
      <c r="AC2664" s="209"/>
      <c r="AD2664" s="16"/>
      <c r="AE2664" s="16"/>
      <c r="AF2664" s="19"/>
      <c r="AG2664" s="20"/>
      <c r="AH2664" s="77"/>
      <c r="AI2664" s="38"/>
      <c r="AJ2664" s="145"/>
      <c r="AK2664" s="80"/>
      <c r="AL2664" s="215"/>
      <c r="AM2664" s="208"/>
      <c r="AN2664" s="16"/>
      <c r="AO2664" s="1533" t="s">
        <v>160</v>
      </c>
      <c r="AP2664" s="1534"/>
      <c r="AQ2664" s="77"/>
      <c r="AR2664" s="38"/>
      <c r="AS2664" s="145"/>
      <c r="AT2664" s="80"/>
      <c r="AU2664" s="215"/>
      <c r="AV2664" s="16"/>
      <c r="AW2664" s="16"/>
      <c r="AX2664" s="19"/>
      <c r="AY2664" s="20"/>
      <c r="AZ2664" s="77"/>
      <c r="BA2664" s="38"/>
      <c r="BB2664" s="145"/>
      <c r="BC2664" s="80"/>
      <c r="BD2664" s="75"/>
      <c r="BE2664" s="208"/>
      <c r="BF2664" s="16"/>
      <c r="BG2664" s="19"/>
      <c r="BH2664" s="20"/>
      <c r="BI2664" s="77"/>
      <c r="BJ2664" s="38"/>
      <c r="BK2664" s="145"/>
      <c r="BL2664" s="80"/>
      <c r="BM2664" s="75"/>
      <c r="BN2664" s="208"/>
      <c r="BO2664" s="16"/>
      <c r="BP2664" s="19"/>
      <c r="BQ2664" s="20"/>
      <c r="BR2664" s="32"/>
      <c r="BS2664" s="38"/>
      <c r="BT2664" s="145"/>
      <c r="BU2664" s="80"/>
      <c r="BV2664" s="215"/>
      <c r="BX2664" s="321"/>
      <c r="BY2664" s="38"/>
    </row>
    <row r="2665" spans="1:77" ht="15" customHeight="1" x14ac:dyDescent="0.2">
      <c r="A2665" s="56" t="s">
        <v>84</v>
      </c>
      <c r="B2665" s="56" t="s">
        <v>1606</v>
      </c>
      <c r="C2665" s="637"/>
      <c r="D2665" s="544">
        <v>4341.0919999999996</v>
      </c>
      <c r="E2665" s="1273" t="s">
        <v>3215</v>
      </c>
      <c r="F2665" s="373">
        <v>1994</v>
      </c>
      <c r="G2665" s="121">
        <v>6.1963499999999998</v>
      </c>
      <c r="H2665" s="346">
        <v>9.2333800000000004</v>
      </c>
      <c r="I2665" s="114"/>
      <c r="J2665" s="93">
        <v>13.292809999999999</v>
      </c>
      <c r="K2665" s="346">
        <v>16.463460000000001</v>
      </c>
      <c r="L2665" s="114"/>
      <c r="M2665" s="93">
        <v>17.461549999999999</v>
      </c>
      <c r="N2665" s="93">
        <v>20.604548000000001</v>
      </c>
      <c r="O2665" s="1038"/>
      <c r="P2665" s="93">
        <v>23.79627</v>
      </c>
      <c r="Q2665" s="378">
        <v>27.10765</v>
      </c>
      <c r="R2665" s="923"/>
      <c r="S2665" s="68"/>
      <c r="T2665" s="356"/>
      <c r="U2665" s="68"/>
      <c r="V2665" s="68"/>
      <c r="W2665" s="27"/>
      <c r="X2665" s="28"/>
      <c r="Y2665" s="145"/>
      <c r="Z2665" s="38"/>
      <c r="AA2665" s="145"/>
      <c r="AB2665" s="80"/>
      <c r="AC2665" s="209"/>
      <c r="AD2665" s="16"/>
      <c r="AE2665" s="16"/>
      <c r="AF2665" s="19"/>
      <c r="AG2665" s="20"/>
      <c r="AH2665" s="77"/>
      <c r="AI2665" s="38"/>
      <c r="AJ2665" s="145"/>
      <c r="AK2665" s="80"/>
      <c r="AL2665" s="215"/>
      <c r="AM2665" s="456">
        <f>43.3/1000</f>
        <v>4.3299999999999998E-2</v>
      </c>
      <c r="AN2665" s="387"/>
      <c r="AO2665" s="46">
        <f>AM2665*(1+AT2665)</f>
        <v>3.4639999999999997E-2</v>
      </c>
      <c r="AP2665" s="47">
        <f>AR2665*(1+AU2665)</f>
        <v>2.9876999999999997E-2</v>
      </c>
      <c r="AQ2665" s="262">
        <v>2030</v>
      </c>
      <c r="AR2665" s="48">
        <f>AM2665</f>
        <v>4.3299999999999998E-2</v>
      </c>
      <c r="AS2665" s="1340"/>
      <c r="AT2665" s="1325">
        <v>-0.2</v>
      </c>
      <c r="AU2665" s="1326">
        <v>-0.31</v>
      </c>
      <c r="AV2665" s="16"/>
      <c r="AW2665" s="16"/>
      <c r="AX2665" s="19"/>
      <c r="AY2665" s="20"/>
      <c r="AZ2665" s="77"/>
      <c r="BA2665" s="38"/>
      <c r="BB2665" s="145"/>
      <c r="BC2665" s="80"/>
      <c r="BD2665" s="75"/>
      <c r="BE2665" s="208"/>
      <c r="BF2665" s="16"/>
      <c r="BG2665" s="19"/>
      <c r="BH2665" s="20"/>
      <c r="BI2665" s="77"/>
      <c r="BJ2665" s="38"/>
      <c r="BK2665" s="145"/>
      <c r="BL2665" s="80"/>
      <c r="BM2665" s="75"/>
      <c r="BN2665" s="208"/>
      <c r="BO2665" s="16"/>
      <c r="BP2665" s="19"/>
      <c r="BQ2665" s="20"/>
      <c r="BR2665" s="32"/>
      <c r="BS2665" s="38"/>
      <c r="BT2665" s="145"/>
      <c r="BU2665" s="80"/>
      <c r="BV2665" s="215"/>
      <c r="BX2665" s="321"/>
      <c r="BY2665" s="158" t="s">
        <v>238</v>
      </c>
    </row>
    <row r="2666" spans="1:77" ht="15" customHeight="1" x14ac:dyDescent="0.2">
      <c r="A2666" s="56" t="s">
        <v>84</v>
      </c>
      <c r="B2666" s="56"/>
      <c r="C2666" s="637" t="s">
        <v>2789</v>
      </c>
      <c r="D2666" s="544">
        <v>17</v>
      </c>
      <c r="E2666" s="107" t="s">
        <v>631</v>
      </c>
      <c r="F2666" s="362"/>
      <c r="G2666" s="62"/>
      <c r="H2666" s="69"/>
      <c r="I2666" s="74"/>
      <c r="J2666" s="68"/>
      <c r="K2666" s="69"/>
      <c r="L2666" s="74"/>
      <c r="M2666" s="68"/>
      <c r="N2666" s="356"/>
      <c r="O2666" s="923">
        <v>2013</v>
      </c>
      <c r="P2666" s="68"/>
      <c r="Q2666" s="354">
        <v>2.5600000000000001E-2</v>
      </c>
      <c r="R2666" s="923"/>
      <c r="S2666" s="68"/>
      <c r="T2666" s="354"/>
      <c r="U2666" s="68"/>
      <c r="V2666" s="68"/>
      <c r="W2666" s="674">
        <f t="shared" ref="W2666:W2668" si="2384">AA2666*(1+AB2666)</f>
        <v>1.9200000000000003E-5</v>
      </c>
      <c r="X2666" s="675">
        <f t="shared" ref="X2666:X2668" si="2385">AA2666*(1+AC2666)</f>
        <v>1.9200000000000003E-5</v>
      </c>
      <c r="Y2666" s="53">
        <v>2013</v>
      </c>
      <c r="Z2666" s="83"/>
      <c r="AA2666" s="929">
        <f t="shared" ref="AA2666:AA2668" si="2386">+Q2666/1000</f>
        <v>2.5600000000000002E-5</v>
      </c>
      <c r="AB2666" s="399">
        <v>-0.25</v>
      </c>
      <c r="AC2666" s="618">
        <f>AB2666</f>
        <v>-0.25</v>
      </c>
      <c r="AD2666" s="16"/>
      <c r="AE2666" s="16"/>
      <c r="AF2666" s="19"/>
      <c r="AG2666" s="20"/>
      <c r="AH2666" s="77"/>
      <c r="AI2666" s="38"/>
      <c r="AJ2666" s="145"/>
      <c r="AK2666" s="80"/>
      <c r="AL2666" s="215"/>
      <c r="AM2666" s="456"/>
      <c r="AN2666" s="387"/>
      <c r="AO2666" s="454"/>
      <c r="AP2666" s="439"/>
      <c r="AQ2666" s="440"/>
      <c r="AR2666" s="424"/>
      <c r="AS2666" s="453"/>
      <c r="AT2666" s="292"/>
      <c r="AU2666" s="293"/>
      <c r="AV2666" s="16"/>
      <c r="AW2666" s="16"/>
      <c r="AX2666" s="19"/>
      <c r="AY2666" s="20"/>
      <c r="AZ2666" s="77"/>
      <c r="BA2666" s="38"/>
      <c r="BB2666" s="145"/>
      <c r="BC2666" s="80"/>
      <c r="BD2666" s="75"/>
      <c r="BE2666" s="208"/>
      <c r="BF2666" s="16"/>
      <c r="BG2666" s="19"/>
      <c r="BH2666" s="20"/>
      <c r="BI2666" s="77"/>
      <c r="BJ2666" s="38"/>
      <c r="BK2666" s="145"/>
      <c r="BL2666" s="80"/>
      <c r="BM2666" s="75"/>
      <c r="BN2666" s="208"/>
      <c r="BO2666" s="16"/>
      <c r="BP2666" s="19"/>
      <c r="BQ2666" s="20"/>
      <c r="BR2666" s="32"/>
      <c r="BS2666" s="38"/>
      <c r="BT2666" s="145"/>
      <c r="BU2666" s="80"/>
      <c r="BV2666" s="215"/>
      <c r="BX2666" s="321"/>
      <c r="BY2666" s="158"/>
    </row>
    <row r="2667" spans="1:77" ht="15" customHeight="1" x14ac:dyDescent="0.2">
      <c r="A2667" s="56" t="s">
        <v>84</v>
      </c>
      <c r="B2667" s="56"/>
      <c r="C2667" s="637" t="s">
        <v>2790</v>
      </c>
      <c r="D2667" s="544">
        <v>50</v>
      </c>
      <c r="E2667" s="107" t="s">
        <v>631</v>
      </c>
      <c r="F2667" s="362"/>
      <c r="G2667" s="62"/>
      <c r="H2667" s="69"/>
      <c r="I2667" s="74"/>
      <c r="J2667" s="68"/>
      <c r="K2667" s="69"/>
      <c r="L2667" s="74"/>
      <c r="M2667" s="68"/>
      <c r="N2667" s="356"/>
      <c r="O2667" s="923">
        <v>2013</v>
      </c>
      <c r="P2667" s="68"/>
      <c r="Q2667" s="354">
        <v>5.2900000000000003E-2</v>
      </c>
      <c r="R2667" s="923"/>
      <c r="S2667" s="68"/>
      <c r="T2667" s="354"/>
      <c r="U2667" s="68"/>
      <c r="V2667" s="68"/>
      <c r="W2667" s="674">
        <f t="shared" si="2384"/>
        <v>4.2320000000000008E-5</v>
      </c>
      <c r="X2667" s="675">
        <f t="shared" si="2385"/>
        <v>4.2320000000000008E-5</v>
      </c>
      <c r="Y2667" s="53">
        <v>2013</v>
      </c>
      <c r="Z2667" s="83"/>
      <c r="AA2667" s="929">
        <f t="shared" si="2386"/>
        <v>5.2900000000000005E-5</v>
      </c>
      <c r="AB2667" s="399">
        <v>-0.2</v>
      </c>
      <c r="AC2667" s="618">
        <v>-0.2</v>
      </c>
      <c r="AD2667" s="16"/>
      <c r="AE2667" s="16"/>
      <c r="AF2667" s="19"/>
      <c r="AG2667" s="20"/>
      <c r="AH2667" s="77"/>
      <c r="AI2667" s="38"/>
      <c r="AJ2667" s="145"/>
      <c r="AK2667" s="80"/>
      <c r="AL2667" s="215"/>
      <c r="AM2667" s="456"/>
      <c r="AN2667" s="387"/>
      <c r="AO2667" s="454"/>
      <c r="AP2667" s="439"/>
      <c r="AQ2667" s="440"/>
      <c r="AR2667" s="424"/>
      <c r="AS2667" s="453"/>
      <c r="AT2667" s="292"/>
      <c r="AU2667" s="293"/>
      <c r="AV2667" s="16"/>
      <c r="AW2667" s="16"/>
      <c r="AX2667" s="19"/>
      <c r="AY2667" s="20"/>
      <c r="AZ2667" s="77"/>
      <c r="BA2667" s="38"/>
      <c r="BB2667" s="145"/>
      <c r="BC2667" s="80"/>
      <c r="BD2667" s="75"/>
      <c r="BE2667" s="208"/>
      <c r="BF2667" s="16"/>
      <c r="BG2667" s="19"/>
      <c r="BH2667" s="20"/>
      <c r="BI2667" s="77"/>
      <c r="BJ2667" s="38"/>
      <c r="BK2667" s="145"/>
      <c r="BL2667" s="80"/>
      <c r="BM2667" s="75"/>
      <c r="BN2667" s="208"/>
      <c r="BO2667" s="16"/>
      <c r="BP2667" s="19"/>
      <c r="BQ2667" s="20"/>
      <c r="BR2667" s="32"/>
      <c r="BS2667" s="38"/>
      <c r="BT2667" s="145"/>
      <c r="BU2667" s="80"/>
      <c r="BV2667" s="215"/>
      <c r="BX2667" s="321"/>
      <c r="BY2667" s="158"/>
    </row>
    <row r="2668" spans="1:77" ht="15" customHeight="1" x14ac:dyDescent="0.2">
      <c r="A2668" s="56" t="s">
        <v>84</v>
      </c>
      <c r="B2668" s="56"/>
      <c r="C2668" s="637" t="s">
        <v>2113</v>
      </c>
      <c r="D2668" s="544">
        <v>0.8</v>
      </c>
      <c r="E2668" s="107" t="s">
        <v>631</v>
      </c>
      <c r="F2668" s="362"/>
      <c r="G2668" s="62"/>
      <c r="H2668" s="69"/>
      <c r="I2668" s="74"/>
      <c r="J2668" s="68"/>
      <c r="K2668" s="69"/>
      <c r="L2668" s="74"/>
      <c r="M2668" s="68"/>
      <c r="N2668" s="356"/>
      <c r="O2668" s="923">
        <v>2013</v>
      </c>
      <c r="P2668" s="68"/>
      <c r="Q2668" s="356">
        <v>1.3072820000000001</v>
      </c>
      <c r="R2668" s="923"/>
      <c r="S2668" s="68"/>
      <c r="T2668" s="356"/>
      <c r="U2668" s="68"/>
      <c r="V2668" s="68"/>
      <c r="W2668" s="674">
        <f t="shared" si="2384"/>
        <v>1.0458256000000002E-3</v>
      </c>
      <c r="X2668" s="675">
        <f t="shared" si="2385"/>
        <v>1.0458256000000002E-3</v>
      </c>
      <c r="Y2668" s="53">
        <v>2013</v>
      </c>
      <c r="Z2668" s="83"/>
      <c r="AA2668" s="929">
        <f t="shared" si="2386"/>
        <v>1.3072820000000001E-3</v>
      </c>
      <c r="AB2668" s="399">
        <v>-0.2</v>
      </c>
      <c r="AC2668" s="618">
        <v>-0.2</v>
      </c>
      <c r="AD2668" s="16"/>
      <c r="AE2668" s="16"/>
      <c r="AF2668" s="697">
        <f>+AJ2668*(1+AK2668)</f>
        <v>9.8046150000000013E-4</v>
      </c>
      <c r="AG2668" s="698">
        <f>+AJ2668*(1+AL2668)</f>
        <v>9.8046150000000013E-4</v>
      </c>
      <c r="AH2668" s="617">
        <v>2013</v>
      </c>
      <c r="AI2668" s="650"/>
      <c r="AJ2668" s="673">
        <f>+Q2668/1000</f>
        <v>1.3072820000000001E-3</v>
      </c>
      <c r="AK2668" s="399">
        <v>-0.25</v>
      </c>
      <c r="AL2668" s="618">
        <f>AK2668</f>
        <v>-0.25</v>
      </c>
      <c r="AM2668" s="456"/>
      <c r="AN2668" s="387"/>
      <c r="AO2668" s="454"/>
      <c r="AP2668" s="439"/>
      <c r="AQ2668" s="440"/>
      <c r="AR2668" s="424"/>
      <c r="AS2668" s="453"/>
      <c r="AT2668" s="292"/>
      <c r="AU2668" s="293"/>
      <c r="AV2668" s="16"/>
      <c r="AW2668" s="16"/>
      <c r="AX2668" s="19"/>
      <c r="AY2668" s="20"/>
      <c r="AZ2668" s="77"/>
      <c r="BA2668" s="38"/>
      <c r="BB2668" s="145"/>
      <c r="BC2668" s="80"/>
      <c r="BD2668" s="75"/>
      <c r="BE2668" s="208"/>
      <c r="BF2668" s="16"/>
      <c r="BG2668" s="19"/>
      <c r="BH2668" s="20"/>
      <c r="BI2668" s="77"/>
      <c r="BJ2668" s="38"/>
      <c r="BK2668" s="145"/>
      <c r="BL2668" s="80"/>
      <c r="BM2668" s="75"/>
      <c r="BN2668" s="208"/>
      <c r="BO2668" s="16"/>
      <c r="BP2668" s="19"/>
      <c r="BQ2668" s="20"/>
      <c r="BR2668" s="32"/>
      <c r="BS2668" s="38"/>
      <c r="BT2668" s="145"/>
      <c r="BU2668" s="80"/>
      <c r="BV2668" s="215"/>
      <c r="BX2668" s="321"/>
      <c r="BY2668" s="158"/>
    </row>
    <row r="2669" spans="1:77" ht="15" customHeight="1" x14ac:dyDescent="0.2">
      <c r="A2669" s="56" t="s">
        <v>99</v>
      </c>
      <c r="B2669" s="56" t="s">
        <v>1606</v>
      </c>
      <c r="C2669" s="637"/>
      <c r="D2669" s="544">
        <v>2802.768</v>
      </c>
      <c r="E2669" s="95" t="s">
        <v>3256</v>
      </c>
      <c r="F2669" s="373">
        <v>1994</v>
      </c>
      <c r="G2669" s="62">
        <v>20.879000000000001</v>
      </c>
      <c r="H2669" s="69">
        <v>20.879000000000001</v>
      </c>
      <c r="I2669" s="74">
        <v>2000</v>
      </c>
      <c r="J2669" s="68">
        <v>21.666</v>
      </c>
      <c r="K2669" s="69">
        <f>J2669-0.799</f>
        <v>20.867000000000001</v>
      </c>
      <c r="L2669" s="74"/>
      <c r="M2669" s="68"/>
      <c r="N2669" s="68"/>
      <c r="O2669" s="923"/>
      <c r="P2669" s="68">
        <v>96.072000000000003</v>
      </c>
      <c r="Q2669" s="356">
        <f>P2669-1.466</f>
        <v>94.606000000000009</v>
      </c>
      <c r="R2669" s="923"/>
      <c r="S2669" s="68"/>
      <c r="T2669" s="356"/>
      <c r="U2669" s="437">
        <v>79</v>
      </c>
      <c r="V2669" s="68"/>
      <c r="W2669" s="454">
        <f>U2669/1000</f>
        <v>7.9000000000000001E-2</v>
      </c>
      <c r="X2669" s="439">
        <f>W2669</f>
        <v>7.9000000000000001E-2</v>
      </c>
      <c r="Y2669" s="497">
        <v>2020</v>
      </c>
      <c r="Z2669" s="38"/>
      <c r="AA2669" s="145"/>
      <c r="AB2669" s="292">
        <v>0</v>
      </c>
      <c r="AC2669" s="284">
        <v>0</v>
      </c>
      <c r="AD2669" s="387">
        <v>8.5000000000000006E-2</v>
      </c>
      <c r="AE2669" s="387">
        <f>AD2669</f>
        <v>8.5000000000000006E-2</v>
      </c>
      <c r="AF2669" s="454">
        <v>8.4000000000000005E-2</v>
      </c>
      <c r="AG2669" s="439">
        <f>AF2669</f>
        <v>8.4000000000000005E-2</v>
      </c>
      <c r="AH2669" s="440">
        <v>2025</v>
      </c>
      <c r="AI2669" s="38"/>
      <c r="AJ2669" s="145"/>
      <c r="AK2669" s="80"/>
      <c r="AL2669" s="215"/>
      <c r="AM2669" s="207">
        <v>0.125254</v>
      </c>
      <c r="AN2669" s="47">
        <f>AM2669</f>
        <v>0.125254</v>
      </c>
      <c r="AO2669" s="78">
        <f>AM2669*(1+AT2669)</f>
        <v>0.12024384</v>
      </c>
      <c r="AP2669" s="47">
        <f>AR2669*(1+AU2669)</f>
        <v>0.11648622</v>
      </c>
      <c r="AQ2669" s="262">
        <v>2030</v>
      </c>
      <c r="AR2669" s="48">
        <f>AM2669</f>
        <v>0.125254</v>
      </c>
      <c r="AS2669" s="1340"/>
      <c r="AT2669" s="1325">
        <v>-0.04</v>
      </c>
      <c r="AU2669" s="1326">
        <v>-7.0000000000000007E-2</v>
      </c>
      <c r="AV2669" s="16"/>
      <c r="AW2669" s="16"/>
      <c r="AX2669" s="19"/>
      <c r="AY2669" s="20"/>
      <c r="AZ2669" s="77"/>
      <c r="BA2669" s="38"/>
      <c r="BB2669" s="145"/>
      <c r="BC2669" s="80"/>
      <c r="BD2669" s="75"/>
      <c r="BE2669" s="208"/>
      <c r="BF2669" s="16"/>
      <c r="BG2669" s="19"/>
      <c r="BH2669" s="20"/>
      <c r="BI2669" s="77"/>
      <c r="BJ2669" s="38"/>
      <c r="BK2669" s="145"/>
      <c r="BL2669" s="80"/>
      <c r="BM2669" s="75"/>
      <c r="BN2669" s="208"/>
      <c r="BO2669" s="16"/>
      <c r="BP2669" s="19"/>
      <c r="BQ2669" s="20"/>
      <c r="BR2669" s="32"/>
      <c r="BS2669" s="38"/>
      <c r="BT2669" s="145"/>
      <c r="BU2669" s="80"/>
      <c r="BV2669" s="215"/>
      <c r="BX2669" s="321"/>
      <c r="BY2669" s="38"/>
    </row>
    <row r="2670" spans="1:77" ht="15" customHeight="1" x14ac:dyDescent="0.2">
      <c r="A2670" s="56" t="s">
        <v>250</v>
      </c>
      <c r="B2670" s="56" t="s">
        <v>1606</v>
      </c>
      <c r="C2670" s="315"/>
      <c r="D2670" s="188">
        <v>3811</v>
      </c>
      <c r="E2670" s="107" t="s">
        <v>3283</v>
      </c>
      <c r="F2670" s="923">
        <v>2011</v>
      </c>
      <c r="G2670" s="68">
        <v>3.2263000000000002</v>
      </c>
      <c r="H2670" s="68">
        <f>G2670-1.9977</f>
        <v>1.2286000000000001</v>
      </c>
      <c r="I2670" s="74"/>
      <c r="J2670" s="68"/>
      <c r="K2670" s="69"/>
      <c r="L2670" s="74">
        <v>2011</v>
      </c>
      <c r="M2670" s="68">
        <v>3.2263000000000002</v>
      </c>
      <c r="N2670" s="356">
        <f>M2670-1.9977</f>
        <v>1.2286000000000001</v>
      </c>
      <c r="O2670" s="923"/>
      <c r="P2670" s="68"/>
      <c r="Q2670" s="356"/>
      <c r="R2670" s="923"/>
      <c r="S2670" s="68"/>
      <c r="T2670" s="356"/>
      <c r="U2670" s="68"/>
      <c r="V2670" s="68"/>
      <c r="W2670" s="27"/>
      <c r="X2670" s="28"/>
      <c r="Y2670" s="145"/>
      <c r="Z2670" s="38"/>
      <c r="AA2670" s="145"/>
      <c r="AB2670" s="80"/>
      <c r="AC2670" s="209"/>
      <c r="AD2670" s="16"/>
      <c r="AE2670" s="16"/>
      <c r="AF2670" s="19"/>
      <c r="AG2670" s="20"/>
      <c r="AH2670" s="77"/>
      <c r="AI2670" s="38"/>
      <c r="AJ2670" s="145"/>
      <c r="AK2670" s="80"/>
      <c r="AL2670" s="215"/>
      <c r="AM2670" s="208"/>
      <c r="AN2670" s="16"/>
      <c r="AO2670" s="19"/>
      <c r="AP2670" s="20"/>
      <c r="AQ2670" s="77"/>
      <c r="AR2670" s="38"/>
      <c r="AS2670" s="145"/>
      <c r="AT2670" s="80"/>
      <c r="AU2670" s="215"/>
      <c r="AV2670" s="16"/>
      <c r="AW2670" s="16"/>
      <c r="AX2670" s="19"/>
      <c r="AY2670" s="20"/>
      <c r="AZ2670" s="77"/>
      <c r="BA2670" s="38"/>
      <c r="BB2670" s="145"/>
      <c r="BC2670" s="80"/>
      <c r="BD2670" s="75"/>
      <c r="BE2670" s="208"/>
      <c r="BF2670" s="16"/>
      <c r="BG2670" s="1344">
        <f>0.0091*(1-BL2670)</f>
        <v>1.0692500000000001E-2</v>
      </c>
      <c r="BH2670" s="1322">
        <f>0.0181*(1-BM2670)</f>
        <v>2.2914600000000004E-2</v>
      </c>
      <c r="BI2670" s="262">
        <v>2040</v>
      </c>
      <c r="BJ2670" s="1364"/>
      <c r="BK2670" s="1340"/>
      <c r="BL2670" s="1345">
        <v>-0.17499999999999999</v>
      </c>
      <c r="BM2670" s="1503">
        <v>-0.26600000000000001</v>
      </c>
      <c r="BN2670" s="208"/>
      <c r="BO2670" s="16"/>
      <c r="BP2670" s="19"/>
      <c r="BQ2670" s="20"/>
      <c r="BR2670" s="32"/>
      <c r="BS2670" s="38"/>
      <c r="BT2670" s="145"/>
      <c r="BU2670" s="80"/>
      <c r="BV2670" s="215"/>
      <c r="BX2670" s="321"/>
      <c r="BY2670" s="38"/>
    </row>
    <row r="2671" spans="1:77" ht="15" customHeight="1" x14ac:dyDescent="0.2">
      <c r="A2671" s="56" t="s">
        <v>250</v>
      </c>
      <c r="B2671" s="56"/>
      <c r="C2671" s="163" t="s">
        <v>678</v>
      </c>
      <c r="D2671" s="188">
        <v>30</v>
      </c>
      <c r="E2671" s="107" t="s">
        <v>2615</v>
      </c>
      <c r="F2671" s="373"/>
      <c r="G2671" s="62"/>
      <c r="H2671" s="69"/>
      <c r="I2671" s="74"/>
      <c r="J2671" s="68"/>
      <c r="K2671" s="69"/>
      <c r="L2671" s="74"/>
      <c r="M2671" s="68"/>
      <c r="N2671" s="354">
        <v>1.8319999999999999E-2</v>
      </c>
      <c r="O2671" s="923"/>
      <c r="P2671" s="68"/>
      <c r="Q2671" s="354"/>
      <c r="R2671" s="923"/>
      <c r="S2671" s="68"/>
      <c r="T2671" s="354"/>
      <c r="U2671" s="68"/>
      <c r="V2671" s="68"/>
      <c r="W2671" s="704">
        <f>+AA2671*(1+AB2671)</f>
        <v>1.4839200000000002E-5</v>
      </c>
      <c r="X2671" s="705">
        <f>+AA2671*(1+AC2671)</f>
        <v>1.4839200000000002E-5</v>
      </c>
      <c r="Y2671" s="617">
        <v>2010</v>
      </c>
      <c r="Z2671" s="650"/>
      <c r="AA2671" s="673">
        <f>+N2671/1000</f>
        <v>1.8320000000000001E-5</v>
      </c>
      <c r="AB2671" s="399">
        <v>-0.19</v>
      </c>
      <c r="AC2671" s="618">
        <f>AB2671</f>
        <v>-0.19</v>
      </c>
      <c r="AD2671" s="16"/>
      <c r="AE2671" s="16"/>
      <c r="AF2671" s="697"/>
      <c r="AG2671" s="698"/>
      <c r="AH2671" s="617"/>
      <c r="AI2671" s="650"/>
      <c r="AJ2671" s="673"/>
      <c r="AK2671" s="399"/>
      <c r="AL2671" s="618"/>
      <c r="AM2671" s="208"/>
      <c r="AN2671" s="16"/>
      <c r="AO2671" s="19"/>
      <c r="AP2671" s="20"/>
      <c r="AQ2671" s="77"/>
      <c r="AR2671" s="38"/>
      <c r="AS2671" s="145"/>
      <c r="AT2671" s="80"/>
      <c r="AU2671" s="215"/>
      <c r="AV2671" s="16"/>
      <c r="AW2671" s="16"/>
      <c r="AX2671" s="19"/>
      <c r="AY2671" s="20"/>
      <c r="AZ2671" s="77"/>
      <c r="BA2671" s="38"/>
      <c r="BB2671" s="145"/>
      <c r="BC2671" s="80"/>
      <c r="BD2671" s="75"/>
      <c r="BE2671" s="208"/>
      <c r="BF2671" s="16"/>
      <c r="BG2671" s="19"/>
      <c r="BH2671" s="20"/>
      <c r="BI2671" s="77"/>
      <c r="BJ2671" s="38"/>
      <c r="BK2671" s="145"/>
      <c r="BL2671" s="80"/>
      <c r="BM2671" s="75"/>
      <c r="BN2671" s="208"/>
      <c r="BO2671" s="16"/>
      <c r="BP2671" s="19"/>
      <c r="BQ2671" s="20"/>
      <c r="BR2671" s="32"/>
      <c r="BS2671" s="38"/>
      <c r="BT2671" s="145"/>
      <c r="BU2671" s="80"/>
      <c r="BV2671" s="215"/>
      <c r="BX2671" s="321"/>
      <c r="BY2671" s="38"/>
    </row>
    <row r="2672" spans="1:77" ht="15" customHeight="1" x14ac:dyDescent="0.2">
      <c r="A2672" s="56" t="s">
        <v>250</v>
      </c>
      <c r="B2672" s="56"/>
      <c r="C2672" s="163" t="s">
        <v>2356</v>
      </c>
      <c r="D2672" s="188">
        <v>163.14599999999999</v>
      </c>
      <c r="E2672" s="107" t="s">
        <v>631</v>
      </c>
      <c r="F2672" s="373"/>
      <c r="G2672" s="62"/>
      <c r="H2672" s="69"/>
      <c r="I2672" s="74"/>
      <c r="J2672" s="68"/>
      <c r="K2672" s="69"/>
      <c r="L2672" s="74"/>
      <c r="M2672" s="68"/>
      <c r="N2672" s="354"/>
      <c r="O2672" s="923">
        <v>2014</v>
      </c>
      <c r="P2672" s="68"/>
      <c r="Q2672" s="354">
        <v>0.44819399999999998</v>
      </c>
      <c r="R2672" s="923"/>
      <c r="S2672" s="68"/>
      <c r="T2672" s="354"/>
      <c r="U2672" s="68"/>
      <c r="V2672" s="68"/>
      <c r="W2672" s="674">
        <f>AA2672*(1+AB2672)</f>
        <v>3.585552E-4</v>
      </c>
      <c r="X2672" s="675">
        <f>AA2672*(1+AC2672)</f>
        <v>3.585552E-4</v>
      </c>
      <c r="Y2672" s="53">
        <v>2014</v>
      </c>
      <c r="Z2672" s="83"/>
      <c r="AA2672" s="929">
        <f>+Q2672/1000</f>
        <v>4.4819399999999996E-4</v>
      </c>
      <c r="AB2672" s="399">
        <v>-0.2</v>
      </c>
      <c r="AC2672" s="618">
        <v>-0.2</v>
      </c>
      <c r="AD2672" s="16"/>
      <c r="AE2672" s="16"/>
      <c r="AF2672" s="697"/>
      <c r="AG2672" s="698"/>
      <c r="AH2672" s="617"/>
      <c r="AI2672" s="650"/>
      <c r="AJ2672" s="673"/>
      <c r="AK2672" s="399"/>
      <c r="AL2672" s="618"/>
      <c r="AM2672" s="208"/>
      <c r="AN2672" s="16"/>
      <c r="AO2672" s="19"/>
      <c r="AP2672" s="20"/>
      <c r="AQ2672" s="77"/>
      <c r="AR2672" s="38"/>
      <c r="AS2672" s="145"/>
      <c r="AT2672" s="80"/>
      <c r="AU2672" s="215"/>
      <c r="AV2672" s="16"/>
      <c r="AW2672" s="16"/>
      <c r="AX2672" s="19"/>
      <c r="AY2672" s="20"/>
      <c r="AZ2672" s="77"/>
      <c r="BA2672" s="38"/>
      <c r="BB2672" s="145"/>
      <c r="BC2672" s="80"/>
      <c r="BD2672" s="75"/>
      <c r="BE2672" s="208"/>
      <c r="BF2672" s="16"/>
      <c r="BG2672" s="19"/>
      <c r="BH2672" s="20"/>
      <c r="BI2672" s="77"/>
      <c r="BJ2672" s="38"/>
      <c r="BK2672" s="145"/>
      <c r="BL2672" s="80"/>
      <c r="BM2672" s="75"/>
      <c r="BN2672" s="208"/>
      <c r="BO2672" s="16"/>
      <c r="BP2672" s="19"/>
      <c r="BQ2672" s="20"/>
      <c r="BR2672" s="32"/>
      <c r="BS2672" s="38"/>
      <c r="BT2672" s="145"/>
      <c r="BU2672" s="80"/>
      <c r="BV2672" s="215"/>
      <c r="BX2672" s="321"/>
      <c r="BY2672" s="38"/>
    </row>
    <row r="2673" spans="1:77" ht="15" customHeight="1" x14ac:dyDescent="0.2">
      <c r="A2673" s="56" t="s">
        <v>250</v>
      </c>
      <c r="B2673" s="56"/>
      <c r="C2673" s="163" t="s">
        <v>2355</v>
      </c>
      <c r="D2673" s="188">
        <v>190</v>
      </c>
      <c r="E2673" s="107" t="s">
        <v>631</v>
      </c>
      <c r="F2673" s="373"/>
      <c r="G2673" s="62"/>
      <c r="H2673" s="69"/>
      <c r="I2673" s="74"/>
      <c r="J2673" s="68"/>
      <c r="K2673" s="69"/>
      <c r="L2673" s="74"/>
      <c r="M2673" s="68"/>
      <c r="N2673" s="354"/>
      <c r="O2673" s="923">
        <v>2014</v>
      </c>
      <c r="P2673" s="68"/>
      <c r="Q2673" s="354">
        <v>0.39823799999999998</v>
      </c>
      <c r="R2673" s="923"/>
      <c r="S2673" s="68"/>
      <c r="T2673" s="354"/>
      <c r="U2673" s="68"/>
      <c r="V2673" s="68"/>
      <c r="W2673" s="674">
        <f>AA2673*(1+AB2673)</f>
        <v>3.1859040000000003E-4</v>
      </c>
      <c r="X2673" s="675">
        <f>AA2673*(1+AC2673)</f>
        <v>3.1859040000000003E-4</v>
      </c>
      <c r="Y2673" s="53">
        <v>2014</v>
      </c>
      <c r="Z2673" s="83"/>
      <c r="AA2673" s="929">
        <f>+Q2673/1000</f>
        <v>3.9823799999999998E-4</v>
      </c>
      <c r="AB2673" s="399">
        <v>-0.2</v>
      </c>
      <c r="AC2673" s="618">
        <v>-0.2</v>
      </c>
      <c r="AD2673" s="16"/>
      <c r="AE2673" s="16"/>
      <c r="AF2673" s="697"/>
      <c r="AG2673" s="698"/>
      <c r="AH2673" s="617"/>
      <c r="AI2673" s="650"/>
      <c r="AJ2673" s="673"/>
      <c r="AK2673" s="399"/>
      <c r="AL2673" s="618"/>
      <c r="AM2673" s="208"/>
      <c r="AN2673" s="16"/>
      <c r="AO2673" s="19"/>
      <c r="AP2673" s="20"/>
      <c r="AQ2673" s="77"/>
      <c r="AR2673" s="38"/>
      <c r="AS2673" s="145"/>
      <c r="AT2673" s="80"/>
      <c r="AU2673" s="215"/>
      <c r="AV2673" s="16"/>
      <c r="AW2673" s="16"/>
      <c r="AX2673" s="19"/>
      <c r="AY2673" s="20"/>
      <c r="AZ2673" s="77"/>
      <c r="BA2673" s="38"/>
      <c r="BB2673" s="145"/>
      <c r="BC2673" s="80"/>
      <c r="BD2673" s="75"/>
      <c r="BE2673" s="208"/>
      <c r="BF2673" s="16"/>
      <c r="BG2673" s="19"/>
      <c r="BH2673" s="20"/>
      <c r="BI2673" s="77"/>
      <c r="BJ2673" s="38"/>
      <c r="BK2673" s="145"/>
      <c r="BL2673" s="80"/>
      <c r="BM2673" s="75"/>
      <c r="BN2673" s="208"/>
      <c r="BO2673" s="16"/>
      <c r="BP2673" s="19"/>
      <c r="BQ2673" s="20"/>
      <c r="BR2673" s="32"/>
      <c r="BS2673" s="38"/>
      <c r="BT2673" s="145"/>
      <c r="BU2673" s="80"/>
      <c r="BV2673" s="215"/>
      <c r="BX2673" s="321"/>
      <c r="BY2673" s="38"/>
    </row>
    <row r="2674" spans="1:77" ht="15" customHeight="1" x14ac:dyDescent="0.2">
      <c r="A2674" s="56" t="s">
        <v>250</v>
      </c>
      <c r="B2674" s="56"/>
      <c r="C2674" s="163" t="s">
        <v>2126</v>
      </c>
      <c r="D2674" s="188">
        <v>101</v>
      </c>
      <c r="E2674" s="107" t="s">
        <v>631</v>
      </c>
      <c r="F2674" s="373"/>
      <c r="G2674" s="62"/>
      <c r="H2674" s="69"/>
      <c r="I2674" s="74"/>
      <c r="J2674" s="68"/>
      <c r="K2674" s="69"/>
      <c r="L2674" s="74"/>
      <c r="M2674" s="68"/>
      <c r="N2674" s="354"/>
      <c r="O2674" s="923">
        <v>2014</v>
      </c>
      <c r="P2674" s="68"/>
      <c r="Q2674" s="354">
        <v>0.191325</v>
      </c>
      <c r="R2674" s="923"/>
      <c r="S2674" s="68"/>
      <c r="T2674" s="354"/>
      <c r="U2674" s="68"/>
      <c r="V2674" s="68"/>
      <c r="W2674" s="674">
        <f>AA2674*(1+AB2674)</f>
        <v>1.5306E-4</v>
      </c>
      <c r="X2674" s="675">
        <f>AA2674*(1+AC2674)</f>
        <v>1.5306E-4</v>
      </c>
      <c r="Y2674" s="53">
        <v>2014</v>
      </c>
      <c r="Z2674" s="83"/>
      <c r="AA2674" s="929">
        <f>+Q2674/1000</f>
        <v>1.91325E-4</v>
      </c>
      <c r="AB2674" s="399">
        <v>-0.2</v>
      </c>
      <c r="AC2674" s="618">
        <v>-0.2</v>
      </c>
      <c r="AD2674" s="16"/>
      <c r="AE2674" s="16"/>
      <c r="AF2674" s="697"/>
      <c r="AG2674" s="698"/>
      <c r="AH2674" s="617"/>
      <c r="AI2674" s="650"/>
      <c r="AJ2674" s="673"/>
      <c r="AK2674" s="399"/>
      <c r="AL2674" s="618"/>
      <c r="AM2674" s="208"/>
      <c r="AN2674" s="16"/>
      <c r="AO2674" s="19"/>
      <c r="AP2674" s="20"/>
      <c r="AQ2674" s="77"/>
      <c r="AR2674" s="38"/>
      <c r="AS2674" s="145"/>
      <c r="AT2674" s="80"/>
      <c r="AU2674" s="215"/>
      <c r="AV2674" s="16"/>
      <c r="AW2674" s="16"/>
      <c r="AX2674" s="19"/>
      <c r="AY2674" s="20"/>
      <c r="AZ2674" s="77"/>
      <c r="BA2674" s="38"/>
      <c r="BB2674" s="145"/>
      <c r="BC2674" s="80"/>
      <c r="BD2674" s="75"/>
      <c r="BE2674" s="208"/>
      <c r="BF2674" s="16"/>
      <c r="BG2674" s="19"/>
      <c r="BH2674" s="20"/>
      <c r="BI2674" s="77"/>
      <c r="BJ2674" s="38"/>
      <c r="BK2674" s="145"/>
      <c r="BL2674" s="80"/>
      <c r="BM2674" s="75"/>
      <c r="BN2674" s="208"/>
      <c r="BO2674" s="16"/>
      <c r="BP2674" s="19"/>
      <c r="BQ2674" s="20"/>
      <c r="BR2674" s="32"/>
      <c r="BS2674" s="38"/>
      <c r="BT2674" s="145"/>
      <c r="BU2674" s="80"/>
      <c r="BV2674" s="215"/>
      <c r="BX2674" s="321"/>
      <c r="BY2674" s="38"/>
    </row>
    <row r="2675" spans="1:77" ht="15" customHeight="1" x14ac:dyDescent="0.2">
      <c r="A2675" s="56" t="s">
        <v>105</v>
      </c>
      <c r="B2675" s="56" t="s">
        <v>1606</v>
      </c>
      <c r="C2675" s="637"/>
      <c r="D2675" s="544">
        <v>1749.713</v>
      </c>
      <c r="E2675" s="1273" t="s">
        <v>3272</v>
      </c>
      <c r="F2675" s="362">
        <v>2007</v>
      </c>
      <c r="G2675" s="121">
        <v>62.406545000000001</v>
      </c>
      <c r="H2675" s="69">
        <f>+G2675</f>
        <v>62.406545000000001</v>
      </c>
      <c r="I2675" s="74">
        <v>2007</v>
      </c>
      <c r="J2675" s="62">
        <f>+G2675</f>
        <v>62.406545000000001</v>
      </c>
      <c r="K2675" s="69">
        <f>+G2675</f>
        <v>62.406545000000001</v>
      </c>
      <c r="L2675" s="74">
        <v>2007</v>
      </c>
      <c r="M2675" s="62">
        <f>+G2675</f>
        <v>62.406545000000001</v>
      </c>
      <c r="N2675" s="356">
        <f>+G2675</f>
        <v>62.406545000000001</v>
      </c>
      <c r="O2675" s="923"/>
      <c r="P2675" s="62"/>
      <c r="Q2675" s="356"/>
      <c r="R2675" s="923"/>
      <c r="S2675" s="62"/>
      <c r="T2675" s="356"/>
      <c r="U2675" s="62"/>
      <c r="V2675" s="68"/>
      <c r="W2675" s="27"/>
      <c r="X2675" s="28"/>
      <c r="Y2675" s="145"/>
      <c r="Z2675" s="38"/>
      <c r="AA2675" s="145"/>
      <c r="AB2675" s="80"/>
      <c r="AC2675" s="209"/>
      <c r="AD2675" s="16"/>
      <c r="AE2675" s="16"/>
      <c r="AF2675" s="19"/>
      <c r="AG2675" s="20"/>
      <c r="AH2675" s="77"/>
      <c r="AI2675" s="38"/>
      <c r="AJ2675" s="145"/>
      <c r="AK2675" s="80"/>
      <c r="AL2675" s="215"/>
      <c r="AM2675" s="919"/>
      <c r="AN2675" s="713">
        <f>N2675*1.6/1000</f>
        <v>9.985047200000001E-2</v>
      </c>
      <c r="AO2675" s="78">
        <f>AR2675*(1+AT2675)</f>
        <v>7.4887854000000004E-2</v>
      </c>
      <c r="AP2675" s="47">
        <f>AR2675*(1+AU2675)</f>
        <v>7.4887854000000004E-2</v>
      </c>
      <c r="AQ2675" s="262">
        <v>2030</v>
      </c>
      <c r="AR2675" s="48">
        <f>AN2675</f>
        <v>9.985047200000001E-2</v>
      </c>
      <c r="AS2675" s="1340"/>
      <c r="AT2675" s="1325">
        <v>-0.25</v>
      </c>
      <c r="AU2675" s="1326">
        <f>AT2675</f>
        <v>-0.25</v>
      </c>
      <c r="AV2675" s="16"/>
      <c r="AW2675" s="16"/>
      <c r="AX2675" s="19"/>
      <c r="AY2675" s="20"/>
      <c r="AZ2675" s="77"/>
      <c r="BA2675" s="38"/>
      <c r="BB2675" s="145"/>
      <c r="BC2675" s="80"/>
      <c r="BD2675" s="75"/>
      <c r="BE2675" s="208"/>
      <c r="BF2675" s="16"/>
      <c r="BG2675" s="19"/>
      <c r="BH2675" s="20"/>
      <c r="BI2675" s="77"/>
      <c r="BJ2675" s="38"/>
      <c r="BK2675" s="145"/>
      <c r="BL2675" s="80"/>
      <c r="BM2675" s="75"/>
      <c r="BN2675" s="208"/>
      <c r="BO2675" s="16"/>
      <c r="BP2675" s="19"/>
      <c r="BQ2675" s="20"/>
      <c r="BR2675" s="32"/>
      <c r="BS2675" s="38"/>
      <c r="BT2675" s="145"/>
      <c r="BU2675" s="80"/>
      <c r="BV2675" s="215"/>
      <c r="BX2675" s="321"/>
      <c r="BY2675" s="38"/>
    </row>
    <row r="2676" spans="1:77" ht="15" customHeight="1" x14ac:dyDescent="0.2">
      <c r="A2676" s="56" t="s">
        <v>106</v>
      </c>
      <c r="B2676" s="56" t="s">
        <v>1606</v>
      </c>
      <c r="C2676" s="637"/>
      <c r="D2676" s="544">
        <v>27258.386999999999</v>
      </c>
      <c r="E2676" s="95" t="s">
        <v>2743</v>
      </c>
      <c r="F2676" s="362"/>
      <c r="G2676" s="62">
        <v>150</v>
      </c>
      <c r="H2676" s="69">
        <v>165.3</v>
      </c>
      <c r="I2676" s="74">
        <v>2000</v>
      </c>
      <c r="J2676" s="68">
        <v>281.89999999999998</v>
      </c>
      <c r="K2676" s="69">
        <v>296.10000000000002</v>
      </c>
      <c r="L2676" s="74"/>
      <c r="M2676" s="68">
        <f>N2676-9.049</f>
        <v>517.22268499999996</v>
      </c>
      <c r="N2676" s="68">
        <f>472.186+2.066725*21+0.034466*310</f>
        <v>526.27168499999993</v>
      </c>
      <c r="O2676" s="923">
        <v>2012</v>
      </c>
      <c r="P2676" s="68">
        <f>Q2676-9.151</f>
        <v>539.12170000000003</v>
      </c>
      <c r="Q2676" s="356">
        <f>498.8526+(1779.1*21+38.9*310)/1000</f>
        <v>548.27269999999999</v>
      </c>
      <c r="R2676" s="1038">
        <v>2019</v>
      </c>
      <c r="S2676" s="93">
        <f>T2676-9.151</f>
        <v>571.04910000000007</v>
      </c>
      <c r="T2676" s="378">
        <f>530.78+(1779.1*21+38.9*310)/1000</f>
        <v>580.20010000000002</v>
      </c>
      <c r="U2676" s="68"/>
      <c r="V2676" s="68"/>
      <c r="W2676" s="27"/>
      <c r="X2676" s="28"/>
      <c r="Y2676" s="145"/>
      <c r="Z2676" s="38"/>
      <c r="AA2676" s="145"/>
      <c r="AB2676" s="80"/>
      <c r="AC2676" s="209"/>
      <c r="AD2676" s="16"/>
      <c r="AE2676" s="16"/>
      <c r="AF2676" s="19"/>
      <c r="AG2676" s="20"/>
      <c r="AH2676" s="77"/>
      <c r="AI2676" s="38"/>
      <c r="AJ2676" s="145"/>
      <c r="AK2676" s="80"/>
      <c r="AL2676" s="215"/>
      <c r="AM2676" s="207">
        <f>(Q2676)/1000</f>
        <v>0.54827269999999995</v>
      </c>
      <c r="AN2676" s="47">
        <f>AM2676</f>
        <v>0.54827269999999995</v>
      </c>
      <c r="AO2676" s="78">
        <f>AR2676-0.278</f>
        <v>0.27027269999999992</v>
      </c>
      <c r="AP2676" s="47">
        <f>AO2676</f>
        <v>0.27027269999999992</v>
      </c>
      <c r="AQ2676" s="262">
        <v>2030</v>
      </c>
      <c r="AR2676" s="48">
        <f>AM2676</f>
        <v>0.54827269999999995</v>
      </c>
      <c r="AS2676" s="541"/>
      <c r="AT2676" s="1325">
        <f>-(AR2676-AO2676)/AR2676</f>
        <v>-0.50704694944687201</v>
      </c>
      <c r="AU2676" s="1326">
        <f>AT2676</f>
        <v>-0.50704694944687201</v>
      </c>
      <c r="AV2676" s="16"/>
      <c r="AW2676" s="16"/>
      <c r="AX2676" s="19"/>
      <c r="AY2676" s="20"/>
      <c r="AZ2676" s="77"/>
      <c r="BA2676" s="38"/>
      <c r="BB2676" s="145"/>
      <c r="BC2676" s="80"/>
      <c r="BD2676" s="75"/>
      <c r="BE2676" s="208"/>
      <c r="BF2676" s="16"/>
      <c r="BG2676" s="19"/>
      <c r="BH2676" s="20"/>
      <c r="BI2676" s="77"/>
      <c r="BJ2676" s="38"/>
      <c r="BK2676" s="145"/>
      <c r="BL2676" s="80"/>
      <c r="BM2676" s="75"/>
      <c r="BN2676" s="208"/>
      <c r="BO2676" s="16"/>
      <c r="BP2676" s="19"/>
      <c r="BQ2676" s="20"/>
      <c r="BR2676" s="32"/>
      <c r="BS2676" s="38"/>
      <c r="BT2676" s="145"/>
      <c r="BU2676" s="80"/>
      <c r="BV2676" s="215"/>
      <c r="BX2676" s="321"/>
      <c r="BY2676" s="38"/>
    </row>
    <row r="2677" spans="1:77" ht="15" customHeight="1" x14ac:dyDescent="0.2">
      <c r="A2677" s="56" t="s">
        <v>113</v>
      </c>
      <c r="B2677" s="56" t="s">
        <v>1606</v>
      </c>
      <c r="C2677" s="637"/>
      <c r="D2677" s="544">
        <v>21532.647000000001</v>
      </c>
      <c r="E2677" s="95" t="s">
        <v>2966</v>
      </c>
      <c r="F2677" s="373"/>
      <c r="G2677" s="121">
        <v>48.602089999999997</v>
      </c>
      <c r="H2677" s="346">
        <f>G2677</f>
        <v>48.602089999999997</v>
      </c>
      <c r="I2677" s="114"/>
      <c r="J2677" s="93">
        <v>67.605909999999994</v>
      </c>
      <c r="K2677" s="346">
        <f>J2677</f>
        <v>67.605909999999994</v>
      </c>
      <c r="L2677" s="114"/>
      <c r="M2677" s="437">
        <v>72</v>
      </c>
      <c r="N2677" s="437">
        <v>72</v>
      </c>
      <c r="O2677" s="1037">
        <v>2016</v>
      </c>
      <c r="P2677" s="437">
        <v>30</v>
      </c>
      <c r="Q2677" s="471">
        <v>30</v>
      </c>
      <c r="R2677" s="1037">
        <v>2016</v>
      </c>
      <c r="S2677" s="437">
        <v>30</v>
      </c>
      <c r="T2677" s="471">
        <v>30</v>
      </c>
      <c r="U2677" s="68"/>
      <c r="V2677" s="68"/>
      <c r="W2677" s="27"/>
      <c r="X2677" s="28"/>
      <c r="Y2677" s="145"/>
      <c r="Z2677" s="38"/>
      <c r="AA2677" s="145"/>
      <c r="AB2677" s="80"/>
      <c r="AC2677" s="209"/>
      <c r="AD2677" s="16"/>
      <c r="AE2677" s="16"/>
      <c r="AF2677" s="19"/>
      <c r="AG2677" s="20"/>
      <c r="AH2677" s="77"/>
      <c r="AI2677" s="38"/>
      <c r="AJ2677" s="145"/>
      <c r="AK2677" s="80"/>
      <c r="AL2677" s="215"/>
      <c r="AM2677" s="208"/>
      <c r="AN2677" s="16"/>
      <c r="AO2677" s="19"/>
      <c r="AP2677" s="20"/>
      <c r="AQ2677" s="77"/>
      <c r="AR2677" s="38"/>
      <c r="AS2677" s="145"/>
      <c r="AT2677" s="80"/>
      <c r="AU2677" s="215"/>
      <c r="AV2677" s="16"/>
      <c r="AW2677" s="20"/>
      <c r="AX2677" s="16"/>
      <c r="AY2677" s="20"/>
      <c r="AZ2677" s="77"/>
      <c r="BA2677" s="38"/>
      <c r="BB2677" s="145"/>
      <c r="BC2677" s="80"/>
      <c r="BD2677" s="75"/>
      <c r="BE2677" s="208"/>
      <c r="BF2677" s="16"/>
      <c r="BG2677" s="19"/>
      <c r="BH2677" s="20"/>
      <c r="BI2677" s="77"/>
      <c r="BJ2677" s="38"/>
      <c r="BK2677" s="145"/>
      <c r="BL2677" s="80"/>
      <c r="BM2677" s="75"/>
      <c r="BN2677" s="208"/>
      <c r="BO2677" s="16"/>
      <c r="BP2677" s="19"/>
      <c r="BQ2677" s="20"/>
      <c r="BR2677" s="32"/>
      <c r="BS2677" s="38"/>
      <c r="BT2677" s="145"/>
      <c r="BU2677" s="80"/>
      <c r="BV2677" s="215"/>
      <c r="BX2677" s="321"/>
      <c r="BY2677" s="38"/>
    </row>
    <row r="2678" spans="1:77" ht="15" customHeight="1" x14ac:dyDescent="0.2">
      <c r="A2678" s="108" t="s">
        <v>121</v>
      </c>
      <c r="B2678" s="56" t="s">
        <v>1606</v>
      </c>
      <c r="C2678" s="637"/>
      <c r="D2678" s="544">
        <v>8441.5370000000003</v>
      </c>
      <c r="E2678" s="95" t="s">
        <v>3202</v>
      </c>
      <c r="F2678" s="365">
        <v>1994</v>
      </c>
      <c r="G2678" s="99">
        <f>H2678-4.227</f>
        <v>74.426000000000002</v>
      </c>
      <c r="H2678" s="69">
        <v>78.653000000000006</v>
      </c>
      <c r="I2678" s="74"/>
      <c r="J2678" s="68">
        <v>161.13399999999999</v>
      </c>
      <c r="K2678" s="69">
        <v>174.13399999999999</v>
      </c>
      <c r="L2678" s="74"/>
      <c r="M2678" s="68"/>
      <c r="N2678" s="68"/>
      <c r="O2678" s="923">
        <v>2014</v>
      </c>
      <c r="P2678" s="68">
        <v>191.78170900000001</v>
      </c>
      <c r="Q2678" s="356">
        <f>P2678+8.434372</f>
        <v>200.216081</v>
      </c>
      <c r="R2678" s="923"/>
      <c r="S2678" s="68"/>
      <c r="T2678" s="356"/>
      <c r="U2678" s="68"/>
      <c r="V2678" s="68"/>
      <c r="W2678" s="27"/>
      <c r="X2678" s="28"/>
      <c r="Y2678" s="145"/>
      <c r="Z2678" s="38"/>
      <c r="AA2678" s="145"/>
      <c r="AB2678" s="80"/>
      <c r="AC2678" s="209"/>
      <c r="AD2678" s="16"/>
      <c r="AE2678" s="16"/>
      <c r="AF2678" s="19"/>
      <c r="AG2678" s="20"/>
      <c r="AH2678" s="77"/>
      <c r="AI2678" s="38"/>
      <c r="AJ2678" s="145"/>
      <c r="AK2678" s="80"/>
      <c r="AL2678" s="215"/>
      <c r="AM2678" s="207">
        <v>0.31</v>
      </c>
      <c r="AN2678" s="47"/>
      <c r="AO2678" s="78">
        <f>AR2678*(1+AT2678)</f>
        <v>0.23715</v>
      </c>
      <c r="AP2678" s="47">
        <f>AR2678*(1+AU2678)</f>
        <v>0.23715</v>
      </c>
      <c r="AQ2678" s="262">
        <v>2030</v>
      </c>
      <c r="AR2678" s="1364">
        <f>AM2678</f>
        <v>0.31</v>
      </c>
      <c r="AS2678" s="1340"/>
      <c r="AT2678" s="1345">
        <v>-0.23499999999999999</v>
      </c>
      <c r="AU2678" s="1346">
        <f>AT2678</f>
        <v>-0.23499999999999999</v>
      </c>
      <c r="AV2678" s="16"/>
      <c r="AW2678" s="20"/>
      <c r="AX2678" s="16"/>
      <c r="AY2678" s="20"/>
      <c r="AZ2678" s="77"/>
      <c r="BA2678" s="38"/>
      <c r="BB2678" s="145"/>
      <c r="BC2678" s="80"/>
      <c r="BD2678" s="75"/>
      <c r="BE2678" s="208"/>
      <c r="BF2678" s="16"/>
      <c r="BG2678" s="19"/>
      <c r="BH2678" s="20"/>
      <c r="BI2678" s="77"/>
      <c r="BJ2678" s="38"/>
      <c r="BK2678" s="145"/>
      <c r="BL2678" s="80"/>
      <c r="BM2678" s="75"/>
      <c r="BN2678" s="208"/>
      <c r="BO2678" s="16"/>
      <c r="BP2678" s="19"/>
      <c r="BQ2678" s="20"/>
      <c r="BR2678" s="32"/>
      <c r="BS2678" s="38"/>
      <c r="BT2678" s="145"/>
      <c r="BU2678" s="80"/>
      <c r="BV2678" s="215"/>
      <c r="BX2678" s="832" t="s">
        <v>321</v>
      </c>
      <c r="BY2678" s="38"/>
    </row>
    <row r="2679" spans="1:77" ht="15" customHeight="1" x14ac:dyDescent="0.2">
      <c r="A2679" s="108" t="s">
        <v>121</v>
      </c>
      <c r="B2679" s="56"/>
      <c r="C2679" s="637" t="s">
        <v>3175</v>
      </c>
      <c r="D2679" s="544">
        <v>3335.9</v>
      </c>
      <c r="E2679" s="95" t="s">
        <v>3176</v>
      </c>
      <c r="F2679" s="365"/>
      <c r="G2679" s="99"/>
      <c r="H2679" s="69"/>
      <c r="I2679" s="74"/>
      <c r="J2679" s="68"/>
      <c r="K2679" s="69"/>
      <c r="L2679" s="74">
        <v>2011</v>
      </c>
      <c r="M2679" s="68"/>
      <c r="N2679" s="69">
        <v>46.16</v>
      </c>
      <c r="O2679" s="923"/>
      <c r="P2679" s="68"/>
      <c r="Q2679" s="356"/>
      <c r="R2679" s="923"/>
      <c r="S2679" s="68"/>
      <c r="T2679" s="356"/>
      <c r="U2679" s="68"/>
      <c r="V2679" s="68"/>
      <c r="W2679" s="615">
        <f>+AA2679*(1+AB2679)</f>
        <v>3.8774400000000001E-2</v>
      </c>
      <c r="X2679" s="616">
        <f>+AA2679*(1+AC2679)</f>
        <v>3.8774400000000001E-2</v>
      </c>
      <c r="Y2679" s="617">
        <v>2011</v>
      </c>
      <c r="Z2679" s="650"/>
      <c r="AA2679" s="434">
        <f>+N2679/1000</f>
        <v>4.616E-2</v>
      </c>
      <c r="AB2679" s="399">
        <v>-0.16</v>
      </c>
      <c r="AC2679" s="618">
        <f>AB2679</f>
        <v>-0.16</v>
      </c>
      <c r="AD2679" s="16"/>
      <c r="AE2679" s="16"/>
      <c r="AF2679" s="19"/>
      <c r="AG2679" s="20"/>
      <c r="AH2679" s="77"/>
      <c r="AI2679" s="38"/>
      <c r="AJ2679" s="145"/>
      <c r="AK2679" s="80"/>
      <c r="AL2679" s="215"/>
      <c r="AM2679" s="208"/>
      <c r="AN2679" s="16"/>
      <c r="AO2679" s="820"/>
      <c r="AP2679" s="821"/>
      <c r="AQ2679" s="77"/>
      <c r="AR2679" s="38"/>
      <c r="AS2679" s="145"/>
      <c r="AT2679" s="80"/>
      <c r="AU2679" s="215"/>
      <c r="AV2679" s="16"/>
      <c r="AW2679" s="20"/>
      <c r="AX2679" s="16"/>
      <c r="AY2679" s="20"/>
      <c r="AZ2679" s="77"/>
      <c r="BA2679" s="38"/>
      <c r="BB2679" s="145"/>
      <c r="BC2679" s="80"/>
      <c r="BD2679" s="75"/>
      <c r="BE2679" s="208"/>
      <c r="BF2679" s="16"/>
      <c r="BG2679" s="19"/>
      <c r="BH2679" s="20"/>
      <c r="BI2679" s="77"/>
      <c r="BJ2679" s="38"/>
      <c r="BK2679" s="145"/>
      <c r="BL2679" s="80"/>
      <c r="BM2679" s="75"/>
      <c r="BN2679" s="208"/>
      <c r="BO2679" s="16"/>
      <c r="BP2679" s="19"/>
      <c r="BQ2679" s="20"/>
      <c r="BR2679" s="32"/>
      <c r="BS2679" s="38"/>
      <c r="BT2679" s="145"/>
      <c r="BU2679" s="80"/>
      <c r="BV2679" s="215"/>
      <c r="BX2679" s="832"/>
      <c r="BY2679" s="38"/>
    </row>
    <row r="2680" spans="1:77" ht="15" customHeight="1" thickBot="1" x14ac:dyDescent="0.25">
      <c r="A2680" s="109" t="s">
        <v>126</v>
      </c>
      <c r="B2680" s="109" t="s">
        <v>1606</v>
      </c>
      <c r="C2680" s="661"/>
      <c r="D2680" s="623">
        <v>22763.008000000002</v>
      </c>
      <c r="E2680" s="1104" t="s">
        <v>2775</v>
      </c>
      <c r="F2680" s="381">
        <v>1995</v>
      </c>
      <c r="G2680" s="382">
        <v>8.1999999999999993</v>
      </c>
      <c r="H2680" s="383">
        <v>17.866</v>
      </c>
      <c r="I2680" s="384">
        <v>2000</v>
      </c>
      <c r="J2680" s="240">
        <v>24.184000000000001</v>
      </c>
      <c r="K2680" s="383">
        <v>25.684000000000001</v>
      </c>
      <c r="L2680" s="384"/>
      <c r="M2680" s="1228">
        <v>32.249000000000002</v>
      </c>
      <c r="N2680" s="240">
        <v>34.136000000000003</v>
      </c>
      <c r="O2680" s="1049">
        <v>2012</v>
      </c>
      <c r="P2680" s="549">
        <v>36.261000000000003</v>
      </c>
      <c r="Q2680" s="385">
        <v>37.801000000000002</v>
      </c>
      <c r="R2680" s="1049"/>
      <c r="S2680" s="549"/>
      <c r="T2680" s="385"/>
      <c r="U2680" s="776">
        <v>35.94</v>
      </c>
      <c r="V2680" s="240"/>
      <c r="W2680" s="228"/>
      <c r="X2680" s="227"/>
      <c r="Y2680" s="241"/>
      <c r="Z2680" s="345">
        <f>U2680/1000</f>
        <v>3.594E-2</v>
      </c>
      <c r="AA2680" s="241"/>
      <c r="AB2680" s="254"/>
      <c r="AC2680" s="695"/>
      <c r="AD2680" s="686">
        <f>39.68/1000</f>
        <v>3.968E-2</v>
      </c>
      <c r="AE2680" s="344"/>
      <c r="AF2680" s="844">
        <f>39.5/1000</f>
        <v>3.95E-2</v>
      </c>
      <c r="AG2680" s="556">
        <f>36.74/1000</f>
        <v>3.6740000000000002E-2</v>
      </c>
      <c r="AH2680" s="261"/>
      <c r="AI2680" s="550">
        <f>AD2680</f>
        <v>3.968E-2</v>
      </c>
      <c r="AJ2680" s="241"/>
      <c r="AK2680" s="254"/>
      <c r="AL2680" s="258"/>
      <c r="AM2680" s="551">
        <f>43.81/1000</f>
        <v>4.3810000000000002E-2</v>
      </c>
      <c r="AN2680" s="686"/>
      <c r="AO2680" s="844">
        <f>AM2680*(1+AT2680)</f>
        <v>4.3371899999999998E-2</v>
      </c>
      <c r="AP2680" s="556">
        <f>AR2680*(1+AU2680)</f>
        <v>3.7676599999999998E-2</v>
      </c>
      <c r="AQ2680" s="552">
        <v>2030</v>
      </c>
      <c r="AR2680" s="550">
        <f>AM2680</f>
        <v>4.3810000000000002E-2</v>
      </c>
      <c r="AS2680" s="553"/>
      <c r="AT2680" s="554">
        <v>-0.01</v>
      </c>
      <c r="AU2680" s="555">
        <v>-0.14000000000000001</v>
      </c>
      <c r="AV2680" s="344"/>
      <c r="AW2680" s="226"/>
      <c r="AX2680" s="344"/>
      <c r="AY2680" s="226"/>
      <c r="AZ2680" s="261"/>
      <c r="BA2680" s="242"/>
      <c r="BB2680" s="241"/>
      <c r="BC2680" s="254"/>
      <c r="BD2680" s="255"/>
      <c r="BE2680" s="551"/>
      <c r="BF2680" s="686"/>
      <c r="BG2680" s="844"/>
      <c r="BH2680" s="556"/>
      <c r="BI2680" s="261"/>
      <c r="BJ2680" s="242"/>
      <c r="BK2680" s="241"/>
      <c r="BL2680" s="254"/>
      <c r="BM2680" s="255"/>
      <c r="BN2680" s="416"/>
      <c r="BO2680" s="344"/>
      <c r="BP2680" s="417"/>
      <c r="BQ2680" s="226"/>
      <c r="BR2680" s="345"/>
      <c r="BS2680" s="242"/>
      <c r="BT2680" s="241"/>
      <c r="BU2680" s="254"/>
      <c r="BV2680" s="258"/>
      <c r="BW2680" s="282"/>
      <c r="BX2680" s="828"/>
      <c r="BY2680" s="42"/>
    </row>
    <row r="2681" spans="1:77" ht="15" customHeight="1" x14ac:dyDescent="0.2">
      <c r="A2681" s="94"/>
      <c r="B2681" s="665">
        <f xml:space="preserve"> COUNTA(B6:B2680)-41-COUNTIF(B6:B2680," -")</f>
        <v>343</v>
      </c>
      <c r="C2681" s="665">
        <f xml:space="preserve"> COUNTA(C6:C2680)</f>
        <v>2334</v>
      </c>
      <c r="D2681" s="94"/>
      <c r="E2681" s="408"/>
      <c r="F2681" s="13"/>
      <c r="G2681" s="94"/>
      <c r="H2681" s="94"/>
      <c r="I2681" s="13"/>
      <c r="J2681" s="94"/>
      <c r="K2681" s="94"/>
      <c r="L2681" s="13"/>
      <c r="M2681" s="68"/>
      <c r="N2681" s="68"/>
      <c r="O2681" s="13"/>
      <c r="P2681" s="68"/>
      <c r="Q2681" s="68"/>
      <c r="R2681" s="13"/>
      <c r="S2681" s="68"/>
      <c r="T2681" s="68"/>
      <c r="U2681" s="68"/>
      <c r="V2681" s="68"/>
      <c r="Y2681" s="4"/>
      <c r="AA2681" s="4"/>
      <c r="AC2681" s="6"/>
      <c r="AE2681" s="4"/>
      <c r="AF2681" s="4"/>
      <c r="AG2681" s="4"/>
      <c r="AH2681" s="77"/>
      <c r="AI2681" s="77"/>
      <c r="AJ2681" s="77"/>
      <c r="AN2681" s="4"/>
      <c r="AO2681" s="4"/>
      <c r="AP2681" s="4"/>
      <c r="AQ2681" s="77"/>
      <c r="AR2681" s="77"/>
      <c r="AS2681" s="77"/>
      <c r="AW2681" s="4"/>
      <c r="AX2681" s="4"/>
      <c r="AY2681" s="4"/>
      <c r="AZ2681" s="77"/>
      <c r="BA2681" s="77"/>
      <c r="BB2681" s="77"/>
      <c r="BF2681" s="4"/>
      <c r="BG2681" s="4"/>
      <c r="BH2681" s="4"/>
      <c r="BI2681" s="77"/>
      <c r="BJ2681" s="77"/>
      <c r="BK2681" s="77"/>
      <c r="BO2681" s="4"/>
      <c r="BR2681" s="4"/>
      <c r="BS2681" s="77"/>
      <c r="BT2681" s="77"/>
      <c r="BU2681" s="75"/>
      <c r="BV2681" s="75"/>
    </row>
    <row r="2682" spans="1:77" ht="15" customHeight="1" x14ac:dyDescent="0.2">
      <c r="A2682" s="204"/>
      <c r="B2682" s="640" t="s">
        <v>2460</v>
      </c>
      <c r="C2682" s="408" t="s">
        <v>2461</v>
      </c>
      <c r="D2682" s="204" t="s">
        <v>2721</v>
      </c>
      <c r="F2682" s="13"/>
      <c r="G2682" s="94"/>
      <c r="H2682" s="94"/>
      <c r="I2682" s="13"/>
      <c r="J2682" s="94"/>
      <c r="K2682" s="94"/>
      <c r="L2682" s="13"/>
      <c r="M2682" s="68"/>
      <c r="N2682" s="68"/>
      <c r="O2682" s="13"/>
      <c r="P2682" s="68"/>
      <c r="Q2682" s="68"/>
      <c r="R2682" s="13"/>
      <c r="S2682" s="68"/>
      <c r="T2682" s="68"/>
      <c r="U2682" s="68"/>
      <c r="V2682" s="68"/>
      <c r="Y2682" s="4"/>
      <c r="AA2682" s="4"/>
      <c r="AC2682" s="6"/>
      <c r="AE2682" s="4"/>
      <c r="AF2682" s="4"/>
      <c r="AG2682" s="4"/>
      <c r="AH2682" s="77"/>
      <c r="AI2682" s="77"/>
      <c r="AJ2682" s="77"/>
      <c r="AN2682" s="4"/>
      <c r="AO2682" s="4"/>
      <c r="AP2682" s="4"/>
      <c r="AQ2682" s="77"/>
      <c r="AR2682" s="77"/>
      <c r="AS2682" s="77"/>
      <c r="AW2682" s="4"/>
      <c r="AX2682" s="4"/>
      <c r="AY2682" s="4"/>
      <c r="AZ2682" s="77"/>
      <c r="BA2682" s="77"/>
      <c r="BB2682" s="77"/>
      <c r="BF2682" s="4"/>
      <c r="BG2682" s="4"/>
      <c r="BH2682" s="4"/>
      <c r="BI2682" s="77"/>
      <c r="BJ2682" s="77"/>
      <c r="BK2682" s="77"/>
      <c r="BO2682" s="4"/>
      <c r="BR2682" s="4"/>
      <c r="BS2682" s="77"/>
      <c r="BT2682" s="77"/>
      <c r="BU2682" s="75"/>
      <c r="BV2682" s="75"/>
    </row>
    <row r="2683" spans="1:77" ht="15" customHeight="1" x14ac:dyDescent="0.2">
      <c r="A2683" s="204" t="s">
        <v>2720</v>
      </c>
      <c r="B2683" s="1224">
        <f>SUM(D6:D2680)-SUMIF(B6:B2680," -", D6:D2680)-SUMIF(B6:B2680,"Whole country", D6:D2680)</f>
        <v>1041805.7214230075</v>
      </c>
      <c r="C2683" s="1224">
        <f>SUM(D6:D2680)-SUMIF(C6:C2680,"", D6:D2680)</f>
        <v>577474.06650000811</v>
      </c>
      <c r="D2683" s="640">
        <f>B2683+C2683</f>
        <v>1619279.7879230157</v>
      </c>
      <c r="F2683" s="13"/>
      <c r="G2683" s="94"/>
      <c r="H2683" s="94"/>
      <c r="I2683" s="13"/>
      <c r="J2683" s="94"/>
      <c r="K2683" s="94"/>
      <c r="L2683" s="13"/>
      <c r="M2683" s="68"/>
      <c r="N2683" s="68"/>
      <c r="O2683" s="13"/>
      <c r="P2683" s="68"/>
      <c r="Q2683" s="68"/>
      <c r="R2683" s="13"/>
      <c r="S2683" s="68"/>
      <c r="T2683" s="68"/>
      <c r="U2683" s="68"/>
      <c r="V2683" s="68"/>
      <c r="Y2683" s="4"/>
      <c r="AA2683" s="4"/>
      <c r="AC2683" s="6"/>
      <c r="AE2683" s="4"/>
      <c r="AF2683" s="4"/>
      <c r="AG2683" s="4"/>
      <c r="AH2683" s="77"/>
      <c r="AI2683" s="77"/>
      <c r="AJ2683" s="77"/>
      <c r="AN2683" s="4"/>
      <c r="AO2683" s="4"/>
      <c r="AP2683" s="4"/>
      <c r="AQ2683" s="77"/>
      <c r="AR2683" s="77"/>
      <c r="AS2683" s="77"/>
      <c r="AW2683" s="4"/>
      <c r="AX2683" s="4"/>
      <c r="AY2683" s="4"/>
      <c r="AZ2683" s="77"/>
      <c r="BA2683" s="77"/>
      <c r="BB2683" s="77"/>
      <c r="BF2683" s="4"/>
      <c r="BG2683" s="4"/>
      <c r="BH2683" s="4"/>
      <c r="BI2683" s="77"/>
      <c r="BJ2683" s="77"/>
      <c r="BK2683" s="77"/>
      <c r="BO2683" s="4"/>
      <c r="BR2683" s="4"/>
      <c r="BS2683" s="77"/>
      <c r="BT2683" s="77"/>
      <c r="BU2683" s="75"/>
      <c r="BV2683" s="75"/>
    </row>
    <row r="2684" spans="1:77" ht="15" customHeight="1" x14ac:dyDescent="0.2">
      <c r="A2684" s="204"/>
      <c r="B2684" s="204"/>
      <c r="C2684" s="408"/>
      <c r="D2684" s="204"/>
      <c r="F2684" s="13"/>
      <c r="G2684" s="94"/>
      <c r="H2684" s="94"/>
      <c r="I2684" s="13"/>
      <c r="J2684" s="94"/>
      <c r="K2684" s="94"/>
      <c r="L2684" s="13"/>
      <c r="M2684" s="68"/>
      <c r="N2684" s="68"/>
      <c r="O2684" s="13"/>
      <c r="P2684" s="68"/>
      <c r="Q2684" s="68"/>
      <c r="R2684" s="13"/>
      <c r="S2684" s="68"/>
      <c r="T2684" s="68"/>
      <c r="U2684" s="68"/>
      <c r="V2684" s="68"/>
      <c r="Y2684" s="4"/>
      <c r="AA2684" s="4"/>
      <c r="AC2684" s="6"/>
      <c r="AE2684" s="4"/>
      <c r="AF2684" s="4"/>
      <c r="AG2684" s="4"/>
      <c r="AH2684" s="77"/>
      <c r="AI2684" s="77"/>
      <c r="AJ2684" s="77"/>
      <c r="AN2684" s="4"/>
      <c r="AO2684" s="4"/>
      <c r="AP2684" s="4"/>
      <c r="AQ2684" s="77"/>
      <c r="AR2684" s="77"/>
      <c r="AS2684" s="77"/>
      <c r="AW2684" s="4"/>
      <c r="AX2684" s="4"/>
      <c r="AY2684" s="4"/>
      <c r="AZ2684" s="77"/>
      <c r="BA2684" s="77"/>
      <c r="BB2684" s="77"/>
      <c r="BF2684" s="4"/>
      <c r="BG2684" s="4"/>
      <c r="BH2684" s="4"/>
      <c r="BI2684" s="77"/>
      <c r="BJ2684" s="77"/>
      <c r="BK2684" s="77"/>
      <c r="BO2684" s="4"/>
      <c r="BR2684" s="4"/>
      <c r="BS2684" s="77"/>
      <c r="BT2684" s="77"/>
      <c r="BU2684" s="75"/>
      <c r="BV2684" s="75"/>
    </row>
    <row r="2685" spans="1:77" ht="15" customHeight="1" x14ac:dyDescent="0.2">
      <c r="F2685" s="13"/>
      <c r="G2685" s="94"/>
      <c r="H2685" s="94"/>
      <c r="I2685" s="13"/>
      <c r="J2685" s="94"/>
      <c r="K2685" s="94"/>
      <c r="L2685" s="13"/>
      <c r="M2685" s="94"/>
      <c r="N2685" s="94"/>
      <c r="O2685" s="13"/>
      <c r="P2685" s="94"/>
      <c r="Q2685" s="94"/>
      <c r="R2685" s="13"/>
      <c r="S2685" s="94"/>
      <c r="T2685" s="94"/>
      <c r="U2685" s="94"/>
      <c r="V2685" s="94"/>
      <c r="Y2685" s="4"/>
      <c r="AA2685" s="4"/>
      <c r="AC2685" s="6"/>
      <c r="AE2685" s="4"/>
      <c r="AF2685" s="4"/>
      <c r="AG2685" s="4"/>
      <c r="AH2685" s="77"/>
      <c r="AI2685" s="77"/>
      <c r="AJ2685" s="77"/>
      <c r="AN2685" s="4"/>
      <c r="AO2685" s="4"/>
      <c r="AP2685" s="4"/>
      <c r="AQ2685" s="77"/>
      <c r="AR2685" s="77"/>
      <c r="AS2685" s="77"/>
      <c r="AW2685" s="4"/>
      <c r="AX2685" s="4"/>
      <c r="AY2685" s="4"/>
      <c r="AZ2685" s="77"/>
      <c r="BA2685" s="77"/>
      <c r="BB2685" s="77"/>
      <c r="BF2685" s="4"/>
      <c r="BG2685" s="4"/>
      <c r="BH2685" s="4"/>
      <c r="BI2685" s="77"/>
      <c r="BJ2685" s="77"/>
      <c r="BK2685" s="77"/>
      <c r="BO2685" s="4"/>
      <c r="BR2685" s="4"/>
      <c r="BS2685" s="77"/>
      <c r="BT2685" s="77"/>
      <c r="BU2685" s="75"/>
      <c r="BV2685" s="75"/>
    </row>
    <row r="2686" spans="1:77" ht="15" customHeight="1" x14ac:dyDescent="0.2">
      <c r="F2686" s="13"/>
      <c r="G2686" s="94"/>
      <c r="H2686" s="94"/>
      <c r="I2686" s="13"/>
      <c r="J2686" s="94"/>
      <c r="K2686" s="94"/>
      <c r="L2686" s="13"/>
      <c r="M2686" s="94"/>
      <c r="N2686" s="94"/>
      <c r="O2686" s="13"/>
      <c r="P2686" s="94"/>
      <c r="Q2686" s="94"/>
      <c r="R2686" s="13"/>
      <c r="S2686" s="94"/>
      <c r="T2686" s="94"/>
      <c r="U2686" s="94"/>
      <c r="V2686" s="94"/>
      <c r="Y2686" s="4"/>
      <c r="AA2686" s="4"/>
      <c r="AC2686" s="6"/>
      <c r="AE2686" s="4"/>
      <c r="AF2686" s="4"/>
      <c r="AG2686" s="4"/>
      <c r="AH2686" s="77"/>
      <c r="AI2686" s="77"/>
      <c r="AJ2686" s="77"/>
      <c r="AN2686" s="4"/>
      <c r="AO2686" s="4"/>
      <c r="AP2686" s="4"/>
      <c r="AQ2686" s="77"/>
      <c r="AR2686" s="77"/>
      <c r="AS2686" s="77"/>
      <c r="AW2686" s="4"/>
      <c r="AX2686" s="4"/>
      <c r="AY2686" s="4"/>
      <c r="AZ2686" s="77"/>
      <c r="BA2686" s="77"/>
      <c r="BB2686" s="77"/>
      <c r="BF2686" s="4"/>
      <c r="BG2686" s="4"/>
      <c r="BH2686" s="4"/>
      <c r="BI2686" s="77"/>
      <c r="BJ2686" s="77"/>
      <c r="BK2686" s="77"/>
      <c r="BO2686" s="4"/>
      <c r="BR2686" s="4"/>
      <c r="BS2686" s="77"/>
      <c r="BT2686" s="77"/>
      <c r="BU2686" s="75"/>
      <c r="BV2686" s="75"/>
    </row>
    <row r="2687" spans="1:77" ht="15" customHeight="1" x14ac:dyDescent="0.2">
      <c r="F2687" s="13"/>
      <c r="G2687" s="94"/>
      <c r="H2687" s="94"/>
      <c r="I2687" s="13"/>
      <c r="J2687" s="94"/>
      <c r="K2687" s="94"/>
      <c r="L2687" s="13"/>
      <c r="M2687" s="94"/>
      <c r="N2687" s="94"/>
      <c r="O2687" s="13"/>
      <c r="P2687" s="94"/>
      <c r="Q2687" s="94"/>
      <c r="R2687" s="13"/>
      <c r="S2687" s="94"/>
      <c r="T2687" s="94"/>
      <c r="U2687" s="94"/>
      <c r="V2687" s="94"/>
      <c r="Y2687" s="4"/>
      <c r="AA2687" s="4"/>
      <c r="AC2687" s="6"/>
      <c r="AE2687" s="4"/>
      <c r="AF2687" s="4"/>
      <c r="AG2687" s="4"/>
      <c r="AH2687" s="77"/>
      <c r="AI2687" s="77"/>
      <c r="AJ2687" s="77"/>
      <c r="AN2687" s="4"/>
      <c r="AO2687" s="4"/>
      <c r="AP2687" s="4"/>
      <c r="AQ2687" s="77"/>
      <c r="AR2687" s="77"/>
      <c r="AS2687" s="77"/>
      <c r="AW2687" s="4"/>
      <c r="AX2687" s="4"/>
      <c r="AY2687" s="4"/>
      <c r="AZ2687" s="77"/>
      <c r="BA2687" s="77"/>
      <c r="BB2687" s="77"/>
      <c r="BF2687" s="4"/>
      <c r="BG2687" s="4"/>
      <c r="BH2687" s="4"/>
      <c r="BI2687" s="77"/>
      <c r="BJ2687" s="77"/>
      <c r="BK2687" s="77"/>
      <c r="BO2687" s="4"/>
      <c r="BR2687" s="4"/>
      <c r="BS2687" s="77"/>
      <c r="BT2687" s="77"/>
      <c r="BU2687" s="75"/>
      <c r="BV2687" s="75"/>
    </row>
    <row r="2688" spans="1:77" ht="15" customHeight="1" x14ac:dyDescent="0.2">
      <c r="F2688" s="13"/>
      <c r="G2688" s="94"/>
      <c r="H2688" s="96"/>
      <c r="I2688" s="84"/>
      <c r="J2688" s="96"/>
      <c r="K2688" s="96"/>
      <c r="L2688" s="84"/>
      <c r="M2688" s="96"/>
      <c r="N2688" s="96"/>
      <c r="O2688" s="84"/>
      <c r="P2688" s="96"/>
      <c r="Q2688" s="96"/>
      <c r="R2688" s="84"/>
      <c r="S2688" s="96"/>
      <c r="T2688" s="96"/>
      <c r="U2688" s="96"/>
      <c r="V2688" s="96"/>
      <c r="W2688" s="3"/>
      <c r="X2688" s="3"/>
      <c r="Y2688" s="4"/>
      <c r="AA2688" s="4"/>
      <c r="AC2688" s="6"/>
      <c r="AD2688" s="3"/>
      <c r="AE2688" s="85"/>
      <c r="AF2688" s="85"/>
      <c r="AG2688" s="85"/>
      <c r="AH2688" s="262"/>
      <c r="AI2688" s="262"/>
      <c r="AJ2688" s="262"/>
      <c r="AK2688" s="3"/>
      <c r="AL2688" s="3"/>
      <c r="AM2688" s="3"/>
      <c r="AN2688" s="85"/>
      <c r="AO2688" s="85"/>
      <c r="AP2688" s="85"/>
      <c r="AQ2688" s="262"/>
      <c r="AR2688" s="262"/>
      <c r="AS2688" s="262"/>
      <c r="AT2688" s="3"/>
      <c r="AU2688" s="3"/>
      <c r="AV2688" s="3"/>
      <c r="AW2688" s="85"/>
      <c r="AX2688" s="85"/>
      <c r="AY2688" s="85"/>
      <c r="AZ2688" s="262"/>
      <c r="BA2688" s="262"/>
      <c r="BB2688" s="262"/>
      <c r="BC2688" s="3"/>
      <c r="BD2688" s="3"/>
      <c r="BE2688" s="3"/>
      <c r="BF2688" s="85"/>
      <c r="BG2688" s="85"/>
      <c r="BH2688" s="85"/>
      <c r="BI2688" s="262"/>
      <c r="BJ2688" s="262"/>
      <c r="BK2688" s="262"/>
      <c r="BL2688" s="3"/>
      <c r="BM2688" s="3"/>
      <c r="BN2688" s="3"/>
      <c r="BO2688" s="85"/>
      <c r="BP2688" s="3"/>
      <c r="BQ2688" s="3"/>
      <c r="BR2688" s="85"/>
      <c r="BS2688" s="262"/>
      <c r="BT2688" s="262"/>
      <c r="BU2688" s="348"/>
      <c r="BV2688" s="348"/>
      <c r="BW2688" s="11"/>
      <c r="BX2688" s="834"/>
    </row>
    <row r="2689" spans="3:76" ht="15" customHeight="1" x14ac:dyDescent="0.2">
      <c r="F2689" s="13"/>
      <c r="G2689" s="94"/>
      <c r="H2689" s="94"/>
      <c r="I2689" s="13"/>
      <c r="J2689" s="94"/>
      <c r="K2689" s="94"/>
      <c r="L2689" s="13"/>
      <c r="M2689" s="94"/>
      <c r="N2689" s="94"/>
      <c r="O2689" s="13"/>
      <c r="P2689" s="94"/>
      <c r="Q2689" s="94"/>
      <c r="R2689" s="13"/>
      <c r="S2689" s="94"/>
      <c r="T2689" s="94"/>
      <c r="U2689" s="94"/>
      <c r="V2689" s="94"/>
      <c r="Y2689" s="85"/>
      <c r="Z2689" s="3"/>
      <c r="AA2689" s="85"/>
      <c r="AB2689" s="3"/>
      <c r="AC2689" s="6"/>
      <c r="AE2689" s="4"/>
      <c r="AF2689" s="4"/>
      <c r="AG2689" s="4"/>
      <c r="AH2689" s="77"/>
      <c r="AI2689" s="77"/>
      <c r="AJ2689" s="77"/>
      <c r="AN2689" s="4"/>
      <c r="AO2689" s="4"/>
      <c r="AP2689" s="4"/>
      <c r="AQ2689" s="77"/>
      <c r="AR2689" s="77"/>
      <c r="AS2689" s="77"/>
      <c r="AW2689" s="4"/>
      <c r="AX2689" s="4"/>
      <c r="AY2689" s="4"/>
      <c r="AZ2689" s="77"/>
      <c r="BA2689" s="77"/>
      <c r="BB2689" s="77"/>
      <c r="BF2689" s="4"/>
      <c r="BG2689" s="4"/>
      <c r="BH2689" s="4"/>
      <c r="BI2689" s="77"/>
      <c r="BJ2689" s="77"/>
      <c r="BK2689" s="77"/>
      <c r="BO2689" s="4"/>
      <c r="BR2689" s="4"/>
      <c r="BS2689" s="77"/>
      <c r="BT2689" s="77"/>
      <c r="BU2689" s="75"/>
      <c r="BV2689" s="75"/>
    </row>
    <row r="2690" spans="3:76" ht="15" customHeight="1" x14ac:dyDescent="0.2">
      <c r="F2690" s="13"/>
      <c r="G2690" s="94"/>
      <c r="H2690" s="94"/>
      <c r="I2690" s="13"/>
      <c r="J2690" s="94"/>
      <c r="K2690" s="94"/>
      <c r="L2690" s="13"/>
      <c r="M2690" s="94"/>
      <c r="N2690" s="94"/>
      <c r="O2690" s="13"/>
      <c r="P2690" s="94"/>
      <c r="Q2690" s="94"/>
      <c r="R2690" s="13"/>
      <c r="S2690" s="94"/>
      <c r="T2690" s="94"/>
      <c r="U2690" s="94"/>
      <c r="V2690" s="94"/>
      <c r="Y2690" s="4"/>
      <c r="AC2690" s="6"/>
      <c r="AE2690" s="4"/>
      <c r="AF2690" s="4"/>
      <c r="AG2690" s="4"/>
      <c r="AH2690" s="77"/>
      <c r="AI2690" s="77"/>
      <c r="AJ2690" s="77"/>
      <c r="AN2690" s="4"/>
      <c r="AO2690" s="4"/>
      <c r="AP2690" s="4"/>
      <c r="AQ2690" s="77"/>
      <c r="AR2690" s="77"/>
      <c r="AS2690" s="77"/>
      <c r="AW2690" s="4"/>
      <c r="AX2690" s="4"/>
      <c r="AY2690" s="4"/>
      <c r="AZ2690" s="77"/>
      <c r="BA2690" s="77"/>
      <c r="BB2690" s="77"/>
      <c r="BF2690" s="4"/>
      <c r="BG2690" s="4"/>
      <c r="BH2690" s="4"/>
      <c r="BI2690" s="77"/>
      <c r="BJ2690" s="77"/>
      <c r="BK2690" s="77"/>
      <c r="BO2690" s="4"/>
      <c r="BR2690" s="4"/>
      <c r="BS2690" s="77"/>
      <c r="BT2690" s="77"/>
      <c r="BU2690" s="75"/>
      <c r="BV2690" s="75"/>
    </row>
    <row r="2691" spans="3:76" ht="15" customHeight="1" x14ac:dyDescent="0.2">
      <c r="F2691" s="13"/>
      <c r="G2691" s="94"/>
      <c r="H2691" s="94"/>
      <c r="I2691" s="13"/>
      <c r="J2691" s="94"/>
      <c r="K2691" s="94"/>
      <c r="L2691" s="13"/>
      <c r="M2691" s="94"/>
      <c r="N2691" s="94"/>
      <c r="O2691" s="13"/>
      <c r="P2691" s="94"/>
      <c r="Q2691" s="94"/>
      <c r="R2691" s="13"/>
      <c r="S2691" s="94"/>
      <c r="T2691" s="94"/>
      <c r="U2691" s="94"/>
      <c r="V2691" s="94"/>
      <c r="Y2691" s="4"/>
      <c r="AC2691" s="6"/>
      <c r="AE2691" s="4"/>
      <c r="AF2691" s="4"/>
      <c r="AG2691" s="4"/>
      <c r="AH2691" s="77"/>
      <c r="AI2691" s="77"/>
      <c r="AJ2691" s="77"/>
      <c r="AN2691" s="4"/>
      <c r="AO2691" s="4"/>
      <c r="AP2691" s="4"/>
      <c r="AQ2691" s="77"/>
      <c r="AR2691" s="77"/>
      <c r="AS2691" s="77"/>
      <c r="AW2691" s="4"/>
      <c r="AX2691" s="4"/>
      <c r="AY2691" s="4"/>
      <c r="AZ2691" s="77"/>
      <c r="BA2691" s="77"/>
      <c r="BB2691" s="77"/>
      <c r="BF2691" s="4"/>
      <c r="BG2691" s="4"/>
      <c r="BH2691" s="4"/>
      <c r="BI2691" s="77"/>
      <c r="BJ2691" s="77"/>
      <c r="BK2691" s="77"/>
      <c r="BO2691" s="4"/>
      <c r="BR2691" s="4"/>
      <c r="BS2691" s="77"/>
      <c r="BT2691" s="77"/>
      <c r="BU2691" s="75"/>
      <c r="BV2691" s="75"/>
    </row>
    <row r="2692" spans="3:76" ht="15" customHeight="1" x14ac:dyDescent="0.2">
      <c r="C2692" s="1"/>
      <c r="E2692" s="1"/>
      <c r="F2692" s="13"/>
      <c r="G2692" s="94"/>
      <c r="H2692" s="94"/>
      <c r="I2692" s="13"/>
      <c r="J2692" s="94"/>
      <c r="K2692" s="94"/>
      <c r="L2692" s="13"/>
      <c r="M2692" s="94"/>
      <c r="N2692" s="94"/>
      <c r="O2692" s="13"/>
      <c r="P2692" s="94"/>
      <c r="Q2692" s="94"/>
      <c r="R2692" s="13"/>
      <c r="S2692" s="94"/>
      <c r="T2692" s="94"/>
      <c r="U2692" s="94"/>
      <c r="V2692" s="94"/>
      <c r="Y2692" s="4"/>
      <c r="AC2692" s="6"/>
      <c r="AE2692" s="4"/>
      <c r="AF2692" s="4"/>
      <c r="AG2692" s="4"/>
      <c r="AH2692" s="77"/>
      <c r="AI2692" s="77"/>
      <c r="AJ2692" s="77"/>
      <c r="AN2692" s="4"/>
      <c r="AO2692" s="4"/>
      <c r="AP2692" s="4"/>
      <c r="AQ2692" s="77"/>
      <c r="AR2692" s="77"/>
      <c r="AS2692" s="77"/>
      <c r="AW2692" s="4"/>
      <c r="AX2692" s="4"/>
      <c r="AY2692" s="4"/>
      <c r="AZ2692" s="77"/>
      <c r="BA2692" s="77"/>
      <c r="BB2692" s="77"/>
      <c r="BF2692" s="4"/>
      <c r="BG2692" s="4"/>
      <c r="BH2692" s="4"/>
      <c r="BI2692" s="77"/>
      <c r="BJ2692" s="77"/>
      <c r="BK2692" s="77"/>
      <c r="BO2692" s="4"/>
      <c r="BR2692" s="4"/>
      <c r="BS2692" s="77"/>
      <c r="BT2692" s="77"/>
      <c r="BU2692" s="75"/>
      <c r="BV2692" s="75"/>
      <c r="BX2692" s="1"/>
    </row>
    <row r="2693" spans="3:76" ht="15" customHeight="1" x14ac:dyDescent="0.2">
      <c r="C2693" s="1"/>
      <c r="E2693" s="1"/>
      <c r="F2693" s="13"/>
      <c r="G2693" s="94"/>
      <c r="H2693" s="94"/>
      <c r="I2693" s="13"/>
      <c r="J2693" s="94"/>
      <c r="K2693" s="94"/>
      <c r="L2693" s="13"/>
      <c r="M2693" s="94"/>
      <c r="N2693" s="94"/>
      <c r="O2693" s="13"/>
      <c r="P2693" s="94"/>
      <c r="Q2693" s="94"/>
      <c r="R2693" s="13"/>
      <c r="S2693" s="94"/>
      <c r="T2693" s="94"/>
      <c r="U2693" s="94"/>
      <c r="V2693" s="94"/>
      <c r="Y2693" s="4"/>
      <c r="AC2693" s="6"/>
      <c r="AE2693" s="4"/>
      <c r="AF2693" s="4"/>
      <c r="AG2693" s="4"/>
      <c r="AH2693" s="77"/>
      <c r="AI2693" s="77"/>
      <c r="AJ2693" s="77"/>
      <c r="AN2693" s="4"/>
      <c r="AO2693" s="4"/>
      <c r="AP2693" s="4"/>
      <c r="AQ2693" s="77"/>
      <c r="AR2693" s="77"/>
      <c r="AS2693" s="77"/>
      <c r="AW2693" s="4"/>
      <c r="AX2693" s="4"/>
      <c r="AY2693" s="4"/>
      <c r="AZ2693" s="77"/>
      <c r="BA2693" s="77"/>
      <c r="BB2693" s="77"/>
      <c r="BF2693" s="4"/>
      <c r="BG2693" s="4"/>
      <c r="BH2693" s="4"/>
      <c r="BI2693" s="77"/>
      <c r="BJ2693" s="77"/>
      <c r="BK2693" s="77"/>
      <c r="BO2693" s="4"/>
      <c r="BR2693" s="4"/>
      <c r="BS2693" s="77"/>
      <c r="BT2693" s="77"/>
      <c r="BU2693" s="75"/>
      <c r="BV2693" s="75"/>
      <c r="BX2693" s="1"/>
    </row>
    <row r="2694" spans="3:76" ht="15" customHeight="1" x14ac:dyDescent="0.2">
      <c r="C2694" s="1"/>
      <c r="E2694" s="1"/>
      <c r="F2694" s="13"/>
      <c r="G2694" s="94"/>
      <c r="H2694" s="94"/>
      <c r="I2694" s="13"/>
      <c r="J2694" s="94"/>
      <c r="K2694" s="94"/>
      <c r="L2694" s="13"/>
      <c r="M2694" s="94"/>
      <c r="N2694" s="94"/>
      <c r="O2694" s="13"/>
      <c r="P2694" s="94"/>
      <c r="Q2694" s="94"/>
      <c r="R2694" s="13"/>
      <c r="S2694" s="94"/>
      <c r="T2694" s="94"/>
      <c r="U2694" s="94"/>
      <c r="V2694" s="94"/>
      <c r="Y2694" s="4"/>
      <c r="AC2694" s="6"/>
      <c r="AE2694" s="4"/>
      <c r="AF2694" s="4"/>
      <c r="AG2694" s="4"/>
      <c r="AH2694" s="77"/>
      <c r="AI2694" s="77"/>
      <c r="AJ2694" s="77"/>
      <c r="AN2694" s="4"/>
      <c r="AO2694" s="4"/>
      <c r="AP2694" s="4"/>
      <c r="AQ2694" s="77"/>
      <c r="AR2694" s="77"/>
      <c r="AS2694" s="77"/>
      <c r="AW2694" s="4"/>
      <c r="AX2694" s="4"/>
      <c r="AY2694" s="4"/>
      <c r="AZ2694" s="77"/>
      <c r="BA2694" s="77"/>
      <c r="BB2694" s="77"/>
      <c r="BF2694" s="4"/>
      <c r="BG2694" s="4"/>
      <c r="BH2694" s="4"/>
      <c r="BI2694" s="77"/>
      <c r="BJ2694" s="77"/>
      <c r="BK2694" s="77"/>
      <c r="BO2694" s="4"/>
      <c r="BR2694" s="4"/>
      <c r="BS2694" s="77"/>
      <c r="BT2694" s="77"/>
      <c r="BU2694" s="75"/>
      <c r="BV2694" s="75"/>
      <c r="BX2694" s="1"/>
    </row>
    <row r="2695" spans="3:76" ht="15" customHeight="1" x14ac:dyDescent="0.2">
      <c r="C2695" s="1"/>
      <c r="E2695" s="1"/>
      <c r="F2695" s="13"/>
      <c r="G2695" s="94"/>
      <c r="H2695" s="94"/>
      <c r="I2695" s="13"/>
      <c r="J2695" s="94"/>
      <c r="K2695" s="94"/>
      <c r="L2695" s="13"/>
      <c r="M2695" s="94"/>
      <c r="N2695" s="94"/>
      <c r="O2695" s="13"/>
      <c r="P2695" s="94"/>
      <c r="Q2695" s="94"/>
      <c r="R2695" s="13"/>
      <c r="S2695" s="94"/>
      <c r="T2695" s="94"/>
      <c r="U2695" s="94"/>
      <c r="V2695" s="94"/>
      <c r="Y2695" s="4"/>
      <c r="AC2695" s="6"/>
      <c r="AE2695" s="4"/>
      <c r="AF2695" s="4"/>
      <c r="AG2695" s="4"/>
      <c r="AH2695" s="77"/>
      <c r="AI2695" s="77"/>
      <c r="AJ2695" s="77"/>
      <c r="AN2695" s="4"/>
      <c r="AO2695" s="4"/>
      <c r="AP2695" s="4"/>
      <c r="AQ2695" s="77"/>
      <c r="AR2695" s="77"/>
      <c r="AS2695" s="77"/>
      <c r="AW2695" s="4"/>
      <c r="AX2695" s="4"/>
      <c r="AY2695" s="4"/>
      <c r="AZ2695" s="77"/>
      <c r="BA2695" s="77"/>
      <c r="BB2695" s="77"/>
      <c r="BF2695" s="4"/>
      <c r="BG2695" s="4"/>
      <c r="BH2695" s="4"/>
      <c r="BI2695" s="77"/>
      <c r="BJ2695" s="77"/>
      <c r="BK2695" s="77"/>
      <c r="BO2695" s="4"/>
      <c r="BR2695" s="4"/>
      <c r="BS2695" s="77"/>
      <c r="BT2695" s="77"/>
      <c r="BU2695" s="75"/>
      <c r="BV2695" s="75"/>
      <c r="BX2695" s="1"/>
    </row>
    <row r="2696" spans="3:76" ht="15" customHeight="1" x14ac:dyDescent="0.2">
      <c r="C2696" s="1"/>
      <c r="E2696" s="1"/>
      <c r="F2696" s="13"/>
      <c r="G2696" s="94"/>
      <c r="H2696" s="94"/>
      <c r="I2696" s="13"/>
      <c r="J2696" s="94"/>
      <c r="K2696" s="94"/>
      <c r="L2696" s="13"/>
      <c r="M2696" s="94"/>
      <c r="N2696" s="94"/>
      <c r="O2696" s="13"/>
      <c r="P2696" s="94"/>
      <c r="Q2696" s="94"/>
      <c r="R2696" s="13"/>
      <c r="S2696" s="94"/>
      <c r="T2696" s="94"/>
      <c r="U2696" s="94"/>
      <c r="V2696" s="94"/>
      <c r="Y2696" s="4"/>
      <c r="AC2696" s="6"/>
      <c r="AE2696" s="4"/>
      <c r="AF2696" s="4"/>
      <c r="AG2696" s="4"/>
      <c r="AH2696" s="77"/>
      <c r="AI2696" s="77"/>
      <c r="AJ2696" s="77"/>
      <c r="AN2696" s="4"/>
      <c r="AO2696" s="4"/>
      <c r="AP2696" s="4"/>
      <c r="AQ2696" s="77"/>
      <c r="AR2696" s="77"/>
      <c r="AS2696" s="77"/>
      <c r="AW2696" s="4"/>
      <c r="AX2696" s="4"/>
      <c r="AY2696" s="4"/>
      <c r="AZ2696" s="77"/>
      <c r="BA2696" s="77"/>
      <c r="BB2696" s="77"/>
      <c r="BF2696" s="4"/>
      <c r="BG2696" s="4"/>
      <c r="BH2696" s="4"/>
      <c r="BI2696" s="77"/>
      <c r="BJ2696" s="77"/>
      <c r="BK2696" s="77"/>
      <c r="BO2696" s="4"/>
      <c r="BR2696" s="4"/>
      <c r="BS2696" s="77"/>
      <c r="BT2696" s="77"/>
      <c r="BU2696" s="75"/>
      <c r="BV2696" s="75"/>
      <c r="BX2696" s="1"/>
    </row>
    <row r="2697" spans="3:76" ht="15" customHeight="1" x14ac:dyDescent="0.2">
      <c r="C2697" s="1"/>
      <c r="E2697" s="1"/>
      <c r="F2697" s="13"/>
      <c r="G2697" s="94"/>
      <c r="H2697" s="94"/>
      <c r="I2697" s="13"/>
      <c r="J2697" s="94"/>
      <c r="K2697" s="94"/>
      <c r="L2697" s="13"/>
      <c r="M2697" s="94"/>
      <c r="N2697" s="94"/>
      <c r="O2697" s="13"/>
      <c r="P2697" s="94"/>
      <c r="Q2697" s="94"/>
      <c r="R2697" s="13"/>
      <c r="S2697" s="94"/>
      <c r="T2697" s="94"/>
      <c r="U2697" s="94"/>
      <c r="V2697" s="94"/>
      <c r="Y2697" s="4"/>
      <c r="AC2697" s="6"/>
      <c r="AE2697" s="4"/>
      <c r="AF2697" s="4"/>
      <c r="AG2697" s="4"/>
      <c r="AH2697" s="77"/>
      <c r="AI2697" s="77"/>
      <c r="AJ2697" s="77"/>
      <c r="AN2697" s="4"/>
      <c r="AO2697" s="4"/>
      <c r="AP2697" s="4"/>
      <c r="AQ2697" s="77"/>
      <c r="AR2697" s="77"/>
      <c r="AS2697" s="77"/>
      <c r="AW2697" s="4"/>
      <c r="AX2697" s="4"/>
      <c r="AY2697" s="4"/>
      <c r="AZ2697" s="77"/>
      <c r="BA2697" s="77"/>
      <c r="BB2697" s="77"/>
      <c r="BF2697" s="4"/>
      <c r="BG2697" s="4"/>
      <c r="BH2697" s="4"/>
      <c r="BI2697" s="77"/>
      <c r="BJ2697" s="77"/>
      <c r="BK2697" s="77"/>
      <c r="BO2697" s="4"/>
      <c r="BR2697" s="4"/>
      <c r="BS2697" s="77"/>
      <c r="BT2697" s="77"/>
      <c r="BU2697" s="75"/>
      <c r="BV2697" s="75"/>
      <c r="BX2697" s="1"/>
    </row>
    <row r="2698" spans="3:76" ht="15" customHeight="1" x14ac:dyDescent="0.2">
      <c r="C2698" s="1"/>
      <c r="E2698" s="1"/>
      <c r="G2698" s="94"/>
      <c r="H2698" s="94"/>
      <c r="I2698" s="13"/>
      <c r="J2698" s="94"/>
      <c r="K2698" s="94"/>
      <c r="L2698" s="13"/>
      <c r="M2698" s="94"/>
      <c r="N2698" s="94"/>
      <c r="O2698" s="13"/>
      <c r="P2698" s="94"/>
      <c r="Q2698" s="94"/>
      <c r="R2698" s="13"/>
      <c r="S2698" s="94"/>
      <c r="T2698" s="94"/>
      <c r="U2698" s="94"/>
      <c r="V2698" s="94"/>
      <c r="Y2698" s="4"/>
      <c r="AC2698" s="6"/>
      <c r="AE2698" s="4"/>
      <c r="AF2698" s="4"/>
      <c r="AG2698" s="4"/>
      <c r="AH2698" s="77"/>
      <c r="AI2698" s="77"/>
      <c r="AJ2698" s="77"/>
      <c r="AN2698" s="4"/>
      <c r="AO2698" s="4"/>
      <c r="AP2698" s="4"/>
      <c r="AQ2698" s="77"/>
      <c r="AR2698" s="77"/>
      <c r="AS2698" s="77"/>
      <c r="AW2698" s="4"/>
      <c r="AX2698" s="4"/>
      <c r="AY2698" s="4"/>
      <c r="AZ2698" s="77"/>
      <c r="BA2698" s="77"/>
      <c r="BB2698" s="77"/>
      <c r="BF2698" s="4"/>
      <c r="BG2698" s="4"/>
      <c r="BH2698" s="4"/>
      <c r="BI2698" s="77"/>
      <c r="BJ2698" s="77"/>
      <c r="BK2698" s="77"/>
      <c r="BO2698" s="4"/>
      <c r="BR2698" s="4"/>
      <c r="BS2698" s="77"/>
      <c r="BT2698" s="77"/>
      <c r="BU2698" s="75"/>
      <c r="BV2698" s="75"/>
      <c r="BX2698" s="1"/>
    </row>
    <row r="2699" spans="3:76" ht="15" customHeight="1" x14ac:dyDescent="0.2">
      <c r="C2699" s="1"/>
      <c r="E2699" s="1"/>
      <c r="G2699" s="94"/>
      <c r="H2699" s="94"/>
      <c r="I2699" s="13"/>
      <c r="J2699" s="94"/>
      <c r="K2699" s="94"/>
      <c r="L2699" s="13"/>
      <c r="M2699" s="94"/>
      <c r="N2699" s="94"/>
      <c r="O2699" s="13"/>
      <c r="P2699" s="94"/>
      <c r="Q2699" s="94"/>
      <c r="R2699" s="13"/>
      <c r="S2699" s="94"/>
      <c r="T2699" s="94"/>
      <c r="U2699" s="94"/>
      <c r="V2699" s="94"/>
      <c r="Y2699" s="4"/>
      <c r="AC2699" s="6"/>
      <c r="AE2699" s="4"/>
      <c r="AF2699" s="4"/>
      <c r="AG2699" s="4"/>
      <c r="AH2699" s="77"/>
      <c r="AI2699" s="77"/>
      <c r="AJ2699" s="77"/>
      <c r="AN2699" s="4"/>
      <c r="AO2699" s="4"/>
      <c r="AP2699" s="4"/>
      <c r="AQ2699" s="77"/>
      <c r="AR2699" s="77"/>
      <c r="AS2699" s="77"/>
      <c r="AW2699" s="4"/>
      <c r="AX2699" s="4"/>
      <c r="AY2699" s="4"/>
      <c r="AZ2699" s="77"/>
      <c r="BA2699" s="77"/>
      <c r="BB2699" s="77"/>
      <c r="BF2699" s="4"/>
      <c r="BG2699" s="4"/>
      <c r="BH2699" s="4"/>
      <c r="BI2699" s="77"/>
      <c r="BJ2699" s="77"/>
      <c r="BK2699" s="77"/>
      <c r="BO2699" s="4"/>
      <c r="BR2699" s="4"/>
      <c r="BS2699" s="77"/>
      <c r="BT2699" s="77"/>
      <c r="BU2699" s="75"/>
      <c r="BV2699" s="75"/>
      <c r="BX2699" s="1"/>
    </row>
    <row r="2700" spans="3:76" ht="15" customHeight="1" x14ac:dyDescent="0.2">
      <c r="C2700" s="1"/>
      <c r="E2700" s="1"/>
      <c r="G2700" s="94"/>
      <c r="H2700" s="94"/>
      <c r="I2700" s="13"/>
      <c r="J2700" s="94"/>
      <c r="K2700" s="94"/>
      <c r="L2700" s="13"/>
      <c r="M2700" s="94"/>
      <c r="N2700" s="94"/>
      <c r="O2700" s="13"/>
      <c r="P2700" s="94"/>
      <c r="Q2700" s="94"/>
      <c r="R2700" s="13"/>
      <c r="S2700" s="94"/>
      <c r="T2700" s="94"/>
      <c r="U2700" s="94"/>
      <c r="V2700" s="94"/>
      <c r="Y2700" s="4"/>
      <c r="AC2700" s="6"/>
      <c r="AE2700" s="4"/>
      <c r="AF2700" s="4"/>
      <c r="AG2700" s="4"/>
      <c r="AH2700" s="77"/>
      <c r="AI2700" s="77"/>
      <c r="AJ2700" s="77"/>
      <c r="AN2700" s="4"/>
      <c r="AO2700" s="4"/>
      <c r="AP2700" s="4"/>
      <c r="AQ2700" s="77"/>
      <c r="AR2700" s="77"/>
      <c r="AS2700" s="77"/>
      <c r="AW2700" s="4"/>
      <c r="AX2700" s="4"/>
      <c r="AY2700" s="4"/>
      <c r="AZ2700" s="77"/>
      <c r="BA2700" s="77"/>
      <c r="BB2700" s="77"/>
      <c r="BF2700" s="4"/>
      <c r="BG2700" s="4"/>
      <c r="BH2700" s="4"/>
      <c r="BI2700" s="77"/>
      <c r="BJ2700" s="77"/>
      <c r="BK2700" s="77"/>
      <c r="BO2700" s="4"/>
      <c r="BR2700" s="4"/>
      <c r="BS2700" s="77"/>
      <c r="BT2700" s="77"/>
      <c r="BU2700" s="75"/>
      <c r="BV2700" s="75"/>
      <c r="BX2700" s="1"/>
    </row>
    <row r="2701" spans="3:76" ht="15" customHeight="1" x14ac:dyDescent="0.2">
      <c r="C2701" s="1"/>
      <c r="E2701" s="1"/>
      <c r="G2701" s="94"/>
      <c r="H2701" s="94"/>
      <c r="I2701" s="13"/>
      <c r="J2701" s="94"/>
      <c r="K2701" s="94"/>
      <c r="L2701" s="13"/>
      <c r="M2701" s="94"/>
      <c r="N2701" s="94"/>
      <c r="O2701" s="13"/>
      <c r="P2701" s="94"/>
      <c r="Q2701" s="94"/>
      <c r="R2701" s="13"/>
      <c r="S2701" s="94"/>
      <c r="T2701" s="94"/>
      <c r="U2701" s="94"/>
      <c r="V2701" s="94"/>
      <c r="Y2701" s="4"/>
      <c r="AC2701" s="6"/>
      <c r="AE2701" s="4"/>
      <c r="AF2701" s="4"/>
      <c r="AG2701" s="4"/>
      <c r="AH2701" s="77"/>
      <c r="AI2701" s="77"/>
      <c r="AJ2701" s="77"/>
      <c r="AN2701" s="4"/>
      <c r="AO2701" s="4"/>
      <c r="AP2701" s="4"/>
      <c r="AQ2701" s="77"/>
      <c r="AR2701" s="77"/>
      <c r="AS2701" s="77"/>
      <c r="AW2701" s="4"/>
      <c r="AX2701" s="4"/>
      <c r="AY2701" s="4"/>
      <c r="AZ2701" s="77"/>
      <c r="BA2701" s="77"/>
      <c r="BB2701" s="77"/>
      <c r="BF2701" s="4"/>
      <c r="BG2701" s="4"/>
      <c r="BH2701" s="4"/>
      <c r="BI2701" s="77"/>
      <c r="BJ2701" s="77"/>
      <c r="BK2701" s="77"/>
      <c r="BO2701" s="4"/>
      <c r="BR2701" s="4"/>
      <c r="BS2701" s="77"/>
      <c r="BT2701" s="77"/>
      <c r="BU2701" s="75"/>
      <c r="BV2701" s="75"/>
      <c r="BX2701" s="1"/>
    </row>
    <row r="2702" spans="3:76" ht="15" customHeight="1" x14ac:dyDescent="0.2">
      <c r="C2702" s="1"/>
      <c r="E2702" s="1"/>
      <c r="G2702" s="94"/>
      <c r="H2702" s="94"/>
      <c r="I2702" s="13"/>
      <c r="J2702" s="94"/>
      <c r="K2702" s="94"/>
      <c r="L2702" s="13"/>
      <c r="M2702" s="94"/>
      <c r="N2702" s="94"/>
      <c r="O2702" s="13"/>
      <c r="P2702" s="94"/>
      <c r="Q2702" s="94"/>
      <c r="R2702" s="13"/>
      <c r="S2702" s="94"/>
      <c r="T2702" s="94"/>
      <c r="U2702" s="94"/>
      <c r="V2702" s="94"/>
      <c r="Y2702" s="4"/>
      <c r="AC2702" s="6"/>
      <c r="AE2702" s="4"/>
      <c r="AF2702" s="4"/>
      <c r="AG2702" s="4"/>
      <c r="AH2702" s="77"/>
      <c r="AI2702" s="77"/>
      <c r="AJ2702" s="77"/>
      <c r="AN2702" s="4"/>
      <c r="AO2702" s="4"/>
      <c r="AP2702" s="4"/>
      <c r="AQ2702" s="77"/>
      <c r="AR2702" s="77"/>
      <c r="AS2702" s="77"/>
      <c r="AW2702" s="4"/>
      <c r="AX2702" s="4"/>
      <c r="AY2702" s="4"/>
      <c r="AZ2702" s="77"/>
      <c r="BA2702" s="77"/>
      <c r="BB2702" s="77"/>
      <c r="BF2702" s="4"/>
      <c r="BG2702" s="4"/>
      <c r="BH2702" s="4"/>
      <c r="BI2702" s="77"/>
      <c r="BJ2702" s="77"/>
      <c r="BK2702" s="77"/>
      <c r="BO2702" s="4"/>
      <c r="BR2702" s="4"/>
      <c r="BS2702" s="77"/>
      <c r="BT2702" s="77"/>
      <c r="BU2702" s="75"/>
      <c r="BV2702" s="75"/>
      <c r="BX2702" s="1"/>
    </row>
    <row r="2703" spans="3:76" ht="15" customHeight="1" x14ac:dyDescent="0.2">
      <c r="C2703" s="1"/>
      <c r="E2703" s="1"/>
      <c r="G2703" s="94"/>
      <c r="H2703" s="94"/>
      <c r="I2703" s="13"/>
      <c r="J2703" s="4"/>
      <c r="K2703" s="4"/>
      <c r="L2703" s="13"/>
      <c r="M2703" s="4"/>
      <c r="N2703" s="4"/>
      <c r="O2703" s="13"/>
      <c r="P2703" s="4"/>
      <c r="Q2703" s="4"/>
      <c r="R2703" s="13"/>
      <c r="S2703" s="4"/>
      <c r="T2703" s="4"/>
      <c r="U2703" s="4"/>
      <c r="V2703" s="4"/>
      <c r="AC2703" s="6"/>
      <c r="AE2703" s="4"/>
      <c r="AF2703" s="4"/>
      <c r="AG2703" s="4"/>
      <c r="AH2703" s="77"/>
      <c r="AI2703" s="77"/>
      <c r="AJ2703" s="77"/>
      <c r="AN2703" s="4"/>
      <c r="AO2703" s="4"/>
      <c r="AP2703" s="4"/>
      <c r="AQ2703" s="77"/>
      <c r="AR2703" s="77"/>
      <c r="AS2703" s="77"/>
      <c r="AW2703" s="4"/>
      <c r="AX2703" s="4"/>
      <c r="AY2703" s="4"/>
      <c r="AZ2703" s="77"/>
      <c r="BA2703" s="77"/>
      <c r="BB2703" s="77"/>
      <c r="BF2703" s="4"/>
      <c r="BG2703" s="4"/>
      <c r="BH2703" s="4"/>
      <c r="BI2703" s="77"/>
      <c r="BJ2703" s="77"/>
      <c r="BK2703" s="77"/>
      <c r="BO2703" s="4"/>
      <c r="BR2703" s="4"/>
      <c r="BS2703" s="77"/>
      <c r="BT2703" s="77"/>
      <c r="BU2703" s="75"/>
      <c r="BV2703" s="75"/>
      <c r="BX2703" s="1"/>
    </row>
    <row r="2704" spans="3:76" ht="15" customHeight="1" x14ac:dyDescent="0.2">
      <c r="C2704" s="1"/>
      <c r="E2704" s="1"/>
      <c r="G2704" s="94"/>
      <c r="H2704" s="94"/>
      <c r="I2704" s="13"/>
      <c r="J2704" s="4"/>
      <c r="K2704" s="4"/>
      <c r="L2704" s="13"/>
      <c r="M2704" s="4"/>
      <c r="N2704" s="4"/>
      <c r="O2704" s="13"/>
      <c r="P2704" s="4"/>
      <c r="Q2704" s="4"/>
      <c r="R2704" s="13"/>
      <c r="S2704" s="4"/>
      <c r="T2704" s="4"/>
      <c r="U2704" s="4"/>
      <c r="V2704" s="4"/>
      <c r="AC2704" s="6"/>
      <c r="AE2704" s="4"/>
      <c r="AF2704" s="4"/>
      <c r="AG2704" s="4"/>
      <c r="AH2704" s="77"/>
      <c r="AI2704" s="77"/>
      <c r="AJ2704" s="77"/>
      <c r="AN2704" s="4"/>
      <c r="AO2704" s="4"/>
      <c r="AP2704" s="4"/>
      <c r="AQ2704" s="77"/>
      <c r="AR2704" s="77"/>
      <c r="AS2704" s="77"/>
      <c r="AW2704" s="4"/>
      <c r="AX2704" s="4"/>
      <c r="AY2704" s="4"/>
      <c r="AZ2704" s="77"/>
      <c r="BA2704" s="77"/>
      <c r="BB2704" s="77"/>
      <c r="BF2704" s="4"/>
      <c r="BG2704" s="4"/>
      <c r="BH2704" s="4"/>
      <c r="BI2704" s="77"/>
      <c r="BJ2704" s="77"/>
      <c r="BK2704" s="77"/>
      <c r="BO2704" s="4"/>
      <c r="BR2704" s="4"/>
      <c r="BS2704" s="77"/>
      <c r="BT2704" s="77"/>
      <c r="BU2704" s="75"/>
      <c r="BV2704" s="75"/>
      <c r="BX2704" s="1"/>
    </row>
    <row r="2705" spans="3:76" ht="15" customHeight="1" x14ac:dyDescent="0.2">
      <c r="C2705" s="1"/>
      <c r="E2705" s="1"/>
      <c r="G2705" s="94"/>
      <c r="H2705" s="94"/>
      <c r="I2705" s="13"/>
      <c r="J2705" s="4"/>
      <c r="K2705" s="4"/>
      <c r="L2705" s="13"/>
      <c r="M2705" s="4"/>
      <c r="N2705" s="4"/>
      <c r="O2705" s="13"/>
      <c r="P2705" s="4"/>
      <c r="Q2705" s="4"/>
      <c r="R2705" s="13"/>
      <c r="S2705" s="4"/>
      <c r="T2705" s="4"/>
      <c r="U2705" s="4"/>
      <c r="V2705" s="4"/>
      <c r="AC2705" s="6"/>
      <c r="AE2705" s="4"/>
      <c r="AF2705" s="4"/>
      <c r="AG2705" s="4"/>
      <c r="AH2705" s="77"/>
      <c r="AI2705" s="77"/>
      <c r="AJ2705" s="77"/>
      <c r="AN2705" s="4"/>
      <c r="AO2705" s="4"/>
      <c r="AP2705" s="4"/>
      <c r="AQ2705" s="77"/>
      <c r="AR2705" s="77"/>
      <c r="AS2705" s="77"/>
      <c r="AW2705" s="4"/>
      <c r="AX2705" s="4"/>
      <c r="AY2705" s="4"/>
      <c r="AZ2705" s="77"/>
      <c r="BA2705" s="77"/>
      <c r="BB2705" s="77"/>
      <c r="BF2705" s="4"/>
      <c r="BG2705" s="4"/>
      <c r="BH2705" s="4"/>
      <c r="BI2705" s="77"/>
      <c r="BJ2705" s="77"/>
      <c r="BK2705" s="77"/>
      <c r="BO2705" s="4"/>
      <c r="BR2705" s="4"/>
      <c r="BS2705" s="77"/>
      <c r="BT2705" s="77"/>
      <c r="BU2705" s="75"/>
      <c r="BV2705" s="75"/>
      <c r="BX2705" s="1"/>
    </row>
    <row r="2706" spans="3:76" ht="15" customHeight="1" x14ac:dyDescent="0.2">
      <c r="C2706" s="1"/>
      <c r="E2706" s="1"/>
      <c r="G2706" s="77"/>
      <c r="I2706" s="13"/>
      <c r="J2706" s="4"/>
      <c r="K2706" s="4"/>
      <c r="L2706" s="13"/>
      <c r="M2706" s="4"/>
      <c r="N2706" s="4"/>
      <c r="O2706" s="13"/>
      <c r="P2706" s="4"/>
      <c r="Q2706" s="4"/>
      <c r="R2706" s="13"/>
      <c r="S2706" s="4"/>
      <c r="T2706" s="4"/>
      <c r="U2706" s="4"/>
      <c r="V2706" s="4"/>
      <c r="AC2706" s="6"/>
      <c r="AE2706" s="4"/>
      <c r="AF2706" s="4"/>
      <c r="AG2706" s="4"/>
      <c r="AH2706" s="77"/>
      <c r="AI2706" s="77"/>
      <c r="AJ2706" s="77"/>
      <c r="AN2706" s="4"/>
      <c r="AO2706" s="4"/>
      <c r="AP2706" s="4"/>
      <c r="AQ2706" s="77"/>
      <c r="AR2706" s="77"/>
      <c r="AS2706" s="77"/>
      <c r="AW2706" s="4"/>
      <c r="AX2706" s="4"/>
      <c r="AY2706" s="4"/>
      <c r="AZ2706" s="77"/>
      <c r="BA2706" s="77"/>
      <c r="BB2706" s="77"/>
      <c r="BF2706" s="4"/>
      <c r="BG2706" s="4"/>
      <c r="BH2706" s="4"/>
      <c r="BI2706" s="77"/>
      <c r="BJ2706" s="77"/>
      <c r="BK2706" s="77"/>
      <c r="BO2706" s="4"/>
      <c r="BR2706" s="4"/>
      <c r="BS2706" s="77"/>
      <c r="BT2706" s="77"/>
      <c r="BU2706" s="75"/>
      <c r="BV2706" s="75"/>
      <c r="BX2706" s="1"/>
    </row>
    <row r="2707" spans="3:76" ht="15" customHeight="1" x14ac:dyDescent="0.2">
      <c r="C2707" s="1"/>
      <c r="E2707" s="1"/>
      <c r="G2707" s="77"/>
      <c r="I2707" s="13"/>
      <c r="J2707" s="4"/>
      <c r="K2707" s="4"/>
      <c r="L2707" s="13"/>
      <c r="M2707" s="4"/>
      <c r="N2707" s="4"/>
      <c r="O2707" s="13"/>
      <c r="P2707" s="4"/>
      <c r="Q2707" s="4"/>
      <c r="R2707" s="13"/>
      <c r="S2707" s="4"/>
      <c r="T2707" s="4"/>
      <c r="U2707" s="4"/>
      <c r="V2707" s="4"/>
      <c r="AC2707" s="6"/>
      <c r="AE2707" s="4"/>
      <c r="AF2707" s="4"/>
      <c r="AG2707" s="4"/>
      <c r="AH2707" s="77"/>
      <c r="AI2707" s="77"/>
      <c r="AJ2707" s="77"/>
      <c r="AN2707" s="4"/>
      <c r="AO2707" s="4"/>
      <c r="AP2707" s="4"/>
      <c r="AQ2707" s="77"/>
      <c r="AR2707" s="77"/>
      <c r="AS2707" s="77"/>
      <c r="AW2707" s="4"/>
      <c r="AX2707" s="4"/>
      <c r="AY2707" s="4"/>
      <c r="AZ2707" s="77"/>
      <c r="BA2707" s="77"/>
      <c r="BB2707" s="77"/>
      <c r="BF2707" s="4"/>
      <c r="BG2707" s="4"/>
      <c r="BH2707" s="4"/>
      <c r="BI2707" s="77"/>
      <c r="BJ2707" s="77"/>
      <c r="BK2707" s="77"/>
      <c r="BO2707" s="4"/>
      <c r="BR2707" s="4"/>
      <c r="BS2707" s="77"/>
      <c r="BT2707" s="77"/>
      <c r="BU2707" s="75"/>
      <c r="BV2707" s="75"/>
      <c r="BX2707" s="1"/>
    </row>
    <row r="2708" spans="3:76" ht="15" customHeight="1" x14ac:dyDescent="0.2">
      <c r="C2708" s="1"/>
      <c r="E2708" s="1"/>
      <c r="F2708" s="1"/>
      <c r="G2708" s="77"/>
      <c r="J2708" s="4"/>
      <c r="K2708" s="4"/>
      <c r="M2708" s="4"/>
      <c r="N2708" s="4"/>
      <c r="P2708" s="4"/>
      <c r="Q2708" s="4"/>
      <c r="S2708" s="4"/>
      <c r="T2708" s="4"/>
      <c r="U2708" s="4"/>
      <c r="V2708" s="4"/>
      <c r="AC2708" s="6"/>
      <c r="AE2708" s="4"/>
      <c r="AF2708" s="4"/>
      <c r="AG2708" s="4"/>
      <c r="AH2708" s="77"/>
      <c r="AI2708" s="77"/>
      <c r="AJ2708" s="77"/>
      <c r="AN2708" s="4"/>
      <c r="AO2708" s="4"/>
      <c r="AP2708" s="4"/>
      <c r="AQ2708" s="77"/>
      <c r="AR2708" s="77"/>
      <c r="AS2708" s="77"/>
      <c r="AW2708" s="4"/>
      <c r="AX2708" s="4"/>
      <c r="AY2708" s="4"/>
      <c r="AZ2708" s="77"/>
      <c r="BA2708" s="77"/>
      <c r="BB2708" s="77"/>
      <c r="BF2708" s="4"/>
      <c r="BG2708" s="4"/>
      <c r="BH2708" s="4"/>
      <c r="BI2708" s="77"/>
      <c r="BJ2708" s="77"/>
      <c r="BK2708" s="77"/>
      <c r="BO2708" s="4"/>
      <c r="BR2708" s="4"/>
      <c r="BS2708" s="77"/>
      <c r="BT2708" s="77"/>
      <c r="BU2708" s="75"/>
      <c r="BV2708" s="75"/>
      <c r="BX2708" s="1"/>
    </row>
    <row r="2709" spans="3:76" ht="15" customHeight="1" x14ac:dyDescent="0.2">
      <c r="C2709" s="1"/>
      <c r="E2709" s="1"/>
      <c r="F2709" s="1"/>
      <c r="G2709" s="77"/>
      <c r="J2709" s="4"/>
      <c r="K2709" s="4"/>
      <c r="M2709" s="4"/>
      <c r="N2709" s="4"/>
      <c r="P2709" s="4"/>
      <c r="Q2709" s="4"/>
      <c r="S2709" s="4"/>
      <c r="T2709" s="4"/>
      <c r="U2709" s="4"/>
      <c r="V2709" s="4"/>
      <c r="AC2709" s="6"/>
      <c r="AE2709" s="4"/>
      <c r="AF2709" s="4"/>
      <c r="AG2709" s="4"/>
      <c r="AH2709" s="77"/>
      <c r="AI2709" s="77"/>
      <c r="AJ2709" s="77"/>
      <c r="AN2709" s="4"/>
      <c r="AO2709" s="4"/>
      <c r="AP2709" s="4"/>
      <c r="AQ2709" s="77"/>
      <c r="AR2709" s="77"/>
      <c r="AS2709" s="77"/>
      <c r="AW2709" s="4"/>
      <c r="AX2709" s="4"/>
      <c r="AY2709" s="4"/>
      <c r="AZ2709" s="77"/>
      <c r="BA2709" s="77"/>
      <c r="BB2709" s="77"/>
      <c r="BF2709" s="4"/>
      <c r="BG2709" s="4"/>
      <c r="BH2709" s="4"/>
      <c r="BI2709" s="77"/>
      <c r="BJ2709" s="77"/>
      <c r="BK2709" s="77"/>
      <c r="BO2709" s="4"/>
      <c r="BR2709" s="4"/>
      <c r="BS2709" s="77"/>
      <c r="BT2709" s="77"/>
      <c r="BU2709" s="75"/>
      <c r="BV2709" s="75"/>
      <c r="BX2709" s="1"/>
    </row>
    <row r="2710" spans="3:76" ht="15" customHeight="1" x14ac:dyDescent="0.2">
      <c r="C2710" s="1"/>
      <c r="E2710" s="1"/>
      <c r="F2710" s="1"/>
      <c r="G2710" s="77"/>
      <c r="J2710" s="4"/>
      <c r="K2710" s="4"/>
      <c r="M2710" s="4"/>
      <c r="N2710" s="4"/>
      <c r="P2710" s="4"/>
      <c r="Q2710" s="4"/>
      <c r="S2710" s="4"/>
      <c r="T2710" s="4"/>
      <c r="U2710" s="4"/>
      <c r="V2710" s="4"/>
      <c r="AE2710" s="4"/>
      <c r="AF2710" s="4"/>
      <c r="AG2710" s="4"/>
      <c r="AH2710" s="77"/>
      <c r="AI2710" s="77"/>
      <c r="AJ2710" s="77"/>
      <c r="AN2710" s="4"/>
      <c r="AO2710" s="4"/>
      <c r="AP2710" s="4"/>
      <c r="AQ2710" s="77"/>
      <c r="AR2710" s="77"/>
      <c r="AS2710" s="77"/>
      <c r="AW2710" s="4"/>
      <c r="AX2710" s="4"/>
      <c r="AY2710" s="4"/>
      <c r="AZ2710" s="77"/>
      <c r="BA2710" s="77"/>
      <c r="BB2710" s="77"/>
      <c r="BF2710" s="4"/>
      <c r="BG2710" s="4"/>
      <c r="BH2710" s="4"/>
      <c r="BI2710" s="77"/>
      <c r="BJ2710" s="77"/>
      <c r="BK2710" s="77"/>
      <c r="BO2710" s="4"/>
      <c r="BR2710" s="4"/>
      <c r="BS2710" s="77"/>
      <c r="BT2710" s="77"/>
      <c r="BU2710" s="75"/>
      <c r="BV2710" s="75"/>
      <c r="BX2710" s="1"/>
    </row>
    <row r="2711" spans="3:76" ht="15" customHeight="1" x14ac:dyDescent="0.2">
      <c r="C2711" s="1"/>
      <c r="E2711" s="1"/>
      <c r="F2711" s="1"/>
      <c r="G2711" s="77"/>
      <c r="J2711" s="4"/>
      <c r="K2711" s="4"/>
      <c r="M2711" s="4"/>
      <c r="N2711" s="4"/>
      <c r="P2711" s="4"/>
      <c r="Q2711" s="4"/>
      <c r="S2711" s="4"/>
      <c r="T2711" s="4"/>
      <c r="U2711" s="4"/>
      <c r="V2711" s="4"/>
      <c r="AF2711" s="4"/>
      <c r="AG2711" s="4"/>
      <c r="AH2711" s="77"/>
      <c r="AI2711" s="77"/>
      <c r="AJ2711" s="77"/>
      <c r="AO2711" s="4"/>
      <c r="AP2711" s="4"/>
      <c r="AQ2711" s="77"/>
      <c r="AR2711" s="77"/>
      <c r="AS2711" s="77"/>
      <c r="AX2711" s="4"/>
      <c r="AY2711" s="4"/>
      <c r="AZ2711" s="77"/>
      <c r="BA2711" s="77"/>
      <c r="BB2711" s="77"/>
      <c r="BG2711" s="4"/>
      <c r="BH2711" s="4"/>
      <c r="BI2711" s="77"/>
      <c r="BJ2711" s="77"/>
      <c r="BK2711" s="77"/>
      <c r="BS2711" s="77"/>
      <c r="BT2711" s="77"/>
      <c r="BU2711" s="75"/>
      <c r="BV2711" s="75"/>
      <c r="BX2711" s="1"/>
    </row>
    <row r="2712" spans="3:76" ht="15" customHeight="1" x14ac:dyDescent="0.2">
      <c r="C2712" s="1"/>
      <c r="E2712" s="1"/>
      <c r="F2712" s="1"/>
      <c r="G2712" s="77"/>
      <c r="J2712" s="4"/>
      <c r="K2712" s="4"/>
      <c r="M2712" s="4"/>
      <c r="N2712" s="4"/>
      <c r="P2712" s="4"/>
      <c r="Q2712" s="4"/>
      <c r="S2712" s="4"/>
      <c r="T2712" s="4"/>
      <c r="U2712" s="4"/>
      <c r="V2712" s="4"/>
      <c r="AF2712" s="4"/>
      <c r="AG2712" s="4"/>
      <c r="AH2712" s="77"/>
      <c r="AI2712" s="77"/>
      <c r="AJ2712" s="77"/>
      <c r="AO2712" s="4"/>
      <c r="AP2712" s="4"/>
      <c r="AQ2712" s="77"/>
      <c r="AR2712" s="77"/>
      <c r="AS2712" s="77"/>
      <c r="AX2712" s="4"/>
      <c r="AY2712" s="4"/>
      <c r="AZ2712" s="77"/>
      <c r="BA2712" s="77"/>
      <c r="BB2712" s="77"/>
      <c r="BG2712" s="4"/>
      <c r="BH2712" s="4"/>
      <c r="BI2712" s="77"/>
      <c r="BJ2712" s="77"/>
      <c r="BK2712" s="77"/>
      <c r="BS2712" s="77"/>
      <c r="BT2712" s="77"/>
      <c r="BX2712" s="1"/>
    </row>
    <row r="2713" spans="3:76" ht="15" customHeight="1" x14ac:dyDescent="0.2">
      <c r="C2713" s="1"/>
      <c r="E2713" s="1"/>
      <c r="F2713" s="1"/>
      <c r="G2713" s="77"/>
      <c r="J2713" s="4"/>
      <c r="K2713" s="4"/>
      <c r="M2713" s="4"/>
      <c r="N2713" s="4"/>
      <c r="P2713" s="4"/>
      <c r="Q2713" s="4"/>
      <c r="S2713" s="4"/>
      <c r="T2713" s="4"/>
      <c r="U2713" s="4"/>
      <c r="V2713" s="4"/>
      <c r="AF2713" s="4"/>
      <c r="AG2713" s="4"/>
      <c r="AH2713" s="77"/>
      <c r="AI2713" s="77"/>
      <c r="AJ2713" s="77"/>
      <c r="AO2713" s="4"/>
      <c r="AP2713" s="4"/>
      <c r="AQ2713" s="77"/>
      <c r="AR2713" s="77"/>
      <c r="AS2713" s="77"/>
      <c r="AX2713" s="4"/>
      <c r="AY2713" s="4"/>
      <c r="AZ2713" s="77"/>
      <c r="BA2713" s="77"/>
      <c r="BB2713" s="77"/>
      <c r="BG2713" s="4"/>
      <c r="BH2713" s="4"/>
      <c r="BI2713" s="77"/>
      <c r="BJ2713" s="77"/>
      <c r="BK2713" s="77"/>
      <c r="BS2713" s="77"/>
      <c r="BT2713" s="77"/>
      <c r="BX2713" s="1"/>
    </row>
    <row r="2714" spans="3:76" ht="15" customHeight="1" x14ac:dyDescent="0.2">
      <c r="C2714" s="1"/>
      <c r="E2714" s="1"/>
      <c r="F2714" s="1"/>
      <c r="G2714" s="77"/>
      <c r="J2714" s="4"/>
      <c r="K2714" s="4"/>
      <c r="M2714" s="4"/>
      <c r="N2714" s="4"/>
      <c r="P2714" s="4"/>
      <c r="Q2714" s="4"/>
      <c r="S2714" s="4"/>
      <c r="T2714" s="4"/>
      <c r="U2714" s="4"/>
      <c r="V2714" s="4"/>
      <c r="AF2714" s="4"/>
      <c r="AG2714" s="4"/>
      <c r="AH2714" s="77"/>
      <c r="AI2714" s="77"/>
      <c r="AJ2714" s="77"/>
      <c r="AO2714" s="4"/>
      <c r="AP2714" s="4"/>
      <c r="AQ2714" s="77"/>
      <c r="AR2714" s="77"/>
      <c r="AS2714" s="77"/>
      <c r="AX2714" s="4"/>
      <c r="AY2714" s="4"/>
      <c r="AZ2714" s="77"/>
      <c r="BA2714" s="77"/>
      <c r="BB2714" s="77"/>
      <c r="BG2714" s="4"/>
      <c r="BH2714" s="4"/>
      <c r="BI2714" s="77"/>
      <c r="BJ2714" s="77"/>
      <c r="BK2714" s="77"/>
      <c r="BS2714" s="77"/>
      <c r="BT2714" s="77"/>
      <c r="BX2714" s="1"/>
    </row>
    <row r="2715" spans="3:76" ht="15" customHeight="1" x14ac:dyDescent="0.2">
      <c r="C2715" s="1"/>
      <c r="E2715" s="1"/>
      <c r="F2715" s="1"/>
      <c r="G2715" s="77"/>
      <c r="J2715" s="4"/>
      <c r="K2715" s="4"/>
      <c r="M2715" s="4"/>
      <c r="N2715" s="4"/>
      <c r="P2715" s="4"/>
      <c r="Q2715" s="4"/>
      <c r="S2715" s="4"/>
      <c r="T2715" s="4"/>
      <c r="U2715" s="4"/>
      <c r="V2715" s="4"/>
      <c r="AF2715" s="4"/>
      <c r="AG2715" s="4"/>
      <c r="AH2715" s="77"/>
      <c r="AI2715" s="77"/>
      <c r="AJ2715" s="77"/>
      <c r="AO2715" s="4"/>
      <c r="AP2715" s="4"/>
      <c r="AQ2715" s="77"/>
      <c r="AR2715" s="77"/>
      <c r="AS2715" s="77"/>
      <c r="AX2715" s="4"/>
      <c r="AY2715" s="4"/>
      <c r="AZ2715" s="77"/>
      <c r="BA2715" s="77"/>
      <c r="BB2715" s="77"/>
      <c r="BG2715" s="4"/>
      <c r="BH2715" s="4"/>
      <c r="BI2715" s="77"/>
      <c r="BJ2715" s="77"/>
      <c r="BK2715" s="77"/>
      <c r="BS2715" s="77"/>
      <c r="BT2715" s="77"/>
      <c r="BX2715" s="1"/>
    </row>
    <row r="2716" spans="3:76" ht="15" customHeight="1" x14ac:dyDescent="0.2">
      <c r="C2716" s="1"/>
      <c r="E2716" s="1"/>
      <c r="F2716" s="1"/>
      <c r="G2716" s="77"/>
      <c r="J2716" s="4"/>
      <c r="K2716" s="4"/>
      <c r="M2716" s="4"/>
      <c r="N2716" s="4"/>
      <c r="P2716" s="4"/>
      <c r="Q2716" s="4"/>
      <c r="S2716" s="4"/>
      <c r="T2716" s="4"/>
      <c r="U2716" s="4"/>
      <c r="V2716" s="4"/>
      <c r="AF2716" s="4"/>
      <c r="AG2716" s="4"/>
      <c r="AH2716" s="77"/>
      <c r="AI2716" s="77"/>
      <c r="AJ2716" s="77"/>
      <c r="AO2716" s="4"/>
      <c r="AP2716" s="4"/>
      <c r="AQ2716" s="77"/>
      <c r="AR2716" s="77"/>
      <c r="AS2716" s="77"/>
      <c r="AX2716" s="4"/>
      <c r="AY2716" s="4"/>
      <c r="AZ2716" s="77"/>
      <c r="BA2716" s="77"/>
      <c r="BB2716" s="77"/>
      <c r="BG2716" s="4"/>
      <c r="BH2716" s="4"/>
      <c r="BI2716" s="77"/>
      <c r="BJ2716" s="77"/>
      <c r="BK2716" s="77"/>
      <c r="BS2716" s="77"/>
      <c r="BT2716" s="77"/>
      <c r="BX2716" s="1"/>
    </row>
    <row r="2717" spans="3:76" ht="15" customHeight="1" x14ac:dyDescent="0.2">
      <c r="C2717" s="1"/>
      <c r="E2717" s="1"/>
      <c r="F2717" s="1"/>
      <c r="G2717" s="77"/>
      <c r="J2717" s="4"/>
      <c r="K2717" s="4"/>
      <c r="M2717" s="4"/>
      <c r="N2717" s="4"/>
      <c r="P2717" s="4"/>
      <c r="Q2717" s="4"/>
      <c r="S2717" s="4"/>
      <c r="T2717" s="4"/>
      <c r="U2717" s="4"/>
      <c r="V2717" s="4"/>
      <c r="AH2717" s="77"/>
      <c r="AI2717" s="77"/>
      <c r="AJ2717" s="77"/>
      <c r="AQ2717" s="77"/>
      <c r="AR2717" s="77"/>
      <c r="AS2717" s="77"/>
      <c r="AZ2717" s="77"/>
      <c r="BA2717" s="77"/>
      <c r="BB2717" s="77"/>
      <c r="BI2717" s="77"/>
      <c r="BJ2717" s="77"/>
      <c r="BK2717" s="77"/>
      <c r="BS2717" s="77"/>
      <c r="BT2717" s="77"/>
      <c r="BX2717" s="1"/>
    </row>
    <row r="2718" spans="3:76" ht="15" customHeight="1" x14ac:dyDescent="0.2">
      <c r="C2718" s="1"/>
      <c r="E2718" s="1"/>
      <c r="F2718" s="1"/>
      <c r="G2718" s="77"/>
      <c r="J2718" s="4"/>
      <c r="K2718" s="4"/>
      <c r="M2718" s="4"/>
      <c r="N2718" s="4"/>
      <c r="P2718" s="4"/>
      <c r="Q2718" s="4"/>
      <c r="S2718" s="4"/>
      <c r="T2718" s="4"/>
      <c r="U2718" s="4"/>
      <c r="V2718" s="4"/>
      <c r="AH2718" s="77"/>
      <c r="AI2718" s="77"/>
      <c r="AJ2718" s="77"/>
      <c r="AQ2718" s="77"/>
      <c r="AR2718" s="77"/>
      <c r="AS2718" s="77"/>
      <c r="AZ2718" s="77"/>
      <c r="BA2718" s="77"/>
      <c r="BB2718" s="77"/>
      <c r="BI2718" s="77"/>
      <c r="BJ2718" s="77"/>
      <c r="BK2718" s="77"/>
      <c r="BS2718" s="77"/>
      <c r="BT2718" s="77"/>
      <c r="BX2718" s="1"/>
    </row>
    <row r="2719" spans="3:76" ht="15" customHeight="1" x14ac:dyDescent="0.2">
      <c r="C2719" s="1"/>
      <c r="E2719" s="1"/>
      <c r="F2719" s="1"/>
      <c r="G2719" s="77"/>
      <c r="J2719" s="4"/>
      <c r="K2719" s="4"/>
      <c r="M2719" s="4"/>
      <c r="N2719" s="4"/>
      <c r="P2719" s="4"/>
      <c r="Q2719" s="4"/>
      <c r="S2719" s="4"/>
      <c r="T2719" s="4"/>
      <c r="U2719" s="4"/>
      <c r="V2719" s="4"/>
      <c r="AH2719" s="77"/>
      <c r="AI2719" s="77"/>
      <c r="AJ2719" s="77"/>
      <c r="AQ2719" s="77"/>
      <c r="AR2719" s="77"/>
      <c r="AS2719" s="77"/>
      <c r="AZ2719" s="77"/>
      <c r="BA2719" s="77"/>
      <c r="BB2719" s="77"/>
      <c r="BI2719" s="77"/>
      <c r="BJ2719" s="77"/>
      <c r="BK2719" s="77"/>
      <c r="BS2719" s="77"/>
      <c r="BT2719" s="77"/>
      <c r="BX2719" s="1"/>
    </row>
    <row r="2720" spans="3:76" ht="15" customHeight="1" x14ac:dyDescent="0.2">
      <c r="C2720" s="1"/>
      <c r="E2720" s="1"/>
      <c r="F2720" s="1"/>
      <c r="G2720" s="77"/>
      <c r="J2720" s="4"/>
      <c r="K2720" s="4"/>
      <c r="M2720" s="4"/>
      <c r="N2720" s="4"/>
      <c r="P2720" s="4"/>
      <c r="Q2720" s="4"/>
      <c r="S2720" s="4"/>
      <c r="T2720" s="4"/>
      <c r="U2720" s="4"/>
      <c r="V2720" s="4"/>
      <c r="AH2720" s="77"/>
      <c r="AI2720" s="77"/>
      <c r="AJ2720" s="77"/>
      <c r="AQ2720" s="77"/>
      <c r="AR2720" s="77"/>
      <c r="AS2720" s="77"/>
      <c r="AZ2720" s="77"/>
      <c r="BA2720" s="77"/>
      <c r="BB2720" s="77"/>
      <c r="BI2720" s="77"/>
      <c r="BJ2720" s="77"/>
      <c r="BK2720" s="77"/>
      <c r="BS2720" s="77"/>
      <c r="BT2720" s="77"/>
      <c r="BX2720" s="1"/>
    </row>
    <row r="2721" spans="3:76" ht="15" customHeight="1" x14ac:dyDescent="0.2">
      <c r="C2721" s="1"/>
      <c r="E2721" s="1"/>
      <c r="F2721" s="1"/>
      <c r="G2721" s="77"/>
      <c r="J2721" s="4"/>
      <c r="K2721" s="4"/>
      <c r="M2721" s="4"/>
      <c r="N2721" s="4"/>
      <c r="P2721" s="4"/>
      <c r="Q2721" s="4"/>
      <c r="S2721" s="4"/>
      <c r="T2721" s="4"/>
      <c r="U2721" s="4"/>
      <c r="V2721" s="4"/>
      <c r="AH2721" s="77"/>
      <c r="AI2721" s="77"/>
      <c r="AJ2721" s="77"/>
      <c r="AQ2721" s="77"/>
      <c r="AR2721" s="77"/>
      <c r="AS2721" s="77"/>
      <c r="AZ2721" s="77"/>
      <c r="BA2721" s="77"/>
      <c r="BB2721" s="77"/>
      <c r="BI2721" s="77"/>
      <c r="BJ2721" s="77"/>
      <c r="BK2721" s="77"/>
      <c r="BS2721" s="77"/>
      <c r="BT2721" s="77"/>
      <c r="BX2721" s="1"/>
    </row>
    <row r="2722" spans="3:76" ht="15" customHeight="1" x14ac:dyDescent="0.2">
      <c r="C2722" s="1"/>
      <c r="E2722" s="1"/>
      <c r="F2722" s="1"/>
      <c r="G2722" s="77"/>
      <c r="J2722" s="4"/>
      <c r="K2722" s="4"/>
      <c r="M2722" s="4"/>
      <c r="N2722" s="4"/>
      <c r="P2722" s="4"/>
      <c r="Q2722" s="4"/>
      <c r="S2722" s="4"/>
      <c r="T2722" s="4"/>
      <c r="U2722" s="4"/>
      <c r="V2722" s="4"/>
      <c r="AH2722" s="77"/>
      <c r="AI2722" s="77"/>
      <c r="AJ2722" s="77"/>
      <c r="AQ2722" s="77"/>
      <c r="AR2722" s="77"/>
      <c r="AS2722" s="77"/>
      <c r="AZ2722" s="77"/>
      <c r="BA2722" s="77"/>
      <c r="BB2722" s="77"/>
      <c r="BI2722" s="77"/>
      <c r="BJ2722" s="77"/>
      <c r="BK2722" s="77"/>
      <c r="BS2722" s="77"/>
      <c r="BT2722" s="77"/>
      <c r="BX2722" s="1"/>
    </row>
    <row r="2723" spans="3:76" ht="15" customHeight="1" x14ac:dyDescent="0.2">
      <c r="C2723" s="1"/>
      <c r="E2723" s="1"/>
      <c r="F2723" s="1"/>
      <c r="G2723" s="77"/>
      <c r="J2723" s="4"/>
      <c r="K2723" s="4"/>
      <c r="M2723" s="4"/>
      <c r="N2723" s="4"/>
      <c r="P2723" s="4"/>
      <c r="Q2723" s="4"/>
      <c r="S2723" s="4"/>
      <c r="T2723" s="4"/>
      <c r="U2723" s="4"/>
      <c r="V2723" s="4"/>
      <c r="AH2723" s="77"/>
      <c r="AI2723" s="77"/>
      <c r="AJ2723" s="77"/>
      <c r="AQ2723" s="77"/>
      <c r="AR2723" s="77"/>
      <c r="AS2723" s="77"/>
      <c r="AZ2723" s="77"/>
      <c r="BA2723" s="77"/>
      <c r="BB2723" s="77"/>
      <c r="BI2723" s="77"/>
      <c r="BJ2723" s="77"/>
      <c r="BK2723" s="77"/>
      <c r="BS2723" s="77"/>
      <c r="BT2723" s="77"/>
      <c r="BX2723" s="1"/>
    </row>
    <row r="2724" spans="3:76" ht="15" customHeight="1" x14ac:dyDescent="0.2">
      <c r="C2724" s="1"/>
      <c r="E2724" s="1"/>
      <c r="F2724" s="1"/>
      <c r="G2724" s="77"/>
      <c r="J2724" s="4"/>
      <c r="K2724" s="4"/>
      <c r="M2724" s="4"/>
      <c r="N2724" s="4"/>
      <c r="P2724" s="4"/>
      <c r="Q2724" s="4"/>
      <c r="S2724" s="4"/>
      <c r="T2724" s="4"/>
      <c r="U2724" s="4"/>
      <c r="V2724" s="4"/>
      <c r="AH2724" s="77"/>
      <c r="AI2724" s="77"/>
      <c r="AJ2724" s="77"/>
      <c r="AQ2724" s="77"/>
      <c r="AR2724" s="77"/>
      <c r="AS2724" s="77"/>
      <c r="AZ2724" s="77"/>
      <c r="BA2724" s="77"/>
      <c r="BB2724" s="77"/>
      <c r="BI2724" s="77"/>
      <c r="BJ2724" s="77"/>
      <c r="BK2724" s="77"/>
      <c r="BS2724" s="77"/>
      <c r="BT2724" s="77"/>
      <c r="BX2724" s="1"/>
    </row>
    <row r="2725" spans="3:76" ht="15" customHeight="1" x14ac:dyDescent="0.2">
      <c r="C2725" s="1"/>
      <c r="E2725" s="1"/>
      <c r="F2725" s="1"/>
      <c r="G2725" s="77"/>
      <c r="J2725" s="4"/>
      <c r="K2725" s="4"/>
      <c r="M2725" s="4"/>
      <c r="N2725" s="4"/>
      <c r="P2725" s="4"/>
      <c r="Q2725" s="4"/>
      <c r="S2725" s="4"/>
      <c r="T2725" s="4"/>
      <c r="U2725" s="4"/>
      <c r="V2725" s="4"/>
      <c r="AH2725" s="77"/>
      <c r="AI2725" s="77"/>
      <c r="AJ2725" s="77"/>
      <c r="AQ2725" s="77"/>
      <c r="AR2725" s="77"/>
      <c r="AS2725" s="77"/>
      <c r="AZ2725" s="77"/>
      <c r="BA2725" s="77"/>
      <c r="BB2725" s="77"/>
      <c r="BI2725" s="77"/>
      <c r="BJ2725" s="77"/>
      <c r="BK2725" s="77"/>
      <c r="BS2725" s="77"/>
      <c r="BT2725" s="77"/>
      <c r="BX2725" s="1"/>
    </row>
    <row r="2726" spans="3:76" ht="15" customHeight="1" x14ac:dyDescent="0.2">
      <c r="C2726" s="1"/>
      <c r="E2726" s="1"/>
      <c r="F2726" s="1"/>
      <c r="G2726" s="77"/>
      <c r="J2726" s="4"/>
      <c r="K2726" s="4"/>
      <c r="M2726" s="4"/>
      <c r="N2726" s="4"/>
      <c r="P2726" s="4"/>
      <c r="Q2726" s="4"/>
      <c r="S2726" s="4"/>
      <c r="T2726" s="4"/>
      <c r="U2726" s="4"/>
      <c r="V2726" s="4"/>
      <c r="AH2726" s="77"/>
      <c r="AI2726" s="77"/>
      <c r="AJ2726" s="77"/>
      <c r="BX2726" s="1"/>
    </row>
    <row r="2727" spans="3:76" ht="15" customHeight="1" x14ac:dyDescent="0.2">
      <c r="C2727" s="1"/>
      <c r="E2727" s="1"/>
      <c r="F2727" s="1"/>
      <c r="G2727" s="77"/>
      <c r="J2727" s="4"/>
      <c r="K2727" s="4"/>
      <c r="M2727" s="4"/>
      <c r="N2727" s="4"/>
      <c r="P2727" s="4"/>
      <c r="Q2727" s="4"/>
      <c r="S2727" s="4"/>
      <c r="T2727" s="4"/>
      <c r="U2727" s="4"/>
      <c r="V2727" s="4"/>
      <c r="AH2727" s="77"/>
      <c r="AI2727" s="77"/>
      <c r="AJ2727" s="77"/>
      <c r="BX2727" s="1"/>
    </row>
    <row r="2728" spans="3:76" ht="15" customHeight="1" x14ac:dyDescent="0.2">
      <c r="C2728" s="1"/>
      <c r="E2728" s="1"/>
      <c r="F2728" s="1"/>
      <c r="G2728" s="77"/>
      <c r="J2728" s="4"/>
      <c r="K2728" s="4"/>
      <c r="M2728" s="4"/>
      <c r="N2728" s="4"/>
      <c r="P2728" s="4"/>
      <c r="Q2728" s="4"/>
      <c r="S2728" s="4"/>
      <c r="T2728" s="4"/>
      <c r="U2728" s="4"/>
      <c r="V2728" s="4"/>
      <c r="AH2728" s="77"/>
      <c r="AI2728" s="77"/>
      <c r="AJ2728" s="77"/>
      <c r="BX2728" s="1"/>
    </row>
    <row r="2729" spans="3:76" ht="15" customHeight="1" x14ac:dyDescent="0.2">
      <c r="C2729" s="1"/>
      <c r="E2729" s="1"/>
      <c r="F2729" s="1"/>
      <c r="G2729" s="77"/>
      <c r="J2729" s="4"/>
      <c r="K2729" s="4"/>
      <c r="M2729" s="4"/>
      <c r="N2729" s="4"/>
      <c r="P2729" s="4"/>
      <c r="Q2729" s="4"/>
      <c r="S2729" s="4"/>
      <c r="T2729" s="4"/>
      <c r="U2729" s="4"/>
      <c r="V2729" s="4"/>
      <c r="AH2729" s="77"/>
      <c r="AI2729" s="77"/>
      <c r="AJ2729" s="77"/>
      <c r="BX2729" s="1"/>
    </row>
    <row r="2730" spans="3:76" ht="15" customHeight="1" x14ac:dyDescent="0.2">
      <c r="C2730" s="1"/>
      <c r="E2730" s="1"/>
      <c r="F2730" s="1"/>
      <c r="G2730" s="77"/>
      <c r="J2730" s="4"/>
      <c r="K2730" s="4"/>
      <c r="M2730" s="4"/>
      <c r="N2730" s="4"/>
      <c r="P2730" s="4"/>
      <c r="Q2730" s="4"/>
      <c r="S2730" s="4"/>
      <c r="T2730" s="4"/>
      <c r="U2730" s="4"/>
      <c r="V2730" s="4"/>
      <c r="AH2730" s="77"/>
      <c r="AI2730" s="77"/>
      <c r="AJ2730" s="77"/>
      <c r="BX2730" s="1"/>
    </row>
    <row r="2731" spans="3:76" ht="15" customHeight="1" x14ac:dyDescent="0.2">
      <c r="C2731" s="1"/>
      <c r="E2731" s="1"/>
      <c r="F2731" s="1"/>
      <c r="G2731" s="77"/>
      <c r="J2731" s="4"/>
      <c r="K2731" s="4"/>
      <c r="M2731" s="4"/>
      <c r="N2731" s="4"/>
      <c r="P2731" s="4"/>
      <c r="Q2731" s="4"/>
      <c r="S2731" s="4"/>
      <c r="T2731" s="4"/>
      <c r="U2731" s="4"/>
      <c r="V2731" s="4"/>
      <c r="AH2731" s="77"/>
      <c r="AI2731" s="77"/>
      <c r="AJ2731" s="77"/>
      <c r="BX2731" s="1"/>
    </row>
    <row r="2732" spans="3:76" ht="15" customHeight="1" x14ac:dyDescent="0.2">
      <c r="C2732" s="1"/>
      <c r="E2732" s="1"/>
      <c r="F2732" s="1"/>
      <c r="G2732" s="77"/>
      <c r="J2732" s="4"/>
      <c r="K2732" s="4"/>
      <c r="M2732" s="4"/>
      <c r="N2732" s="4"/>
      <c r="P2732" s="4"/>
      <c r="Q2732" s="4"/>
      <c r="S2732" s="4"/>
      <c r="T2732" s="4"/>
      <c r="U2732" s="4"/>
      <c r="V2732" s="4"/>
      <c r="AH2732" s="77"/>
      <c r="AI2732" s="77"/>
      <c r="AJ2732" s="77"/>
      <c r="BX2732" s="1"/>
    </row>
    <row r="2733" spans="3:76" ht="15" customHeight="1" x14ac:dyDescent="0.2">
      <c r="C2733" s="1"/>
      <c r="E2733" s="1"/>
      <c r="F2733" s="1"/>
      <c r="G2733" s="77"/>
      <c r="J2733" s="4"/>
      <c r="K2733" s="4"/>
      <c r="M2733" s="4"/>
      <c r="N2733" s="4"/>
      <c r="P2733" s="4"/>
      <c r="Q2733" s="4"/>
      <c r="S2733" s="4"/>
      <c r="T2733" s="4"/>
      <c r="U2733" s="4"/>
      <c r="V2733" s="4"/>
      <c r="AH2733" s="77"/>
      <c r="AI2733" s="77"/>
      <c r="AJ2733" s="77"/>
      <c r="BX2733" s="1"/>
    </row>
    <row r="2734" spans="3:76" ht="15" customHeight="1" x14ac:dyDescent="0.2">
      <c r="C2734" s="1"/>
      <c r="E2734" s="1"/>
      <c r="F2734" s="1"/>
      <c r="G2734" s="77"/>
      <c r="J2734" s="4"/>
      <c r="K2734" s="4"/>
      <c r="M2734" s="4"/>
      <c r="N2734" s="4"/>
      <c r="P2734" s="4"/>
      <c r="Q2734" s="4"/>
      <c r="S2734" s="4"/>
      <c r="T2734" s="4"/>
      <c r="U2734" s="4"/>
      <c r="V2734" s="4"/>
      <c r="AH2734" s="77"/>
      <c r="AI2734" s="77"/>
      <c r="AJ2734" s="77"/>
      <c r="BX2734" s="1"/>
    </row>
    <row r="2735" spans="3:76" ht="15" customHeight="1" x14ac:dyDescent="0.2">
      <c r="C2735" s="1"/>
      <c r="E2735" s="1"/>
      <c r="F2735" s="1"/>
      <c r="G2735" s="77"/>
      <c r="J2735" s="4"/>
      <c r="K2735" s="4"/>
      <c r="M2735" s="4"/>
      <c r="N2735" s="4"/>
      <c r="P2735" s="4"/>
      <c r="Q2735" s="4"/>
      <c r="S2735" s="4"/>
      <c r="T2735" s="4"/>
      <c r="U2735" s="4"/>
      <c r="V2735" s="4"/>
      <c r="AH2735" s="77"/>
      <c r="AI2735" s="77"/>
      <c r="AJ2735" s="77"/>
      <c r="BX2735" s="1"/>
    </row>
    <row r="2736" spans="3:76" ht="15" customHeight="1" x14ac:dyDescent="0.2">
      <c r="C2736" s="1"/>
      <c r="E2736" s="1"/>
      <c r="F2736" s="1"/>
      <c r="G2736" s="77"/>
      <c r="J2736" s="4"/>
      <c r="K2736" s="4"/>
      <c r="M2736" s="4"/>
      <c r="N2736" s="4"/>
      <c r="P2736" s="4"/>
      <c r="Q2736" s="4"/>
      <c r="S2736" s="4"/>
      <c r="T2736" s="4"/>
      <c r="U2736" s="4"/>
      <c r="V2736" s="4"/>
      <c r="AH2736" s="77"/>
      <c r="AI2736" s="77"/>
      <c r="AJ2736" s="77"/>
      <c r="BX2736" s="1"/>
    </row>
    <row r="2737" spans="3:76" ht="15" customHeight="1" x14ac:dyDescent="0.2">
      <c r="C2737" s="1"/>
      <c r="E2737" s="1"/>
      <c r="F2737" s="1"/>
      <c r="G2737" s="77"/>
      <c r="J2737" s="4"/>
      <c r="K2737" s="4"/>
      <c r="M2737" s="4"/>
      <c r="N2737" s="4"/>
      <c r="P2737" s="4"/>
      <c r="Q2737" s="4"/>
      <c r="S2737" s="4"/>
      <c r="T2737" s="4"/>
      <c r="U2737" s="4"/>
      <c r="V2737" s="4"/>
      <c r="AH2737" s="77"/>
      <c r="AI2737" s="77"/>
      <c r="AJ2737" s="77"/>
      <c r="BX2737" s="1"/>
    </row>
    <row r="2738" spans="3:76" ht="15" customHeight="1" x14ac:dyDescent="0.2">
      <c r="C2738" s="1"/>
      <c r="E2738" s="1"/>
      <c r="F2738" s="1"/>
      <c r="G2738" s="77"/>
      <c r="J2738" s="4"/>
      <c r="K2738" s="4"/>
      <c r="M2738" s="4"/>
      <c r="N2738" s="4"/>
      <c r="P2738" s="4"/>
      <c r="Q2738" s="4"/>
      <c r="S2738" s="4"/>
      <c r="T2738" s="4"/>
      <c r="U2738" s="4"/>
      <c r="V2738" s="4"/>
      <c r="AH2738" s="77"/>
      <c r="AI2738" s="77"/>
      <c r="AJ2738" s="77"/>
      <c r="BX2738" s="1"/>
    </row>
    <row r="2739" spans="3:76" ht="15" customHeight="1" x14ac:dyDescent="0.2">
      <c r="C2739" s="1"/>
      <c r="E2739" s="1"/>
      <c r="F2739" s="1"/>
      <c r="G2739" s="77"/>
      <c r="J2739" s="4"/>
      <c r="K2739" s="4"/>
      <c r="M2739" s="4"/>
      <c r="N2739" s="4"/>
      <c r="P2739" s="4"/>
      <c r="Q2739" s="4"/>
      <c r="S2739" s="4"/>
      <c r="T2739" s="4"/>
      <c r="U2739" s="4"/>
      <c r="V2739" s="4"/>
      <c r="AH2739" s="77"/>
      <c r="AI2739" s="77"/>
      <c r="AJ2739" s="77"/>
      <c r="BX2739" s="1"/>
    </row>
    <row r="2740" spans="3:76" ht="15" customHeight="1" x14ac:dyDescent="0.2">
      <c r="C2740" s="1"/>
      <c r="E2740" s="1"/>
      <c r="F2740" s="1"/>
      <c r="G2740" s="77"/>
      <c r="J2740" s="4"/>
      <c r="K2740" s="4"/>
      <c r="M2740" s="4"/>
      <c r="N2740" s="4"/>
      <c r="P2740" s="4"/>
      <c r="Q2740" s="4"/>
      <c r="S2740" s="4"/>
      <c r="T2740" s="4"/>
      <c r="U2740" s="4"/>
      <c r="V2740" s="4"/>
      <c r="AA2740" s="1"/>
      <c r="AC2740" s="1"/>
      <c r="BX2740" s="1"/>
    </row>
    <row r="2741" spans="3:76" ht="15" customHeight="1" x14ac:dyDescent="0.2">
      <c r="C2741" s="1"/>
      <c r="E2741" s="1"/>
      <c r="F2741" s="1"/>
      <c r="G2741" s="77"/>
      <c r="J2741" s="4"/>
      <c r="K2741" s="4"/>
      <c r="M2741" s="4"/>
      <c r="N2741" s="4"/>
      <c r="P2741" s="4"/>
      <c r="Q2741" s="4"/>
      <c r="S2741" s="4"/>
      <c r="T2741" s="4"/>
      <c r="U2741" s="4"/>
      <c r="V2741" s="4"/>
      <c r="AA2741" s="1"/>
      <c r="AC2741" s="1"/>
      <c r="BX2741" s="1"/>
    </row>
    <row r="2742" spans="3:76" ht="15" customHeight="1" x14ac:dyDescent="0.2">
      <c r="C2742" s="1"/>
      <c r="E2742" s="1"/>
      <c r="F2742" s="1"/>
      <c r="G2742" s="77"/>
      <c r="J2742" s="4"/>
      <c r="K2742" s="4"/>
      <c r="M2742" s="4"/>
      <c r="N2742" s="4"/>
      <c r="P2742" s="4"/>
      <c r="Q2742" s="4"/>
      <c r="S2742" s="4"/>
      <c r="T2742" s="4"/>
      <c r="U2742" s="4"/>
      <c r="V2742" s="4"/>
      <c r="AA2742" s="1"/>
      <c r="AC2742" s="1"/>
      <c r="BX2742" s="1"/>
    </row>
    <row r="2743" spans="3:76" ht="15" customHeight="1" x14ac:dyDescent="0.2">
      <c r="C2743" s="1"/>
      <c r="E2743" s="1"/>
      <c r="F2743" s="1"/>
      <c r="G2743" s="77"/>
      <c r="J2743" s="4"/>
      <c r="K2743" s="4"/>
      <c r="M2743" s="4"/>
      <c r="N2743" s="4"/>
      <c r="P2743" s="4"/>
      <c r="Q2743" s="4"/>
      <c r="S2743" s="4"/>
      <c r="T2743" s="4"/>
      <c r="U2743" s="4"/>
      <c r="V2743" s="4"/>
      <c r="AA2743" s="1"/>
      <c r="AC2743" s="1"/>
      <c r="BX2743" s="1"/>
    </row>
    <row r="2744" spans="3:76" ht="15" customHeight="1" x14ac:dyDescent="0.2">
      <c r="C2744" s="1"/>
      <c r="E2744" s="1"/>
      <c r="F2744" s="1"/>
      <c r="G2744" s="77"/>
      <c r="J2744" s="4"/>
      <c r="K2744" s="4"/>
      <c r="M2744" s="4"/>
      <c r="N2744" s="4"/>
      <c r="P2744" s="4"/>
      <c r="Q2744" s="4"/>
      <c r="S2744" s="4"/>
      <c r="T2744" s="4"/>
      <c r="U2744" s="4"/>
      <c r="V2744" s="4"/>
      <c r="AA2744" s="1"/>
      <c r="AC2744" s="1"/>
      <c r="BX2744" s="1"/>
    </row>
    <row r="2745" spans="3:76" ht="15" customHeight="1" x14ac:dyDescent="0.2">
      <c r="C2745" s="1"/>
      <c r="E2745" s="1"/>
      <c r="F2745" s="1"/>
      <c r="G2745" s="77"/>
      <c r="J2745" s="4"/>
      <c r="K2745" s="4"/>
      <c r="M2745" s="4"/>
      <c r="N2745" s="4"/>
      <c r="P2745" s="4"/>
      <c r="Q2745" s="4"/>
      <c r="S2745" s="4"/>
      <c r="T2745" s="4"/>
      <c r="U2745" s="4"/>
      <c r="V2745" s="4"/>
      <c r="AA2745" s="1"/>
      <c r="AC2745" s="1"/>
      <c r="BX2745" s="1"/>
    </row>
    <row r="2746" spans="3:76" ht="15" customHeight="1" x14ac:dyDescent="0.2">
      <c r="C2746" s="1"/>
      <c r="E2746" s="1"/>
      <c r="F2746" s="1"/>
      <c r="G2746" s="77"/>
      <c r="J2746" s="4"/>
      <c r="K2746" s="4"/>
      <c r="M2746" s="4"/>
      <c r="N2746" s="4"/>
      <c r="P2746" s="4"/>
      <c r="Q2746" s="4"/>
      <c r="S2746" s="4"/>
      <c r="T2746" s="4"/>
      <c r="U2746" s="4"/>
      <c r="V2746" s="4"/>
      <c r="AA2746" s="1"/>
      <c r="AC2746" s="1"/>
      <c r="BX2746" s="1"/>
    </row>
    <row r="2747" spans="3:76" ht="15" customHeight="1" x14ac:dyDescent="0.2">
      <c r="C2747" s="1"/>
      <c r="E2747" s="1"/>
      <c r="F2747" s="1"/>
      <c r="G2747" s="77"/>
      <c r="J2747" s="4"/>
      <c r="K2747" s="4"/>
      <c r="M2747" s="4"/>
      <c r="N2747" s="4"/>
      <c r="P2747" s="4"/>
      <c r="Q2747" s="4"/>
      <c r="S2747" s="4"/>
      <c r="T2747" s="4"/>
      <c r="U2747" s="4"/>
      <c r="V2747" s="4"/>
      <c r="AA2747" s="1"/>
      <c r="AC2747" s="1"/>
      <c r="BX2747" s="1"/>
    </row>
    <row r="2748" spans="3:76" ht="15" customHeight="1" x14ac:dyDescent="0.2">
      <c r="C2748" s="1"/>
      <c r="E2748" s="1"/>
      <c r="F2748" s="1"/>
      <c r="G2748" s="77"/>
      <c r="J2748" s="4"/>
      <c r="K2748" s="4"/>
      <c r="M2748" s="4"/>
      <c r="N2748" s="4"/>
      <c r="P2748" s="4"/>
      <c r="Q2748" s="4"/>
      <c r="S2748" s="4"/>
      <c r="T2748" s="4"/>
      <c r="U2748" s="4"/>
      <c r="V2748" s="4"/>
      <c r="AA2748" s="1"/>
      <c r="AC2748" s="1"/>
      <c r="BX2748" s="1"/>
    </row>
    <row r="2749" spans="3:76" ht="15" customHeight="1" x14ac:dyDescent="0.2">
      <c r="C2749" s="1"/>
      <c r="E2749" s="1"/>
      <c r="F2749" s="1"/>
      <c r="G2749" s="77"/>
      <c r="J2749" s="4"/>
      <c r="K2749" s="4"/>
      <c r="M2749" s="4"/>
      <c r="N2749" s="4"/>
      <c r="P2749" s="4"/>
      <c r="Q2749" s="4"/>
      <c r="S2749" s="4"/>
      <c r="T2749" s="4"/>
      <c r="U2749" s="4"/>
      <c r="V2749" s="4"/>
      <c r="AA2749" s="1"/>
      <c r="AC2749" s="1"/>
      <c r="BX2749" s="1"/>
    </row>
    <row r="2750" spans="3:76" ht="15" customHeight="1" x14ac:dyDescent="0.2">
      <c r="C2750" s="1"/>
      <c r="E2750" s="1"/>
      <c r="F2750" s="1"/>
      <c r="G2750" s="77"/>
      <c r="J2750" s="4"/>
      <c r="K2750" s="4"/>
      <c r="M2750" s="4"/>
      <c r="N2750" s="4"/>
      <c r="P2750" s="4"/>
      <c r="Q2750" s="4"/>
      <c r="S2750" s="4"/>
      <c r="T2750" s="4"/>
      <c r="U2750" s="4"/>
      <c r="V2750" s="4"/>
      <c r="AA2750" s="1"/>
      <c r="AC2750" s="1"/>
      <c r="BX2750" s="1"/>
    </row>
    <row r="2751" spans="3:76" ht="15" customHeight="1" x14ac:dyDescent="0.2">
      <c r="C2751" s="1"/>
      <c r="E2751" s="1"/>
      <c r="F2751" s="1"/>
      <c r="G2751" s="77"/>
      <c r="J2751" s="4"/>
      <c r="K2751" s="4"/>
      <c r="M2751" s="4"/>
      <c r="N2751" s="4"/>
      <c r="P2751" s="4"/>
      <c r="Q2751" s="4"/>
      <c r="S2751" s="4"/>
      <c r="T2751" s="4"/>
      <c r="U2751" s="4"/>
      <c r="V2751" s="4"/>
      <c r="AA2751" s="1"/>
      <c r="AC2751" s="1"/>
      <c r="BX2751" s="1"/>
    </row>
    <row r="2752" spans="3:76" ht="15" customHeight="1" x14ac:dyDescent="0.2">
      <c r="C2752" s="1"/>
      <c r="E2752" s="1"/>
      <c r="F2752" s="1"/>
      <c r="G2752" s="77"/>
      <c r="J2752" s="4"/>
      <c r="K2752" s="4"/>
      <c r="M2752" s="4"/>
      <c r="N2752" s="4"/>
      <c r="P2752" s="4"/>
      <c r="Q2752" s="4"/>
      <c r="S2752" s="4"/>
      <c r="T2752" s="4"/>
      <c r="U2752" s="4"/>
      <c r="V2752" s="4"/>
      <c r="AA2752" s="1"/>
      <c r="AC2752" s="1"/>
      <c r="BX2752" s="1"/>
    </row>
    <row r="2753" spans="3:76" ht="15" customHeight="1" x14ac:dyDescent="0.2">
      <c r="C2753" s="1"/>
      <c r="E2753" s="1"/>
      <c r="F2753" s="1"/>
      <c r="G2753" s="77"/>
      <c r="J2753" s="4"/>
      <c r="K2753" s="4"/>
      <c r="M2753" s="4"/>
      <c r="N2753" s="4"/>
      <c r="P2753" s="4"/>
      <c r="Q2753" s="4"/>
      <c r="S2753" s="4"/>
      <c r="T2753" s="4"/>
      <c r="U2753" s="4"/>
      <c r="V2753" s="4"/>
      <c r="AA2753" s="1"/>
      <c r="AC2753" s="1"/>
      <c r="BX2753" s="1"/>
    </row>
    <row r="2754" spans="3:76" ht="15" customHeight="1" x14ac:dyDescent="0.2">
      <c r="C2754" s="1"/>
      <c r="E2754" s="1"/>
      <c r="F2754" s="1"/>
      <c r="G2754" s="77"/>
      <c r="J2754" s="4"/>
      <c r="K2754" s="4"/>
      <c r="M2754" s="4"/>
      <c r="N2754" s="4"/>
      <c r="P2754" s="4"/>
      <c r="Q2754" s="4"/>
      <c r="S2754" s="4"/>
      <c r="T2754" s="4"/>
      <c r="U2754" s="4"/>
      <c r="V2754" s="4"/>
      <c r="AA2754" s="1"/>
      <c r="AC2754" s="1"/>
      <c r="BX2754" s="1"/>
    </row>
    <row r="2755" spans="3:76" ht="15" customHeight="1" x14ac:dyDescent="0.2">
      <c r="C2755" s="1"/>
      <c r="E2755" s="1"/>
      <c r="F2755" s="1"/>
      <c r="G2755" s="77"/>
      <c r="J2755" s="4"/>
      <c r="K2755" s="4"/>
      <c r="M2755" s="4"/>
      <c r="N2755" s="4"/>
      <c r="P2755" s="4"/>
      <c r="Q2755" s="4"/>
      <c r="S2755" s="4"/>
      <c r="T2755" s="4"/>
      <c r="U2755" s="4"/>
      <c r="V2755" s="4"/>
      <c r="AA2755" s="1"/>
      <c r="AC2755" s="1"/>
      <c r="BX2755" s="1"/>
    </row>
    <row r="2756" spans="3:76" ht="15" customHeight="1" x14ac:dyDescent="0.2">
      <c r="C2756" s="1"/>
      <c r="E2756" s="1"/>
      <c r="F2756" s="1"/>
      <c r="G2756" s="77"/>
      <c r="J2756" s="4"/>
      <c r="K2756" s="4"/>
      <c r="M2756" s="4"/>
      <c r="N2756" s="4"/>
      <c r="P2756" s="4"/>
      <c r="Q2756" s="4"/>
      <c r="S2756" s="4"/>
      <c r="T2756" s="4"/>
      <c r="U2756" s="4"/>
      <c r="V2756" s="4"/>
      <c r="AA2756" s="1"/>
      <c r="AC2756" s="1"/>
      <c r="BX2756" s="1"/>
    </row>
    <row r="2757" spans="3:76" ht="15" customHeight="1" x14ac:dyDescent="0.2">
      <c r="C2757" s="1"/>
      <c r="E2757" s="1"/>
      <c r="F2757" s="1"/>
      <c r="G2757" s="77"/>
      <c r="J2757" s="4"/>
      <c r="K2757" s="4"/>
      <c r="M2757" s="4"/>
      <c r="N2757" s="4"/>
      <c r="P2757" s="4"/>
      <c r="Q2757" s="4"/>
      <c r="S2757" s="4"/>
      <c r="T2757" s="4"/>
      <c r="U2757" s="4"/>
      <c r="V2757" s="4"/>
      <c r="AA2757" s="1"/>
      <c r="AC2757" s="1"/>
      <c r="BX2757" s="1"/>
    </row>
    <row r="2758" spans="3:76" ht="15" customHeight="1" x14ac:dyDescent="0.2">
      <c r="C2758" s="1"/>
      <c r="E2758" s="1"/>
      <c r="F2758" s="1"/>
      <c r="G2758" s="77"/>
      <c r="J2758" s="4"/>
      <c r="K2758" s="4"/>
      <c r="M2758" s="4"/>
      <c r="N2758" s="4"/>
      <c r="P2758" s="4"/>
      <c r="Q2758" s="4"/>
      <c r="S2758" s="4"/>
      <c r="T2758" s="4"/>
      <c r="U2758" s="4"/>
      <c r="V2758" s="4"/>
      <c r="AA2758" s="1"/>
      <c r="AC2758" s="1"/>
      <c r="BX2758" s="1"/>
    </row>
    <row r="2759" spans="3:76" ht="15" customHeight="1" x14ac:dyDescent="0.2">
      <c r="C2759" s="1"/>
      <c r="E2759" s="1"/>
      <c r="F2759" s="1"/>
      <c r="G2759" s="77"/>
      <c r="J2759" s="4"/>
      <c r="K2759" s="4"/>
      <c r="M2759" s="4"/>
      <c r="N2759" s="4"/>
      <c r="P2759" s="4"/>
      <c r="Q2759" s="4"/>
      <c r="S2759" s="4"/>
      <c r="T2759" s="4"/>
      <c r="U2759" s="4"/>
      <c r="V2759" s="4"/>
      <c r="AA2759" s="1"/>
      <c r="AC2759" s="1"/>
      <c r="BX2759" s="1"/>
    </row>
    <row r="2760" spans="3:76" ht="15" customHeight="1" x14ac:dyDescent="0.2">
      <c r="C2760" s="1"/>
      <c r="E2760" s="1"/>
      <c r="F2760" s="1"/>
      <c r="G2760" s="77"/>
      <c r="J2760" s="4"/>
      <c r="K2760" s="4"/>
      <c r="M2760" s="4"/>
      <c r="N2760" s="4"/>
      <c r="P2760" s="4"/>
      <c r="Q2760" s="4"/>
      <c r="S2760" s="4"/>
      <c r="T2760" s="4"/>
      <c r="U2760" s="4"/>
      <c r="V2760" s="4"/>
      <c r="AA2760" s="1"/>
      <c r="AC2760" s="1"/>
      <c r="BX2760" s="1"/>
    </row>
    <row r="2761" spans="3:76" ht="15" customHeight="1" x14ac:dyDescent="0.2">
      <c r="C2761" s="1"/>
      <c r="E2761" s="1"/>
      <c r="F2761" s="1"/>
      <c r="G2761" s="77"/>
      <c r="J2761" s="4"/>
      <c r="K2761" s="4"/>
      <c r="M2761" s="4"/>
      <c r="N2761" s="4"/>
      <c r="P2761" s="4"/>
      <c r="Q2761" s="4"/>
      <c r="S2761" s="4"/>
      <c r="T2761" s="4"/>
      <c r="U2761" s="4"/>
      <c r="V2761" s="4"/>
      <c r="AA2761" s="1"/>
      <c r="AC2761" s="1"/>
      <c r="BX2761" s="1"/>
    </row>
    <row r="2762" spans="3:76" ht="15" customHeight="1" x14ac:dyDescent="0.2">
      <c r="C2762" s="1"/>
      <c r="E2762" s="1"/>
      <c r="F2762" s="1"/>
      <c r="G2762" s="77"/>
      <c r="J2762" s="4"/>
      <c r="K2762" s="4"/>
      <c r="M2762" s="4"/>
      <c r="N2762" s="4"/>
      <c r="P2762" s="4"/>
      <c r="Q2762" s="4"/>
      <c r="S2762" s="4"/>
      <c r="T2762" s="4"/>
      <c r="U2762" s="4"/>
      <c r="V2762" s="4"/>
      <c r="AA2762" s="1"/>
      <c r="AC2762" s="1"/>
      <c r="BX2762" s="1"/>
    </row>
    <row r="2763" spans="3:76" ht="15" customHeight="1" x14ac:dyDescent="0.2">
      <c r="C2763" s="1"/>
      <c r="E2763" s="1"/>
      <c r="F2763" s="1"/>
      <c r="G2763" s="77"/>
      <c r="J2763" s="4"/>
      <c r="K2763" s="4"/>
      <c r="M2763" s="4"/>
      <c r="N2763" s="4"/>
      <c r="P2763" s="4"/>
      <c r="Q2763" s="4"/>
      <c r="S2763" s="4"/>
      <c r="T2763" s="4"/>
      <c r="U2763" s="4"/>
      <c r="V2763" s="4"/>
      <c r="AA2763" s="1"/>
      <c r="AC2763" s="1"/>
      <c r="BX2763" s="1"/>
    </row>
    <row r="2764" spans="3:76" ht="15" customHeight="1" x14ac:dyDescent="0.2">
      <c r="C2764" s="1"/>
      <c r="E2764" s="1"/>
      <c r="F2764" s="1"/>
      <c r="G2764" s="77"/>
      <c r="J2764" s="4"/>
      <c r="K2764" s="4"/>
      <c r="M2764" s="4"/>
      <c r="N2764" s="4"/>
      <c r="P2764" s="4"/>
      <c r="Q2764" s="4"/>
      <c r="S2764" s="4"/>
      <c r="T2764" s="4"/>
      <c r="U2764" s="4"/>
      <c r="V2764" s="4"/>
      <c r="AA2764" s="1"/>
      <c r="AC2764" s="1"/>
      <c r="BX2764" s="1"/>
    </row>
    <row r="2765" spans="3:76" ht="15" customHeight="1" x14ac:dyDescent="0.2">
      <c r="C2765" s="1"/>
      <c r="E2765" s="1"/>
      <c r="F2765" s="1"/>
      <c r="G2765" s="77"/>
      <c r="AA2765" s="1"/>
      <c r="AC2765" s="1"/>
      <c r="BX2765" s="1"/>
    </row>
    <row r="2766" spans="3:76" ht="15" customHeight="1" x14ac:dyDescent="0.2">
      <c r="C2766" s="1"/>
      <c r="E2766" s="1"/>
      <c r="F2766" s="1"/>
      <c r="G2766" s="77"/>
      <c r="AA2766" s="1"/>
      <c r="AC2766" s="1"/>
      <c r="BX2766" s="1"/>
    </row>
    <row r="2767" spans="3:76" ht="15" customHeight="1" x14ac:dyDescent="0.2">
      <c r="C2767" s="1"/>
      <c r="E2767" s="1"/>
      <c r="F2767" s="1"/>
      <c r="G2767" s="77"/>
      <c r="AA2767" s="1"/>
      <c r="AC2767" s="1"/>
      <c r="BX2767" s="1"/>
    </row>
    <row r="2768" spans="3:76" ht="15" customHeight="1" x14ac:dyDescent="0.2">
      <c r="C2768" s="1"/>
      <c r="E2768" s="1"/>
      <c r="F2768" s="1"/>
      <c r="G2768" s="77"/>
      <c r="AA2768" s="1"/>
      <c r="AC2768" s="1"/>
      <c r="BX2768" s="1"/>
    </row>
    <row r="2769" spans="3:76" ht="15" customHeight="1" x14ac:dyDescent="0.2">
      <c r="C2769" s="1"/>
      <c r="E2769" s="1"/>
      <c r="F2769" s="1"/>
      <c r="G2769" s="77"/>
      <c r="AA2769" s="1"/>
      <c r="AC2769" s="1"/>
      <c r="BX2769" s="1"/>
    </row>
    <row r="2770" spans="3:76" ht="15" customHeight="1" x14ac:dyDescent="0.2">
      <c r="C2770" s="1"/>
      <c r="E2770" s="1"/>
      <c r="F2770" s="1"/>
      <c r="G2770" s="77"/>
      <c r="AA2770" s="1"/>
      <c r="AC2770" s="1"/>
      <c r="BX2770" s="1"/>
    </row>
    <row r="2771" spans="3:76" ht="15" customHeight="1" x14ac:dyDescent="0.2">
      <c r="C2771" s="1"/>
      <c r="E2771" s="1"/>
      <c r="F2771" s="1"/>
      <c r="G2771" s="77"/>
      <c r="AA2771" s="1"/>
      <c r="AC2771" s="1"/>
      <c r="BX2771" s="1"/>
    </row>
    <row r="2772" spans="3:76" s="1" customFormat="1" ht="15" customHeight="1" x14ac:dyDescent="0.2">
      <c r="G2772" s="77"/>
    </row>
    <row r="2773" spans="3:76" s="1" customFormat="1" ht="15" customHeight="1" x14ac:dyDescent="0.2">
      <c r="G2773" s="77"/>
    </row>
    <row r="2774" spans="3:76" s="1" customFormat="1" ht="15" customHeight="1" x14ac:dyDescent="0.2">
      <c r="G2774" s="77"/>
    </row>
    <row r="2775" spans="3:76" s="1" customFormat="1" ht="15" customHeight="1" x14ac:dyDescent="0.2">
      <c r="G2775" s="77"/>
    </row>
    <row r="2776" spans="3:76" s="1" customFormat="1" x14ac:dyDescent="0.2">
      <c r="G2776" s="77"/>
    </row>
    <row r="2777" spans="3:76" s="1" customFormat="1" x14ac:dyDescent="0.2">
      <c r="G2777" s="77"/>
    </row>
    <row r="2778" spans="3:76" s="1" customFormat="1" x14ac:dyDescent="0.2">
      <c r="G2778" s="77"/>
    </row>
    <row r="2779" spans="3:76" s="1" customFormat="1" x14ac:dyDescent="0.2">
      <c r="G2779" s="77"/>
    </row>
    <row r="2780" spans="3:76" s="1" customFormat="1" x14ac:dyDescent="0.2">
      <c r="G2780" s="77"/>
    </row>
    <row r="2781" spans="3:76" s="1" customFormat="1" x14ac:dyDescent="0.2">
      <c r="G2781" s="77"/>
    </row>
    <row r="2782" spans="3:76" s="1" customFormat="1" x14ac:dyDescent="0.2">
      <c r="G2782" s="77"/>
    </row>
    <row r="2783" spans="3:76" s="1" customFormat="1" x14ac:dyDescent="0.2">
      <c r="G2783" s="77"/>
    </row>
    <row r="2784" spans="3:76" s="1" customFormat="1" x14ac:dyDescent="0.2">
      <c r="G2784" s="77"/>
    </row>
    <row r="2785" spans="7:7" s="1" customFormat="1" x14ac:dyDescent="0.2">
      <c r="G2785" s="77"/>
    </row>
    <row r="2786" spans="7:7" s="1" customFormat="1" x14ac:dyDescent="0.2">
      <c r="G2786" s="77"/>
    </row>
  </sheetData>
  <sortState xmlns:xlrd2="http://schemas.microsoft.com/office/spreadsheetml/2017/richdata2" ref="A312:BV335">
    <sortCondition ref="C312:C335"/>
  </sortState>
  <mergeCells count="51">
    <mergeCell ref="AO2651:AP2651"/>
    <mergeCell ref="AO2664:AP2664"/>
    <mergeCell ref="AO2652:AP2652"/>
    <mergeCell ref="AO71:AP71"/>
    <mergeCell ref="AO688:AP688"/>
    <mergeCell ref="AO647:AP647"/>
    <mergeCell ref="AO162:AP162"/>
    <mergeCell ref="AO634:AP634"/>
    <mergeCell ref="AO643:AP643"/>
    <mergeCell ref="AO635:AP635"/>
    <mergeCell ref="AO411:AP411"/>
    <mergeCell ref="AO193:AP193"/>
    <mergeCell ref="AO91:AP91"/>
    <mergeCell ref="AX4:AY4"/>
    <mergeCell ref="BC4:BD4"/>
    <mergeCell ref="AO4:AP4"/>
    <mergeCell ref="AF4:AG4"/>
    <mergeCell ref="AK4:AL4"/>
    <mergeCell ref="AM4:AN4"/>
    <mergeCell ref="AT4:AU4"/>
    <mergeCell ref="AV4:AW4"/>
    <mergeCell ref="BN2:BO2"/>
    <mergeCell ref="BG4:BH4"/>
    <mergeCell ref="BL4:BM4"/>
    <mergeCell ref="BE2:BF2"/>
    <mergeCell ref="BU4:BV4"/>
    <mergeCell ref="BN4:BO4"/>
    <mergeCell ref="BP4:BQ4"/>
    <mergeCell ref="BE4:BF4"/>
    <mergeCell ref="AO7:AP7"/>
    <mergeCell ref="AO39:AP39"/>
    <mergeCell ref="AO43:AP43"/>
    <mergeCell ref="AO27:AP27"/>
    <mergeCell ref="AO84:AP84"/>
    <mergeCell ref="AO67:AP67"/>
    <mergeCell ref="F2:H2"/>
    <mergeCell ref="I2:K2"/>
    <mergeCell ref="AV2:AW2"/>
    <mergeCell ref="AD2:AE2"/>
    <mergeCell ref="AM2:AN2"/>
    <mergeCell ref="L2:N2"/>
    <mergeCell ref="U2:V2"/>
    <mergeCell ref="O2:Q2"/>
    <mergeCell ref="AF687:AG687"/>
    <mergeCell ref="R2:T2"/>
    <mergeCell ref="R4:T4"/>
    <mergeCell ref="U4:V4"/>
    <mergeCell ref="W4:X4"/>
    <mergeCell ref="AB4:AC4"/>
    <mergeCell ref="AD4:AE4"/>
    <mergeCell ref="AF166:AG166"/>
  </mergeCells>
  <phoneticPr fontId="6" type="noConversion"/>
  <hyperlinks>
    <hyperlink ref="BY161" r:id="rId1" xr:uid="{00000000-0004-0000-0100-000000000000}"/>
    <hyperlink ref="BY671" r:id="rId2" xr:uid="{00000000-0004-0000-0100-000001000000}"/>
    <hyperlink ref="BY2488" r:id="rId3" xr:uid="{00000000-0004-0000-0100-000002000000}"/>
    <hyperlink ref="BY323" r:id="rId4" xr:uid="{00000000-0004-0000-0100-000003000000}"/>
    <hyperlink ref="BY347" r:id="rId5" xr:uid="{00000000-0004-0000-0100-000004000000}"/>
    <hyperlink ref="BY340" r:id="rId6" xr:uid="{00000000-0004-0000-0100-000005000000}"/>
    <hyperlink ref="BY262" r:id="rId7" xr:uid="{00000000-0004-0000-0100-000006000000}"/>
    <hyperlink ref="BY175" r:id="rId8" xr:uid="{00000000-0004-0000-0100-000007000000}"/>
    <hyperlink ref="BY1835" r:id="rId9" xr:uid="{00000000-0004-0000-0100-000008000000}"/>
    <hyperlink ref="BY866" r:id="rId10" xr:uid="{00000000-0004-0000-0100-000009000000}"/>
    <hyperlink ref="BY834" r:id="rId11" xr:uid="{00000000-0004-0000-0100-00000A000000}"/>
    <hyperlink ref="BY836" r:id="rId12" xr:uid="{00000000-0004-0000-0100-00000B000000}"/>
    <hyperlink ref="BY838" r:id="rId13" xr:uid="{00000000-0004-0000-0100-00000C000000}"/>
    <hyperlink ref="BY839" r:id="rId14" xr:uid="{00000000-0004-0000-0100-00000D000000}"/>
    <hyperlink ref="BY840" r:id="rId15" xr:uid="{00000000-0004-0000-0100-00000E000000}"/>
    <hyperlink ref="BY841" r:id="rId16" xr:uid="{00000000-0004-0000-0100-00000F000000}"/>
    <hyperlink ref="BY843" r:id="rId17" xr:uid="{00000000-0004-0000-0100-000010000000}"/>
    <hyperlink ref="BY844" r:id="rId18" xr:uid="{00000000-0004-0000-0100-000011000000}"/>
    <hyperlink ref="BY846" r:id="rId19" xr:uid="{00000000-0004-0000-0100-000012000000}"/>
    <hyperlink ref="BY847" r:id="rId20" xr:uid="{00000000-0004-0000-0100-000013000000}"/>
    <hyperlink ref="BY848" r:id="rId21" xr:uid="{00000000-0004-0000-0100-000014000000}"/>
    <hyperlink ref="BY849" r:id="rId22" xr:uid="{00000000-0004-0000-0100-000015000000}"/>
    <hyperlink ref="BY850" r:id="rId23" xr:uid="{00000000-0004-0000-0100-000016000000}"/>
    <hyperlink ref="BY851" r:id="rId24" xr:uid="{00000000-0004-0000-0100-000017000000}"/>
    <hyperlink ref="BY852" r:id="rId25" xr:uid="{00000000-0004-0000-0100-000018000000}"/>
    <hyperlink ref="BY853" r:id="rId26" xr:uid="{00000000-0004-0000-0100-000019000000}"/>
    <hyperlink ref="BY854" r:id="rId27" xr:uid="{00000000-0004-0000-0100-00001A000000}"/>
    <hyperlink ref="BY855" r:id="rId28" xr:uid="{00000000-0004-0000-0100-00001B000000}"/>
    <hyperlink ref="BY856" r:id="rId29" xr:uid="{00000000-0004-0000-0100-00001C000000}"/>
    <hyperlink ref="BY857" r:id="rId30" xr:uid="{00000000-0004-0000-0100-00001D000000}"/>
    <hyperlink ref="BY858" r:id="rId31" xr:uid="{00000000-0004-0000-0100-00001E000000}"/>
    <hyperlink ref="BY859" r:id="rId32" xr:uid="{00000000-0004-0000-0100-00001F000000}"/>
    <hyperlink ref="BY860" r:id="rId33" xr:uid="{00000000-0004-0000-0100-000020000000}"/>
    <hyperlink ref="BY861" r:id="rId34" xr:uid="{00000000-0004-0000-0100-000021000000}"/>
    <hyperlink ref="BY862" r:id="rId35" xr:uid="{00000000-0004-0000-0100-000022000000}"/>
    <hyperlink ref="BY863" r:id="rId36" xr:uid="{00000000-0004-0000-0100-000023000000}"/>
    <hyperlink ref="BY865" r:id="rId37" xr:uid="{00000000-0004-0000-0100-000024000000}"/>
    <hyperlink ref="BY867" r:id="rId38" xr:uid="{00000000-0004-0000-0100-000025000000}"/>
    <hyperlink ref="BY870" r:id="rId39" xr:uid="{00000000-0004-0000-0100-000026000000}"/>
    <hyperlink ref="BY845" r:id="rId40" xr:uid="{00000000-0004-0000-0100-000027000000}"/>
    <hyperlink ref="BY118" r:id="rId41" xr:uid="{00000000-0004-0000-0100-000028000000}"/>
    <hyperlink ref="BY596" r:id="rId42" xr:uid="{00000000-0004-0000-0100-000029000000}"/>
    <hyperlink ref="BY594" r:id="rId43" xr:uid="{00000000-0004-0000-0100-00002A000000}"/>
    <hyperlink ref="BY617" r:id="rId44" xr:uid="{00000000-0004-0000-0100-00002B000000}"/>
    <hyperlink ref="BY374" r:id="rId45" xr:uid="{00000000-0004-0000-0100-00002C000000}"/>
    <hyperlink ref="BY31" r:id="rId46" xr:uid="{00000000-0004-0000-0100-00002D000000}"/>
    <hyperlink ref="BY69" r:id="rId47" xr:uid="{00000000-0004-0000-0100-00002E000000}"/>
    <hyperlink ref="BY292" r:id="rId48" xr:uid="{00000000-0004-0000-0100-00002F000000}"/>
    <hyperlink ref="BY242" r:id="rId49" xr:uid="{00000000-0004-0000-0100-000030000000}"/>
    <hyperlink ref="BY268" r:id="rId50" xr:uid="{00000000-0004-0000-0100-000031000000}"/>
    <hyperlink ref="BY362" r:id="rId51" xr:uid="{00000000-0004-0000-0100-000032000000}"/>
    <hyperlink ref="BY153" r:id="rId52" xr:uid="{00000000-0004-0000-0100-000033000000}"/>
    <hyperlink ref="BY642" r:id="rId53" xr:uid="{00000000-0004-0000-0100-000034000000}"/>
    <hyperlink ref="BY829" r:id="rId54" xr:uid="{00000000-0004-0000-0100-000035000000}"/>
    <hyperlink ref="BY811" r:id="rId55" xr:uid="{00000000-0004-0000-0100-000036000000}"/>
    <hyperlink ref="BY306" r:id="rId56" xr:uid="{00000000-0004-0000-0100-000037000000}"/>
    <hyperlink ref="BY316" r:id="rId57" xr:uid="{00000000-0004-0000-0100-000038000000}"/>
    <hyperlink ref="BY357" r:id="rId58" xr:uid="{00000000-0004-0000-0100-000039000000}"/>
    <hyperlink ref="BY301" r:id="rId59" xr:uid="{00000000-0004-0000-0100-00003A000000}"/>
    <hyperlink ref="BY333" r:id="rId60" xr:uid="{00000000-0004-0000-0100-00003B000000}"/>
    <hyperlink ref="BY701" r:id="rId61" xr:uid="{00000000-0004-0000-0100-00003C000000}"/>
    <hyperlink ref="BY125" r:id="rId62" xr:uid="{00000000-0004-0000-0100-00003D000000}"/>
    <hyperlink ref="BY372" r:id="rId63" xr:uid="{00000000-0004-0000-0100-00003E000000}"/>
    <hyperlink ref="BY320" r:id="rId64" xr:uid="{00000000-0004-0000-0100-00003F000000}"/>
    <hyperlink ref="BY214" r:id="rId65" xr:uid="{00000000-0004-0000-0100-000040000000}"/>
    <hyperlink ref="BY259" r:id="rId66" xr:uid="{00000000-0004-0000-0100-000041000000}"/>
    <hyperlink ref="BY274" r:id="rId67" xr:uid="{00000000-0004-0000-0100-000042000000}"/>
    <hyperlink ref="BY231" r:id="rId68" xr:uid="{00000000-0004-0000-0100-000043000000}"/>
    <hyperlink ref="BY343" r:id="rId69" xr:uid="{00000000-0004-0000-0100-000044000000}"/>
    <hyperlink ref="BY238" r:id="rId70" xr:uid="{00000000-0004-0000-0100-000045000000}"/>
    <hyperlink ref="BY650" r:id="rId71" xr:uid="{00000000-0004-0000-0100-000046000000}"/>
    <hyperlink ref="BY370" r:id="rId72" xr:uid="{00000000-0004-0000-0100-000047000000}"/>
    <hyperlink ref="BY264" r:id="rId73" xr:uid="{00000000-0004-0000-0100-000048000000}"/>
    <hyperlink ref="BY305" r:id="rId74" xr:uid="{00000000-0004-0000-0100-000049000000}"/>
    <hyperlink ref="BX833" r:id="rId75" xr:uid="{00000000-0004-0000-0100-00004A000000}"/>
    <hyperlink ref="BY241" r:id="rId76" xr:uid="{00000000-0004-0000-0100-00004B000000}"/>
    <hyperlink ref="BY291" r:id="rId77" xr:uid="{00000000-0004-0000-0100-00004C000000}"/>
    <hyperlink ref="BY2524" r:id="rId78" xr:uid="{00000000-0004-0000-0100-00004D000000}"/>
    <hyperlink ref="BY112" r:id="rId79" location="es-5" xr:uid="{00000000-0004-0000-0100-00004E000000}"/>
    <hyperlink ref="BY234" r:id="rId80" xr:uid="{00000000-0004-0000-0100-00004F000000}"/>
    <hyperlink ref="BY271" r:id="rId81" xr:uid="{00000000-0004-0000-0100-000050000000}"/>
    <hyperlink ref="BY275" r:id="rId82" xr:uid="{00000000-0004-0000-0100-000051000000}"/>
    <hyperlink ref="BY348" r:id="rId83" xr:uid="{00000000-0004-0000-0100-000052000000}"/>
    <hyperlink ref="E275" r:id="rId84" xr:uid="{00000000-0004-0000-0100-000053000000}"/>
    <hyperlink ref="BY429" r:id="rId85" xr:uid="{00000000-0004-0000-0100-000054000000}"/>
    <hyperlink ref="BY430:BY434" r:id="rId86" display="http://www.env.go.jp/en/earth/cc/2050_zero_carbon_cities_in_japan.html" xr:uid="{00000000-0004-0000-0100-000055000000}"/>
  </hyperlinks>
  <pageMargins left="0.75" right="0.75" top="1" bottom="1" header="0.5" footer="0.5"/>
  <pageSetup paperSize="9" orientation="landscape" r:id="rId87"/>
  <headerFooter alignWithMargins="0"/>
  <ignoredErrors>
    <ignoredError sqref="BT911 AS835:AS837 W2491:X2491 W2520:X2520 AA823 AA924 AA935:AA937 AA913 AA942 AA940 AC935:AC937 AA931 AC930:AC931 AA1278 AA723 AA906 AA1174 AA1963 AA810 AA2345:AA2348 AA2381:AA2403 AA2438:AA2440 AA703:AA704 AA1693 AA1953:AA1954 AA1774 AA1696:AA1697 AA1166:AA1167 AA1155:AA1156 AA1149:AA1152 AA1755 AA1767:AA1768 AA1635 AA1794 AA1158:AA1159 AA1764 AA1784 AA1791:AA1792 AA1761 AA1170:AA1171 AA1771:AA1772 AA1163:AA1164 AA1779 AA1930:AA1934 AA959 AA2518 AA2425:AA2429 AA2443 AA2488:AA2493 AA2495 AA2504 AA2649 AA2364:AA2369 AA2484 AA1949 AA2603:AA2604 AA133 AA2507:AA2512 AA1899:AA1924 W111:X111 W2514:X2514 W1763:X1763 AA1946:AA1947 AA2242:AA2251 AA2529:AA2530 AA2479 AA2482 AA2639:AA2640 AA2633 AA2606:AA2607 AA709 AA1702:AA1714 AA1639:AA1655 AA1009:AA1147 AA1180:AA1273 AA1284:AA1376 AA1619:AA1631 AA1999 AA2297:AA2306 AA2317:AA2337 AA1681:AA1691 AA1722:AA1730 AA1746:AA1749 AA1893:AA1897 AA1808:AA1819 AA1831 AA716 BP128:BQ128 BP101:BQ101 AA890:AA892 AA1583:AA1612 AA2256:AA2262 AA1419:AA1437 AA2532:AA2544 AA1718:AA1720 AA1743:AA1744 AA301 W282:X282 AA1973 AA1938:AA1944 AA2521:AA2527 AA1926:AA1928 AA900:AA904 AA130:AA131 W101:X102 W106:X106 AA143 BT177 AA2054:AA2065 AA2355:AA2359 AA879:AA888 AA874 AA894:AA897 AA1657 AA2012 AA360 AA2459:AA2473 AA2551:AA2559 AA2568:AA2570 AA2587 AA2565 AA2616:AA2618 AA2645:AA2647 AA2635:AA2636 AA2620 AA2627:AA2629 AA2561:AA2562 AA2609:AA2610 AA2622:AA2625 AA2583:AA2584 AA2596:AA2598 AA2573:AA2576 AA2642:AA2643 AA2579:AA2581 AA2612:AA2614 AA962 AA1659:AA1663 AA1821:AA1829 AA1411 AA1413 AA1444:AA1455 AA1575:AA1581 AA1546:AA1573 AA1475:AA1478 AA1457:AA1459 AA1665:AA1679 AA1833:AA1891 AA1732:AA1741 AA1461:AA1472 AA1480:AA1532 AA2378:AA2379 AA2220:AA2224 AA2085:AA2128 AA2130:AA2132 AA2134:AA2149 AA2151:AA2153 AA2155:AA2169 AA2171:AA2173 AA2179:AA2182 AA2175:AA2177 AA2184:AA2187 AA2214:AA2218 X2220 AA2232:AA2234 AA2189:AA2200 AA2202:AA2207 AA2209:AA2212 AA2253:AA2254 AA2268 AA2264:AA2266 AA2270 AA2272:AA2274 AA2276:AA2280 AA2282 AA2293 AA2295 AA2308 AA2340:AA2343 BT358 BP303:BQ303 AA673 AA1799:AA1806 AA2083 AA1441:AA1442 AA1614:AA1617 AA2455:AA2456 AO108:AP108 AA137 AS845 AA2516 BT326 BT251 BT289:BT290 BT259 AA1381:AA1409 AA1415:AA1417 AA2069:AA2081 AA1535:AA1544 AA2591:AA2594 AA2374:AA2376 AA2237:AA2240 AA2284:AA2291 AA2310:AA2315 BT329:BT330 BV326 BT334 AA2350:AA2353 AA2548 BT284:BT286 AA591:AA615 BT266 BT282 BT263:BT264 AA816 AS866 AA2362 AA127:AA128 BT254 BP332:BQ332 BT293 BT280 AO60:AU60 AR2485 AO34:AP34 AA2371:AA2372 AS2551" formula="1"/>
  </ignoredErrors>
  <legacyDrawing r:id="rId88"/>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226"/>
  <sheetViews>
    <sheetView workbookViewId="0">
      <pane xSplit="1" ySplit="4" topLeftCell="B95" activePane="bottomRight" state="frozen"/>
      <selection pane="topRight" activeCell="B1" sqref="B1"/>
      <selection pane="bottomLeft" activeCell="A5" sqref="A5"/>
      <selection pane="bottomRight"/>
    </sheetView>
  </sheetViews>
  <sheetFormatPr defaultRowHeight="12.75" x14ac:dyDescent="0.2"/>
  <cols>
    <col min="1" max="1" width="29.28515625" customWidth="1"/>
    <col min="2" max="2" width="8" style="836" customWidth="1"/>
    <col min="3" max="3" width="8.42578125" style="836" customWidth="1"/>
    <col min="4" max="4" width="7.28515625" customWidth="1"/>
    <col min="5" max="5" width="9.85546875" style="676" customWidth="1"/>
    <col min="6" max="6" width="11.7109375" customWidth="1"/>
    <col min="7" max="7" width="10.85546875" customWidth="1"/>
    <col min="8" max="8" width="10.5703125" customWidth="1"/>
    <col min="9" max="9" width="10.42578125" customWidth="1"/>
    <col min="10" max="10" width="11.140625" customWidth="1"/>
    <col min="11" max="11" width="3.28515625" customWidth="1"/>
    <col min="12" max="12" width="15.28515625" customWidth="1"/>
    <col min="13" max="13" width="15.5703125" customWidth="1"/>
    <col min="14" max="14" width="12.5703125" bestFit="1" customWidth="1"/>
    <col min="16" max="16" width="2.28515625" customWidth="1"/>
    <col min="17" max="17" width="15.42578125" customWidth="1"/>
  </cols>
  <sheetData>
    <row r="1" spans="1:17" ht="13.5" thickBot="1" x14ac:dyDescent="0.25">
      <c r="A1" s="942" t="str">
        <f>+'Cities and regions'!A1</f>
        <v>This Pipeline was produced by Jørgen Fenhann, UNEP Copenhagen Climate Centre, 1. October 2022 , jorgen.fenhann@un.org, Phone (+45)40202789</v>
      </c>
    </row>
    <row r="2" spans="1:17" x14ac:dyDescent="0.2">
      <c r="A2" s="1029" t="s">
        <v>1610</v>
      </c>
      <c r="B2" s="1026">
        <v>2020</v>
      </c>
      <c r="C2" s="855">
        <v>2030</v>
      </c>
      <c r="D2" s="855">
        <v>2050</v>
      </c>
      <c r="E2" s="1563">
        <v>2020</v>
      </c>
      <c r="F2" s="1564"/>
      <c r="G2" s="1563">
        <v>2030</v>
      </c>
      <c r="H2" s="1564"/>
      <c r="I2" s="1563">
        <v>2050</v>
      </c>
      <c r="J2" s="1564"/>
      <c r="L2" s="1565" t="s">
        <v>2168</v>
      </c>
      <c r="M2" s="1566"/>
      <c r="N2" s="1566"/>
      <c r="O2" s="937" t="s">
        <v>2536</v>
      </c>
    </row>
    <row r="3" spans="1:17" x14ac:dyDescent="0.2">
      <c r="A3" s="1027"/>
      <c r="B3" s="1567" t="s">
        <v>2454</v>
      </c>
      <c r="C3" s="1567"/>
      <c r="D3" s="1567"/>
      <c r="E3" s="858" t="s">
        <v>1611</v>
      </c>
      <c r="F3" s="859" t="s">
        <v>1612</v>
      </c>
      <c r="G3" s="858" t="s">
        <v>1611</v>
      </c>
      <c r="H3" s="859" t="s">
        <v>1612</v>
      </c>
      <c r="I3" s="858" t="s">
        <v>1611</v>
      </c>
      <c r="J3" s="859" t="s">
        <v>1612</v>
      </c>
      <c r="L3" s="937" t="s">
        <v>1610</v>
      </c>
      <c r="M3" s="936" t="s">
        <v>2169</v>
      </c>
      <c r="N3" s="1087" t="s">
        <v>2169</v>
      </c>
      <c r="O3" s="1090" t="s">
        <v>2537</v>
      </c>
      <c r="Q3" s="936">
        <v>2020</v>
      </c>
    </row>
    <row r="4" spans="1:17" x14ac:dyDescent="0.2">
      <c r="A4" s="1028"/>
      <c r="B4" s="1568" t="s">
        <v>2417</v>
      </c>
      <c r="C4" s="1568"/>
      <c r="D4" s="1568"/>
      <c r="E4" s="1569" t="s">
        <v>2418</v>
      </c>
      <c r="F4" s="1570"/>
      <c r="G4" s="1569" t="s">
        <v>2418</v>
      </c>
      <c r="H4" s="1570"/>
      <c r="I4" s="1569" t="s">
        <v>2418</v>
      </c>
      <c r="J4" s="1570"/>
      <c r="L4" s="938" t="s">
        <v>2419</v>
      </c>
      <c r="M4" s="938" t="s">
        <v>2420</v>
      </c>
      <c r="N4" s="1088" t="s">
        <v>2421</v>
      </c>
      <c r="O4" s="1089" t="s">
        <v>2175</v>
      </c>
      <c r="Q4" s="938" t="s">
        <v>2532</v>
      </c>
    </row>
    <row r="5" spans="1:17" x14ac:dyDescent="0.2">
      <c r="A5" s="837" t="s">
        <v>40</v>
      </c>
      <c r="B5" s="838">
        <v>0</v>
      </c>
      <c r="C5" s="838">
        <v>7.0000000000000007E-2</v>
      </c>
      <c r="D5" s="856">
        <v>0</v>
      </c>
      <c r="E5" s="860">
        <v>0.55375600000000003</v>
      </c>
      <c r="F5" s="861">
        <v>0.55375600000000003</v>
      </c>
      <c r="G5" s="862">
        <v>0</v>
      </c>
      <c r="H5" s="861">
        <v>0</v>
      </c>
      <c r="I5" s="862">
        <v>0</v>
      </c>
      <c r="J5" s="861">
        <v>0</v>
      </c>
      <c r="L5" s="542">
        <v>37062.82</v>
      </c>
      <c r="M5" s="77"/>
      <c r="N5" s="542">
        <v>692.5</v>
      </c>
      <c r="O5" s="939">
        <f>(M5+N5)/L5</f>
        <v>1.8684492977058952E-2</v>
      </c>
      <c r="Q5" s="1084">
        <v>2.738</v>
      </c>
    </row>
    <row r="6" spans="1:17" x14ac:dyDescent="0.2">
      <c r="A6" s="837" t="s">
        <v>41</v>
      </c>
      <c r="B6" s="839">
        <v>0</v>
      </c>
      <c r="C6" s="839">
        <v>0.2</v>
      </c>
      <c r="D6" s="857">
        <v>0</v>
      </c>
      <c r="E6" s="862">
        <v>0</v>
      </c>
      <c r="F6" s="863">
        <v>0</v>
      </c>
      <c r="G6" s="862">
        <v>0</v>
      </c>
      <c r="H6" s="863">
        <v>0</v>
      </c>
      <c r="I6" s="862">
        <v>0</v>
      </c>
      <c r="J6" s="863">
        <v>0</v>
      </c>
      <c r="L6" s="188">
        <v>19549.124</v>
      </c>
      <c r="M6" s="77"/>
      <c r="N6" s="188"/>
      <c r="O6" s="939">
        <f t="shared" ref="O6:O7" si="0">(M6+N6)/L6</f>
        <v>0</v>
      </c>
      <c r="Q6" s="1085">
        <v>0</v>
      </c>
    </row>
    <row r="7" spans="1:17" x14ac:dyDescent="0.2">
      <c r="A7" s="837" t="s">
        <v>47</v>
      </c>
      <c r="B7" s="839">
        <v>0</v>
      </c>
      <c r="C7" s="839">
        <v>4.753044580005239E-2</v>
      </c>
      <c r="D7" s="857">
        <v>0</v>
      </c>
      <c r="E7" s="862">
        <v>0</v>
      </c>
      <c r="F7" s="863">
        <v>0</v>
      </c>
      <c r="G7" s="862">
        <v>0</v>
      </c>
      <c r="H7" s="863">
        <v>0</v>
      </c>
      <c r="I7" s="862">
        <v>0</v>
      </c>
      <c r="J7" s="863">
        <v>0</v>
      </c>
      <c r="L7" s="188">
        <v>9509.7980000000007</v>
      </c>
      <c r="M7" s="77"/>
      <c r="N7" s="188"/>
      <c r="O7" s="939">
        <f t="shared" si="0"/>
        <v>0</v>
      </c>
      <c r="Q7" s="1085">
        <v>0</v>
      </c>
    </row>
    <row r="8" spans="1:17" x14ac:dyDescent="0.2">
      <c r="A8" s="837" t="s">
        <v>50</v>
      </c>
      <c r="B8" s="839">
        <v>0</v>
      </c>
      <c r="C8" s="839">
        <v>0</v>
      </c>
      <c r="D8" s="857">
        <v>0</v>
      </c>
      <c r="E8" s="862">
        <v>0</v>
      </c>
      <c r="F8" s="863">
        <v>0</v>
      </c>
      <c r="G8" s="862">
        <v>0</v>
      </c>
      <c r="H8" s="863">
        <v>0</v>
      </c>
      <c r="I8" s="862">
        <v>0</v>
      </c>
      <c r="J8" s="863">
        <v>0</v>
      </c>
      <c r="L8" s="188">
        <v>1969.3409999999999</v>
      </c>
      <c r="M8" s="77"/>
      <c r="N8" s="188"/>
      <c r="O8" s="939">
        <f t="shared" ref="O8" si="1">(M8+N8)/L8</f>
        <v>0</v>
      </c>
      <c r="Q8" s="1085">
        <v>0</v>
      </c>
    </row>
    <row r="9" spans="1:17" x14ac:dyDescent="0.2">
      <c r="A9" s="837" t="s">
        <v>184</v>
      </c>
      <c r="B9" s="839">
        <v>-5.5755903630162237E-2</v>
      </c>
      <c r="C9" s="839">
        <v>6.598886099912947E-2</v>
      </c>
      <c r="D9" s="857">
        <v>0</v>
      </c>
      <c r="E9" s="862">
        <v>0</v>
      </c>
      <c r="F9" s="863">
        <v>0</v>
      </c>
      <c r="G9" s="862">
        <v>0</v>
      </c>
      <c r="H9" s="863">
        <v>0</v>
      </c>
      <c r="I9" s="862">
        <v>0</v>
      </c>
      <c r="J9" s="863">
        <v>0</v>
      </c>
      <c r="L9" s="188">
        <v>15540.284</v>
      </c>
      <c r="M9" s="77"/>
      <c r="N9" s="188"/>
      <c r="O9" s="939">
        <f t="shared" ref="O9:O72" si="2">(M9+N9)/L9</f>
        <v>0</v>
      </c>
      <c r="Q9" s="1085">
        <v>0</v>
      </c>
    </row>
    <row r="10" spans="1:17" x14ac:dyDescent="0.2">
      <c r="A10" s="837" t="s">
        <v>163</v>
      </c>
      <c r="B10" s="839">
        <v>0.01</v>
      </c>
      <c r="C10" s="839">
        <v>0.03</v>
      </c>
      <c r="D10" s="857">
        <v>0</v>
      </c>
      <c r="E10" s="862">
        <v>0</v>
      </c>
      <c r="F10" s="863">
        <v>0</v>
      </c>
      <c r="G10" s="862">
        <v>0</v>
      </c>
      <c r="H10" s="863">
        <v>0</v>
      </c>
      <c r="I10" s="862">
        <v>0</v>
      </c>
      <c r="J10" s="863">
        <v>0</v>
      </c>
      <c r="L10" s="188">
        <v>9232.7530000000006</v>
      </c>
      <c r="M10" s="77"/>
      <c r="N10" s="188"/>
      <c r="O10" s="939">
        <f t="shared" si="2"/>
        <v>0</v>
      </c>
      <c r="Q10" s="1085">
        <v>0</v>
      </c>
    </row>
    <row r="11" spans="1:17" x14ac:dyDescent="0.2">
      <c r="A11" s="837" t="s">
        <v>54</v>
      </c>
      <c r="B11" s="839">
        <v>0</v>
      </c>
      <c r="C11" s="839">
        <v>0.39393939393939387</v>
      </c>
      <c r="D11" s="857">
        <v>0</v>
      </c>
      <c r="E11" s="862">
        <v>0</v>
      </c>
      <c r="F11" s="863">
        <v>0</v>
      </c>
      <c r="G11" s="862">
        <v>0</v>
      </c>
      <c r="H11" s="863">
        <v>0</v>
      </c>
      <c r="I11" s="862">
        <v>0</v>
      </c>
      <c r="J11" s="863">
        <v>0</v>
      </c>
      <c r="L11" s="188">
        <v>20624.343000000001</v>
      </c>
      <c r="M11" s="77"/>
      <c r="N11" s="188"/>
      <c r="O11" s="939">
        <f t="shared" si="2"/>
        <v>0</v>
      </c>
      <c r="Q11" s="1085">
        <v>0</v>
      </c>
    </row>
    <row r="12" spans="1:17" x14ac:dyDescent="0.2">
      <c r="A12" s="837" t="s">
        <v>164</v>
      </c>
      <c r="B12" s="839">
        <v>0</v>
      </c>
      <c r="C12" s="839">
        <v>0</v>
      </c>
      <c r="D12" s="857">
        <v>0</v>
      </c>
      <c r="E12" s="862">
        <v>0</v>
      </c>
      <c r="F12" s="863">
        <v>0</v>
      </c>
      <c r="G12" s="862">
        <v>0</v>
      </c>
      <c r="H12" s="863">
        <v>0</v>
      </c>
      <c r="I12" s="862">
        <v>0</v>
      </c>
      <c r="J12" s="863">
        <v>0</v>
      </c>
      <c r="L12" s="188">
        <v>487.601</v>
      </c>
      <c r="M12" s="77"/>
      <c r="N12" s="188"/>
      <c r="O12" s="939">
        <f t="shared" si="2"/>
        <v>0</v>
      </c>
      <c r="Q12" s="1085">
        <v>0</v>
      </c>
    </row>
    <row r="13" spans="1:17" x14ac:dyDescent="0.2">
      <c r="A13" s="837" t="s">
        <v>185</v>
      </c>
      <c r="B13" s="839">
        <v>0</v>
      </c>
      <c r="C13" s="839">
        <v>0</v>
      </c>
      <c r="D13" s="857">
        <v>0</v>
      </c>
      <c r="E13" s="862">
        <v>0</v>
      </c>
      <c r="F13" s="863">
        <v>0</v>
      </c>
      <c r="G13" s="862">
        <v>0</v>
      </c>
      <c r="H13" s="863">
        <v>0</v>
      </c>
      <c r="I13" s="862">
        <v>0</v>
      </c>
      <c r="J13" s="863">
        <v>0</v>
      </c>
      <c r="L13" s="188">
        <v>4349.9210000000003</v>
      </c>
      <c r="M13" s="77"/>
      <c r="N13" s="188"/>
      <c r="O13" s="939">
        <f t="shared" si="2"/>
        <v>0</v>
      </c>
      <c r="Q13" s="1085">
        <v>0</v>
      </c>
    </row>
    <row r="14" spans="1:17" x14ac:dyDescent="0.2">
      <c r="A14" s="837" t="s">
        <v>186</v>
      </c>
      <c r="B14" s="839">
        <v>0</v>
      </c>
      <c r="C14" s="839">
        <v>0.182</v>
      </c>
      <c r="D14" s="857">
        <v>0</v>
      </c>
      <c r="E14" s="862">
        <v>0</v>
      </c>
      <c r="F14" s="863">
        <v>0</v>
      </c>
      <c r="G14" s="862">
        <v>0</v>
      </c>
      <c r="H14" s="863">
        <v>0</v>
      </c>
      <c r="I14" s="862">
        <v>0</v>
      </c>
      <c r="J14" s="863">
        <v>0</v>
      </c>
      <c r="L14" s="188">
        <v>11720.781000000001</v>
      </c>
      <c r="M14" s="77"/>
      <c r="N14" s="188"/>
      <c r="O14" s="939">
        <f t="shared" si="2"/>
        <v>0</v>
      </c>
      <c r="Q14" s="1085">
        <v>0</v>
      </c>
    </row>
    <row r="15" spans="1:17" x14ac:dyDescent="0.2">
      <c r="A15" s="837" t="s">
        <v>177</v>
      </c>
      <c r="B15" s="839">
        <v>0.4656232532140861</v>
      </c>
      <c r="C15" s="839">
        <v>0.84438921812272982</v>
      </c>
      <c r="D15" s="857">
        <v>0</v>
      </c>
      <c r="E15" s="862">
        <v>0</v>
      </c>
      <c r="F15" s="863">
        <v>0</v>
      </c>
      <c r="G15" s="862">
        <v>0</v>
      </c>
      <c r="H15" s="863">
        <v>0</v>
      </c>
      <c r="I15" s="862">
        <v>0</v>
      </c>
      <c r="J15" s="863">
        <v>0</v>
      </c>
      <c r="L15" s="188">
        <v>683.08100000000002</v>
      </c>
      <c r="M15" s="77"/>
      <c r="N15" s="188"/>
      <c r="O15" s="939">
        <f t="shared" si="2"/>
        <v>0</v>
      </c>
      <c r="Q15" s="1085">
        <v>0</v>
      </c>
    </row>
    <row r="16" spans="1:17" x14ac:dyDescent="0.2">
      <c r="A16" s="837" t="s">
        <v>57</v>
      </c>
      <c r="B16" s="839">
        <v>0</v>
      </c>
      <c r="C16" s="839">
        <v>0.51</v>
      </c>
      <c r="D16" s="857">
        <v>0</v>
      </c>
      <c r="E16" s="862">
        <v>0</v>
      </c>
      <c r="F16" s="863">
        <v>0</v>
      </c>
      <c r="G16" s="862">
        <v>0</v>
      </c>
      <c r="H16" s="863">
        <v>0</v>
      </c>
      <c r="I16" s="862">
        <v>0</v>
      </c>
      <c r="J16" s="863">
        <v>0</v>
      </c>
      <c r="L16" s="188">
        <v>4111.7150000000001</v>
      </c>
      <c r="M16" s="77"/>
      <c r="N16" s="188"/>
      <c r="O16" s="939">
        <f t="shared" si="2"/>
        <v>0</v>
      </c>
      <c r="Q16" s="1085">
        <v>0</v>
      </c>
    </row>
    <row r="17" spans="1:17" x14ac:dyDescent="0.2">
      <c r="A17" s="837" t="s">
        <v>58</v>
      </c>
      <c r="B17" s="839">
        <v>0</v>
      </c>
      <c r="C17" s="839">
        <v>0.17</v>
      </c>
      <c r="D17" s="857">
        <v>0</v>
      </c>
      <c r="E17" s="862">
        <v>0</v>
      </c>
      <c r="F17" s="863">
        <v>0</v>
      </c>
      <c r="G17" s="862">
        <v>0</v>
      </c>
      <c r="H17" s="863">
        <v>0</v>
      </c>
      <c r="I17" s="862">
        <v>0</v>
      </c>
      <c r="J17" s="863">
        <v>0</v>
      </c>
      <c r="L17" s="188">
        <v>62191.161</v>
      </c>
      <c r="M17" s="77"/>
      <c r="N17" s="188"/>
      <c r="O17" s="939">
        <f t="shared" si="2"/>
        <v>0</v>
      </c>
      <c r="Q17" s="1085">
        <v>0</v>
      </c>
    </row>
    <row r="18" spans="1:17" x14ac:dyDescent="0.2">
      <c r="A18" s="837" t="s">
        <v>60</v>
      </c>
      <c r="B18" s="839">
        <v>0</v>
      </c>
      <c r="C18" s="839">
        <v>0.28000000000000003</v>
      </c>
      <c r="D18" s="857">
        <v>0</v>
      </c>
      <c r="E18" s="862">
        <v>0</v>
      </c>
      <c r="F18" s="863">
        <v>0</v>
      </c>
      <c r="G18" s="862">
        <v>0.46079999999999999</v>
      </c>
      <c r="H18" s="863">
        <v>0.20275199999999996</v>
      </c>
      <c r="I18" s="862">
        <v>0</v>
      </c>
      <c r="J18" s="863">
        <v>0</v>
      </c>
      <c r="L18" s="188">
        <v>18976.588</v>
      </c>
      <c r="M18" s="77"/>
      <c r="N18" s="188">
        <v>800</v>
      </c>
      <c r="O18" s="939">
        <f t="shared" si="2"/>
        <v>4.2157209715466236E-2</v>
      </c>
      <c r="Q18" s="1085">
        <v>0</v>
      </c>
    </row>
    <row r="19" spans="1:17" x14ac:dyDescent="0.2">
      <c r="A19" s="837" t="s">
        <v>179</v>
      </c>
      <c r="B19" s="839">
        <v>0.2</v>
      </c>
      <c r="C19" s="839">
        <v>0.4</v>
      </c>
      <c r="D19" s="857">
        <v>0</v>
      </c>
      <c r="E19" s="862">
        <v>0</v>
      </c>
      <c r="F19" s="863">
        <v>0</v>
      </c>
      <c r="G19" s="862">
        <v>0</v>
      </c>
      <c r="H19" s="863">
        <v>0</v>
      </c>
      <c r="I19" s="862">
        <v>0</v>
      </c>
      <c r="J19" s="863">
        <v>0</v>
      </c>
      <c r="L19" s="188">
        <v>834.03599999999994</v>
      </c>
      <c r="M19" s="77"/>
      <c r="N19" s="188"/>
      <c r="O19" s="939">
        <f t="shared" si="2"/>
        <v>0</v>
      </c>
      <c r="Q19" s="1085">
        <v>0</v>
      </c>
    </row>
    <row r="20" spans="1:17" x14ac:dyDescent="0.2">
      <c r="A20" s="837" t="s">
        <v>64</v>
      </c>
      <c r="B20" s="839">
        <v>0</v>
      </c>
      <c r="C20" s="839">
        <v>0</v>
      </c>
      <c r="D20" s="857">
        <v>0</v>
      </c>
      <c r="E20" s="862">
        <v>0</v>
      </c>
      <c r="F20" s="863">
        <v>0</v>
      </c>
      <c r="G20" s="862">
        <v>0</v>
      </c>
      <c r="H20" s="863">
        <v>0</v>
      </c>
      <c r="I20" s="862">
        <v>0</v>
      </c>
      <c r="J20" s="863">
        <v>0</v>
      </c>
      <c r="L20" s="188">
        <v>78075.705000000002</v>
      </c>
      <c r="M20" s="77"/>
      <c r="N20" s="188"/>
      <c r="O20" s="939">
        <f t="shared" si="2"/>
        <v>0</v>
      </c>
      <c r="Q20" s="1085">
        <v>0</v>
      </c>
    </row>
    <row r="21" spans="1:17" x14ac:dyDescent="0.2">
      <c r="A21" s="837" t="s">
        <v>165</v>
      </c>
      <c r="B21" s="839">
        <v>0</v>
      </c>
      <c r="C21" s="839">
        <v>0.2</v>
      </c>
      <c r="D21" s="857">
        <v>0.5</v>
      </c>
      <c r="E21" s="862">
        <v>0</v>
      </c>
      <c r="F21" s="863">
        <v>0</v>
      </c>
      <c r="G21" s="862">
        <v>0</v>
      </c>
      <c r="H21" s="863">
        <v>0</v>
      </c>
      <c r="I21" s="862">
        <v>0</v>
      </c>
      <c r="J21" s="863">
        <v>0</v>
      </c>
      <c r="L21" s="188">
        <v>696.16700000000003</v>
      </c>
      <c r="M21" s="77"/>
      <c r="N21" s="188"/>
      <c r="O21" s="939">
        <f t="shared" si="2"/>
        <v>0</v>
      </c>
      <c r="Q21" s="1085">
        <v>0</v>
      </c>
    </row>
    <row r="22" spans="1:17" x14ac:dyDescent="0.2">
      <c r="A22" s="837" t="s">
        <v>66</v>
      </c>
      <c r="B22" s="839">
        <v>0.23100000000000001</v>
      </c>
      <c r="C22" s="839">
        <v>0.39200000000000002</v>
      </c>
      <c r="D22" s="857">
        <v>0</v>
      </c>
      <c r="E22" s="862">
        <v>0</v>
      </c>
      <c r="F22" s="863">
        <v>0</v>
      </c>
      <c r="G22" s="862">
        <v>0</v>
      </c>
      <c r="H22" s="863">
        <v>0</v>
      </c>
      <c r="I22" s="862">
        <v>0</v>
      </c>
      <c r="J22" s="863">
        <v>0</v>
      </c>
      <c r="L22" s="188">
        <v>5741.1589999999997</v>
      </c>
      <c r="M22" s="77"/>
      <c r="N22" s="188"/>
      <c r="O22" s="939">
        <f t="shared" si="2"/>
        <v>0</v>
      </c>
      <c r="Q22" s="1085">
        <v>0</v>
      </c>
    </row>
    <row r="23" spans="1:17" x14ac:dyDescent="0.2">
      <c r="A23" s="837" t="s">
        <v>67</v>
      </c>
      <c r="B23" s="839">
        <v>0</v>
      </c>
      <c r="C23" s="839">
        <v>0.63749999999999996</v>
      </c>
      <c r="D23" s="857">
        <v>0</v>
      </c>
      <c r="E23" s="862">
        <v>3.6674999999999998E-3</v>
      </c>
      <c r="F23" s="863">
        <v>3.6674999999999998E-3</v>
      </c>
      <c r="G23" s="862">
        <v>0</v>
      </c>
      <c r="H23" s="863">
        <v>0</v>
      </c>
      <c r="I23" s="862">
        <v>0</v>
      </c>
      <c r="J23" s="863">
        <v>0</v>
      </c>
      <c r="L23" s="188">
        <v>87095.281000000003</v>
      </c>
      <c r="M23" s="77"/>
      <c r="N23" s="188">
        <v>3049</v>
      </c>
      <c r="O23" s="939">
        <f t="shared" si="2"/>
        <v>3.5007637210562534E-2</v>
      </c>
      <c r="Q23" s="1085">
        <v>4.8899999999999994E-3</v>
      </c>
    </row>
    <row r="24" spans="1:17" x14ac:dyDescent="0.2">
      <c r="A24" s="837" t="s">
        <v>68</v>
      </c>
      <c r="B24" s="839">
        <v>0</v>
      </c>
      <c r="C24" s="839">
        <v>0</v>
      </c>
      <c r="D24" s="857">
        <v>0</v>
      </c>
      <c r="E24" s="862">
        <v>0</v>
      </c>
      <c r="F24" s="863">
        <v>0</v>
      </c>
      <c r="G24" s="862">
        <v>0</v>
      </c>
      <c r="H24" s="863">
        <v>0</v>
      </c>
      <c r="I24" s="862">
        <v>0</v>
      </c>
      <c r="J24" s="863">
        <v>0</v>
      </c>
      <c r="L24" s="188">
        <v>1556.222</v>
      </c>
      <c r="M24" s="77"/>
      <c r="N24" s="188"/>
      <c r="O24" s="939">
        <f t="shared" si="2"/>
        <v>0</v>
      </c>
      <c r="Q24" s="1085">
        <v>0</v>
      </c>
    </row>
    <row r="25" spans="1:17" x14ac:dyDescent="0.2">
      <c r="A25" s="837" t="s">
        <v>188</v>
      </c>
      <c r="B25" s="839">
        <v>0</v>
      </c>
      <c r="C25" s="839">
        <v>0.45400000000000001</v>
      </c>
      <c r="D25" s="857">
        <v>0</v>
      </c>
      <c r="E25" s="862">
        <v>0</v>
      </c>
      <c r="F25" s="863">
        <v>0</v>
      </c>
      <c r="G25" s="862">
        <v>0</v>
      </c>
      <c r="H25" s="863">
        <v>0</v>
      </c>
      <c r="I25" s="862">
        <v>0</v>
      </c>
      <c r="J25" s="863">
        <v>0</v>
      </c>
      <c r="L25" s="188">
        <v>1680.64</v>
      </c>
      <c r="M25" s="77"/>
      <c r="N25" s="188"/>
      <c r="O25" s="939">
        <f t="shared" si="2"/>
        <v>0</v>
      </c>
      <c r="Q25" s="1085">
        <v>0</v>
      </c>
    </row>
    <row r="26" spans="1:17" x14ac:dyDescent="0.2">
      <c r="A26" s="837" t="s">
        <v>70</v>
      </c>
      <c r="B26" s="839">
        <v>0</v>
      </c>
      <c r="C26" s="839">
        <v>0.15</v>
      </c>
      <c r="D26" s="857">
        <v>0</v>
      </c>
      <c r="E26" s="862">
        <v>0</v>
      </c>
      <c r="F26" s="863">
        <v>0</v>
      </c>
      <c r="G26" s="862">
        <v>0</v>
      </c>
      <c r="H26" s="863">
        <v>0</v>
      </c>
      <c r="I26" s="862">
        <v>0</v>
      </c>
      <c r="J26" s="863">
        <v>0</v>
      </c>
      <c r="L26" s="188">
        <v>24262.901000000002</v>
      </c>
      <c r="M26" s="77"/>
      <c r="N26" s="188"/>
      <c r="O26" s="939">
        <f t="shared" si="2"/>
        <v>0</v>
      </c>
      <c r="Q26" s="1085">
        <v>0</v>
      </c>
    </row>
    <row r="27" spans="1:17" x14ac:dyDescent="0.2">
      <c r="A27" s="837" t="s">
        <v>232</v>
      </c>
      <c r="B27" s="839">
        <v>0</v>
      </c>
      <c r="C27" s="839">
        <v>0.13</v>
      </c>
      <c r="D27" s="857">
        <v>0</v>
      </c>
      <c r="E27" s="862">
        <v>0</v>
      </c>
      <c r="F27" s="863">
        <v>0</v>
      </c>
      <c r="G27" s="862">
        <v>0</v>
      </c>
      <c r="H27" s="863">
        <v>0</v>
      </c>
      <c r="I27" s="862">
        <v>0</v>
      </c>
      <c r="J27" s="863">
        <v>0</v>
      </c>
      <c r="L27" s="188">
        <v>10876.032999999999</v>
      </c>
      <c r="M27" s="77"/>
      <c r="N27" s="188"/>
      <c r="O27" s="939">
        <f t="shared" si="2"/>
        <v>0</v>
      </c>
      <c r="Q27" s="1085">
        <v>0</v>
      </c>
    </row>
    <row r="28" spans="1:17" x14ac:dyDescent="0.2">
      <c r="A28" s="837" t="s">
        <v>178</v>
      </c>
      <c r="B28" s="839">
        <v>0</v>
      </c>
      <c r="C28" s="839">
        <v>0</v>
      </c>
      <c r="D28" s="857">
        <v>0</v>
      </c>
      <c r="E28" s="862">
        <v>0</v>
      </c>
      <c r="F28" s="863">
        <v>0</v>
      </c>
      <c r="G28" s="862">
        <v>0</v>
      </c>
      <c r="H28" s="863">
        <v>0</v>
      </c>
      <c r="I28" s="862">
        <v>0</v>
      </c>
      <c r="J28" s="863">
        <v>0</v>
      </c>
      <c r="L28" s="188">
        <v>1586.624</v>
      </c>
      <c r="M28" s="77"/>
      <c r="N28" s="188"/>
      <c r="O28" s="939">
        <f t="shared" si="2"/>
        <v>0</v>
      </c>
      <c r="Q28" s="1085">
        <v>0</v>
      </c>
    </row>
    <row r="29" spans="1:17" x14ac:dyDescent="0.2">
      <c r="A29" s="837" t="s">
        <v>81</v>
      </c>
      <c r="B29" s="839">
        <v>0</v>
      </c>
      <c r="C29" s="839">
        <v>0.3</v>
      </c>
      <c r="D29" s="857">
        <v>0</v>
      </c>
      <c r="E29" s="862">
        <v>0</v>
      </c>
      <c r="F29" s="863">
        <v>0</v>
      </c>
      <c r="G29" s="862">
        <v>0</v>
      </c>
      <c r="H29" s="863">
        <v>0</v>
      </c>
      <c r="I29" s="862">
        <v>0</v>
      </c>
      <c r="J29" s="863">
        <v>0</v>
      </c>
      <c r="L29" s="188">
        <v>40909.194000000003</v>
      </c>
      <c r="M29" s="77">
        <v>420</v>
      </c>
      <c r="N29" s="188"/>
      <c r="O29" s="939">
        <f t="shared" si="2"/>
        <v>1.0266640794731862E-2</v>
      </c>
      <c r="Q29" s="1085">
        <v>0</v>
      </c>
    </row>
    <row r="30" spans="1:17" x14ac:dyDescent="0.2">
      <c r="A30" s="837" t="s">
        <v>166</v>
      </c>
      <c r="B30" s="839">
        <v>0</v>
      </c>
      <c r="C30" s="839">
        <v>0</v>
      </c>
      <c r="D30" s="857">
        <v>0</v>
      </c>
      <c r="E30" s="862">
        <v>0</v>
      </c>
      <c r="F30" s="863">
        <v>0</v>
      </c>
      <c r="G30" s="862">
        <v>0</v>
      </c>
      <c r="H30" s="863">
        <v>0</v>
      </c>
      <c r="I30" s="862">
        <v>0</v>
      </c>
      <c r="J30" s="863">
        <v>0</v>
      </c>
      <c r="L30" s="188">
        <v>2008.921</v>
      </c>
      <c r="M30" s="77"/>
      <c r="N30" s="188"/>
      <c r="O30" s="939">
        <f t="shared" si="2"/>
        <v>0</v>
      </c>
      <c r="Q30" s="1085">
        <v>0</v>
      </c>
    </row>
    <row r="31" spans="1:17" x14ac:dyDescent="0.2">
      <c r="A31" s="837" t="s">
        <v>167</v>
      </c>
      <c r="B31" s="839">
        <v>0</v>
      </c>
      <c r="C31" s="839">
        <v>0.15</v>
      </c>
      <c r="D31" s="857">
        <v>0</v>
      </c>
      <c r="E31" s="862">
        <v>0</v>
      </c>
      <c r="F31" s="863">
        <v>0</v>
      </c>
      <c r="G31" s="862">
        <v>0</v>
      </c>
      <c r="H31" s="863">
        <v>0</v>
      </c>
      <c r="I31" s="862">
        <v>0</v>
      </c>
      <c r="J31" s="863">
        <v>0</v>
      </c>
      <c r="L31" s="188">
        <v>3957.99</v>
      </c>
      <c r="M31" s="77"/>
      <c r="N31" s="188"/>
      <c r="O31" s="939">
        <f t="shared" si="2"/>
        <v>0</v>
      </c>
      <c r="Q31" s="1085">
        <v>0</v>
      </c>
    </row>
    <row r="32" spans="1:17" x14ac:dyDescent="0.2">
      <c r="A32" s="837" t="s">
        <v>85</v>
      </c>
      <c r="B32" s="839">
        <v>0</v>
      </c>
      <c r="C32" s="839">
        <v>0</v>
      </c>
      <c r="D32" s="857">
        <v>0</v>
      </c>
      <c r="E32" s="862">
        <v>0</v>
      </c>
      <c r="F32" s="863">
        <v>0</v>
      </c>
      <c r="G32" s="862">
        <v>0</v>
      </c>
      <c r="H32" s="863">
        <v>0</v>
      </c>
      <c r="I32" s="862">
        <v>0</v>
      </c>
      <c r="J32" s="863">
        <v>0</v>
      </c>
      <c r="L32" s="188">
        <v>6040.6120000000001</v>
      </c>
      <c r="M32" s="77"/>
      <c r="N32" s="188"/>
      <c r="O32" s="939">
        <f t="shared" si="2"/>
        <v>0</v>
      </c>
      <c r="Q32" s="1085">
        <v>0</v>
      </c>
    </row>
    <row r="33" spans="1:17" x14ac:dyDescent="0.2">
      <c r="A33" s="837" t="s">
        <v>150</v>
      </c>
      <c r="B33" s="839">
        <v>0</v>
      </c>
      <c r="C33" s="839">
        <v>0.14000000000000001</v>
      </c>
      <c r="D33" s="857">
        <v>0</v>
      </c>
      <c r="E33" s="862">
        <v>0</v>
      </c>
      <c r="F33" s="863">
        <v>0</v>
      </c>
      <c r="G33" s="862">
        <v>0</v>
      </c>
      <c r="H33" s="863">
        <v>0</v>
      </c>
      <c r="I33" s="862">
        <v>0</v>
      </c>
      <c r="J33" s="863">
        <v>0</v>
      </c>
      <c r="L33" s="188">
        <v>21079.531999999999</v>
      </c>
      <c r="M33" s="77"/>
      <c r="N33" s="188"/>
      <c r="O33" s="939">
        <f t="shared" si="2"/>
        <v>0</v>
      </c>
      <c r="Q33" s="1085">
        <v>0</v>
      </c>
    </row>
    <row r="34" spans="1:17" x14ac:dyDescent="0.2">
      <c r="A34" s="837" t="s">
        <v>168</v>
      </c>
      <c r="B34" s="839">
        <v>0</v>
      </c>
      <c r="C34" s="839">
        <v>0</v>
      </c>
      <c r="D34" s="857">
        <v>0</v>
      </c>
      <c r="E34" s="862">
        <v>0</v>
      </c>
      <c r="F34" s="863">
        <v>0</v>
      </c>
      <c r="G34" s="862">
        <v>0</v>
      </c>
      <c r="H34" s="863">
        <v>0</v>
      </c>
      <c r="I34" s="862">
        <v>0</v>
      </c>
      <c r="J34" s="863">
        <v>0</v>
      </c>
      <c r="L34" s="188">
        <v>15013.694</v>
      </c>
      <c r="M34" s="77"/>
      <c r="N34" s="188"/>
      <c r="O34" s="939">
        <f t="shared" si="2"/>
        <v>0</v>
      </c>
      <c r="Q34" s="1085">
        <v>0</v>
      </c>
    </row>
    <row r="35" spans="1:17" x14ac:dyDescent="0.2">
      <c r="A35" s="837" t="s">
        <v>169</v>
      </c>
      <c r="B35" s="839">
        <v>0</v>
      </c>
      <c r="C35" s="839">
        <v>0</v>
      </c>
      <c r="D35" s="857">
        <v>0</v>
      </c>
      <c r="E35" s="862">
        <v>0</v>
      </c>
      <c r="F35" s="863">
        <v>0</v>
      </c>
      <c r="G35" s="862">
        <v>0</v>
      </c>
      <c r="H35" s="863">
        <v>0</v>
      </c>
      <c r="I35" s="862">
        <v>0</v>
      </c>
      <c r="J35" s="863">
        <v>0</v>
      </c>
      <c r="L35" s="188">
        <v>13985.960999999999</v>
      </c>
      <c r="M35" s="77"/>
      <c r="N35" s="188"/>
      <c r="O35" s="939">
        <f t="shared" si="2"/>
        <v>0</v>
      </c>
      <c r="Q35" s="1085">
        <v>0</v>
      </c>
    </row>
    <row r="36" spans="1:17" x14ac:dyDescent="0.2">
      <c r="A36" s="837" t="s">
        <v>171</v>
      </c>
      <c r="B36" s="839">
        <v>0</v>
      </c>
      <c r="C36" s="839">
        <v>2.6759999999999999E-2</v>
      </c>
      <c r="D36" s="857">
        <v>0</v>
      </c>
      <c r="E36" s="862">
        <v>0</v>
      </c>
      <c r="F36" s="863">
        <v>0</v>
      </c>
      <c r="G36" s="862">
        <v>0</v>
      </c>
      <c r="H36" s="863">
        <v>0</v>
      </c>
      <c r="I36" s="862">
        <v>0</v>
      </c>
      <c r="J36" s="863">
        <v>0</v>
      </c>
      <c r="L36" s="188">
        <v>3609.42</v>
      </c>
      <c r="M36" s="77"/>
      <c r="N36" s="188"/>
      <c r="O36" s="939">
        <f t="shared" si="2"/>
        <v>0</v>
      </c>
      <c r="Q36" s="1085">
        <v>0</v>
      </c>
    </row>
    <row r="37" spans="1:17" x14ac:dyDescent="0.2">
      <c r="A37" s="837" t="s">
        <v>170</v>
      </c>
      <c r="B37" s="839">
        <v>0</v>
      </c>
      <c r="C37" s="839">
        <v>0.3</v>
      </c>
      <c r="D37" s="857">
        <v>0</v>
      </c>
      <c r="E37" s="862">
        <v>0</v>
      </c>
      <c r="F37" s="863">
        <v>0</v>
      </c>
      <c r="G37" s="862">
        <v>0</v>
      </c>
      <c r="H37" s="863">
        <v>0</v>
      </c>
      <c r="I37" s="862">
        <v>0</v>
      </c>
      <c r="J37" s="863">
        <v>0</v>
      </c>
      <c r="L37" s="188">
        <v>1230.6590000000001</v>
      </c>
      <c r="M37" s="77"/>
      <c r="N37" s="188"/>
      <c r="O37" s="939">
        <f t="shared" si="2"/>
        <v>0</v>
      </c>
      <c r="Q37" s="1085">
        <v>0</v>
      </c>
    </row>
    <row r="38" spans="1:17" x14ac:dyDescent="0.2">
      <c r="A38" s="837" t="s">
        <v>92</v>
      </c>
      <c r="B38" s="839">
        <v>0.11924342105263157</v>
      </c>
      <c r="C38" s="839">
        <v>0.17213114754098366</v>
      </c>
      <c r="D38" s="857">
        <v>0</v>
      </c>
      <c r="E38" s="862">
        <v>4.8123135E-4</v>
      </c>
      <c r="F38" s="863">
        <v>2.0282622253289478E-4</v>
      </c>
      <c r="G38" s="862">
        <v>0</v>
      </c>
      <c r="H38" s="863">
        <v>0</v>
      </c>
      <c r="I38" s="862">
        <v>0</v>
      </c>
      <c r="J38" s="863">
        <v>0</v>
      </c>
      <c r="L38" s="188">
        <v>31642.36</v>
      </c>
      <c r="M38" s="77"/>
      <c r="N38" s="188">
        <v>1931.779</v>
      </c>
      <c r="O38" s="939">
        <f t="shared" si="2"/>
        <v>6.1050408376619188E-2</v>
      </c>
      <c r="Q38" s="1085">
        <v>2.3347630000000001E-3</v>
      </c>
    </row>
    <row r="39" spans="1:17" x14ac:dyDescent="0.2">
      <c r="A39" s="837" t="s">
        <v>93</v>
      </c>
      <c r="B39" s="839">
        <v>0</v>
      </c>
      <c r="C39" s="839">
        <v>0</v>
      </c>
      <c r="D39" s="857">
        <v>0</v>
      </c>
      <c r="E39" s="862">
        <v>0</v>
      </c>
      <c r="F39" s="863">
        <v>0</v>
      </c>
      <c r="G39" s="862">
        <v>0</v>
      </c>
      <c r="H39" s="863">
        <v>0</v>
      </c>
      <c r="I39" s="862">
        <v>0</v>
      </c>
      <c r="J39" s="863">
        <v>0</v>
      </c>
      <c r="L39" s="188">
        <v>23967.264999999999</v>
      </c>
      <c r="M39" s="77"/>
      <c r="N39" s="188"/>
      <c r="O39" s="939">
        <f t="shared" si="2"/>
        <v>0</v>
      </c>
      <c r="Q39" s="1085">
        <v>0</v>
      </c>
    </row>
    <row r="40" spans="1:17" x14ac:dyDescent="0.2">
      <c r="A40" s="837" t="s">
        <v>95</v>
      </c>
      <c r="B40" s="839">
        <v>0</v>
      </c>
      <c r="C40" s="839">
        <v>0.89</v>
      </c>
      <c r="D40" s="857">
        <v>0</v>
      </c>
      <c r="E40" s="862">
        <v>0</v>
      </c>
      <c r="F40" s="863">
        <v>0</v>
      </c>
      <c r="G40" s="862">
        <v>0</v>
      </c>
      <c r="H40" s="863">
        <v>0</v>
      </c>
      <c r="I40" s="862">
        <v>0</v>
      </c>
      <c r="J40" s="863">
        <v>0</v>
      </c>
      <c r="L40" s="188">
        <v>2178.9670000000001</v>
      </c>
      <c r="M40" s="77"/>
      <c r="N40" s="188"/>
      <c r="O40" s="939">
        <f t="shared" si="2"/>
        <v>0</v>
      </c>
      <c r="Q40" s="1085">
        <v>0</v>
      </c>
    </row>
    <row r="41" spans="1:17" x14ac:dyDescent="0.2">
      <c r="A41" s="837" t="s">
        <v>172</v>
      </c>
      <c r="B41" s="839">
        <v>2.5000000000000001E-2</v>
      </c>
      <c r="C41" s="839">
        <v>3.5000000000000003E-2</v>
      </c>
      <c r="D41" s="857">
        <v>0</v>
      </c>
      <c r="E41" s="862">
        <v>0</v>
      </c>
      <c r="F41" s="863">
        <v>0</v>
      </c>
      <c r="G41" s="862">
        <v>0</v>
      </c>
      <c r="H41" s="863">
        <v>0</v>
      </c>
      <c r="I41" s="862">
        <v>0</v>
      </c>
      <c r="J41" s="863">
        <v>0</v>
      </c>
      <c r="L41" s="188">
        <v>15893.745999999999</v>
      </c>
      <c r="M41" s="77"/>
      <c r="N41" s="188"/>
      <c r="O41" s="939">
        <f t="shared" si="2"/>
        <v>0</v>
      </c>
      <c r="Q41" s="1085">
        <v>0</v>
      </c>
    </row>
    <row r="42" spans="1:17" x14ac:dyDescent="0.2">
      <c r="A42" s="837" t="s">
        <v>98</v>
      </c>
      <c r="B42" s="839">
        <v>0</v>
      </c>
      <c r="C42" s="839">
        <v>0.2</v>
      </c>
      <c r="D42" s="857">
        <v>0</v>
      </c>
      <c r="E42" s="862">
        <v>0</v>
      </c>
      <c r="F42" s="863">
        <v>0</v>
      </c>
      <c r="G42" s="862">
        <v>0</v>
      </c>
      <c r="H42" s="863">
        <v>0</v>
      </c>
      <c r="I42" s="862">
        <v>0</v>
      </c>
      <c r="J42" s="863">
        <v>0</v>
      </c>
      <c r="L42" s="188">
        <v>159707.78</v>
      </c>
      <c r="M42" s="77">
        <v>3700</v>
      </c>
      <c r="N42" s="188"/>
      <c r="O42" s="939">
        <f t="shared" si="2"/>
        <v>2.3167312199818945E-2</v>
      </c>
      <c r="Q42" s="1085">
        <v>0</v>
      </c>
    </row>
    <row r="43" spans="1:17" x14ac:dyDescent="0.2">
      <c r="A43" s="837" t="s">
        <v>173</v>
      </c>
      <c r="B43" s="839">
        <v>0</v>
      </c>
      <c r="C43" s="839">
        <v>0</v>
      </c>
      <c r="D43" s="857">
        <v>0</v>
      </c>
      <c r="E43" s="862">
        <v>0</v>
      </c>
      <c r="F43" s="863">
        <v>0</v>
      </c>
      <c r="G43" s="862">
        <v>0</v>
      </c>
      <c r="H43" s="863">
        <v>0</v>
      </c>
      <c r="I43" s="862">
        <v>0</v>
      </c>
      <c r="J43" s="863">
        <v>0</v>
      </c>
      <c r="L43" s="188">
        <v>10836.732</v>
      </c>
      <c r="M43" s="77"/>
      <c r="N43" s="188"/>
      <c r="O43" s="939">
        <f t="shared" si="2"/>
        <v>0</v>
      </c>
      <c r="Q43" s="1085">
        <v>0</v>
      </c>
    </row>
    <row r="44" spans="1:17" x14ac:dyDescent="0.2">
      <c r="A44" s="837" t="s">
        <v>201</v>
      </c>
      <c r="B44" s="839">
        <v>0</v>
      </c>
      <c r="C44" s="839">
        <v>0.24</v>
      </c>
      <c r="D44" s="857">
        <v>0</v>
      </c>
      <c r="E44" s="862">
        <v>0</v>
      </c>
      <c r="F44" s="863">
        <v>0</v>
      </c>
      <c r="G44" s="862">
        <v>0</v>
      </c>
      <c r="H44" s="863">
        <v>0</v>
      </c>
      <c r="I44" s="862">
        <v>0</v>
      </c>
      <c r="J44" s="863">
        <v>0</v>
      </c>
      <c r="L44" s="188">
        <v>178.22800000000001</v>
      </c>
      <c r="M44" s="77"/>
      <c r="N44" s="188"/>
      <c r="O44" s="939">
        <f t="shared" si="2"/>
        <v>0</v>
      </c>
      <c r="Q44" s="1085">
        <v>0</v>
      </c>
    </row>
    <row r="45" spans="1:17" x14ac:dyDescent="0.2">
      <c r="A45" s="837" t="s">
        <v>107</v>
      </c>
      <c r="B45" s="839">
        <v>0.03</v>
      </c>
      <c r="C45" s="839">
        <v>0.05</v>
      </c>
      <c r="D45" s="857">
        <v>0</v>
      </c>
      <c r="E45" s="862">
        <v>0</v>
      </c>
      <c r="F45" s="863">
        <v>0</v>
      </c>
      <c r="G45" s="862">
        <v>0</v>
      </c>
      <c r="H45" s="863">
        <v>0</v>
      </c>
      <c r="I45" s="862">
        <v>0</v>
      </c>
      <c r="J45" s="863">
        <v>0</v>
      </c>
      <c r="L45" s="188">
        <v>12950.564</v>
      </c>
      <c r="M45" s="77"/>
      <c r="N45" s="188"/>
      <c r="O45" s="939">
        <f t="shared" si="2"/>
        <v>0</v>
      </c>
      <c r="Q45" s="1085">
        <v>0</v>
      </c>
    </row>
    <row r="46" spans="1:17" x14ac:dyDescent="0.2">
      <c r="A46" s="837" t="s">
        <v>234</v>
      </c>
      <c r="B46" s="839">
        <v>0</v>
      </c>
      <c r="C46" s="839">
        <v>0</v>
      </c>
      <c r="D46" s="857">
        <v>0</v>
      </c>
      <c r="E46" s="862">
        <v>0</v>
      </c>
      <c r="F46" s="863">
        <v>0</v>
      </c>
      <c r="G46" s="862">
        <v>0</v>
      </c>
      <c r="H46" s="863">
        <v>0</v>
      </c>
      <c r="I46" s="862">
        <v>0</v>
      </c>
      <c r="J46" s="863">
        <v>0</v>
      </c>
      <c r="L46" s="188">
        <v>91.207999999999998</v>
      </c>
      <c r="M46" s="77"/>
      <c r="N46" s="188"/>
      <c r="O46" s="939">
        <f t="shared" si="2"/>
        <v>0</v>
      </c>
      <c r="Q46" s="1085">
        <v>0</v>
      </c>
    </row>
    <row r="47" spans="1:17" x14ac:dyDescent="0.2">
      <c r="A47" s="837" t="s">
        <v>174</v>
      </c>
      <c r="B47" s="839">
        <v>0</v>
      </c>
      <c r="C47" s="839">
        <v>0</v>
      </c>
      <c r="D47" s="857">
        <v>0</v>
      </c>
      <c r="E47" s="862">
        <v>0</v>
      </c>
      <c r="F47" s="863">
        <v>0</v>
      </c>
      <c r="G47" s="862">
        <v>0</v>
      </c>
      <c r="H47" s="863">
        <v>0</v>
      </c>
      <c r="I47" s="862">
        <v>0</v>
      </c>
      <c r="J47" s="863">
        <v>0</v>
      </c>
      <c r="L47" s="188">
        <v>5751.9759999999997</v>
      </c>
      <c r="M47" s="77"/>
      <c r="N47" s="188"/>
      <c r="O47" s="939">
        <f t="shared" si="2"/>
        <v>0</v>
      </c>
      <c r="Q47" s="1085">
        <v>0</v>
      </c>
    </row>
    <row r="48" spans="1:17" x14ac:dyDescent="0.2">
      <c r="A48" s="837" t="s">
        <v>203</v>
      </c>
      <c r="B48" s="839">
        <v>0</v>
      </c>
      <c r="C48" s="839">
        <v>0</v>
      </c>
      <c r="D48" s="857">
        <v>0</v>
      </c>
      <c r="E48" s="862">
        <v>0</v>
      </c>
      <c r="F48" s="863">
        <v>0</v>
      </c>
      <c r="G48" s="862">
        <v>0</v>
      </c>
      <c r="H48" s="863">
        <v>0</v>
      </c>
      <c r="I48" s="862">
        <v>0</v>
      </c>
      <c r="J48" s="863">
        <v>0</v>
      </c>
      <c r="L48" s="188">
        <v>9636.1730000000007</v>
      </c>
      <c r="M48" s="77"/>
      <c r="N48" s="188"/>
      <c r="O48" s="939">
        <f t="shared" si="2"/>
        <v>0</v>
      </c>
      <c r="Q48" s="1085">
        <v>0</v>
      </c>
    </row>
    <row r="49" spans="1:17" x14ac:dyDescent="0.2">
      <c r="A49" s="837" t="s">
        <v>110</v>
      </c>
      <c r="B49" s="839">
        <v>0</v>
      </c>
      <c r="C49" s="839">
        <v>0</v>
      </c>
      <c r="D49" s="857">
        <v>0</v>
      </c>
      <c r="E49" s="862">
        <v>8.5821403059999999E-3</v>
      </c>
      <c r="F49" s="863">
        <v>8.5821403059999999E-3</v>
      </c>
      <c r="G49" s="862">
        <v>9.4497500159999998E-3</v>
      </c>
      <c r="H49" s="863">
        <v>9.4497500159999998E-3</v>
      </c>
      <c r="I49" s="862">
        <v>0</v>
      </c>
      <c r="J49" s="863">
        <v>0</v>
      </c>
      <c r="L49" s="188">
        <v>51452.351999999999</v>
      </c>
      <c r="M49" s="77">
        <v>17290</v>
      </c>
      <c r="N49" s="188">
        <v>12112</v>
      </c>
      <c r="O49" s="939">
        <f t="shared" si="2"/>
        <v>0.57144132108868417</v>
      </c>
      <c r="Q49" s="1085">
        <v>4.7073393200000001E-2</v>
      </c>
    </row>
    <row r="50" spans="1:17" x14ac:dyDescent="0.2">
      <c r="A50" s="837" t="s">
        <v>246</v>
      </c>
      <c r="B50" s="839">
        <v>0</v>
      </c>
      <c r="C50" s="839">
        <v>0</v>
      </c>
      <c r="D50" s="857">
        <v>0</v>
      </c>
      <c r="E50" s="862">
        <v>0</v>
      </c>
      <c r="F50" s="863">
        <v>0</v>
      </c>
      <c r="G50" s="862">
        <v>0</v>
      </c>
      <c r="H50" s="863">
        <v>0</v>
      </c>
      <c r="I50" s="862">
        <v>0</v>
      </c>
      <c r="J50" s="863">
        <v>0</v>
      </c>
      <c r="L50" s="188">
        <v>9940.9290000000001</v>
      </c>
      <c r="M50" s="77"/>
      <c r="N50" s="188"/>
      <c r="O50" s="939">
        <f t="shared" si="2"/>
        <v>0</v>
      </c>
      <c r="Q50" s="1085">
        <v>0</v>
      </c>
    </row>
    <row r="51" spans="1:17" x14ac:dyDescent="0.2">
      <c r="A51" s="837" t="s">
        <v>112</v>
      </c>
      <c r="B51" s="839">
        <v>0</v>
      </c>
      <c r="C51" s="839">
        <v>0</v>
      </c>
      <c r="D51" s="857">
        <v>0</v>
      </c>
      <c r="E51" s="862">
        <v>0</v>
      </c>
      <c r="F51" s="863">
        <v>0</v>
      </c>
      <c r="G51" s="862">
        <v>0</v>
      </c>
      <c r="H51" s="863">
        <v>0</v>
      </c>
      <c r="I51" s="862">
        <v>0</v>
      </c>
      <c r="J51" s="863">
        <v>0</v>
      </c>
      <c r="L51" s="188">
        <v>35652.002</v>
      </c>
      <c r="M51" s="77"/>
      <c r="N51" s="188"/>
      <c r="O51" s="939">
        <f t="shared" si="2"/>
        <v>0</v>
      </c>
      <c r="Q51" s="1085">
        <v>0</v>
      </c>
    </row>
    <row r="52" spans="1:17" x14ac:dyDescent="0.2">
      <c r="A52" s="837" t="s">
        <v>175</v>
      </c>
      <c r="B52" s="839">
        <v>0</v>
      </c>
      <c r="C52" s="839">
        <v>0</v>
      </c>
      <c r="D52" s="857">
        <v>0</v>
      </c>
      <c r="E52" s="862">
        <v>0</v>
      </c>
      <c r="F52" s="863">
        <v>0</v>
      </c>
      <c r="G52" s="862">
        <v>0</v>
      </c>
      <c r="H52" s="863">
        <v>0</v>
      </c>
      <c r="I52" s="862">
        <v>0</v>
      </c>
      <c r="J52" s="863">
        <v>0</v>
      </c>
      <c r="L52" s="188">
        <v>1193.1479999999999</v>
      </c>
      <c r="M52" s="77"/>
      <c r="N52" s="188"/>
      <c r="O52" s="939">
        <f t="shared" si="2"/>
        <v>0</v>
      </c>
      <c r="Q52" s="1085">
        <v>0</v>
      </c>
    </row>
    <row r="53" spans="1:17" x14ac:dyDescent="0.2">
      <c r="A53" s="837" t="s">
        <v>115</v>
      </c>
      <c r="B53" s="839">
        <v>0</v>
      </c>
      <c r="C53" s="839">
        <v>0.1</v>
      </c>
      <c r="D53" s="857">
        <v>0</v>
      </c>
      <c r="E53" s="862">
        <v>0</v>
      </c>
      <c r="F53" s="863">
        <v>0</v>
      </c>
      <c r="G53" s="862">
        <v>0</v>
      </c>
      <c r="H53" s="863">
        <v>0</v>
      </c>
      <c r="I53" s="862">
        <v>0</v>
      </c>
      <c r="J53" s="863">
        <v>0</v>
      </c>
      <c r="L53" s="188">
        <v>44973.33</v>
      </c>
      <c r="M53" s="77"/>
      <c r="N53" s="188"/>
      <c r="O53" s="939">
        <f t="shared" si="2"/>
        <v>0</v>
      </c>
      <c r="Q53" s="1085">
        <v>0</v>
      </c>
    </row>
    <row r="54" spans="1:17" x14ac:dyDescent="0.2">
      <c r="A54" s="837" t="s">
        <v>117</v>
      </c>
      <c r="B54" s="839">
        <v>0</v>
      </c>
      <c r="C54" s="839">
        <v>0.1114</v>
      </c>
      <c r="D54" s="857">
        <v>0</v>
      </c>
      <c r="E54" s="862">
        <v>0</v>
      </c>
      <c r="F54" s="863">
        <v>0</v>
      </c>
      <c r="G54" s="862">
        <v>0</v>
      </c>
      <c r="H54" s="863">
        <v>0</v>
      </c>
      <c r="I54" s="862">
        <v>0</v>
      </c>
      <c r="J54" s="863">
        <v>0</v>
      </c>
      <c r="L54" s="188">
        <v>6306.0140000000001</v>
      </c>
      <c r="M54" s="77"/>
      <c r="N54" s="188"/>
      <c r="O54" s="939">
        <f t="shared" si="2"/>
        <v>0</v>
      </c>
      <c r="Q54" s="1085">
        <v>0</v>
      </c>
    </row>
    <row r="55" spans="1:17" x14ac:dyDescent="0.2">
      <c r="A55" s="837" t="s">
        <v>119</v>
      </c>
      <c r="B55" s="839">
        <v>6.0301507537688433E-2</v>
      </c>
      <c r="C55" s="839">
        <v>8.5294117647058812E-2</v>
      </c>
      <c r="D55" s="857">
        <v>0</v>
      </c>
      <c r="E55" s="862">
        <v>6.2260000000000004E-5</v>
      </c>
      <c r="F55" s="863">
        <v>4.3488140703517598E-5</v>
      </c>
      <c r="G55" s="862">
        <v>0</v>
      </c>
      <c r="H55" s="863">
        <v>0</v>
      </c>
      <c r="I55" s="862">
        <v>0</v>
      </c>
      <c r="J55" s="863">
        <v>0</v>
      </c>
      <c r="L55" s="188">
        <v>10631.83</v>
      </c>
      <c r="M55" s="77"/>
      <c r="N55" s="188">
        <v>320</v>
      </c>
      <c r="O55" s="939">
        <f t="shared" si="2"/>
        <v>3.0098299163925684E-2</v>
      </c>
      <c r="Q55" s="1085">
        <v>3.1130000000000003E-4</v>
      </c>
    </row>
    <row r="56" spans="1:17" x14ac:dyDescent="0.2">
      <c r="A56" s="837" t="s">
        <v>176</v>
      </c>
      <c r="B56" s="839">
        <v>0</v>
      </c>
      <c r="C56" s="839">
        <v>0.22</v>
      </c>
      <c r="D56" s="857">
        <v>0</v>
      </c>
      <c r="E56" s="862">
        <v>0</v>
      </c>
      <c r="F56" s="863">
        <v>0</v>
      </c>
      <c r="G56" s="862">
        <v>0</v>
      </c>
      <c r="H56" s="863">
        <v>0</v>
      </c>
      <c r="I56" s="862">
        <v>0</v>
      </c>
      <c r="J56" s="863">
        <v>0</v>
      </c>
      <c r="L56" s="188">
        <v>33987.213000000003</v>
      </c>
      <c r="M56" s="77"/>
      <c r="N56" s="188">
        <v>1720</v>
      </c>
      <c r="O56" s="939">
        <f t="shared" si="2"/>
        <v>5.0607268092267517E-2</v>
      </c>
      <c r="Q56" s="1085">
        <v>0</v>
      </c>
    </row>
    <row r="57" spans="1:17" x14ac:dyDescent="0.2">
      <c r="A57" s="837" t="s">
        <v>247</v>
      </c>
      <c r="B57" s="839">
        <v>0</v>
      </c>
      <c r="C57" s="839">
        <v>0</v>
      </c>
      <c r="D57" s="857">
        <v>0</v>
      </c>
      <c r="E57" s="862">
        <v>0</v>
      </c>
      <c r="F57" s="863">
        <v>0</v>
      </c>
      <c r="G57" s="862">
        <v>0</v>
      </c>
      <c r="H57" s="863">
        <v>0</v>
      </c>
      <c r="I57" s="862">
        <v>0</v>
      </c>
      <c r="J57" s="863">
        <v>0</v>
      </c>
      <c r="L57" s="188">
        <v>514.64800000000002</v>
      </c>
      <c r="M57" s="77"/>
      <c r="N57" s="188"/>
      <c r="O57" s="939">
        <f t="shared" si="2"/>
        <v>0</v>
      </c>
      <c r="Q57" s="1085">
        <v>0</v>
      </c>
    </row>
    <row r="58" spans="1:17" x14ac:dyDescent="0.2">
      <c r="A58" s="837" t="s">
        <v>127</v>
      </c>
      <c r="B58" s="839">
        <v>0</v>
      </c>
      <c r="C58" s="839">
        <v>0.25</v>
      </c>
      <c r="D58" s="857">
        <v>0</v>
      </c>
      <c r="E58" s="862">
        <v>0</v>
      </c>
      <c r="F58" s="863">
        <v>0</v>
      </c>
      <c r="G58" s="862">
        <v>0</v>
      </c>
      <c r="H58" s="863">
        <v>0</v>
      </c>
      <c r="I58" s="862">
        <v>0</v>
      </c>
      <c r="J58" s="863">
        <v>0</v>
      </c>
      <c r="L58" s="188">
        <v>13216.985000000001</v>
      </c>
      <c r="M58" s="77"/>
      <c r="N58" s="188"/>
      <c r="O58" s="939">
        <f t="shared" si="2"/>
        <v>0</v>
      </c>
      <c r="Q58" s="1085">
        <v>0</v>
      </c>
    </row>
    <row r="59" spans="1:17" x14ac:dyDescent="0.2">
      <c r="A59" s="837" t="s">
        <v>128</v>
      </c>
      <c r="B59" s="839">
        <v>0</v>
      </c>
      <c r="C59" s="839">
        <v>0</v>
      </c>
      <c r="D59" s="857">
        <v>0</v>
      </c>
      <c r="E59" s="862">
        <v>0</v>
      </c>
      <c r="F59" s="863">
        <v>0</v>
      </c>
      <c r="G59" s="862">
        <v>0</v>
      </c>
      <c r="H59" s="863">
        <v>0</v>
      </c>
      <c r="I59" s="862">
        <v>0</v>
      </c>
      <c r="J59" s="863">
        <v>0</v>
      </c>
      <c r="L59" s="188">
        <v>13076.977999999999</v>
      </c>
      <c r="M59" s="77"/>
      <c r="N59" s="188">
        <v>0</v>
      </c>
      <c r="O59" s="939">
        <f t="shared" si="2"/>
        <v>0</v>
      </c>
      <c r="Q59" s="1085">
        <v>0</v>
      </c>
    </row>
    <row r="60" spans="1:17" x14ac:dyDescent="0.2">
      <c r="A60" s="837" t="s">
        <v>182</v>
      </c>
      <c r="B60" s="839">
        <v>0.25</v>
      </c>
      <c r="C60" s="839">
        <v>0</v>
      </c>
      <c r="D60" s="857">
        <v>0</v>
      </c>
      <c r="E60" s="862">
        <v>0</v>
      </c>
      <c r="F60" s="863">
        <v>0</v>
      </c>
      <c r="G60" s="862">
        <v>0</v>
      </c>
      <c r="H60" s="863">
        <v>0</v>
      </c>
      <c r="I60" s="862">
        <v>0</v>
      </c>
      <c r="J60" s="863">
        <v>0</v>
      </c>
      <c r="L60" s="188">
        <v>87.233000000000004</v>
      </c>
      <c r="M60" s="77"/>
      <c r="N60" s="188"/>
      <c r="O60" s="939">
        <f t="shared" si="2"/>
        <v>0</v>
      </c>
      <c r="Q60" s="1085">
        <v>0</v>
      </c>
    </row>
    <row r="61" spans="1:17" x14ac:dyDescent="0.2">
      <c r="A61" s="837" t="s">
        <v>42</v>
      </c>
      <c r="B61" s="839">
        <v>0</v>
      </c>
      <c r="C61" s="839">
        <v>0.15</v>
      </c>
      <c r="D61" s="857">
        <v>0</v>
      </c>
      <c r="E61" s="862">
        <v>1.2742478000000001E-3</v>
      </c>
      <c r="F61" s="863">
        <v>1.2742478000000001E-3</v>
      </c>
      <c r="G61" s="862">
        <v>3.8227433999999997E-3</v>
      </c>
      <c r="H61" s="863">
        <v>1.9113716999999998E-3</v>
      </c>
      <c r="I61" s="862">
        <v>0</v>
      </c>
      <c r="J61" s="863">
        <v>0</v>
      </c>
      <c r="L61" s="188">
        <v>40374.224000000002</v>
      </c>
      <c r="M61" s="77"/>
      <c r="N61" s="188">
        <v>2891</v>
      </c>
      <c r="O61" s="939">
        <f t="shared" si="2"/>
        <v>7.1605091406834215E-2</v>
      </c>
      <c r="Q61" s="1085">
        <v>1.2742478E-2</v>
      </c>
    </row>
    <row r="62" spans="1:17" x14ac:dyDescent="0.2">
      <c r="A62" s="837" t="s">
        <v>156</v>
      </c>
      <c r="B62" s="839">
        <v>0</v>
      </c>
      <c r="C62" s="839">
        <v>0</v>
      </c>
      <c r="D62" s="857">
        <v>0</v>
      </c>
      <c r="E62" s="862">
        <v>0</v>
      </c>
      <c r="F62" s="863">
        <v>0</v>
      </c>
      <c r="G62" s="862">
        <v>0</v>
      </c>
      <c r="H62" s="863">
        <v>0</v>
      </c>
      <c r="I62" s="862">
        <v>0</v>
      </c>
      <c r="J62" s="863">
        <v>0</v>
      </c>
      <c r="L62" s="188">
        <v>360.49799999999999</v>
      </c>
      <c r="M62" s="77"/>
      <c r="N62" s="188"/>
      <c r="O62" s="939">
        <f t="shared" si="2"/>
        <v>0</v>
      </c>
      <c r="Q62" s="1085">
        <v>0</v>
      </c>
    </row>
    <row r="63" spans="1:17" x14ac:dyDescent="0.2">
      <c r="A63" s="837" t="s">
        <v>183</v>
      </c>
      <c r="B63" s="839">
        <v>0</v>
      </c>
      <c r="C63" s="839">
        <v>0.23</v>
      </c>
      <c r="D63" s="857">
        <v>0</v>
      </c>
      <c r="E63" s="862">
        <v>0</v>
      </c>
      <c r="F63" s="863">
        <v>0</v>
      </c>
      <c r="G63" s="862">
        <v>0</v>
      </c>
      <c r="H63" s="863">
        <v>0</v>
      </c>
      <c r="I63" s="862">
        <v>0</v>
      </c>
      <c r="J63" s="863">
        <v>0</v>
      </c>
      <c r="L63" s="188">
        <v>280.39600000000002</v>
      </c>
      <c r="M63" s="77"/>
      <c r="N63" s="188"/>
      <c r="O63" s="939">
        <f t="shared" si="2"/>
        <v>0</v>
      </c>
      <c r="Q63" s="1085">
        <v>0</v>
      </c>
    </row>
    <row r="64" spans="1:17" x14ac:dyDescent="0.2">
      <c r="A64" s="837" t="s">
        <v>157</v>
      </c>
      <c r="B64" s="839">
        <v>0</v>
      </c>
      <c r="C64" s="839">
        <v>0</v>
      </c>
      <c r="D64" s="857">
        <v>0</v>
      </c>
      <c r="E64" s="862">
        <v>0</v>
      </c>
      <c r="F64" s="863">
        <v>0</v>
      </c>
      <c r="G64" s="862">
        <v>0</v>
      </c>
      <c r="H64" s="863">
        <v>0</v>
      </c>
      <c r="I64" s="862">
        <v>0</v>
      </c>
      <c r="J64" s="863">
        <v>0</v>
      </c>
      <c r="L64" s="188">
        <v>308.59500000000003</v>
      </c>
      <c r="M64" s="77"/>
      <c r="N64" s="188"/>
      <c r="O64" s="939">
        <f t="shared" si="2"/>
        <v>0</v>
      </c>
      <c r="Q64" s="1085">
        <v>0</v>
      </c>
    </row>
    <row r="65" spans="1:17" x14ac:dyDescent="0.2">
      <c r="A65" s="837" t="s">
        <v>48</v>
      </c>
      <c r="B65" s="839">
        <v>0</v>
      </c>
      <c r="C65" s="839">
        <v>0</v>
      </c>
      <c r="D65" s="857">
        <v>0</v>
      </c>
      <c r="E65" s="862">
        <v>0</v>
      </c>
      <c r="F65" s="863">
        <v>0</v>
      </c>
      <c r="G65" s="862">
        <v>0</v>
      </c>
      <c r="H65" s="863">
        <v>0</v>
      </c>
      <c r="I65" s="862">
        <v>0</v>
      </c>
      <c r="J65" s="863">
        <v>0</v>
      </c>
      <c r="L65" s="188">
        <v>10156.601000000001</v>
      </c>
      <c r="M65" s="77"/>
      <c r="N65" s="188"/>
      <c r="O65" s="939">
        <f t="shared" si="2"/>
        <v>0</v>
      </c>
      <c r="Q65" s="1085">
        <v>0</v>
      </c>
    </row>
    <row r="66" spans="1:17" x14ac:dyDescent="0.2">
      <c r="A66" s="837" t="s">
        <v>51</v>
      </c>
      <c r="B66" s="839">
        <v>0.36099999999999999</v>
      </c>
      <c r="C66" s="839">
        <v>0.43</v>
      </c>
      <c r="D66" s="857">
        <v>0</v>
      </c>
      <c r="E66" s="862">
        <v>7.7176515700000003E-2</v>
      </c>
      <c r="F66" s="863">
        <v>4.142136628600001E-2</v>
      </c>
      <c r="G66" s="862">
        <v>6.3539320000000012E-4</v>
      </c>
      <c r="H66" s="863">
        <v>6.3539320000000012E-4</v>
      </c>
      <c r="I66" s="862">
        <v>6.2867199999999998E-2</v>
      </c>
      <c r="J66" s="863">
        <v>6.2867199999999998E-2</v>
      </c>
      <c r="L66" s="188">
        <v>195210.15400000001</v>
      </c>
      <c r="M66" s="77">
        <v>98342</v>
      </c>
      <c r="N66" s="188">
        <v>6873.152</v>
      </c>
      <c r="O66" s="939">
        <f t="shared" si="2"/>
        <v>0.53898401207142121</v>
      </c>
      <c r="Q66" s="1085">
        <v>9.0670773999999996E-2</v>
      </c>
    </row>
    <row r="67" spans="1:17" x14ac:dyDescent="0.2">
      <c r="A67" s="837" t="s">
        <v>9</v>
      </c>
      <c r="B67" s="839">
        <v>0.17</v>
      </c>
      <c r="C67" s="839">
        <v>0.3</v>
      </c>
      <c r="D67" s="857">
        <v>0</v>
      </c>
      <c r="E67" s="862">
        <v>6.2796381456521735E-2</v>
      </c>
      <c r="F67" s="863">
        <v>2.0883763203478262E-2</v>
      </c>
      <c r="G67" s="862">
        <v>0.1620829770934783</v>
      </c>
      <c r="H67" s="863">
        <v>3.6966437748695659E-2</v>
      </c>
      <c r="I67" s="862">
        <v>0.49776482962608704</v>
      </c>
      <c r="J67" s="863">
        <v>0.48894262092608703</v>
      </c>
      <c r="L67" s="188">
        <v>34126.239999999998</v>
      </c>
      <c r="M67" s="77">
        <v>30746.46</v>
      </c>
      <c r="N67" s="188">
        <v>663.83199999999999</v>
      </c>
      <c r="O67" s="939">
        <f t="shared" si="2"/>
        <v>0.92041467211154815</v>
      </c>
      <c r="Q67" s="1085">
        <v>0.16965572378260868</v>
      </c>
    </row>
    <row r="68" spans="1:17" x14ac:dyDescent="0.2">
      <c r="A68" s="837" t="s">
        <v>55</v>
      </c>
      <c r="B68" s="839">
        <v>0.2</v>
      </c>
      <c r="C68" s="839">
        <v>0</v>
      </c>
      <c r="D68" s="857">
        <v>0</v>
      </c>
      <c r="E68" s="862">
        <v>0</v>
      </c>
      <c r="F68" s="863">
        <v>0</v>
      </c>
      <c r="G68" s="862">
        <v>2.8289699999999998E-5</v>
      </c>
      <c r="H68" s="863">
        <v>2.8289699999999998E-5</v>
      </c>
      <c r="I68" s="862">
        <v>0</v>
      </c>
      <c r="J68" s="863">
        <v>0</v>
      </c>
      <c r="L68" s="188">
        <v>17150.759999999998</v>
      </c>
      <c r="M68" s="77"/>
      <c r="N68" s="188">
        <v>7379.6550000000007</v>
      </c>
      <c r="O68" s="939">
        <f t="shared" si="2"/>
        <v>0.430281515221483</v>
      </c>
      <c r="Q68" s="1085">
        <v>0</v>
      </c>
    </row>
    <row r="69" spans="1:17" x14ac:dyDescent="0.2">
      <c r="A69" s="837" t="s">
        <v>56</v>
      </c>
      <c r="B69" s="839">
        <v>0.13160032493907398</v>
      </c>
      <c r="C69" s="839">
        <v>0.2</v>
      </c>
      <c r="D69" s="857">
        <v>0</v>
      </c>
      <c r="E69" s="862">
        <v>3.0355402799999999E-3</v>
      </c>
      <c r="F69" s="863">
        <v>6.0967818901705841E-4</v>
      </c>
      <c r="G69" s="862">
        <v>0</v>
      </c>
      <c r="H69" s="863">
        <v>0</v>
      </c>
      <c r="I69" s="862">
        <v>1.0093152360000001E-2</v>
      </c>
      <c r="J69" s="863">
        <v>1.0093152360000001E-2</v>
      </c>
      <c r="L69" s="188">
        <v>46444.798000000003</v>
      </c>
      <c r="M69" s="77"/>
      <c r="N69" s="188">
        <v>9226.3009999999995</v>
      </c>
      <c r="O69" s="939">
        <f t="shared" si="2"/>
        <v>0.19865090165749022</v>
      </c>
      <c r="Q69" s="1085">
        <v>1.8433557E-2</v>
      </c>
    </row>
    <row r="70" spans="1:17" x14ac:dyDescent="0.2">
      <c r="A70" s="837" t="s">
        <v>59</v>
      </c>
      <c r="B70" s="839">
        <v>0</v>
      </c>
      <c r="C70" s="839">
        <v>0</v>
      </c>
      <c r="D70" s="857">
        <v>0</v>
      </c>
      <c r="E70" s="862">
        <v>0</v>
      </c>
      <c r="F70" s="863">
        <v>0</v>
      </c>
      <c r="G70" s="862">
        <v>0</v>
      </c>
      <c r="H70" s="863">
        <v>0</v>
      </c>
      <c r="I70" s="862">
        <v>0</v>
      </c>
      <c r="J70" s="863">
        <v>0</v>
      </c>
      <c r="L70" s="188">
        <v>4669.6850000000004</v>
      </c>
      <c r="M70" s="77"/>
      <c r="N70" s="188"/>
      <c r="O70" s="939">
        <f t="shared" si="2"/>
        <v>0</v>
      </c>
      <c r="Q70" s="1085">
        <v>0</v>
      </c>
    </row>
    <row r="71" spans="1:17" x14ac:dyDescent="0.2">
      <c r="A71" s="837" t="s">
        <v>61</v>
      </c>
      <c r="B71" s="839">
        <v>0</v>
      </c>
      <c r="C71" s="839">
        <v>0</v>
      </c>
      <c r="D71" s="857">
        <v>0</v>
      </c>
      <c r="E71" s="862">
        <v>0</v>
      </c>
      <c r="F71" s="863">
        <v>0</v>
      </c>
      <c r="G71" s="862">
        <v>0</v>
      </c>
      <c r="H71" s="863">
        <v>0</v>
      </c>
      <c r="I71" s="862">
        <v>0</v>
      </c>
      <c r="J71" s="863">
        <v>0</v>
      </c>
      <c r="L71" s="188">
        <v>11281.768</v>
      </c>
      <c r="M71" s="77"/>
      <c r="N71" s="188"/>
      <c r="O71" s="939">
        <f t="shared" si="2"/>
        <v>0</v>
      </c>
      <c r="Q71" s="1085">
        <v>0</v>
      </c>
    </row>
    <row r="72" spans="1:17" x14ac:dyDescent="0.2">
      <c r="A72" s="837" t="s">
        <v>196</v>
      </c>
      <c r="B72" s="839">
        <v>0.17899999999999999</v>
      </c>
      <c r="C72" s="839">
        <v>0.44700000000000001</v>
      </c>
      <c r="D72" s="857">
        <v>0</v>
      </c>
      <c r="E72" s="862">
        <v>0</v>
      </c>
      <c r="F72" s="863">
        <v>0</v>
      </c>
      <c r="G72" s="862">
        <v>0</v>
      </c>
      <c r="H72" s="863">
        <v>0</v>
      </c>
      <c r="I72" s="862">
        <v>0</v>
      </c>
      <c r="J72" s="863">
        <v>0</v>
      </c>
      <c r="L72" s="188">
        <v>71.167000000000002</v>
      </c>
      <c r="M72" s="77"/>
      <c r="N72" s="188"/>
      <c r="O72" s="939">
        <f t="shared" si="2"/>
        <v>0</v>
      </c>
      <c r="Q72" s="1085">
        <v>0</v>
      </c>
    </row>
    <row r="73" spans="1:17" x14ac:dyDescent="0.2">
      <c r="A73" s="837" t="s">
        <v>309</v>
      </c>
      <c r="B73" s="839">
        <v>0</v>
      </c>
      <c r="C73" s="839">
        <v>0.25</v>
      </c>
      <c r="D73" s="857">
        <v>0</v>
      </c>
      <c r="E73" s="862">
        <v>0</v>
      </c>
      <c r="F73" s="863">
        <v>0</v>
      </c>
      <c r="G73" s="862">
        <v>0</v>
      </c>
      <c r="H73" s="863">
        <v>0</v>
      </c>
      <c r="I73" s="862">
        <v>0</v>
      </c>
      <c r="J73" s="863">
        <v>0</v>
      </c>
      <c r="L73" s="188">
        <v>10016.797</v>
      </c>
      <c r="M73" s="77"/>
      <c r="N73" s="188"/>
      <c r="O73" s="939">
        <f t="shared" ref="O73:O137" si="3">(M73+N73)/L73</f>
        <v>0</v>
      </c>
      <c r="Q73" s="1085">
        <v>0</v>
      </c>
    </row>
    <row r="74" spans="1:17" x14ac:dyDescent="0.2">
      <c r="A74" s="837" t="s">
        <v>63</v>
      </c>
      <c r="B74" s="839">
        <v>0</v>
      </c>
      <c r="C74" s="839">
        <v>0</v>
      </c>
      <c r="D74" s="857">
        <v>0</v>
      </c>
      <c r="E74" s="862">
        <v>0</v>
      </c>
      <c r="F74" s="863">
        <v>0</v>
      </c>
      <c r="G74" s="862">
        <v>0</v>
      </c>
      <c r="H74" s="863">
        <v>0</v>
      </c>
      <c r="I74" s="862">
        <v>0</v>
      </c>
      <c r="J74" s="863">
        <v>0</v>
      </c>
      <c r="L74" s="188">
        <v>15001.072</v>
      </c>
      <c r="M74" s="77"/>
      <c r="N74" s="188">
        <v>4590.915</v>
      </c>
      <c r="O74" s="939">
        <f t="shared" si="3"/>
        <v>0.30603912840362341</v>
      </c>
      <c r="Q74" s="1085">
        <v>0</v>
      </c>
    </row>
    <row r="75" spans="1:17" x14ac:dyDescent="0.2">
      <c r="A75" s="837" t="s">
        <v>65</v>
      </c>
      <c r="B75" s="839">
        <v>0</v>
      </c>
      <c r="C75" s="839">
        <v>0</v>
      </c>
      <c r="D75" s="857">
        <v>0</v>
      </c>
      <c r="E75" s="862">
        <v>0</v>
      </c>
      <c r="F75" s="863">
        <v>0</v>
      </c>
      <c r="G75" s="862">
        <v>0</v>
      </c>
      <c r="H75" s="863">
        <v>0</v>
      </c>
      <c r="I75" s="862">
        <v>0</v>
      </c>
      <c r="J75" s="863">
        <v>0</v>
      </c>
      <c r="L75" s="188">
        <v>6218.1949999999997</v>
      </c>
      <c r="M75" s="77"/>
      <c r="N75" s="188"/>
      <c r="O75" s="939">
        <f t="shared" si="3"/>
        <v>0</v>
      </c>
      <c r="Q75" s="1085">
        <v>0</v>
      </c>
    </row>
    <row r="76" spans="1:17" x14ac:dyDescent="0.2">
      <c r="A76" s="837" t="s">
        <v>189</v>
      </c>
      <c r="B76" s="839">
        <v>0.23305874452113856</v>
      </c>
      <c r="C76" s="839">
        <v>0.4</v>
      </c>
      <c r="D76" s="857">
        <v>0</v>
      </c>
      <c r="E76" s="862">
        <v>0</v>
      </c>
      <c r="F76" s="863">
        <v>0</v>
      </c>
      <c r="G76" s="862">
        <v>0</v>
      </c>
      <c r="H76" s="863">
        <v>0</v>
      </c>
      <c r="I76" s="862">
        <v>0</v>
      </c>
      <c r="J76" s="863">
        <v>0</v>
      </c>
      <c r="L76" s="188">
        <v>104.67700000000001</v>
      </c>
      <c r="M76" s="77"/>
      <c r="N76" s="188"/>
      <c r="O76" s="939">
        <f t="shared" si="3"/>
        <v>0</v>
      </c>
      <c r="Q76" s="1085">
        <v>0</v>
      </c>
    </row>
    <row r="77" spans="1:17" x14ac:dyDescent="0.2">
      <c r="A77" s="837" t="s">
        <v>71</v>
      </c>
      <c r="B77" s="839">
        <v>4.3870967741935489E-2</v>
      </c>
      <c r="C77" s="839">
        <v>0.112</v>
      </c>
      <c r="D77" s="857">
        <v>0</v>
      </c>
      <c r="E77" s="862">
        <v>0</v>
      </c>
      <c r="F77" s="863">
        <v>0</v>
      </c>
      <c r="G77" s="862">
        <v>0</v>
      </c>
      <c r="H77" s="863">
        <v>0</v>
      </c>
      <c r="I77" s="862">
        <v>0</v>
      </c>
      <c r="J77" s="863">
        <v>0</v>
      </c>
      <c r="L77" s="188">
        <v>14341.575999999999</v>
      </c>
      <c r="M77" s="77"/>
      <c r="N77" s="188"/>
      <c r="O77" s="939">
        <f t="shared" si="3"/>
        <v>0</v>
      </c>
      <c r="Q77" s="1085">
        <v>0</v>
      </c>
    </row>
    <row r="78" spans="1:17" x14ac:dyDescent="0.2">
      <c r="A78" s="837" t="s">
        <v>147</v>
      </c>
      <c r="B78" s="839">
        <v>0</v>
      </c>
      <c r="C78" s="839">
        <v>0</v>
      </c>
      <c r="D78" s="857">
        <v>0</v>
      </c>
      <c r="E78" s="862">
        <v>0</v>
      </c>
      <c r="F78" s="863">
        <v>0</v>
      </c>
      <c r="G78" s="862">
        <v>0</v>
      </c>
      <c r="H78" s="863">
        <v>0</v>
      </c>
      <c r="I78" s="862">
        <v>0</v>
      </c>
      <c r="J78" s="863">
        <v>0</v>
      </c>
      <c r="L78" s="188">
        <v>786.12599999999998</v>
      </c>
      <c r="M78" s="77"/>
      <c r="N78" s="188"/>
      <c r="O78" s="939">
        <f t="shared" si="3"/>
        <v>0</v>
      </c>
      <c r="Q78" s="1085">
        <v>0</v>
      </c>
    </row>
    <row r="79" spans="1:17" x14ac:dyDescent="0.2">
      <c r="A79" s="837" t="s">
        <v>72</v>
      </c>
      <c r="B79" s="839">
        <v>0</v>
      </c>
      <c r="C79" s="839">
        <v>0</v>
      </c>
      <c r="D79" s="857">
        <v>0</v>
      </c>
      <c r="E79" s="862">
        <v>0</v>
      </c>
      <c r="F79" s="863">
        <v>0</v>
      </c>
      <c r="G79" s="862">
        <v>0</v>
      </c>
      <c r="H79" s="863">
        <v>0</v>
      </c>
      <c r="I79" s="862">
        <v>0</v>
      </c>
      <c r="J79" s="863">
        <v>0</v>
      </c>
      <c r="L79" s="188">
        <v>9896.4</v>
      </c>
      <c r="M79" s="77"/>
      <c r="N79" s="188"/>
      <c r="O79" s="939">
        <f t="shared" si="3"/>
        <v>0</v>
      </c>
      <c r="Q79" s="1085">
        <v>0</v>
      </c>
    </row>
    <row r="80" spans="1:17" x14ac:dyDescent="0.2">
      <c r="A80" s="837" t="s">
        <v>73</v>
      </c>
      <c r="B80" s="839">
        <v>0</v>
      </c>
      <c r="C80" s="839">
        <v>0.27793029527695184</v>
      </c>
      <c r="D80" s="857">
        <v>0</v>
      </c>
      <c r="E80" s="862">
        <v>0</v>
      </c>
      <c r="F80" s="863">
        <v>0</v>
      </c>
      <c r="G80" s="862">
        <v>0</v>
      </c>
      <c r="H80" s="863">
        <v>0</v>
      </c>
      <c r="I80" s="862">
        <v>0</v>
      </c>
      <c r="J80" s="863">
        <v>0</v>
      </c>
      <c r="L80" s="188">
        <v>7621.2039999999997</v>
      </c>
      <c r="M80" s="77"/>
      <c r="N80" s="188"/>
      <c r="O80" s="939">
        <f t="shared" si="3"/>
        <v>0</v>
      </c>
      <c r="Q80" s="1085">
        <v>0</v>
      </c>
    </row>
    <row r="81" spans="1:17" x14ac:dyDescent="0.2">
      <c r="A81" s="837" t="s">
        <v>79</v>
      </c>
      <c r="B81" s="839">
        <v>0</v>
      </c>
      <c r="C81" s="839">
        <v>7.8E-2</v>
      </c>
      <c r="D81" s="857">
        <v>0</v>
      </c>
      <c r="E81" s="862">
        <v>0</v>
      </c>
      <c r="F81" s="863">
        <v>0</v>
      </c>
      <c r="G81" s="862">
        <v>0</v>
      </c>
      <c r="H81" s="863">
        <v>0</v>
      </c>
      <c r="I81" s="862">
        <v>0</v>
      </c>
      <c r="J81" s="863">
        <v>0</v>
      </c>
      <c r="L81" s="188">
        <v>2741.4850000000001</v>
      </c>
      <c r="M81" s="77"/>
      <c r="N81" s="188"/>
      <c r="O81" s="939">
        <f t="shared" si="3"/>
        <v>0</v>
      </c>
      <c r="Q81" s="1085">
        <v>0</v>
      </c>
    </row>
    <row r="82" spans="1:17" x14ac:dyDescent="0.2">
      <c r="A82" s="837" t="s">
        <v>89</v>
      </c>
      <c r="B82" s="839">
        <v>0</v>
      </c>
      <c r="C82" s="839">
        <v>0.22</v>
      </c>
      <c r="D82" s="857">
        <v>0.5</v>
      </c>
      <c r="E82" s="862">
        <v>2.7291722999999999E-3</v>
      </c>
      <c r="F82" s="863">
        <v>2.7291722999999999E-3</v>
      </c>
      <c r="G82" s="862">
        <v>3.0534939999999997E-2</v>
      </c>
      <c r="H82" s="863">
        <v>8.7407191999999984E-3</v>
      </c>
      <c r="I82" s="862">
        <v>4.5650912000000002E-2</v>
      </c>
      <c r="J82" s="863">
        <v>1.7119092000000002E-2</v>
      </c>
      <c r="L82" s="188">
        <v>117886.40399999999</v>
      </c>
      <c r="M82" s="77">
        <v>45699</v>
      </c>
      <c r="N82" s="188">
        <v>5370</v>
      </c>
      <c r="O82" s="939">
        <f t="shared" si="3"/>
        <v>0.43320517266774888</v>
      </c>
      <c r="Q82" s="1085">
        <v>9.4310420000000006E-3</v>
      </c>
    </row>
    <row r="83" spans="1:17" x14ac:dyDescent="0.2">
      <c r="A83" s="837" t="s">
        <v>97</v>
      </c>
      <c r="B83" s="839">
        <v>0</v>
      </c>
      <c r="C83" s="839">
        <v>0</v>
      </c>
      <c r="D83" s="857">
        <v>0</v>
      </c>
      <c r="E83" s="862">
        <v>0</v>
      </c>
      <c r="F83" s="863">
        <v>0</v>
      </c>
      <c r="G83" s="862">
        <v>0</v>
      </c>
      <c r="H83" s="863">
        <v>0</v>
      </c>
      <c r="I83" s="862">
        <v>0</v>
      </c>
      <c r="J83" s="863">
        <v>0</v>
      </c>
      <c r="L83" s="188">
        <v>5822.2089999999998</v>
      </c>
      <c r="M83" s="77"/>
      <c r="N83" s="188"/>
      <c r="O83" s="939">
        <f t="shared" si="3"/>
        <v>0</v>
      </c>
      <c r="Q83" s="1085">
        <v>0</v>
      </c>
    </row>
    <row r="84" spans="1:17" x14ac:dyDescent="0.2">
      <c r="A84" s="837" t="s">
        <v>101</v>
      </c>
      <c r="B84" s="839">
        <v>0</v>
      </c>
      <c r="C84" s="839">
        <v>0</v>
      </c>
      <c r="D84" s="857">
        <v>0</v>
      </c>
      <c r="E84" s="862">
        <v>0</v>
      </c>
      <c r="F84" s="863">
        <v>0</v>
      </c>
      <c r="G84" s="862">
        <v>0</v>
      </c>
      <c r="H84" s="863">
        <v>0</v>
      </c>
      <c r="I84" s="862">
        <v>2.7459903000000003E-3</v>
      </c>
      <c r="J84" s="863">
        <v>2.7459903000000003E-3</v>
      </c>
      <c r="L84" s="188">
        <v>3678.1280000000002</v>
      </c>
      <c r="M84" s="77"/>
      <c r="N84" s="188">
        <v>1163</v>
      </c>
      <c r="O84" s="939">
        <f t="shared" si="3"/>
        <v>0.31619345493142165</v>
      </c>
      <c r="Q84" s="1085">
        <v>0</v>
      </c>
    </row>
    <row r="85" spans="1:17" x14ac:dyDescent="0.2">
      <c r="A85" s="837" t="s">
        <v>102</v>
      </c>
      <c r="B85" s="839">
        <v>0</v>
      </c>
      <c r="C85" s="839">
        <v>0.1</v>
      </c>
      <c r="D85" s="857">
        <v>0</v>
      </c>
      <c r="E85" s="862">
        <v>0</v>
      </c>
      <c r="F85" s="863">
        <v>0</v>
      </c>
      <c r="G85" s="862">
        <v>0</v>
      </c>
      <c r="H85" s="863">
        <v>0</v>
      </c>
      <c r="I85" s="862">
        <v>0</v>
      </c>
      <c r="J85" s="863">
        <v>0</v>
      </c>
      <c r="L85" s="188">
        <v>6459.7209999999995</v>
      </c>
      <c r="M85" s="77"/>
      <c r="N85" s="188"/>
      <c r="O85" s="939">
        <f t="shared" si="3"/>
        <v>0</v>
      </c>
      <c r="Q85" s="1085">
        <v>0</v>
      </c>
    </row>
    <row r="86" spans="1:17" x14ac:dyDescent="0.2">
      <c r="A86" s="837" t="s">
        <v>103</v>
      </c>
      <c r="B86" s="839">
        <v>0</v>
      </c>
      <c r="C86" s="839">
        <v>0.2</v>
      </c>
      <c r="D86" s="857">
        <v>0</v>
      </c>
      <c r="E86" s="862">
        <v>0</v>
      </c>
      <c r="F86" s="863">
        <v>0</v>
      </c>
      <c r="G86" s="862">
        <v>0</v>
      </c>
      <c r="H86" s="863">
        <v>0</v>
      </c>
      <c r="I86" s="862">
        <v>0</v>
      </c>
      <c r="J86" s="863">
        <v>0</v>
      </c>
      <c r="L86" s="188">
        <v>29262.83</v>
      </c>
      <c r="M86" s="77">
        <v>8755.2620000000006</v>
      </c>
      <c r="N86" s="188"/>
      <c r="O86" s="939">
        <f t="shared" si="3"/>
        <v>0.29919396039275764</v>
      </c>
      <c r="Q86" s="1085">
        <v>0</v>
      </c>
    </row>
    <row r="87" spans="1:17" x14ac:dyDescent="0.2">
      <c r="A87" s="837" t="s">
        <v>248</v>
      </c>
      <c r="B87" s="839">
        <v>0</v>
      </c>
      <c r="C87" s="839">
        <v>0</v>
      </c>
      <c r="D87" s="857">
        <v>0</v>
      </c>
      <c r="E87" s="862">
        <v>0</v>
      </c>
      <c r="F87" s="863">
        <v>0</v>
      </c>
      <c r="G87" s="862">
        <v>0</v>
      </c>
      <c r="H87" s="863">
        <v>0</v>
      </c>
      <c r="I87" s="862">
        <v>0</v>
      </c>
      <c r="J87" s="863">
        <v>0</v>
      </c>
      <c r="L87" s="188">
        <v>52.351999999999997</v>
      </c>
      <c r="M87" s="77"/>
      <c r="N87" s="188"/>
      <c r="O87" s="939">
        <f t="shared" si="3"/>
        <v>0</v>
      </c>
      <c r="Q87" s="1085">
        <v>0</v>
      </c>
    </row>
    <row r="88" spans="1:17" x14ac:dyDescent="0.2">
      <c r="A88" s="837" t="s">
        <v>197</v>
      </c>
      <c r="B88" s="839">
        <v>0</v>
      </c>
      <c r="C88" s="839">
        <v>0.23</v>
      </c>
      <c r="D88" s="857">
        <v>0</v>
      </c>
      <c r="E88" s="862">
        <v>0</v>
      </c>
      <c r="F88" s="863">
        <v>0</v>
      </c>
      <c r="G88" s="862">
        <v>0</v>
      </c>
      <c r="H88" s="863">
        <v>0</v>
      </c>
      <c r="I88" s="862">
        <v>0</v>
      </c>
      <c r="J88" s="863">
        <v>0</v>
      </c>
      <c r="L88" s="188">
        <v>177.39699999999999</v>
      </c>
      <c r="M88" s="77"/>
      <c r="N88" s="188"/>
      <c r="O88" s="939">
        <f t="shared" si="3"/>
        <v>0</v>
      </c>
      <c r="Q88" s="1085">
        <v>0</v>
      </c>
    </row>
    <row r="89" spans="1:17" x14ac:dyDescent="0.2">
      <c r="A89" s="837" t="s">
        <v>198</v>
      </c>
      <c r="B89" s="839">
        <v>0</v>
      </c>
      <c r="C89" s="839">
        <v>0</v>
      </c>
      <c r="D89" s="857">
        <v>0</v>
      </c>
      <c r="E89" s="862">
        <v>0</v>
      </c>
      <c r="F89" s="863">
        <v>0</v>
      </c>
      <c r="G89" s="862">
        <v>0</v>
      </c>
      <c r="H89" s="863">
        <v>0</v>
      </c>
      <c r="I89" s="862">
        <v>0</v>
      </c>
      <c r="J89" s="863">
        <v>0</v>
      </c>
      <c r="L89" s="188">
        <v>109.316</v>
      </c>
      <c r="M89" s="77"/>
      <c r="N89" s="188"/>
      <c r="O89" s="939">
        <f t="shared" si="3"/>
        <v>0</v>
      </c>
      <c r="Q89" s="1085">
        <v>0</v>
      </c>
    </row>
    <row r="90" spans="1:17" x14ac:dyDescent="0.2">
      <c r="A90" s="837" t="s">
        <v>204</v>
      </c>
      <c r="B90" s="839">
        <v>0</v>
      </c>
      <c r="C90" s="839">
        <v>0</v>
      </c>
      <c r="D90" s="857">
        <v>0</v>
      </c>
      <c r="E90" s="862">
        <v>0</v>
      </c>
      <c r="F90" s="863">
        <v>0</v>
      </c>
      <c r="G90" s="862">
        <v>0</v>
      </c>
      <c r="H90" s="863">
        <v>0</v>
      </c>
      <c r="I90" s="862">
        <v>0</v>
      </c>
      <c r="J90" s="863">
        <v>0</v>
      </c>
      <c r="L90" s="188">
        <v>524.96</v>
      </c>
      <c r="M90" s="77"/>
      <c r="N90" s="188"/>
      <c r="O90" s="939">
        <f t="shared" si="3"/>
        <v>0</v>
      </c>
      <c r="Q90" s="1085">
        <v>0</v>
      </c>
    </row>
    <row r="91" spans="1:17" x14ac:dyDescent="0.2">
      <c r="A91" s="837" t="s">
        <v>118</v>
      </c>
      <c r="B91" s="839">
        <v>0</v>
      </c>
      <c r="C91" s="839">
        <v>2.3866348448688033E-3</v>
      </c>
      <c r="D91" s="857">
        <v>0</v>
      </c>
      <c r="E91" s="862">
        <v>0</v>
      </c>
      <c r="F91" s="863">
        <v>0</v>
      </c>
      <c r="G91" s="862">
        <v>0</v>
      </c>
      <c r="H91" s="863">
        <v>0</v>
      </c>
      <c r="I91" s="862">
        <v>0</v>
      </c>
      <c r="J91" s="863">
        <v>0</v>
      </c>
      <c r="L91" s="188">
        <v>1328.095</v>
      </c>
      <c r="M91" s="77"/>
      <c r="N91" s="188"/>
      <c r="O91" s="939">
        <f t="shared" si="3"/>
        <v>0</v>
      </c>
      <c r="Q91" s="1085">
        <v>0</v>
      </c>
    </row>
    <row r="92" spans="1:17" x14ac:dyDescent="0.2">
      <c r="A92" s="837" t="s">
        <v>38</v>
      </c>
      <c r="B92" s="839">
        <v>0.17</v>
      </c>
      <c r="C92" s="839">
        <v>0.26</v>
      </c>
      <c r="D92" s="857">
        <v>0.8</v>
      </c>
      <c r="E92" s="862">
        <v>6.6409807803999993E-2</v>
      </c>
      <c r="F92" s="863">
        <v>2.9587456968099998E-2</v>
      </c>
      <c r="G92" s="862">
        <v>0.32976690400454545</v>
      </c>
      <c r="H92" s="863">
        <v>0.13317504766818181</v>
      </c>
      <c r="I92" s="862">
        <v>0.57381683935000005</v>
      </c>
      <c r="J92" s="863">
        <v>0.11928837804999998</v>
      </c>
      <c r="L92" s="188">
        <v>312247.11599999998</v>
      </c>
      <c r="M92" s="77">
        <v>147939.23800000001</v>
      </c>
      <c r="N92" s="188">
        <v>19865.660999999996</v>
      </c>
      <c r="O92" s="939">
        <f t="shared" si="3"/>
        <v>0.53741056490654671</v>
      </c>
      <c r="Q92" s="1085">
        <v>0.21043557727000001</v>
      </c>
    </row>
    <row r="93" spans="1:17" x14ac:dyDescent="0.2">
      <c r="A93" s="837" t="s">
        <v>122</v>
      </c>
      <c r="B93" s="839">
        <v>0</v>
      </c>
      <c r="C93" s="839">
        <v>0</v>
      </c>
      <c r="D93" s="857">
        <v>0</v>
      </c>
      <c r="E93" s="862">
        <v>0</v>
      </c>
      <c r="F93" s="863">
        <v>0</v>
      </c>
      <c r="G93" s="862">
        <v>0</v>
      </c>
      <c r="H93" s="863">
        <v>0</v>
      </c>
      <c r="I93" s="862">
        <v>0</v>
      </c>
      <c r="J93" s="863">
        <v>0</v>
      </c>
      <c r="L93" s="188">
        <v>3371.982</v>
      </c>
      <c r="M93" s="77"/>
      <c r="N93" s="188"/>
      <c r="O93" s="939">
        <f t="shared" si="3"/>
        <v>0</v>
      </c>
      <c r="Q93" s="1085">
        <v>0</v>
      </c>
    </row>
    <row r="94" spans="1:17" x14ac:dyDescent="0.2">
      <c r="A94" s="837" t="s">
        <v>124</v>
      </c>
      <c r="B94" s="839">
        <v>0</v>
      </c>
      <c r="C94" s="839">
        <v>0</v>
      </c>
      <c r="D94" s="857">
        <v>0</v>
      </c>
      <c r="E94" s="862">
        <v>0</v>
      </c>
      <c r="F94" s="863">
        <v>0</v>
      </c>
      <c r="G94" s="862">
        <v>0</v>
      </c>
      <c r="H94" s="863">
        <v>0</v>
      </c>
      <c r="I94" s="862">
        <v>0</v>
      </c>
      <c r="J94" s="863">
        <v>0</v>
      </c>
      <c r="L94" s="188">
        <v>29043.282999999999</v>
      </c>
      <c r="M94" s="77"/>
      <c r="N94" s="188">
        <v>0</v>
      </c>
      <c r="O94" s="939">
        <f t="shared" si="3"/>
        <v>0</v>
      </c>
      <c r="Q94" s="1085">
        <v>0</v>
      </c>
    </row>
    <row r="95" spans="1:17" x14ac:dyDescent="0.2">
      <c r="A95" s="837" t="s">
        <v>180</v>
      </c>
      <c r="B95" s="839">
        <v>0</v>
      </c>
      <c r="C95" s="839">
        <v>0</v>
      </c>
      <c r="D95" s="857">
        <v>0</v>
      </c>
      <c r="E95" s="862">
        <v>0</v>
      </c>
      <c r="F95" s="863">
        <v>0</v>
      </c>
      <c r="G95" s="862">
        <v>0</v>
      </c>
      <c r="H95" s="863">
        <v>0</v>
      </c>
      <c r="I95" s="862">
        <v>0</v>
      </c>
      <c r="J95" s="863">
        <v>0</v>
      </c>
      <c r="L95" s="188">
        <v>28397.812000000002</v>
      </c>
      <c r="M95" s="77"/>
      <c r="N95" s="188"/>
      <c r="O95" s="939">
        <f t="shared" si="3"/>
        <v>0</v>
      </c>
      <c r="Q95" s="1085">
        <v>0</v>
      </c>
    </row>
    <row r="96" spans="1:17" x14ac:dyDescent="0.2">
      <c r="A96" s="837" t="s">
        <v>2</v>
      </c>
      <c r="B96" s="839">
        <v>0.05</v>
      </c>
      <c r="C96" s="839">
        <v>0.26</v>
      </c>
      <c r="D96" s="857">
        <v>0</v>
      </c>
      <c r="E96" s="862">
        <v>2.0693E-3</v>
      </c>
      <c r="F96" s="863">
        <v>1.7870750000000002E-3</v>
      </c>
      <c r="G96" s="862">
        <v>0.33480399999999999</v>
      </c>
      <c r="H96" s="863">
        <v>4.8785799999999976E-2</v>
      </c>
      <c r="I96" s="862">
        <v>0.1662333</v>
      </c>
      <c r="J96" s="863">
        <v>0.1662333</v>
      </c>
      <c r="L96" s="188">
        <v>22404.488000000001</v>
      </c>
      <c r="M96" s="77">
        <v>13440.6</v>
      </c>
      <c r="N96" s="188">
        <v>11127.824000000001</v>
      </c>
      <c r="O96" s="939">
        <f t="shared" si="3"/>
        <v>1.0965849342328198</v>
      </c>
      <c r="Q96" s="1085">
        <v>5.6445000000000002E-3</v>
      </c>
    </row>
    <row r="97" spans="1:17" x14ac:dyDescent="0.2">
      <c r="A97" s="837" t="s">
        <v>46</v>
      </c>
      <c r="B97" s="839">
        <v>0</v>
      </c>
      <c r="C97" s="839">
        <v>0.05</v>
      </c>
      <c r="D97" s="857">
        <v>0</v>
      </c>
      <c r="E97" s="862">
        <v>0</v>
      </c>
      <c r="F97" s="863">
        <v>0</v>
      </c>
      <c r="G97" s="862">
        <v>0</v>
      </c>
      <c r="H97" s="863">
        <v>0</v>
      </c>
      <c r="I97" s="862">
        <v>0</v>
      </c>
      <c r="J97" s="863">
        <v>0</v>
      </c>
      <c r="L97" s="188">
        <v>151125.47500000001</v>
      </c>
      <c r="M97" s="77"/>
      <c r="N97" s="188"/>
      <c r="O97" s="939">
        <f t="shared" si="3"/>
        <v>0</v>
      </c>
      <c r="Q97" s="1085">
        <v>0</v>
      </c>
    </row>
    <row r="98" spans="1:17" x14ac:dyDescent="0.2">
      <c r="A98" s="837" t="s">
        <v>158</v>
      </c>
      <c r="B98" s="839">
        <v>0</v>
      </c>
      <c r="C98" s="839">
        <v>1</v>
      </c>
      <c r="D98" s="857">
        <v>0</v>
      </c>
      <c r="E98" s="862">
        <v>0</v>
      </c>
      <c r="F98" s="863">
        <v>0</v>
      </c>
      <c r="G98" s="862">
        <v>0</v>
      </c>
      <c r="H98" s="863">
        <v>0</v>
      </c>
      <c r="I98" s="862">
        <v>0</v>
      </c>
      <c r="J98" s="863">
        <v>0</v>
      </c>
      <c r="L98" s="188">
        <v>716.93899999999996</v>
      </c>
      <c r="M98" s="77"/>
      <c r="N98" s="188"/>
      <c r="O98" s="939">
        <f t="shared" si="3"/>
        <v>0</v>
      </c>
      <c r="Q98" s="1085">
        <v>0</v>
      </c>
    </row>
    <row r="99" spans="1:17" x14ac:dyDescent="0.2">
      <c r="A99" s="837" t="s">
        <v>52</v>
      </c>
      <c r="B99" s="839">
        <v>0</v>
      </c>
      <c r="C99" s="839">
        <v>0</v>
      </c>
      <c r="D99" s="857">
        <v>0</v>
      </c>
      <c r="E99" s="862">
        <v>0</v>
      </c>
      <c r="F99" s="863">
        <v>0</v>
      </c>
      <c r="G99" s="862">
        <v>0</v>
      </c>
      <c r="H99" s="863">
        <v>0</v>
      </c>
      <c r="I99" s="862">
        <v>0</v>
      </c>
      <c r="J99" s="863">
        <v>0</v>
      </c>
      <c r="L99" s="188">
        <v>400.56900000000002</v>
      </c>
      <c r="M99" s="77"/>
      <c r="N99" s="188"/>
      <c r="O99" s="939">
        <f t="shared" si="3"/>
        <v>0</v>
      </c>
      <c r="Q99" s="1085">
        <v>0</v>
      </c>
    </row>
    <row r="100" spans="1:17" x14ac:dyDescent="0.2">
      <c r="A100" s="837" t="s">
        <v>53</v>
      </c>
      <c r="B100" s="839">
        <v>0</v>
      </c>
      <c r="C100" s="839">
        <v>0.27</v>
      </c>
      <c r="D100" s="857">
        <v>0</v>
      </c>
      <c r="E100" s="862">
        <v>0</v>
      </c>
      <c r="F100" s="863">
        <v>0</v>
      </c>
      <c r="G100" s="862">
        <v>0</v>
      </c>
      <c r="H100" s="863">
        <v>0</v>
      </c>
      <c r="I100" s="862">
        <v>0</v>
      </c>
      <c r="J100" s="863">
        <v>0</v>
      </c>
      <c r="L100" s="188">
        <v>14364.931</v>
      </c>
      <c r="M100" s="77"/>
      <c r="N100" s="188"/>
      <c r="O100" s="939">
        <f t="shared" si="3"/>
        <v>0</v>
      </c>
      <c r="Q100" s="1085">
        <v>0</v>
      </c>
    </row>
    <row r="101" spans="1:17" x14ac:dyDescent="0.2">
      <c r="A101" s="837" t="s">
        <v>1607</v>
      </c>
      <c r="B101" s="839">
        <v>0.02</v>
      </c>
      <c r="C101" s="839">
        <v>-0.42227246153846154</v>
      </c>
      <c r="D101" s="857">
        <v>0</v>
      </c>
      <c r="E101" s="862">
        <v>0</v>
      </c>
      <c r="F101" s="863">
        <v>0</v>
      </c>
      <c r="G101" s="862">
        <v>0</v>
      </c>
      <c r="H101" s="863">
        <v>0</v>
      </c>
      <c r="I101" s="862">
        <v>0</v>
      </c>
      <c r="J101" s="863">
        <v>0</v>
      </c>
      <c r="L101" s="188">
        <v>1359821.4650000001</v>
      </c>
      <c r="M101" s="77"/>
      <c r="N101" s="188">
        <v>13000</v>
      </c>
      <c r="O101" s="939">
        <f t="shared" si="3"/>
        <v>9.5600785357510144E-3</v>
      </c>
      <c r="Q101" s="1085">
        <v>0</v>
      </c>
    </row>
    <row r="102" spans="1:17" x14ac:dyDescent="0.2">
      <c r="A102" s="837" t="s">
        <v>187</v>
      </c>
      <c r="B102" s="839">
        <v>0</v>
      </c>
      <c r="C102" s="839">
        <v>0</v>
      </c>
      <c r="D102" s="857">
        <v>0</v>
      </c>
      <c r="E102" s="862">
        <v>0</v>
      </c>
      <c r="F102" s="863">
        <v>0</v>
      </c>
      <c r="G102" s="862">
        <v>0</v>
      </c>
      <c r="H102" s="863">
        <v>0</v>
      </c>
      <c r="I102" s="862">
        <v>0</v>
      </c>
      <c r="J102" s="863">
        <v>0</v>
      </c>
      <c r="L102" s="188">
        <v>20.283999999999999</v>
      </c>
      <c r="M102" s="77"/>
      <c r="N102" s="188"/>
      <c r="O102" s="939">
        <f t="shared" si="3"/>
        <v>0</v>
      </c>
      <c r="Q102" s="1085">
        <v>0</v>
      </c>
    </row>
    <row r="103" spans="1:17" x14ac:dyDescent="0.2">
      <c r="A103" s="837" t="s">
        <v>159</v>
      </c>
      <c r="B103" s="839">
        <v>0</v>
      </c>
      <c r="C103" s="839">
        <v>0.1</v>
      </c>
      <c r="D103" s="857">
        <v>0</v>
      </c>
      <c r="E103" s="862">
        <v>0</v>
      </c>
      <c r="F103" s="863">
        <v>0</v>
      </c>
      <c r="G103" s="862">
        <v>0</v>
      </c>
      <c r="H103" s="863">
        <v>0</v>
      </c>
      <c r="I103" s="862">
        <v>0</v>
      </c>
      <c r="J103" s="863">
        <v>0</v>
      </c>
      <c r="L103" s="188">
        <v>860.55899999999997</v>
      </c>
      <c r="M103" s="77"/>
      <c r="N103" s="188"/>
      <c r="O103" s="939">
        <f t="shared" si="3"/>
        <v>0</v>
      </c>
      <c r="Q103" s="1085">
        <v>0</v>
      </c>
    </row>
    <row r="104" spans="1:17" x14ac:dyDescent="0.2">
      <c r="A104" s="837" t="s">
        <v>190</v>
      </c>
      <c r="B104" s="839">
        <v>0</v>
      </c>
      <c r="C104" s="839">
        <v>0.128</v>
      </c>
      <c r="D104" s="857">
        <v>0</v>
      </c>
      <c r="E104" s="862">
        <v>0</v>
      </c>
      <c r="F104" s="863">
        <v>0</v>
      </c>
      <c r="G104" s="862">
        <v>0</v>
      </c>
      <c r="H104" s="863">
        <v>0</v>
      </c>
      <c r="I104" s="862">
        <v>0</v>
      </c>
      <c r="J104" s="863">
        <v>0</v>
      </c>
      <c r="L104" s="188">
        <v>7049.5140000000001</v>
      </c>
      <c r="M104" s="77"/>
      <c r="N104" s="188"/>
      <c r="O104" s="939">
        <f t="shared" si="3"/>
        <v>0</v>
      </c>
      <c r="Q104" s="1085">
        <v>0</v>
      </c>
    </row>
    <row r="105" spans="1:17" x14ac:dyDescent="0.2">
      <c r="A105" s="837" t="s">
        <v>74</v>
      </c>
      <c r="B105" s="839">
        <v>0.05</v>
      </c>
      <c r="C105" s="839">
        <v>0</v>
      </c>
      <c r="D105" s="857">
        <v>0</v>
      </c>
      <c r="E105" s="862">
        <v>4.2609499999999998E-4</v>
      </c>
      <c r="F105" s="863">
        <v>3.4087599999999999E-4</v>
      </c>
      <c r="G105" s="862">
        <v>0</v>
      </c>
      <c r="H105" s="863">
        <v>0</v>
      </c>
      <c r="I105" s="862">
        <v>0</v>
      </c>
      <c r="J105" s="863">
        <v>0</v>
      </c>
      <c r="L105" s="188">
        <v>1205624.648</v>
      </c>
      <c r="M105" s="77">
        <v>35100</v>
      </c>
      <c r="N105" s="188">
        <v>1432.7339999999999</v>
      </c>
      <c r="O105" s="939">
        <f t="shared" si="3"/>
        <v>3.0301913668241458E-2</v>
      </c>
      <c r="Q105" s="1085">
        <v>1.7043799999999999E-3</v>
      </c>
    </row>
    <row r="106" spans="1:17" x14ac:dyDescent="0.2">
      <c r="A106" s="837" t="s">
        <v>75</v>
      </c>
      <c r="B106" s="839">
        <v>0.26</v>
      </c>
      <c r="C106" s="839">
        <v>0.28999999999999998</v>
      </c>
      <c r="D106" s="857">
        <v>0</v>
      </c>
      <c r="E106" s="862">
        <v>0</v>
      </c>
      <c r="F106" s="863">
        <v>0</v>
      </c>
      <c r="G106" s="862">
        <v>3.4863901859999998E-2</v>
      </c>
      <c r="H106" s="863">
        <v>1.2257456800000011E-3</v>
      </c>
      <c r="I106" s="862">
        <v>0</v>
      </c>
      <c r="J106" s="863">
        <v>0</v>
      </c>
      <c r="L106" s="188">
        <v>240676.48499999999</v>
      </c>
      <c r="M106" s="77">
        <v>15399</v>
      </c>
      <c r="N106" s="188">
        <v>10550</v>
      </c>
      <c r="O106" s="939">
        <f t="shared" si="3"/>
        <v>0.10781693109736085</v>
      </c>
      <c r="Q106" s="1085">
        <v>0</v>
      </c>
    </row>
    <row r="107" spans="1:17" x14ac:dyDescent="0.2">
      <c r="A107" s="837" t="s">
        <v>25</v>
      </c>
      <c r="B107" s="839">
        <v>3.7999999999999999E-2</v>
      </c>
      <c r="C107" s="839">
        <v>0.26</v>
      </c>
      <c r="D107" s="857">
        <v>0</v>
      </c>
      <c r="E107" s="862">
        <v>8.4189947999999987E-2</v>
      </c>
      <c r="F107" s="863">
        <v>6.9925584000000013E-2</v>
      </c>
      <c r="G107" s="862">
        <v>6.6203582800000008E-2</v>
      </c>
      <c r="H107" s="863">
        <v>2.2546391039999999E-2</v>
      </c>
      <c r="I107" s="862">
        <v>0.1438425727</v>
      </c>
      <c r="J107" s="863">
        <v>0.1438425727</v>
      </c>
      <c r="L107" s="188">
        <v>97743</v>
      </c>
      <c r="M107" s="77">
        <v>16124.161</v>
      </c>
      <c r="N107" s="188">
        <v>48580.731</v>
      </c>
      <c r="O107" s="939">
        <f t="shared" si="3"/>
        <v>0.66199003509202703</v>
      </c>
      <c r="Q107" s="1085">
        <v>0.37537799999999999</v>
      </c>
    </row>
    <row r="108" spans="1:17" x14ac:dyDescent="0.2">
      <c r="A108" s="837" t="s">
        <v>162</v>
      </c>
      <c r="B108" s="839">
        <v>0</v>
      </c>
      <c r="C108" s="839">
        <v>0</v>
      </c>
      <c r="D108" s="857">
        <v>0</v>
      </c>
      <c r="E108" s="862">
        <v>0</v>
      </c>
      <c r="F108" s="863">
        <v>0</v>
      </c>
      <c r="G108" s="862">
        <v>0</v>
      </c>
      <c r="H108" s="863">
        <v>0</v>
      </c>
      <c r="I108" s="862">
        <v>0</v>
      </c>
      <c r="J108" s="863">
        <v>0</v>
      </c>
      <c r="L108" s="188">
        <v>6395.7129999999997</v>
      </c>
      <c r="M108" s="77"/>
      <c r="N108" s="188"/>
      <c r="O108" s="939">
        <f t="shared" si="3"/>
        <v>0</v>
      </c>
      <c r="Q108" s="1085">
        <v>0</v>
      </c>
    </row>
    <row r="109" spans="1:17" x14ac:dyDescent="0.2">
      <c r="A109" s="837" t="s">
        <v>87</v>
      </c>
      <c r="B109" s="839">
        <v>0</v>
      </c>
      <c r="C109" s="839">
        <v>0.35</v>
      </c>
      <c r="D109" s="857">
        <v>0</v>
      </c>
      <c r="E109" s="862">
        <v>0</v>
      </c>
      <c r="F109" s="863">
        <v>0</v>
      </c>
      <c r="G109" s="862">
        <v>0</v>
      </c>
      <c r="H109" s="863">
        <v>0</v>
      </c>
      <c r="I109" s="862">
        <v>0</v>
      </c>
      <c r="J109" s="863">
        <v>0</v>
      </c>
      <c r="L109" s="188">
        <v>28275.834999999999</v>
      </c>
      <c r="M109" s="77"/>
      <c r="N109" s="188">
        <v>1901.0160000000001</v>
      </c>
      <c r="O109" s="939">
        <f t="shared" si="3"/>
        <v>6.7231118020033717E-2</v>
      </c>
      <c r="Q109" s="1085">
        <v>0</v>
      </c>
    </row>
    <row r="110" spans="1:17" x14ac:dyDescent="0.2">
      <c r="A110" s="837" t="s">
        <v>130</v>
      </c>
      <c r="B110" s="839">
        <v>0</v>
      </c>
      <c r="C110" s="839">
        <v>0.1</v>
      </c>
      <c r="D110" s="857">
        <v>1</v>
      </c>
      <c r="E110" s="862">
        <v>0</v>
      </c>
      <c r="F110" s="863">
        <v>0</v>
      </c>
      <c r="G110" s="862">
        <v>0</v>
      </c>
      <c r="H110" s="863">
        <v>0</v>
      </c>
      <c r="I110" s="862">
        <v>0</v>
      </c>
      <c r="J110" s="863">
        <v>0</v>
      </c>
      <c r="L110" s="188">
        <v>325.69400000000002</v>
      </c>
      <c r="M110" s="77"/>
      <c r="N110" s="188"/>
      <c r="O110" s="939">
        <f t="shared" si="3"/>
        <v>0</v>
      </c>
      <c r="Q110" s="1085">
        <v>0</v>
      </c>
    </row>
    <row r="111" spans="1:17" x14ac:dyDescent="0.2">
      <c r="A111" s="837" t="s">
        <v>151</v>
      </c>
      <c r="B111" s="839">
        <v>0.4</v>
      </c>
      <c r="C111" s="839">
        <v>0.45</v>
      </c>
      <c r="D111" s="857">
        <v>0</v>
      </c>
      <c r="E111" s="862">
        <v>0</v>
      </c>
      <c r="F111" s="863">
        <v>0</v>
      </c>
      <c r="G111" s="862">
        <v>0</v>
      </c>
      <c r="H111" s="863">
        <v>0</v>
      </c>
      <c r="I111" s="862">
        <v>0</v>
      </c>
      <c r="J111" s="863">
        <v>0</v>
      </c>
      <c r="L111" s="188">
        <v>52.427999999999997</v>
      </c>
      <c r="M111" s="77"/>
      <c r="N111" s="188"/>
      <c r="O111" s="939">
        <f t="shared" si="3"/>
        <v>0</v>
      </c>
      <c r="Q111" s="1085">
        <v>0</v>
      </c>
    </row>
    <row r="112" spans="1:17" x14ac:dyDescent="0.2">
      <c r="A112" s="837" t="s">
        <v>191</v>
      </c>
      <c r="B112" s="839">
        <v>0</v>
      </c>
      <c r="C112" s="839">
        <v>0</v>
      </c>
      <c r="D112" s="857">
        <v>0</v>
      </c>
      <c r="E112" s="862">
        <v>0</v>
      </c>
      <c r="F112" s="863">
        <v>0</v>
      </c>
      <c r="G112" s="862">
        <v>0</v>
      </c>
      <c r="H112" s="863">
        <v>0</v>
      </c>
      <c r="I112" s="862">
        <v>0</v>
      </c>
      <c r="J112" s="863">
        <v>0</v>
      </c>
      <c r="L112" s="188">
        <v>103.619</v>
      </c>
      <c r="M112" s="77"/>
      <c r="N112" s="188"/>
      <c r="O112" s="939">
        <f t="shared" si="3"/>
        <v>0</v>
      </c>
      <c r="Q112" s="1085">
        <v>0</v>
      </c>
    </row>
    <row r="113" spans="1:17" x14ac:dyDescent="0.2">
      <c r="A113" s="837" t="s">
        <v>91</v>
      </c>
      <c r="B113" s="839">
        <v>0</v>
      </c>
      <c r="C113" s="839">
        <v>0.14000000000000001</v>
      </c>
      <c r="D113" s="857">
        <v>0</v>
      </c>
      <c r="E113" s="862">
        <v>0</v>
      </c>
      <c r="F113" s="863">
        <v>0</v>
      </c>
      <c r="G113" s="862">
        <v>0</v>
      </c>
      <c r="H113" s="863">
        <v>0</v>
      </c>
      <c r="I113" s="862">
        <v>0</v>
      </c>
      <c r="J113" s="863">
        <v>0</v>
      </c>
      <c r="L113" s="188">
        <v>2712.7379999999998</v>
      </c>
      <c r="M113" s="77"/>
      <c r="N113" s="188"/>
      <c r="O113" s="939">
        <f t="shared" si="3"/>
        <v>0</v>
      </c>
      <c r="Q113" s="1085">
        <v>0</v>
      </c>
    </row>
    <row r="114" spans="1:17" x14ac:dyDescent="0.2">
      <c r="A114" s="837" t="s">
        <v>94</v>
      </c>
      <c r="B114" s="839">
        <v>0</v>
      </c>
      <c r="C114" s="839">
        <v>0</v>
      </c>
      <c r="D114" s="857">
        <v>0</v>
      </c>
      <c r="E114" s="862">
        <v>0</v>
      </c>
      <c r="F114" s="863">
        <v>0</v>
      </c>
      <c r="G114" s="862">
        <v>0</v>
      </c>
      <c r="H114" s="863">
        <v>0</v>
      </c>
      <c r="I114" s="862">
        <v>0</v>
      </c>
      <c r="J114" s="863">
        <v>0</v>
      </c>
      <c r="L114" s="188">
        <v>51931.231</v>
      </c>
      <c r="M114" s="77"/>
      <c r="N114" s="188"/>
      <c r="O114" s="939">
        <f t="shared" si="3"/>
        <v>0</v>
      </c>
      <c r="Q114" s="1085">
        <v>0</v>
      </c>
    </row>
    <row r="115" spans="1:17" x14ac:dyDescent="0.2">
      <c r="A115" s="837" t="s">
        <v>192</v>
      </c>
      <c r="B115" s="839">
        <v>0</v>
      </c>
      <c r="C115" s="839">
        <v>0</v>
      </c>
      <c r="D115" s="857">
        <v>0</v>
      </c>
      <c r="E115" s="862">
        <v>0</v>
      </c>
      <c r="F115" s="863">
        <v>0</v>
      </c>
      <c r="G115" s="862">
        <v>0</v>
      </c>
      <c r="H115" s="863">
        <v>0</v>
      </c>
      <c r="I115" s="862">
        <v>0</v>
      </c>
      <c r="J115" s="863">
        <v>0</v>
      </c>
      <c r="L115" s="188">
        <v>10.025</v>
      </c>
      <c r="M115" s="77"/>
      <c r="N115" s="188"/>
      <c r="O115" s="939">
        <f t="shared" si="3"/>
        <v>0</v>
      </c>
      <c r="Q115" s="1085">
        <v>0</v>
      </c>
    </row>
    <row r="116" spans="1:17" x14ac:dyDescent="0.2">
      <c r="A116" s="837" t="s">
        <v>96</v>
      </c>
      <c r="B116" s="839">
        <v>0</v>
      </c>
      <c r="C116" s="839">
        <v>0</v>
      </c>
      <c r="D116" s="857">
        <v>0</v>
      </c>
      <c r="E116" s="862">
        <v>0</v>
      </c>
      <c r="F116" s="863">
        <v>0</v>
      </c>
      <c r="G116" s="862">
        <v>0</v>
      </c>
      <c r="H116" s="863">
        <v>0</v>
      </c>
      <c r="I116" s="862">
        <v>0</v>
      </c>
      <c r="J116" s="863">
        <v>0</v>
      </c>
      <c r="L116" s="188">
        <v>26846.016</v>
      </c>
      <c r="M116" s="77">
        <v>0</v>
      </c>
      <c r="N116" s="188"/>
      <c r="O116" s="939">
        <f t="shared" si="3"/>
        <v>0</v>
      </c>
      <c r="Q116" s="1085">
        <v>0</v>
      </c>
    </row>
    <row r="117" spans="1:17" x14ac:dyDescent="0.2">
      <c r="A117" s="850" t="s">
        <v>32</v>
      </c>
      <c r="B117" s="839">
        <v>0.1</v>
      </c>
      <c r="C117" s="839">
        <v>0</v>
      </c>
      <c r="D117" s="857">
        <v>0</v>
      </c>
      <c r="E117" s="862">
        <v>7.6840000000000014E-4</v>
      </c>
      <c r="F117" s="863">
        <v>3.8420000000000007E-4</v>
      </c>
      <c r="G117" s="862">
        <v>4.4226159999999999E-4</v>
      </c>
      <c r="H117" s="863">
        <v>4.4226159999999999E-4</v>
      </c>
      <c r="I117" s="862">
        <v>5.3305231999999994E-3</v>
      </c>
      <c r="J117" s="863">
        <v>5.3305231999999994E-3</v>
      </c>
      <c r="L117" s="188">
        <v>4368.1360000000004</v>
      </c>
      <c r="M117" s="77"/>
      <c r="N117" s="188">
        <v>2223.1019999999999</v>
      </c>
      <c r="O117" s="939">
        <f t="shared" si="3"/>
        <v>0.50893607708184907</v>
      </c>
      <c r="Q117" s="1085">
        <v>3.8420000000000004E-3</v>
      </c>
    </row>
    <row r="118" spans="1:17" x14ac:dyDescent="0.2">
      <c r="A118" s="837" t="s">
        <v>193</v>
      </c>
      <c r="B118" s="839">
        <v>0</v>
      </c>
      <c r="C118" s="839">
        <v>0</v>
      </c>
      <c r="D118" s="857">
        <v>0</v>
      </c>
      <c r="E118" s="862">
        <v>0</v>
      </c>
      <c r="F118" s="863">
        <v>0</v>
      </c>
      <c r="G118" s="862">
        <v>0</v>
      </c>
      <c r="H118" s="863">
        <v>0</v>
      </c>
      <c r="I118" s="862">
        <v>0</v>
      </c>
      <c r="J118" s="863">
        <v>0</v>
      </c>
      <c r="L118" s="188">
        <v>1.468</v>
      </c>
      <c r="M118" s="77"/>
      <c r="N118" s="188"/>
      <c r="O118" s="939">
        <f t="shared" si="3"/>
        <v>0</v>
      </c>
      <c r="Q118" s="1085">
        <v>0</v>
      </c>
    </row>
    <row r="119" spans="1:17" x14ac:dyDescent="0.2">
      <c r="A119" s="837" t="s">
        <v>161</v>
      </c>
      <c r="B119" s="839">
        <v>0</v>
      </c>
      <c r="C119" s="839">
        <v>0</v>
      </c>
      <c r="D119" s="857">
        <v>0</v>
      </c>
      <c r="E119" s="862">
        <v>0</v>
      </c>
      <c r="F119" s="863">
        <v>0</v>
      </c>
      <c r="G119" s="862">
        <v>0</v>
      </c>
      <c r="H119" s="863">
        <v>0</v>
      </c>
      <c r="I119" s="862">
        <v>0</v>
      </c>
      <c r="J119" s="863">
        <v>0</v>
      </c>
      <c r="L119" s="188">
        <v>24500.52</v>
      </c>
      <c r="M119" s="77"/>
      <c r="N119" s="188"/>
      <c r="O119" s="939">
        <f t="shared" si="3"/>
        <v>0</v>
      </c>
      <c r="Q119" s="1085">
        <v>0</v>
      </c>
    </row>
    <row r="120" spans="1:17" x14ac:dyDescent="0.2">
      <c r="A120" s="837" t="s">
        <v>100</v>
      </c>
      <c r="B120" s="839">
        <v>0</v>
      </c>
      <c r="C120" s="839">
        <v>0</v>
      </c>
      <c r="D120" s="857">
        <v>0</v>
      </c>
      <c r="E120" s="862">
        <v>0</v>
      </c>
      <c r="F120" s="863">
        <v>0</v>
      </c>
      <c r="G120" s="862">
        <v>0</v>
      </c>
      <c r="H120" s="863">
        <v>0</v>
      </c>
      <c r="I120" s="862">
        <v>0</v>
      </c>
      <c r="J120" s="863">
        <v>0</v>
      </c>
      <c r="L120" s="188">
        <v>173149.30600000001</v>
      </c>
      <c r="M120" s="77"/>
      <c r="N120" s="188"/>
      <c r="O120" s="939">
        <f t="shared" si="3"/>
        <v>0</v>
      </c>
      <c r="Q120" s="1085">
        <v>0</v>
      </c>
    </row>
    <row r="121" spans="1:17" x14ac:dyDescent="0.2">
      <c r="A121" s="837" t="s">
        <v>194</v>
      </c>
      <c r="B121" s="839">
        <v>0</v>
      </c>
      <c r="C121" s="839">
        <v>0</v>
      </c>
      <c r="D121" s="857">
        <v>0</v>
      </c>
      <c r="E121" s="862">
        <v>0</v>
      </c>
      <c r="F121" s="863">
        <v>0</v>
      </c>
      <c r="G121" s="862">
        <v>0</v>
      </c>
      <c r="H121" s="863">
        <v>0</v>
      </c>
      <c r="I121" s="862">
        <v>0</v>
      </c>
      <c r="J121" s="863">
        <v>0</v>
      </c>
      <c r="L121" s="188">
        <v>20.47</v>
      </c>
      <c r="M121" s="77"/>
      <c r="N121" s="188"/>
      <c r="O121" s="939">
        <f t="shared" si="3"/>
        <v>0</v>
      </c>
      <c r="Q121" s="1085">
        <v>0</v>
      </c>
    </row>
    <row r="122" spans="1:17" x14ac:dyDescent="0.2">
      <c r="A122" s="837" t="s">
        <v>195</v>
      </c>
      <c r="B122" s="839">
        <v>0.5</v>
      </c>
      <c r="C122" s="839">
        <v>0</v>
      </c>
      <c r="D122" s="857">
        <v>1</v>
      </c>
      <c r="E122" s="862">
        <v>0</v>
      </c>
      <c r="F122" s="863">
        <v>0</v>
      </c>
      <c r="G122" s="862">
        <v>0</v>
      </c>
      <c r="H122" s="863">
        <v>0</v>
      </c>
      <c r="I122" s="862">
        <v>0</v>
      </c>
      <c r="J122" s="863">
        <v>0</v>
      </c>
      <c r="L122" s="188">
        <v>6858.9449999999997</v>
      </c>
      <c r="M122" s="77"/>
      <c r="N122" s="188"/>
      <c r="O122" s="939">
        <f t="shared" si="3"/>
        <v>0</v>
      </c>
      <c r="Q122" s="1085">
        <v>0</v>
      </c>
    </row>
    <row r="123" spans="1:17" x14ac:dyDescent="0.2">
      <c r="A123" s="837" t="s">
        <v>104</v>
      </c>
      <c r="B123" s="839">
        <v>0</v>
      </c>
      <c r="C123" s="839">
        <v>0.7</v>
      </c>
      <c r="D123" s="857">
        <v>0</v>
      </c>
      <c r="E123" s="862">
        <v>1.06794714E-3</v>
      </c>
      <c r="F123" s="863">
        <v>1.06794714E-3</v>
      </c>
      <c r="G123" s="862">
        <v>0</v>
      </c>
      <c r="H123" s="863">
        <v>0</v>
      </c>
      <c r="I123" s="862">
        <v>0</v>
      </c>
      <c r="J123" s="863">
        <v>0</v>
      </c>
      <c r="L123" s="188">
        <v>93444.322</v>
      </c>
      <c r="M123" s="77"/>
      <c r="N123" s="188">
        <v>1273.981</v>
      </c>
      <c r="O123" s="939">
        <f t="shared" si="3"/>
        <v>1.3633583857561726E-2</v>
      </c>
      <c r="Q123" s="1085">
        <v>2.8950170000000002E-3</v>
      </c>
    </row>
    <row r="124" spans="1:17" x14ac:dyDescent="0.2">
      <c r="A124" s="837" t="s">
        <v>199</v>
      </c>
      <c r="B124" s="839">
        <v>0</v>
      </c>
      <c r="C124" s="839">
        <v>0</v>
      </c>
      <c r="D124" s="857">
        <v>0</v>
      </c>
      <c r="E124" s="862">
        <v>0</v>
      </c>
      <c r="F124" s="863">
        <v>0</v>
      </c>
      <c r="G124" s="862">
        <v>0</v>
      </c>
      <c r="H124" s="863">
        <v>0</v>
      </c>
      <c r="I124" s="862">
        <v>0</v>
      </c>
      <c r="J124" s="863">
        <v>0</v>
      </c>
      <c r="L124" s="188">
        <v>186.029</v>
      </c>
      <c r="M124" s="77"/>
      <c r="N124" s="188"/>
      <c r="O124" s="939">
        <f t="shared" si="3"/>
        <v>0</v>
      </c>
      <c r="Q124" s="1085">
        <v>0</v>
      </c>
    </row>
    <row r="125" spans="1:17" x14ac:dyDescent="0.2">
      <c r="A125" s="837" t="s">
        <v>109</v>
      </c>
      <c r="B125" s="839">
        <v>0.16</v>
      </c>
      <c r="C125" s="839">
        <v>0.12978723404255321</v>
      </c>
      <c r="D125" s="857">
        <v>0</v>
      </c>
      <c r="E125" s="862">
        <v>0</v>
      </c>
      <c r="F125" s="863">
        <v>0</v>
      </c>
      <c r="G125" s="862">
        <v>0</v>
      </c>
      <c r="H125" s="863">
        <v>0</v>
      </c>
      <c r="I125" s="862">
        <v>0</v>
      </c>
      <c r="J125" s="863">
        <v>0</v>
      </c>
      <c r="L125" s="188">
        <v>5078.9690000000001</v>
      </c>
      <c r="M125" s="77"/>
      <c r="N125" s="188"/>
      <c r="O125" s="939">
        <f t="shared" si="3"/>
        <v>0</v>
      </c>
      <c r="Q125" s="1085">
        <v>0</v>
      </c>
    </row>
    <row r="126" spans="1:17" x14ac:dyDescent="0.2">
      <c r="A126" s="837" t="s">
        <v>202</v>
      </c>
      <c r="B126" s="839">
        <v>0</v>
      </c>
      <c r="C126" s="839">
        <v>0.3</v>
      </c>
      <c r="D126" s="857">
        <v>0</v>
      </c>
      <c r="E126" s="862">
        <v>0</v>
      </c>
      <c r="F126" s="863">
        <v>0</v>
      </c>
      <c r="G126" s="862">
        <v>0</v>
      </c>
      <c r="H126" s="863">
        <v>0</v>
      </c>
      <c r="I126" s="862">
        <v>0</v>
      </c>
      <c r="J126" s="863">
        <v>0</v>
      </c>
      <c r="L126" s="188">
        <v>526.447</v>
      </c>
      <c r="M126" s="77"/>
      <c r="N126" s="188"/>
      <c r="O126" s="939">
        <f t="shared" si="3"/>
        <v>0</v>
      </c>
      <c r="Q126" s="1085">
        <v>0</v>
      </c>
    </row>
    <row r="127" spans="1:17" x14ac:dyDescent="0.2">
      <c r="A127" s="837" t="s">
        <v>142</v>
      </c>
      <c r="B127" s="839">
        <v>0.3</v>
      </c>
      <c r="C127" s="839">
        <v>0.37</v>
      </c>
      <c r="D127" s="857">
        <v>0</v>
      </c>
      <c r="E127" s="862">
        <v>0</v>
      </c>
      <c r="F127" s="863">
        <v>0</v>
      </c>
      <c r="G127" s="862">
        <v>2.2118301764800005E-2</v>
      </c>
      <c r="H127" s="863">
        <v>1.6588726323600014E-3</v>
      </c>
      <c r="I127" s="862">
        <v>0</v>
      </c>
      <c r="J127" s="863">
        <v>0</v>
      </c>
      <c r="L127" s="188">
        <v>48453.930999999997</v>
      </c>
      <c r="M127" s="77"/>
      <c r="N127" s="188">
        <v>16356.561</v>
      </c>
      <c r="O127" s="939">
        <f t="shared" si="3"/>
        <v>0.3375693295142555</v>
      </c>
      <c r="Q127" s="1085">
        <v>0</v>
      </c>
    </row>
    <row r="128" spans="1:17" x14ac:dyDescent="0.2">
      <c r="A128" s="837" t="s">
        <v>111</v>
      </c>
      <c r="B128" s="839">
        <v>0</v>
      </c>
      <c r="C128" s="839">
        <v>0</v>
      </c>
      <c r="D128" s="857">
        <v>0</v>
      </c>
      <c r="E128" s="862">
        <v>0</v>
      </c>
      <c r="F128" s="863">
        <v>0</v>
      </c>
      <c r="G128" s="862">
        <v>0</v>
      </c>
      <c r="H128" s="863">
        <v>0</v>
      </c>
      <c r="I128" s="862">
        <v>0</v>
      </c>
      <c r="J128" s="863">
        <v>0</v>
      </c>
      <c r="L128" s="188">
        <v>20758.778999999999</v>
      </c>
      <c r="M128" s="77"/>
      <c r="N128" s="188"/>
      <c r="O128" s="939">
        <f t="shared" si="3"/>
        <v>0</v>
      </c>
      <c r="Q128" s="1085">
        <v>0</v>
      </c>
    </row>
    <row r="129" spans="1:17" x14ac:dyDescent="0.2">
      <c r="A129" s="837" t="s">
        <v>249</v>
      </c>
      <c r="B129" s="839">
        <v>0</v>
      </c>
      <c r="C129" s="839">
        <v>0.2</v>
      </c>
      <c r="D129" s="857">
        <v>0.5</v>
      </c>
      <c r="E129" s="862">
        <v>1.7381132800000001E-2</v>
      </c>
      <c r="F129" s="863">
        <v>1.7381132800000001E-2</v>
      </c>
      <c r="G129" s="862">
        <v>5.5263732500000001E-3</v>
      </c>
      <c r="H129" s="863">
        <v>1.2905826499999998E-3</v>
      </c>
      <c r="I129" s="862">
        <v>0</v>
      </c>
      <c r="J129" s="863">
        <v>0</v>
      </c>
      <c r="L129" s="188">
        <v>23400</v>
      </c>
      <c r="M129" s="77"/>
      <c r="N129" s="188">
        <v>17853.971999999998</v>
      </c>
      <c r="O129" s="939">
        <f t="shared" si="3"/>
        <v>0.76299025641025631</v>
      </c>
      <c r="Q129" s="1085">
        <v>9.2107004000000006E-2</v>
      </c>
    </row>
    <row r="130" spans="1:17" x14ac:dyDescent="0.2">
      <c r="A130" s="837" t="s">
        <v>116</v>
      </c>
      <c r="B130" s="839">
        <v>0</v>
      </c>
      <c r="C130" s="839">
        <v>0.2</v>
      </c>
      <c r="D130" s="857">
        <v>0</v>
      </c>
      <c r="E130" s="862">
        <v>5.2698999999999997E-4</v>
      </c>
      <c r="F130" s="863">
        <v>5.2698999999999997E-4</v>
      </c>
      <c r="G130" s="862">
        <v>0</v>
      </c>
      <c r="H130" s="863">
        <v>0</v>
      </c>
      <c r="I130" s="862">
        <v>0</v>
      </c>
      <c r="J130" s="863">
        <v>0</v>
      </c>
      <c r="L130" s="188">
        <v>66402.316000000006</v>
      </c>
      <c r="M130" s="77"/>
      <c r="N130" s="188">
        <v>8.8569999999999993</v>
      </c>
      <c r="O130" s="939">
        <f t="shared" si="3"/>
        <v>1.3338390185065228E-4</v>
      </c>
      <c r="Q130" s="1085">
        <v>3.5534E-3</v>
      </c>
    </row>
    <row r="131" spans="1:17" x14ac:dyDescent="0.2">
      <c r="A131" s="837" t="s">
        <v>205</v>
      </c>
      <c r="B131" s="839">
        <v>0</v>
      </c>
      <c r="C131" s="839">
        <v>0</v>
      </c>
      <c r="D131" s="857">
        <v>0</v>
      </c>
      <c r="E131" s="862">
        <v>0</v>
      </c>
      <c r="F131" s="863">
        <v>0</v>
      </c>
      <c r="G131" s="862">
        <v>0</v>
      </c>
      <c r="H131" s="863">
        <v>0</v>
      </c>
      <c r="I131" s="862">
        <v>0</v>
      </c>
      <c r="J131" s="863">
        <v>0</v>
      </c>
      <c r="L131" s="188">
        <v>1079.45</v>
      </c>
      <c r="M131" s="77"/>
      <c r="N131" s="188"/>
      <c r="O131" s="939">
        <f t="shared" si="3"/>
        <v>0</v>
      </c>
      <c r="Q131" s="1085">
        <v>0</v>
      </c>
    </row>
    <row r="132" spans="1:17" x14ac:dyDescent="0.2">
      <c r="A132" s="837" t="s">
        <v>206</v>
      </c>
      <c r="B132" s="839">
        <v>0</v>
      </c>
      <c r="C132" s="839">
        <v>0</v>
      </c>
      <c r="D132" s="857">
        <v>0</v>
      </c>
      <c r="E132" s="862">
        <v>0</v>
      </c>
      <c r="F132" s="863">
        <v>0</v>
      </c>
      <c r="G132" s="862">
        <v>0</v>
      </c>
      <c r="H132" s="863">
        <v>0</v>
      </c>
      <c r="I132" s="862">
        <v>0</v>
      </c>
      <c r="J132" s="863">
        <v>0</v>
      </c>
      <c r="L132" s="188">
        <v>104.098</v>
      </c>
      <c r="M132" s="77"/>
      <c r="N132" s="188"/>
      <c r="O132" s="939">
        <f t="shared" si="3"/>
        <v>0</v>
      </c>
      <c r="Q132" s="1085">
        <v>0</v>
      </c>
    </row>
    <row r="133" spans="1:17" x14ac:dyDescent="0.2">
      <c r="A133" s="837" t="s">
        <v>207</v>
      </c>
      <c r="B133" s="839">
        <v>0</v>
      </c>
      <c r="C133" s="839">
        <v>0</v>
      </c>
      <c r="D133" s="857">
        <v>0</v>
      </c>
      <c r="E133" s="862">
        <v>0</v>
      </c>
      <c r="F133" s="863">
        <v>0</v>
      </c>
      <c r="G133" s="862">
        <v>0</v>
      </c>
      <c r="H133" s="863">
        <v>0</v>
      </c>
      <c r="I133" s="862">
        <v>0</v>
      </c>
      <c r="J133" s="863">
        <v>0</v>
      </c>
      <c r="L133" s="188">
        <v>9.827</v>
      </c>
      <c r="M133" s="77"/>
      <c r="N133" s="188"/>
      <c r="O133" s="939">
        <f t="shared" si="3"/>
        <v>0</v>
      </c>
      <c r="Q133" s="1085">
        <v>0</v>
      </c>
    </row>
    <row r="134" spans="1:17" x14ac:dyDescent="0.2">
      <c r="A134" s="837" t="s">
        <v>208</v>
      </c>
      <c r="B134" s="839">
        <v>0</v>
      </c>
      <c r="C134" s="839">
        <v>0</v>
      </c>
      <c r="D134" s="857">
        <v>0</v>
      </c>
      <c r="E134" s="862">
        <v>0</v>
      </c>
      <c r="F134" s="863">
        <v>0</v>
      </c>
      <c r="G134" s="862">
        <v>0</v>
      </c>
      <c r="H134" s="863">
        <v>0</v>
      </c>
      <c r="I134" s="862">
        <v>0</v>
      </c>
      <c r="J134" s="863">
        <v>0</v>
      </c>
      <c r="L134" s="188">
        <v>236.29900000000001</v>
      </c>
      <c r="M134" s="77"/>
      <c r="N134" s="188"/>
      <c r="O134" s="939">
        <f t="shared" si="3"/>
        <v>0</v>
      </c>
      <c r="Q134" s="1085">
        <v>0</v>
      </c>
    </row>
    <row r="135" spans="1:17" x14ac:dyDescent="0.2">
      <c r="A135" s="837" t="s">
        <v>125</v>
      </c>
      <c r="B135" s="839">
        <v>0</v>
      </c>
      <c r="C135" s="839">
        <v>0.08</v>
      </c>
      <c r="D135" s="857">
        <v>0</v>
      </c>
      <c r="E135" s="862">
        <v>1.3896000000000002E-3</v>
      </c>
      <c r="F135" s="863">
        <v>1.3896000000000002E-3</v>
      </c>
      <c r="G135" s="862">
        <v>9.5526775000000003E-4</v>
      </c>
      <c r="H135" s="863">
        <v>6.4364686999999988E-4</v>
      </c>
      <c r="I135" s="862">
        <v>0</v>
      </c>
      <c r="J135" s="863">
        <v>0</v>
      </c>
      <c r="L135" s="188">
        <v>89047.396999999997</v>
      </c>
      <c r="M135" s="77"/>
      <c r="N135" s="188">
        <v>1514.75</v>
      </c>
      <c r="O135" s="939">
        <f t="shared" si="3"/>
        <v>1.7010603914677035E-2</v>
      </c>
      <c r="Q135" s="1085">
        <v>6.9480000000000002E-3</v>
      </c>
    </row>
    <row r="136" spans="1:17" x14ac:dyDescent="0.2">
      <c r="A136" s="837" t="s">
        <v>3</v>
      </c>
      <c r="B136" s="839">
        <v>0.2</v>
      </c>
      <c r="C136" s="839">
        <v>0.4</v>
      </c>
      <c r="D136" s="857">
        <v>0</v>
      </c>
      <c r="E136" s="862">
        <v>3.2642893E-4</v>
      </c>
      <c r="F136" s="863">
        <v>1.5366292999999999E-4</v>
      </c>
      <c r="G136" s="862">
        <v>0</v>
      </c>
      <c r="H136" s="863">
        <v>0</v>
      </c>
      <c r="I136" s="862">
        <v>0</v>
      </c>
      <c r="J136" s="863">
        <v>0</v>
      </c>
      <c r="L136" s="188">
        <v>8401.9240000000009</v>
      </c>
      <c r="M136" s="77">
        <v>2186.7780000000002</v>
      </c>
      <c r="N136" s="188">
        <v>122.89599999999999</v>
      </c>
      <c r="O136" s="939">
        <f t="shared" si="3"/>
        <v>0.27489822569211531</v>
      </c>
      <c r="Q136" s="1085">
        <v>8.6383E-4</v>
      </c>
    </row>
    <row r="137" spans="1:17" x14ac:dyDescent="0.2">
      <c r="A137" s="837" t="s">
        <v>6</v>
      </c>
      <c r="B137" s="839">
        <v>0.2</v>
      </c>
      <c r="C137" s="839">
        <v>0.4</v>
      </c>
      <c r="D137" s="857">
        <v>0.8</v>
      </c>
      <c r="E137" s="862">
        <v>1.6612260759999997E-2</v>
      </c>
      <c r="F137" s="863">
        <v>5.5326603599999986E-3</v>
      </c>
      <c r="G137" s="862">
        <v>2.4476642E-4</v>
      </c>
      <c r="H137" s="863">
        <v>4.8164819999999985E-5</v>
      </c>
      <c r="I137" s="862">
        <v>3.5670000000000003E-3</v>
      </c>
      <c r="J137" s="863">
        <v>7.1339999999999988E-4</v>
      </c>
      <c r="L137" s="188">
        <v>10941.288</v>
      </c>
      <c r="M137" s="77">
        <v>3240</v>
      </c>
      <c r="N137" s="188">
        <v>756.86799999999994</v>
      </c>
      <c r="O137" s="939">
        <f t="shared" si="3"/>
        <v>0.36530141606728567</v>
      </c>
      <c r="Q137" s="1085">
        <v>5.5398002000000002E-2</v>
      </c>
    </row>
    <row r="138" spans="1:17" x14ac:dyDescent="0.2">
      <c r="A138" s="837" t="s">
        <v>8</v>
      </c>
      <c r="B138" s="839">
        <v>0.2</v>
      </c>
      <c r="C138" s="839">
        <v>0.4</v>
      </c>
      <c r="D138" s="857">
        <v>0</v>
      </c>
      <c r="E138" s="862">
        <v>2.2569812199999999E-3</v>
      </c>
      <c r="F138" s="863">
        <v>5.9991282000000006E-4</v>
      </c>
      <c r="G138" s="862">
        <v>0</v>
      </c>
      <c r="H138" s="863">
        <v>0</v>
      </c>
      <c r="I138" s="862">
        <v>0</v>
      </c>
      <c r="J138" s="863">
        <v>0</v>
      </c>
      <c r="L138" s="188">
        <v>7389.1750000000002</v>
      </c>
      <c r="M138" s="77"/>
      <c r="N138" s="188">
        <v>2364.3760000000002</v>
      </c>
      <c r="O138" s="939">
        <f t="shared" ref="O138:O201" si="4">(M138+N138)/L138</f>
        <v>0.31997834670311642</v>
      </c>
      <c r="Q138" s="1085">
        <v>8.2853419999999994E-3</v>
      </c>
    </row>
    <row r="139" spans="1:17" x14ac:dyDescent="0.2">
      <c r="A139" s="837" t="s">
        <v>11</v>
      </c>
      <c r="B139" s="839">
        <v>0.2</v>
      </c>
      <c r="C139" s="839">
        <v>0.4</v>
      </c>
      <c r="D139" s="857">
        <v>0</v>
      </c>
      <c r="E139" s="862">
        <v>1.9201822000000001E-4</v>
      </c>
      <c r="F139" s="863">
        <v>8.189561999999999E-5</v>
      </c>
      <c r="G139" s="862">
        <v>0</v>
      </c>
      <c r="H139" s="863">
        <v>0</v>
      </c>
      <c r="I139" s="862">
        <v>0</v>
      </c>
      <c r="J139" s="863">
        <v>0</v>
      </c>
      <c r="L139" s="188">
        <v>4338.027</v>
      </c>
      <c r="M139" s="77"/>
      <c r="N139" s="188">
        <v>173.244</v>
      </c>
      <c r="O139" s="939">
        <f t="shared" si="4"/>
        <v>3.9936127645125309E-2</v>
      </c>
      <c r="Q139" s="1085">
        <v>5.5061299999999993E-4</v>
      </c>
    </row>
    <row r="140" spans="1:17" x14ac:dyDescent="0.2">
      <c r="A140" s="837" t="s">
        <v>62</v>
      </c>
      <c r="B140" s="839">
        <v>0.2</v>
      </c>
      <c r="C140" s="839">
        <v>0.4</v>
      </c>
      <c r="D140" s="857">
        <v>0</v>
      </c>
      <c r="E140" s="862">
        <v>6.3924016000000002E-4</v>
      </c>
      <c r="F140" s="863">
        <v>2.2808276E-4</v>
      </c>
      <c r="G140" s="862">
        <v>0</v>
      </c>
      <c r="H140" s="863">
        <v>0</v>
      </c>
      <c r="I140" s="862">
        <v>0</v>
      </c>
      <c r="J140" s="863">
        <v>0</v>
      </c>
      <c r="L140" s="188">
        <v>1103.6849999999999</v>
      </c>
      <c r="M140" s="77"/>
      <c r="N140" s="188">
        <v>505.75300000000004</v>
      </c>
      <c r="O140" s="939">
        <f t="shared" si="4"/>
        <v>0.45824034937504821</v>
      </c>
      <c r="Q140" s="1085">
        <v>2.0557869999999999E-3</v>
      </c>
    </row>
    <row r="141" spans="1:17" x14ac:dyDescent="0.2">
      <c r="A141" s="837" t="s">
        <v>10</v>
      </c>
      <c r="B141" s="839">
        <v>0.2</v>
      </c>
      <c r="C141" s="839">
        <v>0.4</v>
      </c>
      <c r="D141" s="857">
        <v>0</v>
      </c>
      <c r="E141" s="862">
        <v>3.8515554999999995E-4</v>
      </c>
      <c r="F141" s="863">
        <v>7.841974999999998E-5</v>
      </c>
      <c r="G141" s="862">
        <v>0</v>
      </c>
      <c r="H141" s="863">
        <v>0</v>
      </c>
      <c r="I141" s="862">
        <v>0</v>
      </c>
      <c r="J141" s="863">
        <v>0</v>
      </c>
      <c r="L141" s="188">
        <v>10553.700999999999</v>
      </c>
      <c r="M141" s="77"/>
      <c r="N141" s="188">
        <v>309.42099999999999</v>
      </c>
      <c r="O141" s="939">
        <f t="shared" si="4"/>
        <v>2.9318719565771287E-2</v>
      </c>
      <c r="Q141" s="1085">
        <v>1.5336789999999998E-3</v>
      </c>
    </row>
    <row r="142" spans="1:17" x14ac:dyDescent="0.2">
      <c r="A142" s="837" t="s">
        <v>14</v>
      </c>
      <c r="B142" s="839">
        <v>0.2</v>
      </c>
      <c r="C142" s="839">
        <v>0.4</v>
      </c>
      <c r="D142" s="857">
        <v>0.8</v>
      </c>
      <c r="E142" s="862">
        <v>5.0681336299999991E-3</v>
      </c>
      <c r="F142" s="863">
        <v>2.5388842299999994E-3</v>
      </c>
      <c r="G142" s="862">
        <v>0.21799974999999999</v>
      </c>
      <c r="H142" s="863">
        <v>0.13077495</v>
      </c>
      <c r="I142" s="862">
        <v>7.1140000000000005E-4</v>
      </c>
      <c r="J142" s="863">
        <v>1.2979999999999996E-4</v>
      </c>
      <c r="L142" s="188">
        <v>5550.9589999999998</v>
      </c>
      <c r="M142" s="77">
        <v>643.43899999999996</v>
      </c>
      <c r="N142" s="188">
        <v>1615.8290000000002</v>
      </c>
      <c r="O142" s="939">
        <f t="shared" si="4"/>
        <v>0.40700498778679506</v>
      </c>
      <c r="Q142" s="1085">
        <v>1.2646246999999999E-2</v>
      </c>
    </row>
    <row r="143" spans="1:17" x14ac:dyDescent="0.2">
      <c r="A143" s="837" t="s">
        <v>4</v>
      </c>
      <c r="B143" s="839">
        <v>0.2</v>
      </c>
      <c r="C143" s="839">
        <v>0.4</v>
      </c>
      <c r="D143" s="857">
        <v>0.8</v>
      </c>
      <c r="E143" s="862">
        <v>6.7393299999999996E-6</v>
      </c>
      <c r="F143" s="863">
        <v>3.8715299999999997E-6</v>
      </c>
      <c r="G143" s="862">
        <v>0</v>
      </c>
      <c r="H143" s="863">
        <v>0</v>
      </c>
      <c r="I143" s="862">
        <v>0</v>
      </c>
      <c r="J143" s="863">
        <v>0</v>
      </c>
      <c r="L143" s="188">
        <v>1298.5329999999999</v>
      </c>
      <c r="M143" s="77"/>
      <c r="N143" s="188">
        <v>16.114999999999998</v>
      </c>
      <c r="O143" s="939">
        <f t="shared" si="4"/>
        <v>1.2410158232405337E-2</v>
      </c>
      <c r="Q143" s="1085">
        <v>1.4338999999999999E-5</v>
      </c>
    </row>
    <row r="144" spans="1:17" x14ac:dyDescent="0.2">
      <c r="A144" s="837" t="s">
        <v>16</v>
      </c>
      <c r="B144" s="839">
        <v>0.2</v>
      </c>
      <c r="C144" s="839">
        <v>0.4</v>
      </c>
      <c r="D144" s="857">
        <v>0.8</v>
      </c>
      <c r="E144" s="1030">
        <v>4.1723016E-3</v>
      </c>
      <c r="F144" s="1031">
        <v>1.2059505999999999E-3</v>
      </c>
      <c r="G144" s="862">
        <v>8.1250879999999991E-3</v>
      </c>
      <c r="H144" s="863">
        <v>3.6499519999999993E-3</v>
      </c>
      <c r="I144" s="862">
        <v>0</v>
      </c>
      <c r="J144" s="863">
        <v>0</v>
      </c>
      <c r="L144" s="188">
        <v>5367.6930000000002</v>
      </c>
      <c r="M144" s="77">
        <v>167</v>
      </c>
      <c r="N144" s="188">
        <v>2189.1460000000002</v>
      </c>
      <c r="O144" s="939">
        <f t="shared" si="4"/>
        <v>0.4389494704708336</v>
      </c>
      <c r="Q144" s="1085">
        <v>1.4831754999999999E-2</v>
      </c>
    </row>
    <row r="145" spans="1:17" x14ac:dyDescent="0.2">
      <c r="A145" s="837" t="s">
        <v>17</v>
      </c>
      <c r="B145" s="839">
        <v>0.2</v>
      </c>
      <c r="C145" s="839">
        <v>0.4</v>
      </c>
      <c r="D145" s="857">
        <v>0.8</v>
      </c>
      <c r="E145" s="862">
        <v>4.4174030680000004E-2</v>
      </c>
      <c r="F145" s="863">
        <v>1.5241936680000002E-2</v>
      </c>
      <c r="G145" s="862">
        <v>2.1347999999999997E-4</v>
      </c>
      <c r="H145" s="863">
        <v>2.1347999999999997E-4</v>
      </c>
      <c r="I145" s="862">
        <v>1.8750000000000003E-2</v>
      </c>
      <c r="J145" s="863">
        <v>1.8750000000000003E-2</v>
      </c>
      <c r="L145" s="188">
        <v>63230.866000000002</v>
      </c>
      <c r="M145" s="77">
        <v>57714</v>
      </c>
      <c r="N145" s="188">
        <v>1394.2180000000001</v>
      </c>
      <c r="O145" s="939">
        <f t="shared" si="4"/>
        <v>0.93480007058578007</v>
      </c>
      <c r="Q145" s="1085">
        <v>0.12831171199999999</v>
      </c>
    </row>
    <row r="146" spans="1:17" x14ac:dyDescent="0.2">
      <c r="A146" s="837" t="s">
        <v>15</v>
      </c>
      <c r="B146" s="839">
        <v>0.2</v>
      </c>
      <c r="C146" s="839">
        <v>0.4</v>
      </c>
      <c r="D146" s="857">
        <v>0.8</v>
      </c>
      <c r="E146" s="862">
        <v>0.29357276273600008</v>
      </c>
      <c r="F146" s="863">
        <v>0.122900044586</v>
      </c>
      <c r="G146" s="862">
        <v>4.3386899999999992E-2</v>
      </c>
      <c r="H146" s="863">
        <v>1.3080499999999995E-2</v>
      </c>
      <c r="I146" s="862">
        <v>1.0342169999999999</v>
      </c>
      <c r="J146" s="863">
        <v>6.7479399999999939E-2</v>
      </c>
      <c r="L146" s="188">
        <v>83017.403999999995</v>
      </c>
      <c r="M146" s="77">
        <v>81293.390999999989</v>
      </c>
      <c r="N146" s="188"/>
      <c r="O146" s="939">
        <f t="shared" si="4"/>
        <v>0.9792331135770036</v>
      </c>
      <c r="Q146" s="1085">
        <v>0.76276300000000008</v>
      </c>
    </row>
    <row r="147" spans="1:17" x14ac:dyDescent="0.2">
      <c r="A147" s="837" t="s">
        <v>19</v>
      </c>
      <c r="B147" s="839">
        <v>0.2</v>
      </c>
      <c r="C147" s="839">
        <v>0.4</v>
      </c>
      <c r="D147" s="857">
        <v>0.8</v>
      </c>
      <c r="E147" s="1030">
        <v>1.2101478400000005E-3</v>
      </c>
      <c r="F147" s="1031">
        <v>4.9096784000000004E-4</v>
      </c>
      <c r="G147" s="862">
        <v>0</v>
      </c>
      <c r="H147" s="863">
        <v>0</v>
      </c>
      <c r="I147" s="862">
        <v>0</v>
      </c>
      <c r="J147" s="863">
        <v>0</v>
      </c>
      <c r="L147" s="188">
        <v>11109.999</v>
      </c>
      <c r="M147" s="77"/>
      <c r="N147" s="188">
        <v>1466.1570000000002</v>
      </c>
      <c r="O147" s="939">
        <f t="shared" si="4"/>
        <v>0.13196733861092158</v>
      </c>
      <c r="Q147" s="1085">
        <v>3.5959E-3</v>
      </c>
    </row>
    <row r="148" spans="1:17" x14ac:dyDescent="0.2">
      <c r="A148" s="837" t="s">
        <v>21</v>
      </c>
      <c r="B148" s="839">
        <v>0.2</v>
      </c>
      <c r="C148" s="839">
        <v>0</v>
      </c>
      <c r="D148" s="857">
        <v>0</v>
      </c>
      <c r="E148" s="862">
        <v>2.66438554E-3</v>
      </c>
      <c r="F148" s="863">
        <v>3.0256533999999981E-4</v>
      </c>
      <c r="G148" s="862">
        <v>0</v>
      </c>
      <c r="H148" s="863">
        <v>0</v>
      </c>
      <c r="I148" s="862">
        <v>0</v>
      </c>
      <c r="J148" s="863">
        <v>0</v>
      </c>
      <c r="L148" s="188">
        <v>10014.633</v>
      </c>
      <c r="M148" s="77"/>
      <c r="N148" s="188">
        <v>2140.7780000000002</v>
      </c>
      <c r="O148" s="939">
        <f t="shared" si="4"/>
        <v>0.21376499767889651</v>
      </c>
      <c r="Q148" s="1085">
        <v>1.1809101000000002E-2</v>
      </c>
    </row>
    <row r="149" spans="1:17" x14ac:dyDescent="0.2">
      <c r="A149" s="837" t="s">
        <v>23</v>
      </c>
      <c r="B149" s="839">
        <v>0.2</v>
      </c>
      <c r="C149" s="839">
        <v>0.4</v>
      </c>
      <c r="D149" s="857">
        <v>0</v>
      </c>
      <c r="E149" s="862">
        <v>4.9633469999999999E-4</v>
      </c>
      <c r="F149" s="863">
        <v>1.6544489999999998E-4</v>
      </c>
      <c r="G149" s="862">
        <v>0</v>
      </c>
      <c r="H149" s="863">
        <v>0</v>
      </c>
      <c r="I149" s="862">
        <v>0</v>
      </c>
      <c r="J149" s="863">
        <v>0</v>
      </c>
      <c r="L149" s="188">
        <v>4467.5609999999997</v>
      </c>
      <c r="M149" s="77"/>
      <c r="N149" s="188">
        <v>1269.8579999999999</v>
      </c>
      <c r="O149" s="939">
        <f t="shared" si="4"/>
        <v>0.28423965559731584</v>
      </c>
      <c r="Q149" s="1085">
        <v>1.6544490000000001E-3</v>
      </c>
    </row>
    <row r="150" spans="1:17" x14ac:dyDescent="0.2">
      <c r="A150" s="837" t="s">
        <v>24</v>
      </c>
      <c r="B150" s="839">
        <v>0.2</v>
      </c>
      <c r="C150" s="839">
        <v>0.4</v>
      </c>
      <c r="D150" s="857">
        <v>0</v>
      </c>
      <c r="E150" s="862">
        <v>1.7092694772300004E-2</v>
      </c>
      <c r="F150" s="863">
        <v>7.1032979363000017E-3</v>
      </c>
      <c r="G150" s="862">
        <v>1.06768788231E-2</v>
      </c>
      <c r="H150" s="863">
        <v>2.3633280590999997E-3</v>
      </c>
      <c r="I150" s="862">
        <v>0.12272420000000001</v>
      </c>
      <c r="J150" s="863">
        <v>0.12272420000000001</v>
      </c>
      <c r="L150" s="188">
        <v>60508.978000000003</v>
      </c>
      <c r="M150" s="77">
        <v>17467.915122999999</v>
      </c>
      <c r="N150" s="188">
        <v>13739.033000000019</v>
      </c>
      <c r="O150" s="939">
        <f t="shared" si="4"/>
        <v>0.51574079011878227</v>
      </c>
      <c r="Q150" s="1085">
        <v>3.4123577849999996E-2</v>
      </c>
    </row>
    <row r="151" spans="1:17" x14ac:dyDescent="0.2">
      <c r="A151" s="837" t="s">
        <v>27</v>
      </c>
      <c r="B151" s="839">
        <v>0.2</v>
      </c>
      <c r="C151" s="839">
        <v>0.4</v>
      </c>
      <c r="D151" s="857">
        <v>0.8</v>
      </c>
      <c r="E151" s="862">
        <v>2.32897155E-3</v>
      </c>
      <c r="F151" s="863">
        <v>1.4472649500000001E-3</v>
      </c>
      <c r="G151" s="862">
        <v>0</v>
      </c>
      <c r="H151" s="863">
        <v>0</v>
      </c>
      <c r="I151" s="862">
        <v>0</v>
      </c>
      <c r="J151" s="863">
        <v>0</v>
      </c>
      <c r="L151" s="188">
        <v>2090.5189999999998</v>
      </c>
      <c r="M151" s="77"/>
      <c r="N151" s="188">
        <v>733.053</v>
      </c>
      <c r="O151" s="939">
        <f t="shared" si="4"/>
        <v>0.35065598542754217</v>
      </c>
      <c r="Q151" s="1085">
        <v>4.4085330000000001E-3</v>
      </c>
    </row>
    <row r="152" spans="1:17" x14ac:dyDescent="0.2">
      <c r="A152" s="837" t="s">
        <v>26</v>
      </c>
      <c r="B152" s="839">
        <v>0.2</v>
      </c>
      <c r="C152" s="839">
        <v>0.4</v>
      </c>
      <c r="D152" s="857">
        <v>0.8</v>
      </c>
      <c r="E152" s="862">
        <v>1.3395939079999999E-3</v>
      </c>
      <c r="F152" s="863">
        <v>4.5997070799999997E-4</v>
      </c>
      <c r="G152" s="862">
        <v>0</v>
      </c>
      <c r="H152" s="863">
        <v>0</v>
      </c>
      <c r="I152" s="862">
        <v>0</v>
      </c>
      <c r="J152" s="863">
        <v>0</v>
      </c>
      <c r="L152" s="188">
        <v>3068.4569999999999</v>
      </c>
      <c r="M152" s="77"/>
      <c r="N152" s="188">
        <v>978.38200000000006</v>
      </c>
      <c r="O152" s="939">
        <f t="shared" si="4"/>
        <v>0.31885146182592755</v>
      </c>
      <c r="Q152" s="1085">
        <v>4.3981160000000005E-3</v>
      </c>
    </row>
    <row r="153" spans="1:17" x14ac:dyDescent="0.2">
      <c r="A153" s="837" t="s">
        <v>132</v>
      </c>
      <c r="B153" s="839">
        <v>0.2</v>
      </c>
      <c r="C153" s="839">
        <v>0.4</v>
      </c>
      <c r="D153" s="857">
        <v>0.8</v>
      </c>
      <c r="E153" s="862">
        <v>5.9693999999999991E-6</v>
      </c>
      <c r="F153" s="863">
        <v>1.9897999999999996E-6</v>
      </c>
      <c r="G153" s="862">
        <v>0</v>
      </c>
      <c r="H153" s="863">
        <v>0</v>
      </c>
      <c r="I153" s="862">
        <v>0</v>
      </c>
      <c r="J153" s="863">
        <v>0</v>
      </c>
      <c r="L153" s="188">
        <v>507.88499999999999</v>
      </c>
      <c r="M153" s="77"/>
      <c r="N153" s="188">
        <v>2.2290000000000001</v>
      </c>
      <c r="O153" s="939">
        <f t="shared" si="4"/>
        <v>4.3887888006143129E-3</v>
      </c>
      <c r="Q153" s="1085">
        <v>1.9897999999999998E-5</v>
      </c>
    </row>
    <row r="154" spans="1:17" x14ac:dyDescent="0.2">
      <c r="A154" s="837" t="s">
        <v>88</v>
      </c>
      <c r="B154" s="839">
        <v>0.2</v>
      </c>
      <c r="C154" s="839">
        <v>0.4</v>
      </c>
      <c r="D154" s="857">
        <v>0.8</v>
      </c>
      <c r="E154" s="862">
        <v>2.2861700000000002E-5</v>
      </c>
      <c r="F154" s="863">
        <v>9.6225000000000015E-6</v>
      </c>
      <c r="G154" s="862">
        <v>0</v>
      </c>
      <c r="H154" s="863">
        <v>0</v>
      </c>
      <c r="I154" s="862">
        <v>0</v>
      </c>
      <c r="J154" s="863">
        <v>0</v>
      </c>
      <c r="L154" s="188">
        <v>424.738</v>
      </c>
      <c r="M154" s="77"/>
      <c r="N154" s="188">
        <v>21.497</v>
      </c>
      <c r="O154" s="939">
        <f t="shared" si="4"/>
        <v>5.0612377512725494E-2</v>
      </c>
      <c r="Q154" s="1085">
        <v>6.6196000000000001E-5</v>
      </c>
    </row>
    <row r="155" spans="1:17" x14ac:dyDescent="0.2">
      <c r="A155" s="837" t="s">
        <v>20</v>
      </c>
      <c r="B155" s="839">
        <v>0.2</v>
      </c>
      <c r="C155" s="839">
        <v>0.4</v>
      </c>
      <c r="D155" s="857">
        <v>0.8</v>
      </c>
      <c r="E155" s="862">
        <v>1.0404712900000002E-2</v>
      </c>
      <c r="F155" s="863">
        <v>3.1622282999999997E-3</v>
      </c>
      <c r="G155" s="862">
        <v>2.4989999999999999E-3</v>
      </c>
      <c r="H155" s="863">
        <v>1.4993999999999999E-3</v>
      </c>
      <c r="I155" s="862">
        <v>2.8375000000000001E-2</v>
      </c>
      <c r="J155" s="863">
        <v>5.3749999999999996E-3</v>
      </c>
      <c r="L155" s="188">
        <v>16615.242999999999</v>
      </c>
      <c r="M155" s="77">
        <v>6611</v>
      </c>
      <c r="N155" s="188">
        <v>3083.848</v>
      </c>
      <c r="O155" s="939">
        <f t="shared" si="4"/>
        <v>0.58349119540412386</v>
      </c>
      <c r="Q155" s="1085">
        <v>3.6212423000000001E-2</v>
      </c>
    </row>
    <row r="156" spans="1:17" x14ac:dyDescent="0.2">
      <c r="A156" s="837" t="s">
        <v>13</v>
      </c>
      <c r="B156" s="839">
        <v>0.2</v>
      </c>
      <c r="C156" s="839">
        <v>0.4</v>
      </c>
      <c r="D156" s="857">
        <v>0.8</v>
      </c>
      <c r="E156" s="862">
        <v>1.9295846900000001E-3</v>
      </c>
      <c r="F156" s="863">
        <v>2.1104848999999983E-4</v>
      </c>
      <c r="G156" s="862">
        <v>0</v>
      </c>
      <c r="H156" s="863">
        <v>0</v>
      </c>
      <c r="I156" s="862">
        <v>0</v>
      </c>
      <c r="J156" s="863">
        <v>0</v>
      </c>
      <c r="L156" s="188">
        <v>38198.754000000001</v>
      </c>
      <c r="M156" s="77"/>
      <c r="N156" s="188">
        <v>3055.2909999999997</v>
      </c>
      <c r="O156" s="939">
        <f t="shared" si="4"/>
        <v>7.9984048694363166E-2</v>
      </c>
      <c r="Q156" s="1085">
        <v>8.5926810000000013E-3</v>
      </c>
    </row>
    <row r="157" spans="1:17" x14ac:dyDescent="0.2">
      <c r="A157" s="837" t="s">
        <v>34</v>
      </c>
      <c r="B157" s="839">
        <v>0.2</v>
      </c>
      <c r="C157" s="839">
        <v>0.4</v>
      </c>
      <c r="D157" s="857">
        <v>0.8</v>
      </c>
      <c r="E157" s="862">
        <v>5.908229709999999E-3</v>
      </c>
      <c r="F157" s="863">
        <v>2.548385309999999E-3</v>
      </c>
      <c r="G157" s="862">
        <v>2.2546229999999999E-3</v>
      </c>
      <c r="H157" s="863">
        <v>7.5154099999999988E-4</v>
      </c>
      <c r="I157" s="862">
        <v>1.2664260000000002E-3</v>
      </c>
      <c r="J157" s="863">
        <v>1.4071399999999998E-4</v>
      </c>
      <c r="L157" s="188">
        <v>10589.791999999999</v>
      </c>
      <c r="M157" s="77">
        <v>373</v>
      </c>
      <c r="N157" s="188">
        <v>6697.3120000000008</v>
      </c>
      <c r="O157" s="939">
        <f t="shared" si="4"/>
        <v>0.66765352898338337</v>
      </c>
      <c r="Q157" s="1085">
        <v>1.6799221999999999E-2</v>
      </c>
    </row>
    <row r="158" spans="1:17" x14ac:dyDescent="0.2">
      <c r="A158" s="837" t="s">
        <v>31</v>
      </c>
      <c r="B158" s="839">
        <v>0.2</v>
      </c>
      <c r="C158" s="839">
        <v>0.4</v>
      </c>
      <c r="D158" s="857">
        <v>0</v>
      </c>
      <c r="E158" s="862">
        <v>5.7812382000000002E-4</v>
      </c>
      <c r="F158" s="863">
        <v>2.2467141999999999E-4</v>
      </c>
      <c r="G158" s="862">
        <v>0</v>
      </c>
      <c r="H158" s="863">
        <v>0</v>
      </c>
      <c r="I158" s="862">
        <v>0</v>
      </c>
      <c r="J158" s="863">
        <v>0</v>
      </c>
      <c r="L158" s="188">
        <v>21861.475999999999</v>
      </c>
      <c r="M158" s="77"/>
      <c r="N158" s="188">
        <v>1042.8150000000001</v>
      </c>
      <c r="O158" s="939">
        <f t="shared" si="4"/>
        <v>4.7701033544121182E-2</v>
      </c>
      <c r="Q158" s="1085">
        <v>1.7672619999999999E-3</v>
      </c>
    </row>
    <row r="159" spans="1:17" x14ac:dyDescent="0.2">
      <c r="A159" s="837" t="s">
        <v>18</v>
      </c>
      <c r="B159" s="839">
        <v>0.2</v>
      </c>
      <c r="C159" s="839">
        <v>0.4</v>
      </c>
      <c r="D159" s="857">
        <v>0</v>
      </c>
      <c r="E159" s="862">
        <v>0</v>
      </c>
      <c r="F159" s="863">
        <v>0</v>
      </c>
      <c r="G159" s="862">
        <v>0</v>
      </c>
      <c r="H159" s="863">
        <v>0</v>
      </c>
      <c r="I159" s="862">
        <v>0</v>
      </c>
      <c r="J159" s="863">
        <v>0</v>
      </c>
      <c r="L159" s="188">
        <v>5433.4369999999999</v>
      </c>
      <c r="M159" s="77"/>
      <c r="N159" s="188"/>
      <c r="O159" s="939">
        <f t="shared" si="4"/>
        <v>0</v>
      </c>
      <c r="Q159" s="1085">
        <v>0</v>
      </c>
    </row>
    <row r="160" spans="1:17" x14ac:dyDescent="0.2">
      <c r="A160" s="837" t="s">
        <v>33</v>
      </c>
      <c r="B160" s="839">
        <v>0.2</v>
      </c>
      <c r="C160" s="839">
        <v>0.4</v>
      </c>
      <c r="D160" s="857">
        <v>0</v>
      </c>
      <c r="E160" s="862">
        <v>8.0511288000000003E-4</v>
      </c>
      <c r="F160" s="863">
        <v>2.6916127999999999E-4</v>
      </c>
      <c r="G160" s="862">
        <v>0</v>
      </c>
      <c r="H160" s="863">
        <v>0</v>
      </c>
      <c r="I160" s="862">
        <v>0</v>
      </c>
      <c r="J160" s="863">
        <v>0</v>
      </c>
      <c r="L160" s="188">
        <v>2054.232</v>
      </c>
      <c r="M160" s="77"/>
      <c r="N160" s="188">
        <v>298.37700000000001</v>
      </c>
      <c r="O160" s="939">
        <f t="shared" si="4"/>
        <v>0.14524990361361326</v>
      </c>
      <c r="Q160" s="1085">
        <v>2.679758E-3</v>
      </c>
    </row>
    <row r="161" spans="1:17" x14ac:dyDescent="0.2">
      <c r="A161" s="837" t="s">
        <v>37</v>
      </c>
      <c r="B161" s="839">
        <v>0.2</v>
      </c>
      <c r="C161" s="839">
        <v>0.4</v>
      </c>
      <c r="D161" s="857">
        <v>0.8</v>
      </c>
      <c r="E161" s="862">
        <v>1.7501534659830002E-2</v>
      </c>
      <c r="F161" s="863">
        <v>5.8166467614579991E-3</v>
      </c>
      <c r="G161" s="862">
        <v>2.1357485400000003E-3</v>
      </c>
      <c r="H161" s="863">
        <v>2.3719893999999997E-4</v>
      </c>
      <c r="I161" s="862">
        <v>0</v>
      </c>
      <c r="J161" s="863">
        <v>0</v>
      </c>
      <c r="L161" s="188">
        <v>46182.038</v>
      </c>
      <c r="M161" s="77">
        <v>18087.016</v>
      </c>
      <c r="N161" s="188">
        <v>7160.3625000000002</v>
      </c>
      <c r="O161" s="939">
        <f t="shared" si="4"/>
        <v>0.54669260156946731</v>
      </c>
      <c r="Q161" s="1085">
        <v>5.5135396577999998E-2</v>
      </c>
    </row>
    <row r="162" spans="1:17" x14ac:dyDescent="0.2">
      <c r="A162" s="837" t="s">
        <v>35</v>
      </c>
      <c r="B162" s="839">
        <v>0.2</v>
      </c>
      <c r="C162" s="839">
        <v>0.4</v>
      </c>
      <c r="D162" s="857">
        <v>1</v>
      </c>
      <c r="E162" s="862">
        <v>8.14251205E-3</v>
      </c>
      <c r="F162" s="863">
        <v>4.0485101500000002E-3</v>
      </c>
      <c r="G162" s="862">
        <v>3.23604444E-3</v>
      </c>
      <c r="H162" s="863">
        <v>1.0773596399999998E-3</v>
      </c>
      <c r="I162" s="862">
        <v>0</v>
      </c>
      <c r="J162" s="863">
        <v>0</v>
      </c>
      <c r="L162" s="188">
        <v>9382.2970000000005</v>
      </c>
      <c r="M162" s="77">
        <v>644.75700000000006</v>
      </c>
      <c r="N162" s="188">
        <v>4026.2820000000002</v>
      </c>
      <c r="O162" s="939">
        <f t="shared" si="4"/>
        <v>0.49785665493215581</v>
      </c>
      <c r="Q162" s="1085">
        <v>1.9749562000000002E-2</v>
      </c>
    </row>
    <row r="163" spans="1:17" x14ac:dyDescent="0.2">
      <c r="A163" s="837" t="s">
        <v>135</v>
      </c>
      <c r="B163" s="839">
        <v>0.2</v>
      </c>
      <c r="C163" s="839">
        <v>0.56999999999999995</v>
      </c>
      <c r="D163" s="857">
        <v>0.8</v>
      </c>
      <c r="E163" s="862">
        <v>9.9717272968811749E-2</v>
      </c>
      <c r="F163" s="863">
        <v>5.0845989548294758E-2</v>
      </c>
      <c r="G163" s="862">
        <v>4.9888962420000009E-2</v>
      </c>
      <c r="H163" s="863">
        <v>6.8030403300000063E-3</v>
      </c>
      <c r="I163" s="862">
        <v>9.01E-2</v>
      </c>
      <c r="J163" s="863">
        <v>1.8019999999999994E-2</v>
      </c>
      <c r="L163" s="188">
        <v>62066.35</v>
      </c>
      <c r="M163" s="77">
        <v>7540</v>
      </c>
      <c r="N163" s="188">
        <v>26755.84</v>
      </c>
      <c r="O163" s="939">
        <f t="shared" si="4"/>
        <v>0.55256737346404283</v>
      </c>
      <c r="Q163" s="1085">
        <v>0.24435641710258493</v>
      </c>
    </row>
    <row r="164" spans="1:17" x14ac:dyDescent="0.2">
      <c r="A164" s="837" t="s">
        <v>39</v>
      </c>
      <c r="B164" s="839">
        <v>0</v>
      </c>
      <c r="C164" s="839">
        <v>0.115</v>
      </c>
      <c r="D164" s="857">
        <v>0</v>
      </c>
      <c r="E164" s="862">
        <v>1.4991834000000002E-4</v>
      </c>
      <c r="F164" s="863">
        <v>1.4991834000000002E-4</v>
      </c>
      <c r="G164" s="862">
        <v>0</v>
      </c>
      <c r="H164" s="863">
        <v>0</v>
      </c>
      <c r="I164" s="862">
        <v>0</v>
      </c>
      <c r="J164" s="863">
        <v>0</v>
      </c>
      <c r="L164" s="188">
        <v>3150.143</v>
      </c>
      <c r="M164" s="77"/>
      <c r="N164" s="188">
        <v>421.286</v>
      </c>
      <c r="O164" s="939">
        <f t="shared" si="4"/>
        <v>0.13373551613371201</v>
      </c>
      <c r="Q164" s="1085">
        <v>6.8144700000000006E-4</v>
      </c>
    </row>
    <row r="165" spans="1:17" x14ac:dyDescent="0.2">
      <c r="A165" s="837" t="s">
        <v>181</v>
      </c>
      <c r="B165" s="839">
        <v>0</v>
      </c>
      <c r="C165" s="839">
        <v>0.37</v>
      </c>
      <c r="D165" s="857">
        <v>0.39900000000000002</v>
      </c>
      <c r="E165" s="862">
        <v>0</v>
      </c>
      <c r="F165" s="863">
        <v>0</v>
      </c>
      <c r="G165" s="862">
        <v>0</v>
      </c>
      <c r="H165" s="863">
        <v>0</v>
      </c>
      <c r="I165" s="862">
        <v>0</v>
      </c>
      <c r="J165" s="863">
        <v>0</v>
      </c>
      <c r="L165" s="188">
        <v>77.906999999999996</v>
      </c>
      <c r="M165" s="77"/>
      <c r="N165" s="188"/>
      <c r="O165" s="939">
        <f t="shared" si="4"/>
        <v>0</v>
      </c>
      <c r="Q165" s="1085">
        <v>0</v>
      </c>
    </row>
    <row r="166" spans="1:17" x14ac:dyDescent="0.2">
      <c r="A166" s="837" t="s">
        <v>43</v>
      </c>
      <c r="B166" s="839">
        <v>5.413131426644946E-2</v>
      </c>
      <c r="C166" s="839">
        <v>0.31561355188918894</v>
      </c>
      <c r="D166" s="857">
        <v>-0.1632022084195999</v>
      </c>
      <c r="E166" s="862">
        <v>2.1502597000000001E-4</v>
      </c>
      <c r="F166" s="863">
        <v>1.59317431629769E-4</v>
      </c>
      <c r="G166" s="862">
        <v>0</v>
      </c>
      <c r="H166" s="863">
        <v>0</v>
      </c>
      <c r="I166" s="862">
        <v>0</v>
      </c>
      <c r="J166" s="863">
        <v>0</v>
      </c>
      <c r="L166" s="188">
        <v>2963.4960000000001</v>
      </c>
      <c r="M166" s="77"/>
      <c r="N166" s="188">
        <v>1256.337</v>
      </c>
      <c r="O166" s="939">
        <f t="shared" si="4"/>
        <v>0.42393747114894031</v>
      </c>
      <c r="Q166" s="1085">
        <v>1.0291370000000001E-3</v>
      </c>
    </row>
    <row r="167" spans="1:17" x14ac:dyDescent="0.2">
      <c r="A167" s="837" t="s">
        <v>44</v>
      </c>
      <c r="B167" s="839">
        <v>0</v>
      </c>
      <c r="C167" s="839">
        <v>0.35</v>
      </c>
      <c r="D167" s="857">
        <v>0</v>
      </c>
      <c r="E167" s="862">
        <v>5.5882000000000008E-7</v>
      </c>
      <c r="F167" s="863">
        <v>5.5882000000000008E-7</v>
      </c>
      <c r="G167" s="862">
        <v>0</v>
      </c>
      <c r="H167" s="863">
        <v>0</v>
      </c>
      <c r="I167" s="862">
        <v>0</v>
      </c>
      <c r="J167" s="863">
        <v>0</v>
      </c>
      <c r="L167" s="188">
        <v>9094.7180000000008</v>
      </c>
      <c r="M167" s="77"/>
      <c r="N167" s="188">
        <v>4</v>
      </c>
      <c r="O167" s="939">
        <f t="shared" si="4"/>
        <v>4.3981572600711752E-4</v>
      </c>
      <c r="Q167" s="1085">
        <v>2.7941000000000001E-6</v>
      </c>
    </row>
    <row r="168" spans="1:17" x14ac:dyDescent="0.2">
      <c r="A168" s="837" t="s">
        <v>5</v>
      </c>
      <c r="B168" s="839">
        <v>0.05</v>
      </c>
      <c r="C168" s="839">
        <v>0.28000000000000003</v>
      </c>
      <c r="D168" s="857">
        <v>0</v>
      </c>
      <c r="E168" s="862">
        <v>3.5146925749999998E-4</v>
      </c>
      <c r="F168" s="863">
        <v>2.775583575E-4</v>
      </c>
      <c r="G168" s="862">
        <v>1.9235418600000001E-5</v>
      </c>
      <c r="H168" s="863">
        <v>1.2823612399999977E-6</v>
      </c>
      <c r="I168" s="862">
        <v>0</v>
      </c>
      <c r="J168" s="863">
        <v>0</v>
      </c>
      <c r="L168" s="188">
        <v>9491.07</v>
      </c>
      <c r="M168" s="77"/>
      <c r="N168" s="188">
        <v>863.7410000000001</v>
      </c>
      <c r="O168" s="939">
        <f t="shared" si="4"/>
        <v>9.100565057469813E-2</v>
      </c>
      <c r="Q168" s="1085">
        <v>1.4782179999999999E-3</v>
      </c>
    </row>
    <row r="169" spans="1:17" x14ac:dyDescent="0.2">
      <c r="A169" s="837" t="s">
        <v>49</v>
      </c>
      <c r="B169" s="839">
        <v>0</v>
      </c>
      <c r="C169" s="839">
        <v>-0.18</v>
      </c>
      <c r="D169" s="857">
        <v>0</v>
      </c>
      <c r="E169" s="862">
        <v>1.1313401440000001E-3</v>
      </c>
      <c r="F169" s="863">
        <v>1.1313401440000001E-3</v>
      </c>
      <c r="G169" s="862">
        <v>0</v>
      </c>
      <c r="H169" s="863">
        <v>0</v>
      </c>
      <c r="I169" s="862">
        <v>0</v>
      </c>
      <c r="J169" s="863">
        <v>0</v>
      </c>
      <c r="L169" s="188">
        <v>3845.9290000000001</v>
      </c>
      <c r="M169" s="77"/>
      <c r="N169" s="188">
        <v>1751.845</v>
      </c>
      <c r="O169" s="939">
        <f t="shared" si="4"/>
        <v>0.45550632889998749</v>
      </c>
      <c r="Q169" s="1085">
        <v>5.2582067999999999E-3</v>
      </c>
    </row>
    <row r="170" spans="1:17" x14ac:dyDescent="0.2">
      <c r="A170" s="837" t="s">
        <v>69</v>
      </c>
      <c r="B170" s="839">
        <v>0</v>
      </c>
      <c r="C170" s="839">
        <v>0.15</v>
      </c>
      <c r="D170" s="857">
        <v>0</v>
      </c>
      <c r="E170" s="862">
        <v>9.9059150000000004E-4</v>
      </c>
      <c r="F170" s="863">
        <v>9.9059150000000004E-4</v>
      </c>
      <c r="G170" s="862">
        <v>0</v>
      </c>
      <c r="H170" s="863">
        <v>0</v>
      </c>
      <c r="I170" s="862">
        <v>0</v>
      </c>
      <c r="J170" s="863">
        <v>0</v>
      </c>
      <c r="L170" s="188">
        <v>4388.674</v>
      </c>
      <c r="M170" s="77"/>
      <c r="N170" s="188">
        <v>1888.8999999999999</v>
      </c>
      <c r="O170" s="939">
        <f t="shared" si="4"/>
        <v>0.43040335190082468</v>
      </c>
      <c r="Q170" s="1085">
        <v>4.0554659999999998E-3</v>
      </c>
    </row>
    <row r="171" spans="1:17" x14ac:dyDescent="0.2">
      <c r="A171" s="837" t="s">
        <v>22</v>
      </c>
      <c r="B171" s="839">
        <v>0.15</v>
      </c>
      <c r="C171" s="839">
        <v>0.4</v>
      </c>
      <c r="D171" s="857">
        <v>0</v>
      </c>
      <c r="E171" s="862">
        <v>1.1900000000000001E-4</v>
      </c>
      <c r="F171" s="863">
        <v>6.7999999999999999E-5</v>
      </c>
      <c r="G171" s="862">
        <v>0</v>
      </c>
      <c r="H171" s="863">
        <v>0</v>
      </c>
      <c r="I171" s="862">
        <v>2.4820000000000002E-4</v>
      </c>
      <c r="J171" s="863">
        <v>2.4820000000000002E-4</v>
      </c>
      <c r="L171" s="188">
        <v>318.04199999999997</v>
      </c>
      <c r="M171" s="77"/>
      <c r="N171" s="188">
        <v>0</v>
      </c>
      <c r="O171" s="939">
        <f t="shared" si="4"/>
        <v>0</v>
      </c>
      <c r="Q171" s="1085">
        <v>3.4000000000000002E-4</v>
      </c>
    </row>
    <row r="172" spans="1:17" x14ac:dyDescent="0.2">
      <c r="A172" s="837" t="s">
        <v>80</v>
      </c>
      <c r="B172" s="839">
        <v>7.0000000000000007E-2</v>
      </c>
      <c r="C172" s="839">
        <v>0.15</v>
      </c>
      <c r="D172" s="857">
        <v>0</v>
      </c>
      <c r="E172" s="862">
        <v>4.2000000000000003E-2</v>
      </c>
      <c r="F172" s="863">
        <v>2.7999999999999997E-2</v>
      </c>
      <c r="G172" s="862">
        <v>0</v>
      </c>
      <c r="H172" s="863">
        <v>0</v>
      </c>
      <c r="I172" s="862">
        <v>0</v>
      </c>
      <c r="J172" s="863">
        <v>0</v>
      </c>
      <c r="L172" s="188">
        <v>15921.127</v>
      </c>
      <c r="M172" s="77"/>
      <c r="N172" s="188">
        <v>347.48599999999999</v>
      </c>
      <c r="O172" s="939">
        <f t="shared" si="4"/>
        <v>2.1825464993778392E-2</v>
      </c>
      <c r="Q172" s="1085">
        <v>0.2</v>
      </c>
    </row>
    <row r="173" spans="1:17" x14ac:dyDescent="0.2">
      <c r="A173" s="837" t="s">
        <v>233</v>
      </c>
      <c r="B173" s="839">
        <v>0</v>
      </c>
      <c r="C173" s="839">
        <v>0</v>
      </c>
      <c r="D173" s="857">
        <v>0</v>
      </c>
      <c r="E173" s="862">
        <v>0</v>
      </c>
      <c r="F173" s="863">
        <v>0</v>
      </c>
      <c r="G173" s="862">
        <v>0</v>
      </c>
      <c r="H173" s="863">
        <v>0</v>
      </c>
      <c r="I173" s="862">
        <v>0</v>
      </c>
      <c r="J173" s="863">
        <v>0</v>
      </c>
      <c r="L173" s="188">
        <v>1776</v>
      </c>
      <c r="M173" s="77"/>
      <c r="N173" s="188"/>
      <c r="O173" s="939">
        <f t="shared" si="4"/>
        <v>0</v>
      </c>
      <c r="Q173" s="1085">
        <v>0</v>
      </c>
    </row>
    <row r="174" spans="1:17" x14ac:dyDescent="0.2">
      <c r="A174" s="837" t="s">
        <v>83</v>
      </c>
      <c r="B174" s="839">
        <v>0</v>
      </c>
      <c r="C174" s="839">
        <v>-0.12620000000000001</v>
      </c>
      <c r="D174" s="857">
        <v>0</v>
      </c>
      <c r="E174" s="862">
        <v>0</v>
      </c>
      <c r="F174" s="863">
        <v>0</v>
      </c>
      <c r="G174" s="862">
        <v>0</v>
      </c>
      <c r="H174" s="863">
        <v>0</v>
      </c>
      <c r="I174" s="862">
        <v>0</v>
      </c>
      <c r="J174" s="863">
        <v>0</v>
      </c>
      <c r="L174" s="188">
        <v>5334.223</v>
      </c>
      <c r="M174" s="77"/>
      <c r="N174" s="188"/>
      <c r="O174" s="939">
        <f t="shared" si="4"/>
        <v>0</v>
      </c>
      <c r="Q174" s="1085">
        <v>0</v>
      </c>
    </row>
    <row r="175" spans="1:17" x14ac:dyDescent="0.2">
      <c r="A175" s="837" t="s">
        <v>28</v>
      </c>
      <c r="B175" s="839">
        <v>0.2</v>
      </c>
      <c r="C175" s="839">
        <v>0.4</v>
      </c>
      <c r="D175" s="857">
        <v>0</v>
      </c>
      <c r="E175" s="862">
        <v>0</v>
      </c>
      <c r="F175" s="863">
        <v>0</v>
      </c>
      <c r="G175" s="862">
        <v>0</v>
      </c>
      <c r="H175" s="863">
        <v>0</v>
      </c>
      <c r="I175" s="862">
        <v>0</v>
      </c>
      <c r="J175" s="863">
        <v>0</v>
      </c>
      <c r="L175" s="188">
        <v>36.119999999999997</v>
      </c>
      <c r="M175" s="77"/>
      <c r="N175" s="188"/>
      <c r="O175" s="939">
        <f t="shared" si="4"/>
        <v>0</v>
      </c>
      <c r="Q175" s="1085">
        <v>0</v>
      </c>
    </row>
    <row r="176" spans="1:17" x14ac:dyDescent="0.2">
      <c r="A176" s="837" t="s">
        <v>86</v>
      </c>
      <c r="B176" s="839">
        <v>0.24798892829340025</v>
      </c>
      <c r="C176" s="839">
        <v>0.3</v>
      </c>
      <c r="D176" s="857">
        <v>0</v>
      </c>
      <c r="E176" s="862">
        <v>0</v>
      </c>
      <c r="F176" s="863">
        <v>0</v>
      </c>
      <c r="G176" s="862">
        <v>0</v>
      </c>
      <c r="H176" s="863">
        <v>0</v>
      </c>
      <c r="I176" s="862">
        <v>0</v>
      </c>
      <c r="J176" s="863">
        <v>0</v>
      </c>
      <c r="L176" s="188">
        <v>2102.2159999999999</v>
      </c>
      <c r="M176" s="77"/>
      <c r="N176" s="188">
        <v>600</v>
      </c>
      <c r="O176" s="939">
        <f t="shared" si="4"/>
        <v>0.28541310693097188</v>
      </c>
      <c r="Q176" s="1085">
        <v>0</v>
      </c>
    </row>
    <row r="177" spans="1:17" x14ac:dyDescent="0.2">
      <c r="A177" s="837" t="s">
        <v>90</v>
      </c>
      <c r="B177" s="839">
        <v>0.25</v>
      </c>
      <c r="C177" s="839">
        <v>0.64</v>
      </c>
      <c r="D177" s="857">
        <v>0</v>
      </c>
      <c r="E177" s="862">
        <v>1.0588662000000001E-4</v>
      </c>
      <c r="F177" s="863">
        <v>4.1091869999999997E-5</v>
      </c>
      <c r="G177" s="862">
        <v>2.4557054999999999E-4</v>
      </c>
      <c r="H177" s="863">
        <v>6.4920949999999994E-5</v>
      </c>
      <c r="I177" s="862">
        <v>0</v>
      </c>
      <c r="J177" s="863">
        <v>0</v>
      </c>
      <c r="L177" s="188">
        <v>3573.0239999999999</v>
      </c>
      <c r="M177" s="77"/>
      <c r="N177" s="188">
        <v>414.38700000000006</v>
      </c>
      <c r="O177" s="939">
        <f t="shared" si="4"/>
        <v>0.11597655095515733</v>
      </c>
      <c r="Q177" s="1085">
        <v>2.5917900000000001E-4</v>
      </c>
    </row>
    <row r="178" spans="1:17" x14ac:dyDescent="0.2">
      <c r="A178" s="837" t="s">
        <v>30</v>
      </c>
      <c r="B178" s="839">
        <v>0.3</v>
      </c>
      <c r="C178" s="839">
        <v>0.5</v>
      </c>
      <c r="D178" s="857">
        <v>0</v>
      </c>
      <c r="E178" s="862">
        <v>0</v>
      </c>
      <c r="F178" s="863">
        <v>0</v>
      </c>
      <c r="G178" s="862">
        <v>0</v>
      </c>
      <c r="H178" s="863">
        <v>0</v>
      </c>
      <c r="I178" s="862">
        <v>0</v>
      </c>
      <c r="J178" s="863">
        <v>0</v>
      </c>
      <c r="L178" s="188">
        <v>38.299999999999997</v>
      </c>
      <c r="M178" s="77"/>
      <c r="N178" s="188"/>
      <c r="O178" s="939">
        <f t="shared" si="4"/>
        <v>0</v>
      </c>
      <c r="Q178" s="1085">
        <v>0</v>
      </c>
    </row>
    <row r="179" spans="1:17" x14ac:dyDescent="0.2">
      <c r="A179" s="837" t="s">
        <v>148</v>
      </c>
      <c r="B179" s="839">
        <v>0</v>
      </c>
      <c r="C179" s="839">
        <v>0.3</v>
      </c>
      <c r="D179" s="857">
        <v>0</v>
      </c>
      <c r="E179" s="862">
        <v>6.5279219999999998E-5</v>
      </c>
      <c r="F179" s="863">
        <v>6.5279219999999998E-5</v>
      </c>
      <c r="G179" s="862">
        <v>0</v>
      </c>
      <c r="H179" s="863">
        <v>0</v>
      </c>
      <c r="I179" s="862">
        <v>0</v>
      </c>
      <c r="J179" s="863">
        <v>0</v>
      </c>
      <c r="L179" s="188">
        <v>620.07799999999997</v>
      </c>
      <c r="M179" s="77"/>
      <c r="N179" s="188">
        <v>141.416</v>
      </c>
      <c r="O179" s="939">
        <f t="shared" si="4"/>
        <v>0.22806163095610552</v>
      </c>
      <c r="Q179" s="1085">
        <v>3.1864699999999997E-4</v>
      </c>
    </row>
    <row r="180" spans="1:17" x14ac:dyDescent="0.2">
      <c r="A180" s="837" t="s">
        <v>29</v>
      </c>
      <c r="B180" s="839">
        <v>0.3</v>
      </c>
      <c r="C180" s="839">
        <v>0.4</v>
      </c>
      <c r="D180" s="857">
        <v>1</v>
      </c>
      <c r="E180" s="862">
        <v>9.0963999999999997E-4</v>
      </c>
      <c r="F180" s="863">
        <v>3.0921999999999997E-4</v>
      </c>
      <c r="G180" s="862">
        <v>1.50154815E-3</v>
      </c>
      <c r="H180" s="863">
        <v>8.6931734999999989E-4</v>
      </c>
      <c r="I180" s="862">
        <v>0</v>
      </c>
      <c r="J180" s="863">
        <v>0</v>
      </c>
      <c r="L180" s="188">
        <v>4891.2510000000002</v>
      </c>
      <c r="M180" s="77">
        <v>188.92599999999999</v>
      </c>
      <c r="N180" s="188">
        <v>1372.4870000000001</v>
      </c>
      <c r="O180" s="939">
        <f t="shared" si="4"/>
        <v>0.31922569502158038</v>
      </c>
      <c r="Q180" s="1085">
        <v>2.0014E-3</v>
      </c>
    </row>
    <row r="181" spans="1:17" x14ac:dyDescent="0.2">
      <c r="A181" s="837" t="s">
        <v>7</v>
      </c>
      <c r="B181" s="839">
        <v>0.15</v>
      </c>
      <c r="C181" s="839">
        <v>0.25</v>
      </c>
      <c r="D181" s="857">
        <v>0</v>
      </c>
      <c r="E181" s="862">
        <v>1.5860904749999998E-2</v>
      </c>
      <c r="F181" s="863">
        <v>6.3443618999999996E-3</v>
      </c>
      <c r="G181" s="862">
        <v>0</v>
      </c>
      <c r="H181" s="863">
        <v>0</v>
      </c>
      <c r="I181" s="862">
        <v>0</v>
      </c>
      <c r="J181" s="863">
        <v>0</v>
      </c>
      <c r="L181" s="188">
        <v>143617.913</v>
      </c>
      <c r="M181" s="77"/>
      <c r="N181" s="188">
        <v>11503</v>
      </c>
      <c r="O181" s="939">
        <f t="shared" si="4"/>
        <v>8.0094465653459262E-2</v>
      </c>
      <c r="Q181" s="1085">
        <v>6.3443618999999993E-2</v>
      </c>
    </row>
    <row r="182" spans="1:17" x14ac:dyDescent="0.2">
      <c r="A182" s="837" t="s">
        <v>200</v>
      </c>
      <c r="B182" s="839">
        <v>0</v>
      </c>
      <c r="C182" s="839">
        <v>0.2</v>
      </c>
      <c r="D182" s="857">
        <v>0</v>
      </c>
      <c r="E182" s="862">
        <v>0</v>
      </c>
      <c r="F182" s="863">
        <v>0</v>
      </c>
      <c r="G182" s="862">
        <v>0</v>
      </c>
      <c r="H182" s="863">
        <v>0</v>
      </c>
      <c r="I182" s="862">
        <v>0</v>
      </c>
      <c r="J182" s="863">
        <v>0</v>
      </c>
      <c r="L182" s="188">
        <v>30.861000000000001</v>
      </c>
      <c r="M182" s="77"/>
      <c r="N182" s="188"/>
      <c r="O182" s="939">
        <f t="shared" si="4"/>
        <v>0</v>
      </c>
      <c r="Q182" s="1085">
        <v>0</v>
      </c>
    </row>
    <row r="183" spans="1:17" x14ac:dyDescent="0.2">
      <c r="A183" s="837" t="s">
        <v>108</v>
      </c>
      <c r="B183" s="839">
        <v>0.10669155514871981</v>
      </c>
      <c r="C183" s="839">
        <v>9.8000000000000004E-2</v>
      </c>
      <c r="D183" s="857">
        <v>0</v>
      </c>
      <c r="E183" s="862">
        <v>2.1902999999999997E-4</v>
      </c>
      <c r="F183" s="863">
        <v>1.0775070797988522E-4</v>
      </c>
      <c r="G183" s="862">
        <v>0</v>
      </c>
      <c r="H183" s="863">
        <v>0</v>
      </c>
      <c r="I183" s="862">
        <v>0</v>
      </c>
      <c r="J183" s="863">
        <v>0</v>
      </c>
      <c r="L183" s="188">
        <v>9647.1090000000004</v>
      </c>
      <c r="M183" s="77"/>
      <c r="N183" s="188">
        <v>255.518</v>
      </c>
      <c r="O183" s="939">
        <f t="shared" si="4"/>
        <v>2.6486484189201139E-2</v>
      </c>
      <c r="Q183" s="1085">
        <v>1.0429999999999999E-3</v>
      </c>
    </row>
    <row r="184" spans="1:17" x14ac:dyDescent="0.2">
      <c r="A184" s="837" t="s">
        <v>36</v>
      </c>
      <c r="B184" s="839">
        <v>0.2</v>
      </c>
      <c r="C184" s="839">
        <v>0.5</v>
      </c>
      <c r="D184" s="857">
        <v>0</v>
      </c>
      <c r="E184" s="862">
        <v>1.1052279699999999E-3</v>
      </c>
      <c r="F184" s="863">
        <v>2.6615117000000003E-4</v>
      </c>
      <c r="G184" s="862">
        <v>0</v>
      </c>
      <c r="H184" s="863">
        <v>0</v>
      </c>
      <c r="I184" s="862">
        <v>2.6184822999999998E-3</v>
      </c>
      <c r="J184" s="863">
        <v>2.6184822999999998E-3</v>
      </c>
      <c r="L184" s="188">
        <v>7830.5339999999997</v>
      </c>
      <c r="M184" s="77">
        <v>198</v>
      </c>
      <c r="N184" s="188">
        <v>932.01099999999997</v>
      </c>
      <c r="O184" s="939">
        <f t="shared" si="4"/>
        <v>0.14430829366170941</v>
      </c>
      <c r="Q184" s="1085">
        <v>4.1953839999999999E-3</v>
      </c>
    </row>
    <row r="185" spans="1:17" x14ac:dyDescent="0.2">
      <c r="A185" s="837" t="s">
        <v>114</v>
      </c>
      <c r="B185" s="839">
        <v>0</v>
      </c>
      <c r="C185" s="839">
        <v>0.2</v>
      </c>
      <c r="D185" s="857">
        <v>0</v>
      </c>
      <c r="E185" s="862">
        <v>5.8330300000000003E-6</v>
      </c>
      <c r="F185" s="863">
        <v>5.8330300000000003E-6</v>
      </c>
      <c r="G185" s="862">
        <v>0</v>
      </c>
      <c r="H185" s="863">
        <v>0</v>
      </c>
      <c r="I185" s="862">
        <v>0</v>
      </c>
      <c r="J185" s="863">
        <v>0</v>
      </c>
      <c r="L185" s="188">
        <v>7627.326</v>
      </c>
      <c r="M185" s="77"/>
      <c r="N185" s="188">
        <v>25.361000000000001</v>
      </c>
      <c r="O185" s="939">
        <f t="shared" si="4"/>
        <v>3.3250184927194667E-3</v>
      </c>
      <c r="Q185" s="1085">
        <v>2.5361E-5</v>
      </c>
    </row>
    <row r="186" spans="1:17" x14ac:dyDescent="0.2">
      <c r="A186" s="837" t="s">
        <v>133</v>
      </c>
      <c r="B186" s="839">
        <v>0</v>
      </c>
      <c r="C186" s="839">
        <v>0.21</v>
      </c>
      <c r="D186" s="857">
        <v>0</v>
      </c>
      <c r="E186" s="862">
        <v>4.4459055199999997E-3</v>
      </c>
      <c r="F186" s="863">
        <v>4.4459055199999997E-3</v>
      </c>
      <c r="G186" s="862">
        <v>0</v>
      </c>
      <c r="H186" s="863">
        <v>0</v>
      </c>
      <c r="I186" s="862">
        <v>0</v>
      </c>
      <c r="J186" s="863">
        <v>0</v>
      </c>
      <c r="L186" s="188">
        <v>72137.546000000002</v>
      </c>
      <c r="M186" s="77"/>
      <c r="N186" s="188">
        <v>12343.553999999998</v>
      </c>
      <c r="O186" s="939">
        <f t="shared" si="4"/>
        <v>0.17111136550167644</v>
      </c>
      <c r="Q186" s="1085">
        <v>2.0829625000000001E-2</v>
      </c>
    </row>
    <row r="187" spans="1:17" x14ac:dyDescent="0.2">
      <c r="A187" s="837" t="s">
        <v>120</v>
      </c>
      <c r="B187" s="839">
        <v>0</v>
      </c>
      <c r="C187" s="839">
        <v>0</v>
      </c>
      <c r="D187" s="857">
        <v>0</v>
      </c>
      <c r="E187" s="862">
        <v>0</v>
      </c>
      <c r="F187" s="863">
        <v>0</v>
      </c>
      <c r="G187" s="862">
        <v>0</v>
      </c>
      <c r="H187" s="863">
        <v>0</v>
      </c>
      <c r="I187" s="862">
        <v>0</v>
      </c>
      <c r="J187" s="863">
        <v>0</v>
      </c>
      <c r="L187" s="188">
        <v>5041.9949999999999</v>
      </c>
      <c r="M187" s="77"/>
      <c r="N187" s="188"/>
      <c r="O187" s="939">
        <f t="shared" si="4"/>
        <v>0</v>
      </c>
      <c r="Q187" s="1085">
        <v>0</v>
      </c>
    </row>
    <row r="188" spans="1:17" x14ac:dyDescent="0.2">
      <c r="A188" s="837" t="s">
        <v>12</v>
      </c>
      <c r="B188" s="839">
        <v>0.2</v>
      </c>
      <c r="C188" s="839">
        <v>0.6</v>
      </c>
      <c r="D188" s="857">
        <v>0</v>
      </c>
      <c r="E188" s="862">
        <v>3.875515899999999E-3</v>
      </c>
      <c r="F188" s="863">
        <v>6.6786729999999972E-4</v>
      </c>
      <c r="G188" s="862">
        <v>0</v>
      </c>
      <c r="H188" s="863">
        <v>0</v>
      </c>
      <c r="I188" s="862">
        <v>0</v>
      </c>
      <c r="J188" s="863">
        <v>0</v>
      </c>
      <c r="L188" s="188">
        <v>46050.22</v>
      </c>
      <c r="M188" s="77"/>
      <c r="N188" s="188">
        <v>10674.994000000001</v>
      </c>
      <c r="O188" s="939">
        <f t="shared" si="4"/>
        <v>0.23181200871570212</v>
      </c>
      <c r="Q188" s="1085">
        <v>1.6038243000000001E-2</v>
      </c>
    </row>
    <row r="189" spans="1:17" x14ac:dyDescent="0.2">
      <c r="A189" s="837" t="s">
        <v>123</v>
      </c>
      <c r="B189" s="839">
        <v>0</v>
      </c>
      <c r="C189" s="839">
        <v>0</v>
      </c>
      <c r="D189" s="857">
        <v>0</v>
      </c>
      <c r="E189" s="862">
        <v>0</v>
      </c>
      <c r="F189" s="863">
        <v>0</v>
      </c>
      <c r="G189" s="862">
        <v>0</v>
      </c>
      <c r="H189" s="863">
        <v>0</v>
      </c>
      <c r="I189" s="862">
        <v>0</v>
      </c>
      <c r="J189" s="863">
        <v>0</v>
      </c>
      <c r="L189" s="188">
        <v>27769.27</v>
      </c>
      <c r="M189" s="77"/>
      <c r="N189" s="188">
        <v>0</v>
      </c>
      <c r="O189" s="939">
        <f t="shared" si="4"/>
        <v>0</v>
      </c>
      <c r="Q189" s="1085">
        <v>0</v>
      </c>
    </row>
    <row r="190" spans="1:17" x14ac:dyDescent="0.2">
      <c r="A190" s="837" t="s">
        <v>45</v>
      </c>
      <c r="B190" s="839">
        <v>0</v>
      </c>
      <c r="C190" s="839">
        <v>0</v>
      </c>
      <c r="D190" s="857">
        <v>0</v>
      </c>
      <c r="E190" s="862">
        <v>0</v>
      </c>
      <c r="F190" s="863">
        <v>0</v>
      </c>
      <c r="G190" s="862">
        <v>0</v>
      </c>
      <c r="H190" s="863">
        <v>0</v>
      </c>
      <c r="I190" s="862">
        <v>0</v>
      </c>
      <c r="J190" s="863">
        <v>0</v>
      </c>
      <c r="L190" s="188">
        <v>1251.5129999999999</v>
      </c>
      <c r="M190" s="77"/>
      <c r="N190" s="188"/>
      <c r="O190" s="939">
        <f t="shared" si="4"/>
        <v>0</v>
      </c>
      <c r="Q190" s="1085">
        <v>0</v>
      </c>
    </row>
    <row r="191" spans="1:17" x14ac:dyDescent="0.2">
      <c r="A191" s="837" t="s">
        <v>76</v>
      </c>
      <c r="B191" s="839">
        <v>0</v>
      </c>
      <c r="C191" s="839">
        <v>0.04</v>
      </c>
      <c r="D191" s="857">
        <v>0</v>
      </c>
      <c r="E191" s="862">
        <v>0</v>
      </c>
      <c r="F191" s="863">
        <v>0</v>
      </c>
      <c r="G191" s="862">
        <v>0</v>
      </c>
      <c r="H191" s="863">
        <v>0</v>
      </c>
      <c r="I191" s="862">
        <v>0</v>
      </c>
      <c r="J191" s="863">
        <v>0</v>
      </c>
      <c r="L191" s="188">
        <v>74462.313999999998</v>
      </c>
      <c r="M191" s="77"/>
      <c r="N191" s="188"/>
      <c r="O191" s="939">
        <f t="shared" si="4"/>
        <v>0</v>
      </c>
      <c r="Q191" s="1085">
        <v>0</v>
      </c>
    </row>
    <row r="192" spans="1:17" x14ac:dyDescent="0.2">
      <c r="A192" s="837" t="s">
        <v>77</v>
      </c>
      <c r="B192" s="839">
        <v>0</v>
      </c>
      <c r="C192" s="839">
        <v>0.01</v>
      </c>
      <c r="D192" s="857">
        <v>0</v>
      </c>
      <c r="E192" s="862">
        <v>0</v>
      </c>
      <c r="F192" s="863">
        <v>0</v>
      </c>
      <c r="G192" s="862">
        <v>0</v>
      </c>
      <c r="H192" s="863">
        <v>0</v>
      </c>
      <c r="I192" s="862">
        <v>0</v>
      </c>
      <c r="J192" s="863">
        <v>0</v>
      </c>
      <c r="L192" s="188">
        <v>30962.38</v>
      </c>
      <c r="M192" s="77"/>
      <c r="N192" s="188"/>
      <c r="O192" s="939">
        <f t="shared" si="4"/>
        <v>0</v>
      </c>
      <c r="Q192" s="1085">
        <v>0</v>
      </c>
    </row>
    <row r="193" spans="1:17" x14ac:dyDescent="0.2">
      <c r="A193" s="837" t="s">
        <v>78</v>
      </c>
      <c r="B193" s="839">
        <v>0.2</v>
      </c>
      <c r="C193" s="839">
        <v>0.26</v>
      </c>
      <c r="D193" s="857">
        <v>0</v>
      </c>
      <c r="E193" s="862">
        <v>0</v>
      </c>
      <c r="F193" s="863">
        <v>0</v>
      </c>
      <c r="G193" s="862">
        <v>0</v>
      </c>
      <c r="H193" s="863">
        <v>0</v>
      </c>
      <c r="I193" s="862">
        <v>0</v>
      </c>
      <c r="J193" s="863">
        <v>0</v>
      </c>
      <c r="L193" s="188">
        <v>7624</v>
      </c>
      <c r="M193" s="77"/>
      <c r="N193" s="188">
        <v>890</v>
      </c>
      <c r="O193" s="939">
        <f t="shared" si="4"/>
        <v>0.11673662119622245</v>
      </c>
      <c r="Q193" s="1085">
        <v>0</v>
      </c>
    </row>
    <row r="194" spans="1:17" x14ac:dyDescent="0.2">
      <c r="A194" s="837" t="s">
        <v>149</v>
      </c>
      <c r="B194" s="839">
        <v>0</v>
      </c>
      <c r="C194" s="839">
        <v>1.4999999999999999E-2</v>
      </c>
      <c r="D194" s="857">
        <v>0</v>
      </c>
      <c r="E194" s="862">
        <v>1.5912620000000002E-5</v>
      </c>
      <c r="F194" s="863">
        <v>1.5912620000000002E-5</v>
      </c>
      <c r="G194" s="862">
        <v>1.35828E-4</v>
      </c>
      <c r="H194" s="863">
        <v>1.3073444999999999E-4</v>
      </c>
      <c r="I194" s="862">
        <v>0</v>
      </c>
      <c r="J194" s="863">
        <v>0</v>
      </c>
      <c r="L194" s="188">
        <v>6454.5540000000001</v>
      </c>
      <c r="M194" s="77"/>
      <c r="N194" s="188">
        <v>278</v>
      </c>
      <c r="O194" s="939">
        <f t="shared" si="4"/>
        <v>4.3070365512473827E-2</v>
      </c>
      <c r="Q194" s="1085">
        <v>7.9563100000000004E-5</v>
      </c>
    </row>
    <row r="195" spans="1:17" x14ac:dyDescent="0.2">
      <c r="A195" s="837" t="s">
        <v>82</v>
      </c>
      <c r="B195" s="839">
        <v>0</v>
      </c>
      <c r="C195" s="839">
        <v>0</v>
      </c>
      <c r="D195" s="857">
        <v>0</v>
      </c>
      <c r="E195" s="862">
        <v>0</v>
      </c>
      <c r="F195" s="863">
        <v>0</v>
      </c>
      <c r="G195" s="862">
        <v>0</v>
      </c>
      <c r="H195" s="863">
        <v>0</v>
      </c>
      <c r="I195" s="862">
        <v>0</v>
      </c>
      <c r="J195" s="863">
        <v>0</v>
      </c>
      <c r="L195" s="188">
        <v>2991.58</v>
      </c>
      <c r="M195" s="77"/>
      <c r="N195" s="188"/>
      <c r="O195" s="939">
        <f t="shared" si="4"/>
        <v>0</v>
      </c>
      <c r="Q195" s="1085">
        <v>0</v>
      </c>
    </row>
    <row r="196" spans="1:17" x14ac:dyDescent="0.2">
      <c r="A196" s="837" t="s">
        <v>84</v>
      </c>
      <c r="B196" s="839">
        <v>0</v>
      </c>
      <c r="C196" s="839">
        <v>0.15</v>
      </c>
      <c r="D196" s="857">
        <v>0</v>
      </c>
      <c r="E196" s="862">
        <v>2.7843640000000004E-4</v>
      </c>
      <c r="F196" s="863">
        <v>2.7843640000000004E-4</v>
      </c>
      <c r="G196" s="862">
        <v>0</v>
      </c>
      <c r="H196" s="863">
        <v>0</v>
      </c>
      <c r="I196" s="862">
        <v>0</v>
      </c>
      <c r="J196" s="863">
        <v>0</v>
      </c>
      <c r="L196" s="188">
        <v>4341.0919999999996</v>
      </c>
      <c r="M196" s="77"/>
      <c r="N196" s="188">
        <v>67.8</v>
      </c>
      <c r="O196" s="939">
        <f t="shared" si="4"/>
        <v>1.5618190077519667E-2</v>
      </c>
      <c r="Q196" s="1085">
        <v>1.3857820000000001E-3</v>
      </c>
    </row>
    <row r="197" spans="1:17" x14ac:dyDescent="0.2">
      <c r="A197" s="837" t="s">
        <v>99</v>
      </c>
      <c r="B197" s="839">
        <v>0</v>
      </c>
      <c r="C197" s="839">
        <v>0.02</v>
      </c>
      <c r="D197" s="857">
        <v>0</v>
      </c>
      <c r="E197" s="862">
        <v>0</v>
      </c>
      <c r="F197" s="863">
        <v>0</v>
      </c>
      <c r="G197" s="862">
        <v>0</v>
      </c>
      <c r="H197" s="863">
        <v>0</v>
      </c>
      <c r="I197" s="862">
        <v>0</v>
      </c>
      <c r="J197" s="863">
        <v>0</v>
      </c>
      <c r="L197" s="188">
        <v>2802.768</v>
      </c>
      <c r="M197" s="77"/>
      <c r="N197" s="188"/>
      <c r="O197" s="939">
        <f t="shared" si="4"/>
        <v>0</v>
      </c>
      <c r="Q197" s="1085">
        <v>0</v>
      </c>
    </row>
    <row r="198" spans="1:17" x14ac:dyDescent="0.2">
      <c r="A198" s="837" t="s">
        <v>250</v>
      </c>
      <c r="B198" s="839">
        <v>0</v>
      </c>
      <c r="C198" s="839">
        <v>0</v>
      </c>
      <c r="D198" s="857">
        <v>0</v>
      </c>
      <c r="E198" s="862">
        <v>2.1663420000000001E-4</v>
      </c>
      <c r="F198" s="863">
        <v>2.1663420000000001E-4</v>
      </c>
      <c r="G198" s="862">
        <v>0</v>
      </c>
      <c r="H198" s="863">
        <v>0</v>
      </c>
      <c r="I198" s="862">
        <v>0</v>
      </c>
      <c r="J198" s="863">
        <v>0</v>
      </c>
      <c r="L198" s="188">
        <v>3811</v>
      </c>
      <c r="M198" s="77"/>
      <c r="N198" s="188">
        <v>484.14599999999996</v>
      </c>
      <c r="O198" s="939">
        <f t="shared" si="4"/>
        <v>0.12703909734977695</v>
      </c>
      <c r="Q198" s="1085">
        <v>1.0680329999999999E-3</v>
      </c>
    </row>
    <row r="199" spans="1:17" x14ac:dyDescent="0.2">
      <c r="A199" s="837" t="s">
        <v>105</v>
      </c>
      <c r="B199" s="839">
        <v>0</v>
      </c>
      <c r="C199" s="839">
        <v>0</v>
      </c>
      <c r="D199" s="857">
        <v>0</v>
      </c>
      <c r="E199" s="862">
        <v>0</v>
      </c>
      <c r="F199" s="863">
        <v>0</v>
      </c>
      <c r="G199" s="862">
        <v>0</v>
      </c>
      <c r="H199" s="863">
        <v>0</v>
      </c>
      <c r="I199" s="862">
        <v>0</v>
      </c>
      <c r="J199" s="863">
        <v>0</v>
      </c>
      <c r="L199" s="188">
        <v>1749.713</v>
      </c>
      <c r="M199" s="77"/>
      <c r="N199" s="188"/>
      <c r="O199" s="939">
        <f t="shared" si="4"/>
        <v>0</v>
      </c>
      <c r="Q199" s="1085">
        <v>0</v>
      </c>
    </row>
    <row r="200" spans="1:17" x14ac:dyDescent="0.2">
      <c r="A200" s="837" t="s">
        <v>106</v>
      </c>
      <c r="B200" s="839">
        <v>0</v>
      </c>
      <c r="C200" s="839">
        <v>0</v>
      </c>
      <c r="D200" s="857">
        <v>0</v>
      </c>
      <c r="E200" s="862">
        <v>0</v>
      </c>
      <c r="F200" s="863">
        <v>0</v>
      </c>
      <c r="G200" s="862">
        <v>0</v>
      </c>
      <c r="H200" s="863">
        <v>0</v>
      </c>
      <c r="I200" s="862">
        <v>0</v>
      </c>
      <c r="J200" s="863">
        <v>0</v>
      </c>
      <c r="L200" s="188">
        <v>27258.386999999999</v>
      </c>
      <c r="M200" s="77"/>
      <c r="N200" s="188"/>
      <c r="O200" s="939">
        <f t="shared" si="4"/>
        <v>0</v>
      </c>
      <c r="Q200" s="1085">
        <v>0</v>
      </c>
    </row>
    <row r="201" spans="1:17" x14ac:dyDescent="0.2">
      <c r="A201" s="837" t="s">
        <v>113</v>
      </c>
      <c r="B201" s="839">
        <v>0</v>
      </c>
      <c r="C201" s="839">
        <v>0</v>
      </c>
      <c r="D201" s="857">
        <v>0</v>
      </c>
      <c r="E201" s="862">
        <v>0</v>
      </c>
      <c r="F201" s="863">
        <v>0</v>
      </c>
      <c r="G201" s="862">
        <v>0</v>
      </c>
      <c r="H201" s="863">
        <v>0</v>
      </c>
      <c r="I201" s="862">
        <v>0</v>
      </c>
      <c r="J201" s="863">
        <v>0</v>
      </c>
      <c r="L201" s="188">
        <v>21532.647000000001</v>
      </c>
      <c r="M201" s="77"/>
      <c r="N201" s="188"/>
      <c r="O201" s="939">
        <f t="shared" si="4"/>
        <v>0</v>
      </c>
      <c r="Q201" s="1085">
        <v>0</v>
      </c>
    </row>
    <row r="202" spans="1:17" x14ac:dyDescent="0.2">
      <c r="A202" s="837" t="s">
        <v>121</v>
      </c>
      <c r="B202" s="839">
        <v>0</v>
      </c>
      <c r="C202" s="839">
        <v>0</v>
      </c>
      <c r="D202" s="857">
        <v>0</v>
      </c>
      <c r="E202" s="862">
        <v>0</v>
      </c>
      <c r="F202" s="863">
        <v>0</v>
      </c>
      <c r="G202" s="862">
        <v>0</v>
      </c>
      <c r="H202" s="863">
        <v>0</v>
      </c>
      <c r="I202" s="862">
        <v>0</v>
      </c>
      <c r="J202" s="863">
        <v>0</v>
      </c>
      <c r="L202" s="188">
        <v>8441.5370000000003</v>
      </c>
      <c r="M202" s="77"/>
      <c r="N202" s="188"/>
      <c r="O202" s="939">
        <f t="shared" ref="O202:O203" si="5">(M202+N202)/L202</f>
        <v>0</v>
      </c>
      <c r="Q202" s="1085">
        <v>0</v>
      </c>
    </row>
    <row r="203" spans="1:17" x14ac:dyDescent="0.2">
      <c r="A203" s="837" t="s">
        <v>126</v>
      </c>
      <c r="B203" s="839">
        <v>0</v>
      </c>
      <c r="C203" s="839">
        <v>0.01</v>
      </c>
      <c r="D203" s="857">
        <v>0</v>
      </c>
      <c r="E203" s="862">
        <v>0</v>
      </c>
      <c r="F203" s="863">
        <v>0</v>
      </c>
      <c r="G203" s="862">
        <v>0</v>
      </c>
      <c r="H203" s="863">
        <v>0</v>
      </c>
      <c r="I203" s="862">
        <v>0</v>
      </c>
      <c r="J203" s="863">
        <v>0</v>
      </c>
      <c r="L203" s="188">
        <v>22763.008000000002</v>
      </c>
      <c r="M203" s="77"/>
      <c r="N203" s="188"/>
      <c r="O203" s="940">
        <f t="shared" si="5"/>
        <v>0</v>
      </c>
      <c r="Q203" s="1086">
        <v>0</v>
      </c>
    </row>
    <row r="204" spans="1:17" x14ac:dyDescent="0.2">
      <c r="A204" s="845" t="s">
        <v>2535</v>
      </c>
      <c r="B204" s="1075"/>
      <c r="C204" s="1076"/>
      <c r="D204" s="1077"/>
      <c r="E204" s="1068"/>
      <c r="F204" s="1068"/>
      <c r="G204" s="1068"/>
      <c r="H204" s="1068"/>
      <c r="I204" s="1068"/>
      <c r="J204" s="1068"/>
      <c r="L204" s="1092"/>
      <c r="M204" s="1092"/>
      <c r="N204" s="1092"/>
      <c r="O204" s="836"/>
    </row>
    <row r="205" spans="1:17" x14ac:dyDescent="0.2">
      <c r="A205" s="852" t="s">
        <v>2533</v>
      </c>
      <c r="B205" s="1078"/>
      <c r="C205" s="1079"/>
      <c r="D205" s="1080"/>
      <c r="E205" s="1073">
        <v>0.54092911004311128</v>
      </c>
      <c r="F205" s="1072">
        <v>0.23476030272277301</v>
      </c>
      <c r="G205" s="860">
        <v>0.58467116746347825</v>
      </c>
      <c r="H205" s="861">
        <v>0.16133609413869565</v>
      </c>
      <c r="I205" s="860">
        <v>1.4946569358260871</v>
      </c>
      <c r="J205" s="861">
        <v>0.95396180382608697</v>
      </c>
      <c r="L205" s="1093"/>
      <c r="M205" s="1093"/>
      <c r="N205" s="1094"/>
    </row>
    <row r="206" spans="1:17" ht="13.5" thickBot="1" x14ac:dyDescent="0.25">
      <c r="A206" s="853" t="s">
        <v>2534</v>
      </c>
      <c r="B206" s="1081"/>
      <c r="C206" s="1082"/>
      <c r="D206" s="1083"/>
      <c r="E206" s="1074">
        <v>0.95647730605985237</v>
      </c>
      <c r="F206" s="1070">
        <v>0.79001555726422101</v>
      </c>
      <c r="G206" s="1069">
        <v>1.2199269427370454</v>
      </c>
      <c r="H206" s="1070">
        <v>0.47048138546688162</v>
      </c>
      <c r="I206" s="1069">
        <v>1.3162660920099998</v>
      </c>
      <c r="J206" s="1071">
        <v>0.29870022200999991</v>
      </c>
      <c r="L206" s="1095"/>
      <c r="M206" s="1096"/>
      <c r="N206" s="1097"/>
    </row>
    <row r="207" spans="1:17" x14ac:dyDescent="0.2">
      <c r="A207" s="850"/>
      <c r="E207" s="684"/>
      <c r="F207" s="854"/>
      <c r="L207" s="1571" t="s">
        <v>2538</v>
      </c>
      <c r="M207" s="1572"/>
      <c r="N207" s="1573"/>
    </row>
    <row r="208" spans="1:17" x14ac:dyDescent="0.2">
      <c r="E208" s="1033"/>
      <c r="F208" s="1034"/>
      <c r="G208" s="1033"/>
      <c r="H208" s="1033"/>
      <c r="I208" s="1033"/>
      <c r="J208" s="1033"/>
      <c r="L208" s="117" t="s">
        <v>2171</v>
      </c>
      <c r="N208" s="939">
        <f>SUM(M95:N135)/SUM(L95:L135)</f>
        <v>5.4131204747112714E-2</v>
      </c>
    </row>
    <row r="209" spans="2:15" x14ac:dyDescent="0.2">
      <c r="B209"/>
      <c r="C209"/>
      <c r="E209" s="1033"/>
      <c r="F209" s="1034"/>
      <c r="G209" s="1033"/>
      <c r="H209" s="1033"/>
      <c r="I209" s="1033"/>
      <c r="J209" s="1033"/>
      <c r="L209" s="161" t="s">
        <v>2172</v>
      </c>
      <c r="N209" s="939">
        <f>SUM(M136:N163)/SUM(L136:L163)</f>
        <v>0.54943447065201889</v>
      </c>
    </row>
    <row r="210" spans="2:15" x14ac:dyDescent="0.2">
      <c r="B210"/>
      <c r="C210"/>
      <c r="E210" s="1033"/>
      <c r="F210" s="1033"/>
      <c r="G210" s="1033"/>
      <c r="H210" s="1033"/>
      <c r="I210" s="1033"/>
      <c r="J210" s="1033"/>
      <c r="L210" s="117" t="s">
        <v>2173</v>
      </c>
      <c r="N210" s="939">
        <f>SUM(M164:N189)/SUM(L164:L189)</f>
        <v>0.11663953086586164</v>
      </c>
    </row>
    <row r="211" spans="2:15" x14ac:dyDescent="0.2">
      <c r="B211"/>
      <c r="C211"/>
      <c r="E211" s="1033"/>
      <c r="F211" s="1033"/>
      <c r="G211" s="1033"/>
      <c r="H211" s="1033"/>
      <c r="I211" s="1033"/>
      <c r="J211" s="1033"/>
      <c r="L211" s="941" t="s">
        <v>2174</v>
      </c>
      <c r="M211" s="851"/>
      <c r="N211" s="940">
        <f>SUM(M190:N203)/SUM(L190:L203)</f>
        <v>7.9462872147344054E-3</v>
      </c>
    </row>
    <row r="212" spans="2:15" x14ac:dyDescent="0.2">
      <c r="B212"/>
      <c r="C212"/>
      <c r="E212" s="1033"/>
      <c r="F212" s="1033"/>
      <c r="G212" s="1033"/>
      <c r="H212" s="1033"/>
      <c r="I212" s="1033"/>
      <c r="J212" s="1033"/>
      <c r="N212" s="1"/>
      <c r="O212" s="77"/>
    </row>
    <row r="214" spans="2:15" x14ac:dyDescent="0.2">
      <c r="B214"/>
      <c r="C214"/>
    </row>
    <row r="215" spans="2:15" x14ac:dyDescent="0.2">
      <c r="B215"/>
      <c r="C215"/>
    </row>
    <row r="216" spans="2:15" x14ac:dyDescent="0.2">
      <c r="B216"/>
      <c r="C216"/>
    </row>
    <row r="217" spans="2:15" x14ac:dyDescent="0.2">
      <c r="B217"/>
      <c r="C217"/>
    </row>
    <row r="218" spans="2:15" x14ac:dyDescent="0.2">
      <c r="B218"/>
      <c r="C218"/>
    </row>
    <row r="219" spans="2:15" x14ac:dyDescent="0.2">
      <c r="B219"/>
      <c r="C219"/>
    </row>
    <row r="220" spans="2:15" x14ac:dyDescent="0.2">
      <c r="B220"/>
      <c r="C220"/>
    </row>
    <row r="221" spans="2:15" x14ac:dyDescent="0.2">
      <c r="B221"/>
      <c r="C221"/>
    </row>
    <row r="222" spans="2:15" x14ac:dyDescent="0.2">
      <c r="B222"/>
      <c r="C222"/>
    </row>
    <row r="223" spans="2:15" x14ac:dyDescent="0.2">
      <c r="B223"/>
      <c r="C223"/>
    </row>
    <row r="224" spans="2:15" x14ac:dyDescent="0.2">
      <c r="B224"/>
      <c r="C224"/>
    </row>
    <row r="225" customFormat="1" x14ac:dyDescent="0.2"/>
    <row r="226" customFormat="1" x14ac:dyDescent="0.2"/>
  </sheetData>
  <mergeCells count="10">
    <mergeCell ref="B4:D4"/>
    <mergeCell ref="E4:F4"/>
    <mergeCell ref="G4:H4"/>
    <mergeCell ref="I4:J4"/>
    <mergeCell ref="L207:N207"/>
    <mergeCell ref="E2:F2"/>
    <mergeCell ref="G2:H2"/>
    <mergeCell ref="I2:J2"/>
    <mergeCell ref="L2:N2"/>
    <mergeCell ref="B3:D3"/>
  </mergeCells>
  <pageMargins left="0.7" right="0.7" top="0.75" bottom="0.75" header="0.3" footer="0.3"/>
  <pageSetup paperSize="9" orientation="portrait"/>
  <ignoredErrors>
    <ignoredError sqref="N208:N211" formulaRange="1"/>
  </ignoredErrors>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21</vt:i4>
      </vt:variant>
    </vt:vector>
  </HeadingPairs>
  <TitlesOfParts>
    <vt:vector size="24" baseType="lpstr">
      <vt:lpstr>Guidance</vt:lpstr>
      <vt:lpstr>Cities and regions</vt:lpstr>
      <vt:lpstr>Analysis</vt:lpstr>
      <vt:lpstr>Baseyear2020</vt:lpstr>
      <vt:lpstr>Baseyear2030</vt:lpstr>
      <vt:lpstr>BAU_2020</vt:lpstr>
      <vt:lpstr>BAU_2020LU</vt:lpstr>
      <vt:lpstr>BAU_2030</vt:lpstr>
      <vt:lpstr>BAU_2030LU</vt:lpstr>
      <vt:lpstr>BAU_2050</vt:lpstr>
      <vt:lpstr>BAU_2050LU</vt:lpstr>
      <vt:lpstr>City</vt:lpstr>
      <vt:lpstr>Country</vt:lpstr>
      <vt:lpstr>Goal2020</vt:lpstr>
      <vt:lpstr>Goal2020High</vt:lpstr>
      <vt:lpstr>Goal2025</vt:lpstr>
      <vt:lpstr>Goal2030</vt:lpstr>
      <vt:lpstr>Goal2050</vt:lpstr>
      <vt:lpstr>Lastline</vt:lpstr>
      <vt:lpstr>Mt_1990</vt:lpstr>
      <vt:lpstr>Mt_2005</vt:lpstr>
      <vt:lpstr>Mt_2010</vt:lpstr>
      <vt:lpstr>Population</vt:lpstr>
      <vt:lpstr>Region</vt:lpstr>
    </vt:vector>
  </TitlesOfParts>
  <Company>URC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Zaballa Romero, Mauricio Ernesto</dc:creator>
  <cp:lastModifiedBy>Jorgen Fenhann</cp:lastModifiedBy>
  <cp:lastPrinted>2018-02-06T08:53:17Z</cp:lastPrinted>
  <dcterms:created xsi:type="dcterms:W3CDTF">2009-11-19T09:57:43Z</dcterms:created>
  <dcterms:modified xsi:type="dcterms:W3CDTF">2023-01-12T12:38:18Z</dcterms:modified>
</cp:coreProperties>
</file>